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10.xml" ContentType="application/vnd.openxmlformats-officedocument.drawing+xml"/>
  <Override PartName="/xl/comments9.xml" ContentType="application/vnd.openxmlformats-officedocument.spreadsheetml.comments+xml"/>
  <Override PartName="/xl/charts/chart3.xml" ContentType="application/vnd.openxmlformats-officedocument.drawingml.chart+xml"/>
  <Override PartName="/xl/drawings/drawing11.xml" ContentType="application/vnd.openxmlformats-officedocument.drawing+xml"/>
  <Override PartName="/xl/comments10.xml" ContentType="application/vnd.openxmlformats-officedocument.spreadsheetml.comments+xml"/>
  <Override PartName="/xl/charts/chart4.xml" ContentType="application/vnd.openxmlformats-officedocument.drawingml.chart+xml"/>
  <Override PartName="/xl/drawings/drawing12.xml" ContentType="application/vnd.openxmlformats-officedocument.drawing+xml"/>
  <Override PartName="/xl/comments11.xml" ContentType="application/vnd.openxmlformats-officedocument.spreadsheetml.comments+xml"/>
  <Override PartName="/xl/threadedComments/threadedComment4.xml" ContentType="application/vnd.ms-excel.threadedcomments+xml"/>
  <Override PartName="/xl/charts/chart5.xml" ContentType="application/vnd.openxmlformats-officedocument.drawingml.chart+xml"/>
  <Override PartName="/xl/drawings/drawing13.xml" ContentType="application/vnd.openxmlformats-officedocument.drawing+xml"/>
  <Override PartName="/xl/comments12.xml" ContentType="application/vnd.openxmlformats-officedocument.spreadsheetml.comments+xml"/>
  <Override PartName="/xl/charts/chart6.xml" ContentType="application/vnd.openxmlformats-officedocument.drawingml.chart+xml"/>
  <Override PartName="/xl/drawings/drawing14.xml" ContentType="application/vnd.openxmlformats-officedocument.drawing+xml"/>
  <Override PartName="/xl/comments13.xml" ContentType="application/vnd.openxmlformats-officedocument.spreadsheetml.comments+xml"/>
  <Override PartName="/xl/charts/chart7.xml" ContentType="application/vnd.openxmlformats-officedocument.drawingml.chart+xml"/>
  <Override PartName="/xl/drawings/drawing15.xml" ContentType="application/vnd.openxmlformats-officedocument.drawing+xml"/>
  <Override PartName="/xl/comments14.xml" ContentType="application/vnd.openxmlformats-officedocument.spreadsheetml.comments+xml"/>
  <Override PartName="/xl/charts/chart8.xml" ContentType="application/vnd.openxmlformats-officedocument.drawingml.chart+xml"/>
  <Override PartName="/xl/drawings/drawing16.xml" ContentType="application/vnd.openxmlformats-officedocument.drawing+xml"/>
  <Override PartName="/xl/comments15.xml" ContentType="application/vnd.openxmlformats-officedocument.spreadsheetml.comments+xml"/>
  <Override PartName="/xl/charts/chart9.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Q:\Project Data\GlacierData\Benchmark_Program\Data\Gulkana\2024\"/>
    </mc:Choice>
  </mc:AlternateContent>
  <xr:revisionPtr revIDLastSave="0" documentId="13_ncr:1_{2A611702-F015-4EFD-A8CD-C449B59EF1AB}" xr6:coauthVersionLast="47" xr6:coauthVersionMax="47" xr10:uidLastSave="{00000000-0000-0000-0000-000000000000}"/>
  <bookViews>
    <workbookView xWindow="-33520" yWindow="-7180" windowWidth="33360" windowHeight="17440" tabRatio="775" xr2:uid="{00000000-000D-0000-FFFF-FFFF00000000}"/>
  </bookViews>
  <sheets>
    <sheet name="GUI Input" sheetId="19" r:id="rId1"/>
    <sheet name="AU" sheetId="2" r:id="rId2"/>
    <sheet name="AB" sheetId="1" r:id="rId3"/>
    <sheet name="B" sheetId="3" r:id="rId4"/>
    <sheet name="D" sheetId="4" r:id="rId5"/>
    <sheet name="T" sheetId="6" r:id="rId6"/>
    <sheet name="V" sheetId="7" r:id="rId7"/>
    <sheet name="Z" sheetId="36" r:id="rId8"/>
    <sheet name="20240418_Pit_AU" sheetId="41" r:id="rId9"/>
    <sheet name="20240417_Pit_B" sheetId="37" r:id="rId10"/>
    <sheet name="20240417_PitCore_D" sheetId="38" r:id="rId11"/>
    <sheet name="20240419_PitCore_T" sheetId="39" r:id="rId12"/>
    <sheet name="20240419_PitCore_Z" sheetId="40" r:id="rId13"/>
    <sheet name="20240820_Pit_Z" sheetId="42" r:id="rId14"/>
    <sheet name="20240820_Pit_T" sheetId="43" r:id="rId15"/>
    <sheet name="20240821_Pit_D" sheetId="44" r:id="rId16"/>
  </sheets>
  <externalReferences>
    <externalReference r:id="rId17"/>
    <externalReference r:id="rId18"/>
    <externalReference r:id="rId19"/>
    <externalReference r:id="rId20"/>
  </externalReferences>
  <definedNames>
    <definedName name="a" localSheetId="9">#REF!</definedName>
    <definedName name="a" localSheetId="10">#REF!</definedName>
    <definedName name="a" localSheetId="8">#REF!</definedName>
    <definedName name="a" localSheetId="11">#REF!</definedName>
    <definedName name="a" localSheetId="12">#REF!</definedName>
    <definedName name="a" localSheetId="14">#REF!</definedName>
    <definedName name="a" localSheetId="13">#REF!</definedName>
    <definedName name="a" localSheetId="15">#REF!</definedName>
    <definedName name="a" localSheetId="7">#REF!</definedName>
    <definedName name="a">#REF!</definedName>
    <definedName name="b" localSheetId="9">#REF!</definedName>
    <definedName name="b" localSheetId="10">#REF!</definedName>
    <definedName name="b" localSheetId="8">#REF!</definedName>
    <definedName name="b" localSheetId="11">#REF!</definedName>
    <definedName name="b" localSheetId="12">#REF!</definedName>
    <definedName name="b" localSheetId="14">#REF!</definedName>
    <definedName name="b" localSheetId="13">#REF!</definedName>
    <definedName name="b" localSheetId="15">#REF!</definedName>
    <definedName name="b" localSheetId="7">#REF!</definedName>
    <definedName name="b">#REF!</definedName>
    <definedName name="BasAlt" localSheetId="9">{1181,1250,1350,1450,1550,1650,1750,1850,1950,2050,2150,2250,2350,2436.5}</definedName>
    <definedName name="BasAlt" localSheetId="10">{1181,1250,1350,1450,1550,1650,1750,1850,1950,2050,2150,2250,2350,2436.5}</definedName>
    <definedName name="BasAlt" localSheetId="8">{1181,1250,1350,1450,1550,1650,1750,1850,1950,2050,2150,2250,2350,2436.5}</definedName>
    <definedName name="BasAlt" localSheetId="11">{1181,1250,1350,1450,1550,1650,1750,1850,1950,2050,2150,2250,2350,2436.5}</definedName>
    <definedName name="BasAlt" localSheetId="12">{1181,1250,1350,1450,1550,1650,1750,1850,1950,2050,2150,2250,2350,2436.5}</definedName>
    <definedName name="BasAlt" localSheetId="14">{1181,1250,1350,1450,1550,1650,1750,1850,1950,2050,2150,2250,2350,2436.5}</definedName>
    <definedName name="BasAlt" localSheetId="13">{1181,1250,1350,1450,1550,1650,1750,1850,1950,2050,2150,2250,2350,2436.5}</definedName>
    <definedName name="BasAlt" localSheetId="15">{1181,1250,1350,1450,1550,1650,1750,1850,1950,2050,2150,2250,2350,2436.5}</definedName>
    <definedName name="BasAlt" localSheetId="7">{1181,1250,1350,1450,1550,1650,1750,1850,1950,2050,2150,2250,2350,2436.5}</definedName>
    <definedName name="BasAlt">{1181,1250,1350,1450,1550,1650,1750,1850,1950,2050,2150,2250,2350,2436.5}</definedName>
    <definedName name="BasAlt2009" localSheetId="9">{1181,1250,1350,1450,1550,1650,1750,1850,1950,2050,2150,2250,2350,2436.5}</definedName>
    <definedName name="BasAlt2009" localSheetId="10">{1181,1250,1350,1450,1550,1650,1750,1850,1950,2050,2150,2250,2350,2436.5}</definedName>
    <definedName name="BasAlt2009" localSheetId="8">{1181,1250,1350,1450,1550,1650,1750,1850,1950,2050,2150,2250,2350,2436.5}</definedName>
    <definedName name="BasAlt2009" localSheetId="11">{1181,1250,1350,1450,1550,1650,1750,1850,1950,2050,2150,2250,2350,2436.5}</definedName>
    <definedName name="BasAlt2009" localSheetId="12">{1181,1250,1350,1450,1550,1650,1750,1850,1950,2050,2150,2250,2350,2436.5}</definedName>
    <definedName name="BasAlt2009" localSheetId="14">{1181,1250,1350,1450,1550,1650,1750,1850,1950,2050,2150,2250,2350,2436.5}</definedName>
    <definedName name="BasAlt2009" localSheetId="13">{1181,1250,1350,1450,1550,1650,1750,1850,1950,2050,2150,2250,2350,2436.5}</definedName>
    <definedName name="BasAlt2009" localSheetId="15">{1181,1250,1350,1450,1550,1650,1750,1850,1950,2050,2150,2250,2350,2436.5}</definedName>
    <definedName name="BasAlt2009" localSheetId="7">{1181,1250,1350,1450,1550,1650,1750,1850,1950,2050,2150,2250,2350,2436.5}</definedName>
    <definedName name="BasAlt2009">{1181,1250,1350,1450,1550,1650,1750,1850,1950,2050,2150,2250,2350,2436.5}</definedName>
    <definedName name="Cerr">5</definedName>
    <definedName name="CSerr">10</definedName>
    <definedName name="DATA">'[1]Stake A'!$A$103:$CC$165</definedName>
    <definedName name="_xlnm.Data_Form">#NAME?</definedName>
    <definedName name="GlacAlt" localSheetId="9">{1181,1250,1350,1450,1550,1650,1750,1850,1950,2050,2150,2250,2350,2436.5}</definedName>
    <definedName name="GlacAlt" localSheetId="10">{1181,1250,1350,1450,1550,1650,1750,1850,1950,2050,2150,2250,2350,2436.5}</definedName>
    <definedName name="GlacAlt" localSheetId="8">{1181,1250,1350,1450,1550,1650,1750,1850,1950,2050,2150,2250,2350,2436.5}</definedName>
    <definedName name="GlacAlt" localSheetId="11">{1181,1250,1350,1450,1550,1650,1750,1850,1950,2050,2150,2250,2350,2436.5}</definedName>
    <definedName name="GlacAlt" localSheetId="12">{1181,1250,1350,1450,1550,1650,1750,1850,1950,2050,2150,2250,2350,2436.5}</definedName>
    <definedName name="GlacAlt" localSheetId="14">{1181,1250,1350,1450,1550,1650,1750,1850,1950,2050,2150,2250,2350,2436.5}</definedName>
    <definedName name="GlacAlt" localSheetId="13">{1181,1250,1350,1450,1550,1650,1750,1850,1950,2050,2150,2250,2350,2436.5}</definedName>
    <definedName name="GlacAlt" localSheetId="15">{1181,1250,1350,1450,1550,1650,1750,1850,1950,2050,2150,2250,2350,2436.5}</definedName>
    <definedName name="GlacAlt" localSheetId="7">{1181,1250,1350,1450,1550,1650,1750,1850,1950,2050,2150,2250,2350,2436.5}</definedName>
    <definedName name="GlacAlt">{1181,1250,1350,1450,1550,1650,1750,1850,1950,2050,2150,2250,2350,2436.5}</definedName>
    <definedName name="LapPer100mAvg">-0.55</definedName>
    <definedName name="LapPer100mDry">-0.986</definedName>
    <definedName name="LapPer100mWet">-0.66</definedName>
    <definedName name="name" localSheetId="9">{1181,1250,1350,1450,1550,1650,1750,1850,1950,2050,2150,2250,2350,2436.5}</definedName>
    <definedName name="name" localSheetId="10">{1181,1250,1350,1450,1550,1650,1750,1850,1950,2050,2150,2250,2350,2436.5}</definedName>
    <definedName name="name" localSheetId="8">{1181,1250,1350,1450,1550,1650,1750,1850,1950,2050,2150,2250,2350,2436.5}</definedName>
    <definedName name="name" localSheetId="11">{1181,1250,1350,1450,1550,1650,1750,1850,1950,2050,2150,2250,2350,2436.5}</definedName>
    <definedName name="name" localSheetId="12">{1181,1250,1350,1450,1550,1650,1750,1850,1950,2050,2150,2250,2350,2436.5}</definedName>
    <definedName name="name" localSheetId="14">{1181,1250,1350,1450,1550,1650,1750,1850,1950,2050,2150,2250,2350,2436.5}</definedName>
    <definedName name="name" localSheetId="13">{1181,1250,1350,1450,1550,1650,1750,1850,1950,2050,2150,2250,2350,2436.5}</definedName>
    <definedName name="name" localSheetId="15">{1181,1250,1350,1450,1550,1650,1750,1850,1950,2050,2150,2250,2350,2436.5}</definedName>
    <definedName name="name" localSheetId="7">{1181,1250,1350,1450,1550,1650,1750,1850,1950,2050,2150,2250,2350,2436.5}</definedName>
    <definedName name="name">{1181,1250,1350,1450,1550,1650,1750,1850,1950,2050,2150,2250,2350,2436.5}</definedName>
    <definedName name="Print_Area_A">'[1]Stake A'!$F$103:$CC$199</definedName>
    <definedName name="Radiuserr">0.1</definedName>
    <definedName name="Sample_TypeAu" localSheetId="9">'20240417_Pit_B'!#REF!</definedName>
    <definedName name="Sample_TypeAu" localSheetId="10">[2]Pit_Sheet!#REF!</definedName>
    <definedName name="Sample_TypeAu" localSheetId="8">'20240418_Pit_AU'!#REF!</definedName>
    <definedName name="Sample_TypeAu" localSheetId="11">[2]Pit_Sheet!#REF!</definedName>
    <definedName name="Sample_TypeAu" localSheetId="12">[2]Pit_Sheet!#REF!</definedName>
    <definedName name="Sample_TypeAu" localSheetId="14">'20240820_Pit_T'!#REF!</definedName>
    <definedName name="Sample_TypeAu" localSheetId="13">'20240820_Pit_Z'!#REF!</definedName>
    <definedName name="Sample_TypeAu" localSheetId="15">'20240821_Pit_D'!#REF!</definedName>
    <definedName name="Sample_TypeAu" localSheetId="7">#REF!</definedName>
    <definedName name="Sample_TypeAu">#REF!</definedName>
    <definedName name="SampleType" localSheetId="9">#REF!</definedName>
    <definedName name="SampleType" localSheetId="10">#REF!</definedName>
    <definedName name="SampleType" localSheetId="8">#REF!</definedName>
    <definedName name="SampleType" localSheetId="11">#REF!</definedName>
    <definedName name="SampleType" localSheetId="12">#REF!</definedName>
    <definedName name="SampleType" localSheetId="14">#REF!</definedName>
    <definedName name="SampleType" localSheetId="13">#REF!</definedName>
    <definedName name="SampleType" localSheetId="15">#REF!</definedName>
    <definedName name="SampleType" localSheetId="7">#REF!</definedName>
    <definedName name="SampleType">#REF!</definedName>
    <definedName name="SampleType1" localSheetId="9">#REF!</definedName>
    <definedName name="SampleType1" localSheetId="10">#REF!</definedName>
    <definedName name="SampleType1" localSheetId="8">#REF!</definedName>
    <definedName name="SampleType1" localSheetId="11">#REF!</definedName>
    <definedName name="SampleType1" localSheetId="12">#REF!</definedName>
    <definedName name="SampleType1" localSheetId="14">#REF!</definedName>
    <definedName name="SampleType1" localSheetId="13">#REF!</definedName>
    <definedName name="SampleType1" localSheetId="15">#REF!</definedName>
    <definedName name="SampleType1" localSheetId="7">#REF!</definedName>
    <definedName name="SampleType1">#REF!</definedName>
    <definedName name="SampleTypeAU" localSheetId="9">#REF!</definedName>
    <definedName name="SampleTypeAU" localSheetId="10">#REF!</definedName>
    <definedName name="SampleTypeAU" localSheetId="8">#REF!</definedName>
    <definedName name="SampleTypeAU" localSheetId="11">#REF!</definedName>
    <definedName name="SampleTypeAU" localSheetId="12">#REF!</definedName>
    <definedName name="SampleTypeAU" localSheetId="14">#REF!</definedName>
    <definedName name="SampleTypeAU" localSheetId="13">#REF!</definedName>
    <definedName name="SampleTypeAU" localSheetId="15">#REF!</definedName>
    <definedName name="SampleTypeAU" localSheetId="7">#REF!</definedName>
    <definedName name="SampleTypeAU">#REF!</definedName>
    <definedName name="SampletypeD">#REF!</definedName>
    <definedName name="SampleTypeX">#REF!</definedName>
    <definedName name="SBDerr">0.5</definedName>
    <definedName name="Serr">5</definedName>
    <definedName name="Sipri_xsection">'[3]99.05.14'!$M$3</definedName>
    <definedName name="SipriXsection">'[3]00.05.12'!$M$3</definedName>
    <definedName name="SiteA">'[1]Stake A'!$A$103:$CC$165</definedName>
    <definedName name="SKit_XSection">'[4]SCD May 97, 1998'!$K$4</definedName>
    <definedName name="TempArray">[3]SNOWPIT!$P$9:$Q$20</definedName>
    <definedName name="TempArray2006">'[4]2006.5.12 Pit'!$P$9:$Q$23</definedName>
    <definedName name="TempArray2008">'[4]2008.09.28 Pit'!$P$9:$Q$23</definedName>
    <definedName name="XSECTAREA">[3]SNOWPIT!$Q$1</definedName>
    <definedName name="XSECTION">'[3]98.05.27'!$K$3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4" l="1"/>
  <c r="Q31" i="4"/>
  <c r="O31" i="4" s="1"/>
  <c r="I31" i="4"/>
  <c r="P30" i="4" l="1"/>
  <c r="P16" i="6" l="1"/>
  <c r="C26" i="6"/>
  <c r="C39" i="4"/>
  <c r="C33" i="3"/>
  <c r="C32" i="3"/>
  <c r="C31" i="3"/>
  <c r="P24" i="3"/>
  <c r="C20" i="2"/>
  <c r="C22" i="2"/>
  <c r="C27" i="1"/>
  <c r="C26" i="1"/>
  <c r="P19" i="1"/>
  <c r="C28" i="1"/>
  <c r="P13" i="36"/>
  <c r="Q15" i="36"/>
  <c r="P9" i="7"/>
  <c r="Q10" i="7"/>
  <c r="R11" i="6"/>
  <c r="C28" i="6"/>
  <c r="Q17" i="6"/>
  <c r="P26" i="4"/>
  <c r="O27" i="4" s="1"/>
  <c r="Q27" i="4"/>
  <c r="H27" i="4"/>
  <c r="L26" i="4"/>
  <c r="Q22" i="3"/>
  <c r="P21" i="3"/>
  <c r="H26" i="3"/>
  <c r="Q26" i="3" s="1"/>
  <c r="H22" i="3"/>
  <c r="P14" i="2"/>
  <c r="O15" i="2"/>
  <c r="Q15" i="2"/>
  <c r="O21" i="1"/>
  <c r="Q21" i="1"/>
  <c r="F20" i="1"/>
  <c r="H21" i="1"/>
  <c r="G19" i="1"/>
  <c r="E8" i="19"/>
  <c r="E7" i="19"/>
  <c r="E6" i="19"/>
  <c r="E5" i="19"/>
  <c r="E4" i="19"/>
  <c r="E3" i="19"/>
  <c r="E2" i="19"/>
  <c r="M53" i="44"/>
  <c r="I3" i="44" s="1"/>
  <c r="I3" i="41"/>
  <c r="C25" i="36"/>
  <c r="S14" i="36"/>
  <c r="C24" i="36"/>
  <c r="S18" i="6"/>
  <c r="C22" i="36"/>
  <c r="Q7" i="7"/>
  <c r="C22" i="7"/>
  <c r="J9" i="7"/>
  <c r="C19" i="7"/>
  <c r="H10" i="7"/>
  <c r="R26" i="4"/>
  <c r="H26" i="4"/>
  <c r="C40" i="4"/>
  <c r="P14" i="1"/>
  <c r="J19" i="1"/>
  <c r="J14" i="1"/>
  <c r="P6" i="6"/>
  <c r="L14" i="2"/>
  <c r="P11" i="2"/>
  <c r="C42" i="4"/>
  <c r="C31" i="6"/>
  <c r="C27" i="6"/>
  <c r="S13" i="6"/>
  <c r="Q12" i="6"/>
  <c r="V13" i="38"/>
  <c r="V12" i="38"/>
  <c r="L30" i="4" l="1"/>
  <c r="G32" i="4"/>
  <c r="G31" i="4"/>
  <c r="R21" i="3"/>
  <c r="C35" i="3"/>
  <c r="N31" i="37"/>
  <c r="L24" i="3"/>
  <c r="I3" i="37"/>
  <c r="H15" i="2"/>
  <c r="C27" i="36"/>
  <c r="J14" i="36"/>
  <c r="C23" i="36"/>
  <c r="S7" i="36"/>
  <c r="I15" i="36"/>
  <c r="L15" i="36"/>
  <c r="J15" i="36"/>
  <c r="K15" i="36"/>
  <c r="G15" i="36"/>
  <c r="G26" i="3"/>
  <c r="G21" i="1"/>
  <c r="Q9" i="36"/>
  <c r="F15" i="44"/>
  <c r="L22" i="3"/>
  <c r="G22" i="3"/>
  <c r="F22" i="3"/>
  <c r="L26" i="3"/>
  <c r="C20" i="7"/>
  <c r="C21" i="7"/>
  <c r="L10" i="7"/>
  <c r="F26" i="3"/>
  <c r="F10" i="7"/>
  <c r="G10" i="7"/>
  <c r="F27" i="4"/>
  <c r="G27" i="4"/>
  <c r="O7" i="2"/>
  <c r="O10" i="2"/>
  <c r="H9" i="36"/>
  <c r="M57" i="44"/>
  <c r="M56" i="44"/>
  <c r="M54" i="44"/>
  <c r="M55" i="44" s="1"/>
  <c r="G15" i="44"/>
  <c r="E15" i="44"/>
  <c r="G14" i="44"/>
  <c r="F14" i="44"/>
  <c r="E14" i="44"/>
  <c r="G13" i="44"/>
  <c r="H13" i="44" s="1"/>
  <c r="F13" i="44"/>
  <c r="E13" i="44"/>
  <c r="G15" i="2"/>
  <c r="I4" i="43"/>
  <c r="F23" i="43"/>
  <c r="I2" i="43"/>
  <c r="I1" i="43"/>
  <c r="M57" i="43"/>
  <c r="M56" i="43"/>
  <c r="M54" i="43"/>
  <c r="M55" i="43" s="1"/>
  <c r="M53" i="43"/>
  <c r="I3" i="43" s="1"/>
  <c r="G23" i="43"/>
  <c r="E23" i="43"/>
  <c r="G22" i="43"/>
  <c r="F22" i="43"/>
  <c r="E22" i="43"/>
  <c r="G21" i="43"/>
  <c r="H21" i="43" s="1"/>
  <c r="F21" i="43"/>
  <c r="E21" i="43"/>
  <c r="G20" i="43"/>
  <c r="H20" i="43" s="1"/>
  <c r="F20" i="43"/>
  <c r="E20" i="43"/>
  <c r="G19" i="43"/>
  <c r="H19" i="43" s="1"/>
  <c r="F19" i="43"/>
  <c r="E19" i="43"/>
  <c r="G18" i="43"/>
  <c r="H18" i="43" s="1"/>
  <c r="F18" i="43"/>
  <c r="E18" i="43"/>
  <c r="G17" i="43"/>
  <c r="H17" i="43" s="1"/>
  <c r="F17" i="43"/>
  <c r="E17" i="43"/>
  <c r="G16" i="43"/>
  <c r="F16" i="43"/>
  <c r="H16" i="43" s="1"/>
  <c r="E16" i="43"/>
  <c r="G15" i="43"/>
  <c r="H15" i="43" s="1"/>
  <c r="F15" i="43"/>
  <c r="E15" i="43"/>
  <c r="G14" i="43"/>
  <c r="H14" i="43" s="1"/>
  <c r="F14" i="43"/>
  <c r="E14" i="43"/>
  <c r="G13" i="43"/>
  <c r="H13" i="43" s="1"/>
  <c r="F13" i="43"/>
  <c r="E13" i="43"/>
  <c r="I4" i="42"/>
  <c r="I2" i="42"/>
  <c r="I1" i="42"/>
  <c r="F33" i="42"/>
  <c r="M57" i="42"/>
  <c r="M56" i="42"/>
  <c r="M54" i="42"/>
  <c r="M55" i="42" s="1"/>
  <c r="M53" i="42"/>
  <c r="I3" i="42" s="1"/>
  <c r="G33" i="42"/>
  <c r="E33" i="42"/>
  <c r="G32" i="42"/>
  <c r="H32" i="42" s="1"/>
  <c r="F32" i="42"/>
  <c r="E32" i="42"/>
  <c r="G31" i="42"/>
  <c r="H31" i="42" s="1"/>
  <c r="F31" i="42"/>
  <c r="E31" i="42"/>
  <c r="G30" i="42"/>
  <c r="F30" i="42"/>
  <c r="H30" i="42" s="1"/>
  <c r="E30" i="42"/>
  <c r="G29" i="42"/>
  <c r="H29" i="42" s="1"/>
  <c r="F29" i="42"/>
  <c r="E29" i="42"/>
  <c r="G28" i="42"/>
  <c r="H28" i="42" s="1"/>
  <c r="F28" i="42"/>
  <c r="E28" i="42"/>
  <c r="G27" i="42"/>
  <c r="H27" i="42" s="1"/>
  <c r="F27" i="42"/>
  <c r="E27" i="42"/>
  <c r="G26" i="42"/>
  <c r="H26" i="42" s="1"/>
  <c r="F26" i="42"/>
  <c r="E26" i="42"/>
  <c r="G25" i="42"/>
  <c r="H25" i="42" s="1"/>
  <c r="F25" i="42"/>
  <c r="E25" i="42"/>
  <c r="G24" i="42"/>
  <c r="H24" i="42" s="1"/>
  <c r="F24" i="42"/>
  <c r="E24" i="42"/>
  <c r="G23" i="42"/>
  <c r="H23" i="42" s="1"/>
  <c r="F23" i="42"/>
  <c r="E23" i="42"/>
  <c r="G22" i="42"/>
  <c r="F22" i="42"/>
  <c r="E22" i="42"/>
  <c r="G21" i="42"/>
  <c r="H21" i="42" s="1"/>
  <c r="F21" i="42"/>
  <c r="E21" i="42"/>
  <c r="G20" i="42"/>
  <c r="H20" i="42" s="1"/>
  <c r="F20" i="42"/>
  <c r="E20" i="42"/>
  <c r="G19" i="42"/>
  <c r="H19" i="42" s="1"/>
  <c r="F19" i="42"/>
  <c r="E19" i="42"/>
  <c r="G18" i="42"/>
  <c r="H18" i="42" s="1"/>
  <c r="F18" i="42"/>
  <c r="E18" i="42"/>
  <c r="G17" i="42"/>
  <c r="H17" i="42" s="1"/>
  <c r="F17" i="42"/>
  <c r="E17" i="42"/>
  <c r="G16" i="42"/>
  <c r="H16" i="42" s="1"/>
  <c r="F16" i="42"/>
  <c r="E16" i="42"/>
  <c r="G15" i="42"/>
  <c r="H15" i="42" s="1"/>
  <c r="F15" i="42"/>
  <c r="E15" i="42"/>
  <c r="G14" i="42"/>
  <c r="F14" i="42"/>
  <c r="H14" i="42" s="1"/>
  <c r="E14" i="42"/>
  <c r="G13" i="42"/>
  <c r="H13" i="42" s="1"/>
  <c r="F13" i="42"/>
  <c r="E13" i="42"/>
  <c r="H14" i="44" l="1"/>
  <c r="H15" i="44"/>
  <c r="I14" i="44"/>
  <c r="J14" i="44" s="1"/>
  <c r="I13" i="44"/>
  <c r="J13" i="44" s="1"/>
  <c r="H22" i="43"/>
  <c r="I22" i="43" s="1"/>
  <c r="J22" i="43" s="1"/>
  <c r="H23" i="43"/>
  <c r="I20" i="43"/>
  <c r="J20" i="43" s="1"/>
  <c r="I14" i="43"/>
  <c r="J14" i="43" s="1"/>
  <c r="I19" i="43"/>
  <c r="J19" i="43" s="1"/>
  <c r="I17" i="43"/>
  <c r="J17" i="43" s="1"/>
  <c r="I16" i="43"/>
  <c r="J16" i="43" s="1"/>
  <c r="I18" i="43"/>
  <c r="J18" i="43" s="1"/>
  <c r="I21" i="43"/>
  <c r="J21" i="43" s="1"/>
  <c r="I13" i="43"/>
  <c r="J13" i="43" s="1"/>
  <c r="I15" i="43"/>
  <c r="J15" i="43" s="1"/>
  <c r="H33" i="42"/>
  <c r="H22" i="42"/>
  <c r="I15" i="42"/>
  <c r="J15" i="42" s="1"/>
  <c r="I20" i="42"/>
  <c r="J20" i="42" s="1"/>
  <c r="I17" i="42"/>
  <c r="J17" i="42" s="1"/>
  <c r="I16" i="42"/>
  <c r="J16" i="42" s="1"/>
  <c r="I18" i="42"/>
  <c r="J18" i="42" s="1"/>
  <c r="I14" i="42"/>
  <c r="J14" i="42" s="1"/>
  <c r="I19" i="42"/>
  <c r="J19" i="42" s="1"/>
  <c r="I21" i="42"/>
  <c r="J21" i="42" s="1"/>
  <c r="I13" i="42"/>
  <c r="J13" i="42" s="1"/>
  <c r="I15" i="44" l="1"/>
  <c r="J15" i="44" s="1"/>
  <c r="I4" i="44" s="1"/>
  <c r="I23" i="43"/>
  <c r="J23" i="43" s="1"/>
  <c r="I33" i="42"/>
  <c r="J33" i="42" s="1"/>
  <c r="I30" i="42"/>
  <c r="J30" i="42" s="1"/>
  <c r="I28" i="42"/>
  <c r="J28" i="42" s="1"/>
  <c r="I29" i="42"/>
  <c r="J29" i="42" s="1"/>
  <c r="I26" i="42"/>
  <c r="J26" i="42" s="1"/>
  <c r="I25" i="42"/>
  <c r="J25" i="42" s="1"/>
  <c r="I32" i="42"/>
  <c r="J32" i="42" s="1"/>
  <c r="I24" i="42"/>
  <c r="J24" i="42" s="1"/>
  <c r="I22" i="42"/>
  <c r="J22" i="42" s="1"/>
  <c r="I23" i="42"/>
  <c r="J23" i="42" s="1"/>
  <c r="I31" i="42"/>
  <c r="J31" i="42" s="1"/>
  <c r="I27" i="42"/>
  <c r="J27" i="42" s="1"/>
  <c r="K27" i="4" l="1"/>
  <c r="F15" i="36"/>
  <c r="F13" i="6"/>
  <c r="G17" i="6"/>
  <c r="G18" i="6"/>
  <c r="K13" i="36"/>
  <c r="J13" i="36"/>
  <c r="R9" i="7"/>
  <c r="H9" i="7"/>
  <c r="M9" i="7"/>
  <c r="I4" i="39"/>
  <c r="J16" i="6"/>
  <c r="F6" i="19" s="1"/>
  <c r="R11" i="2"/>
  <c r="L11" i="2"/>
  <c r="I11" i="2"/>
  <c r="C21" i="2" s="1"/>
  <c r="G11" i="2"/>
  <c r="J14" i="2"/>
  <c r="J11" i="2"/>
  <c r="H9" i="2"/>
  <c r="L27" i="4"/>
  <c r="L17" i="4"/>
  <c r="O8" i="36"/>
  <c r="G21" i="36"/>
  <c r="E21" i="36"/>
  <c r="I2" i="40"/>
  <c r="I1" i="40"/>
  <c r="I4" i="40"/>
  <c r="O35" i="40"/>
  <c r="C32" i="40"/>
  <c r="C34" i="40"/>
  <c r="G18" i="7"/>
  <c r="E18" i="7"/>
  <c r="K9" i="7"/>
  <c r="I9" i="7"/>
  <c r="L9" i="7" s="1"/>
  <c r="G9" i="7"/>
  <c r="F9" i="7" s="1"/>
  <c r="G11" i="6"/>
  <c r="H13" i="6" s="1"/>
  <c r="G16" i="6"/>
  <c r="G33" i="39"/>
  <c r="G25" i="39"/>
  <c r="O33" i="39"/>
  <c r="C32" i="39"/>
  <c r="C30" i="39"/>
  <c r="C28" i="39"/>
  <c r="C26" i="39"/>
  <c r="C24" i="39"/>
  <c r="N24" i="39" s="1"/>
  <c r="N21" i="39"/>
  <c r="P21" i="39"/>
  <c r="G25" i="6"/>
  <c r="E25" i="6"/>
  <c r="G19" i="2"/>
  <c r="E19" i="2"/>
  <c r="I4" i="41"/>
  <c r="F27" i="41"/>
  <c r="I14" i="2"/>
  <c r="F14" i="2"/>
  <c r="M32" i="41"/>
  <c r="M31" i="41"/>
  <c r="M29" i="41"/>
  <c r="M30" i="41" s="1"/>
  <c r="M28" i="41"/>
  <c r="G27" i="41"/>
  <c r="H27" i="41" s="1"/>
  <c r="E27" i="41"/>
  <c r="G26" i="41"/>
  <c r="F26" i="41"/>
  <c r="E26" i="41"/>
  <c r="G25" i="41"/>
  <c r="F25" i="41"/>
  <c r="E25" i="41"/>
  <c r="G24" i="41"/>
  <c r="H24" i="41" s="1"/>
  <c r="F24" i="41"/>
  <c r="E24" i="41"/>
  <c r="G23" i="41"/>
  <c r="H23" i="41" s="1"/>
  <c r="F23" i="41"/>
  <c r="E23" i="41"/>
  <c r="G22" i="41"/>
  <c r="H22" i="41" s="1"/>
  <c r="F22" i="41"/>
  <c r="E22" i="41"/>
  <c r="G21" i="41"/>
  <c r="F21" i="41"/>
  <c r="E21" i="41"/>
  <c r="G20" i="41"/>
  <c r="F20" i="41"/>
  <c r="E20" i="41"/>
  <c r="G19" i="41"/>
  <c r="H19" i="41" s="1"/>
  <c r="F19" i="41"/>
  <c r="E19" i="41"/>
  <c r="G18" i="41"/>
  <c r="H18" i="41" s="1"/>
  <c r="F18" i="41"/>
  <c r="E18" i="41"/>
  <c r="G17" i="41"/>
  <c r="H17" i="41" s="1"/>
  <c r="F17" i="41"/>
  <c r="E17" i="41"/>
  <c r="G16" i="41"/>
  <c r="H16" i="41" s="1"/>
  <c r="F16" i="41"/>
  <c r="E16" i="41"/>
  <c r="G15" i="41"/>
  <c r="F15" i="41"/>
  <c r="E15" i="41"/>
  <c r="G14" i="41"/>
  <c r="H14" i="41" s="1"/>
  <c r="F14" i="41"/>
  <c r="E14" i="41"/>
  <c r="G13" i="41"/>
  <c r="H13" i="41" s="1"/>
  <c r="F13" i="41"/>
  <c r="E13" i="41"/>
  <c r="V38" i="40"/>
  <c r="V37" i="40"/>
  <c r="V35" i="40"/>
  <c r="V36" i="40" s="1"/>
  <c r="V34" i="40"/>
  <c r="L35" i="40"/>
  <c r="G35" i="40"/>
  <c r="L34" i="40"/>
  <c r="G34" i="40"/>
  <c r="L33" i="40"/>
  <c r="M33" i="40" s="1"/>
  <c r="P33" i="40" s="1"/>
  <c r="G33" i="40"/>
  <c r="M32" i="40"/>
  <c r="P32" i="40" s="1"/>
  <c r="L32" i="40"/>
  <c r="G32" i="40"/>
  <c r="L31" i="40"/>
  <c r="G31" i="40"/>
  <c r="L30" i="40"/>
  <c r="G30" i="40"/>
  <c r="L29" i="40"/>
  <c r="G29" i="40"/>
  <c r="L28" i="40"/>
  <c r="G28" i="40"/>
  <c r="L27" i="40"/>
  <c r="G27" i="40"/>
  <c r="L26" i="40"/>
  <c r="G26" i="40"/>
  <c r="L25" i="40"/>
  <c r="G25" i="40"/>
  <c r="P22" i="40"/>
  <c r="N22" i="40"/>
  <c r="P21" i="40"/>
  <c r="O21" i="40"/>
  <c r="N21" i="40"/>
  <c r="P20" i="40"/>
  <c r="O20" i="40"/>
  <c r="N20" i="40"/>
  <c r="P19" i="40"/>
  <c r="O19" i="40"/>
  <c r="N19" i="40"/>
  <c r="P18" i="40"/>
  <c r="O18" i="40"/>
  <c r="N18" i="40"/>
  <c r="P17" i="40"/>
  <c r="O17" i="40"/>
  <c r="N17" i="40"/>
  <c r="P16" i="40"/>
  <c r="Q16" i="40" s="1"/>
  <c r="O16" i="40"/>
  <c r="N16" i="40"/>
  <c r="P15" i="40"/>
  <c r="O15" i="40"/>
  <c r="N15" i="40"/>
  <c r="P14" i="40"/>
  <c r="O14" i="40"/>
  <c r="N14" i="40"/>
  <c r="P13" i="40"/>
  <c r="O13" i="40"/>
  <c r="N13" i="40"/>
  <c r="I3" i="40"/>
  <c r="V38" i="39"/>
  <c r="V37" i="39"/>
  <c r="V35" i="39"/>
  <c r="V36" i="39" s="1"/>
  <c r="V34" i="39"/>
  <c r="I3" i="39" s="1"/>
  <c r="L33" i="39"/>
  <c r="L32" i="39"/>
  <c r="G32" i="39"/>
  <c r="L31" i="39"/>
  <c r="G31" i="39"/>
  <c r="L30" i="39"/>
  <c r="G30" i="39"/>
  <c r="L29" i="39"/>
  <c r="G29" i="39"/>
  <c r="L28" i="39"/>
  <c r="G28" i="39"/>
  <c r="L27" i="39"/>
  <c r="G27" i="39"/>
  <c r="N27" i="39" s="1"/>
  <c r="L26" i="39"/>
  <c r="G26" i="39"/>
  <c r="L25" i="39"/>
  <c r="L24" i="39"/>
  <c r="G24" i="39"/>
  <c r="P20" i="39"/>
  <c r="Q20" i="39" s="1"/>
  <c r="O20" i="39"/>
  <c r="N20" i="39"/>
  <c r="P19" i="39"/>
  <c r="O19" i="39"/>
  <c r="N19" i="39"/>
  <c r="P18" i="39"/>
  <c r="O18" i="39"/>
  <c r="N18" i="39"/>
  <c r="P17" i="39"/>
  <c r="O17" i="39"/>
  <c r="N17" i="39"/>
  <c r="P16" i="39"/>
  <c r="O16" i="39"/>
  <c r="N16" i="39"/>
  <c r="P15" i="39"/>
  <c r="O15" i="39"/>
  <c r="N15" i="39"/>
  <c r="P14" i="39"/>
  <c r="O14" i="39"/>
  <c r="N14" i="39"/>
  <c r="P13" i="39"/>
  <c r="O13" i="39"/>
  <c r="N13" i="39"/>
  <c r="G25" i="1"/>
  <c r="E25" i="1"/>
  <c r="I19" i="1"/>
  <c r="L19" i="1" s="1"/>
  <c r="I14" i="1"/>
  <c r="G14" i="1"/>
  <c r="G37" i="4"/>
  <c r="E37" i="4"/>
  <c r="P17" i="4"/>
  <c r="O31" i="38"/>
  <c r="C30" i="38"/>
  <c r="C29" i="38" s="1"/>
  <c r="C27" i="38"/>
  <c r="C25" i="38"/>
  <c r="C23" i="38"/>
  <c r="N22" i="38"/>
  <c r="O19" i="38"/>
  <c r="N19" i="38"/>
  <c r="H17" i="4"/>
  <c r="R17" i="4" s="1"/>
  <c r="F17" i="4"/>
  <c r="G26" i="4"/>
  <c r="G30" i="4"/>
  <c r="V33" i="38"/>
  <c r="V32" i="38"/>
  <c r="V30" i="38"/>
  <c r="V31" i="38" s="1"/>
  <c r="V29" i="38"/>
  <c r="I3" i="38" s="1"/>
  <c r="L31" i="38"/>
  <c r="G31" i="38"/>
  <c r="L30" i="38"/>
  <c r="G30" i="38"/>
  <c r="L29" i="38"/>
  <c r="G29" i="38"/>
  <c r="L28" i="38"/>
  <c r="G28" i="38"/>
  <c r="L27" i="38"/>
  <c r="G27" i="38"/>
  <c r="O26" i="38" s="1"/>
  <c r="L26" i="38"/>
  <c r="G26" i="38"/>
  <c r="L25" i="38"/>
  <c r="G25" i="38"/>
  <c r="L24" i="38"/>
  <c r="G24" i="38"/>
  <c r="L23" i="38"/>
  <c r="G23" i="38"/>
  <c r="N23" i="38" s="1"/>
  <c r="G22" i="38"/>
  <c r="P19" i="38"/>
  <c r="P18" i="38"/>
  <c r="O18" i="38"/>
  <c r="N18" i="38"/>
  <c r="P17" i="38"/>
  <c r="O17" i="38"/>
  <c r="N17" i="38"/>
  <c r="P16" i="38"/>
  <c r="O16" i="38"/>
  <c r="N16" i="38"/>
  <c r="P15" i="38"/>
  <c r="O15" i="38"/>
  <c r="N15" i="38"/>
  <c r="P14" i="38"/>
  <c r="O14" i="38"/>
  <c r="N14" i="38"/>
  <c r="P13" i="38"/>
  <c r="O13" i="38"/>
  <c r="N13" i="38"/>
  <c r="G30" i="3"/>
  <c r="E30" i="3"/>
  <c r="P14" i="3"/>
  <c r="R14" i="3"/>
  <c r="F14" i="3"/>
  <c r="G14" i="3" s="1"/>
  <c r="L14" i="3" s="1"/>
  <c r="N13" i="37"/>
  <c r="M41" i="37"/>
  <c r="M42" i="37"/>
  <c r="M43" i="37" s="1"/>
  <c r="L21" i="3"/>
  <c r="F25" i="3"/>
  <c r="N16" i="37"/>
  <c r="G21" i="3"/>
  <c r="M45" i="37"/>
  <c r="M44" i="37"/>
  <c r="G39" i="37"/>
  <c r="E39" i="37"/>
  <c r="G38" i="37"/>
  <c r="F38" i="37"/>
  <c r="E38" i="37"/>
  <c r="G37" i="37"/>
  <c r="F37" i="37"/>
  <c r="E37" i="37"/>
  <c r="G36" i="37"/>
  <c r="F36" i="37"/>
  <c r="E36" i="37"/>
  <c r="G35" i="37"/>
  <c r="F35" i="37"/>
  <c r="E35" i="37"/>
  <c r="G34" i="37"/>
  <c r="F34" i="37"/>
  <c r="E34" i="37"/>
  <c r="G33" i="37"/>
  <c r="F33" i="37"/>
  <c r="E33" i="37"/>
  <c r="G32" i="37"/>
  <c r="F32" i="37"/>
  <c r="E32" i="37"/>
  <c r="G31" i="37"/>
  <c r="F31" i="37"/>
  <c r="E31" i="37"/>
  <c r="G30" i="37"/>
  <c r="F30" i="37"/>
  <c r="E30" i="37"/>
  <c r="G29" i="37"/>
  <c r="F29" i="37"/>
  <c r="E29" i="37"/>
  <c r="G28" i="37"/>
  <c r="F28" i="37"/>
  <c r="E28" i="37"/>
  <c r="G27" i="37"/>
  <c r="F27" i="37"/>
  <c r="E27" i="37"/>
  <c r="G26" i="37"/>
  <c r="F26" i="37"/>
  <c r="E26" i="37"/>
  <c r="G25" i="37"/>
  <c r="F25" i="37"/>
  <c r="E25" i="37"/>
  <c r="G24" i="37"/>
  <c r="F24" i="37"/>
  <c r="E24" i="37"/>
  <c r="G23" i="37"/>
  <c r="F23" i="37"/>
  <c r="E23" i="37"/>
  <c r="G22" i="37"/>
  <c r="F22" i="37"/>
  <c r="E22" i="37"/>
  <c r="G21" i="37"/>
  <c r="F21" i="37"/>
  <c r="E21" i="37"/>
  <c r="G20" i="37"/>
  <c r="F20" i="37"/>
  <c r="E20" i="37"/>
  <c r="G19" i="37"/>
  <c r="F19" i="37"/>
  <c r="E19" i="37"/>
  <c r="G18" i="37"/>
  <c r="F18" i="37"/>
  <c r="E18" i="37"/>
  <c r="G17" i="37"/>
  <c r="F17" i="37"/>
  <c r="E17" i="37"/>
  <c r="G16" i="37"/>
  <c r="F16" i="37"/>
  <c r="E16" i="37"/>
  <c r="G15" i="37"/>
  <c r="F15" i="37"/>
  <c r="E15" i="37"/>
  <c r="G14" i="37"/>
  <c r="F14" i="37"/>
  <c r="E14" i="37"/>
  <c r="G13" i="37"/>
  <c r="F13" i="37"/>
  <c r="E13" i="37"/>
  <c r="G24" i="3"/>
  <c r="H17" i="6" l="1"/>
  <c r="L16" i="6"/>
  <c r="H12" i="6"/>
  <c r="L17" i="6"/>
  <c r="L11" i="6"/>
  <c r="L14" i="1"/>
  <c r="Q17" i="38"/>
  <c r="M24" i="38"/>
  <c r="P24" i="38" s="1"/>
  <c r="Q13" i="38"/>
  <c r="R14" i="38" s="1"/>
  <c r="S14" i="38" s="1"/>
  <c r="N27" i="38"/>
  <c r="F7" i="19"/>
  <c r="Q19" i="40"/>
  <c r="Q14" i="40"/>
  <c r="Q17" i="40"/>
  <c r="M29" i="40"/>
  <c r="P29" i="40" s="1"/>
  <c r="Q13" i="40"/>
  <c r="Q15" i="40"/>
  <c r="R17" i="40" s="1"/>
  <c r="S17" i="40" s="1"/>
  <c r="Q18" i="40"/>
  <c r="M31" i="40"/>
  <c r="P31" i="40" s="1"/>
  <c r="O31" i="40"/>
  <c r="N32" i="40"/>
  <c r="C30" i="40"/>
  <c r="O32" i="40"/>
  <c r="N34" i="40"/>
  <c r="N35" i="40"/>
  <c r="N33" i="40"/>
  <c r="M28" i="40"/>
  <c r="P28" i="40" s="1"/>
  <c r="M25" i="40"/>
  <c r="P25" i="40" s="1"/>
  <c r="Q20" i="40"/>
  <c r="N33" i="39"/>
  <c r="M32" i="39"/>
  <c r="P32" i="39" s="1"/>
  <c r="M30" i="39"/>
  <c r="P30" i="39" s="1"/>
  <c r="O30" i="39"/>
  <c r="N29" i="39"/>
  <c r="N28" i="39"/>
  <c r="N26" i="39"/>
  <c r="N25" i="39"/>
  <c r="O21" i="39"/>
  <c r="Q21" i="39" s="1"/>
  <c r="O27" i="39"/>
  <c r="Q19" i="39"/>
  <c r="O29" i="39"/>
  <c r="M33" i="39"/>
  <c r="P33" i="39" s="1"/>
  <c r="M28" i="39"/>
  <c r="P28" i="39" s="1"/>
  <c r="M25" i="39"/>
  <c r="P25" i="39" s="1"/>
  <c r="O31" i="39"/>
  <c r="Q15" i="39"/>
  <c r="N31" i="39"/>
  <c r="N32" i="39"/>
  <c r="Q16" i="39"/>
  <c r="M24" i="39"/>
  <c r="P24" i="39" s="1"/>
  <c r="Q18" i="39"/>
  <c r="N30" i="39"/>
  <c r="M31" i="39"/>
  <c r="P31" i="39" s="1"/>
  <c r="Q14" i="39"/>
  <c r="R14" i="39" s="1"/>
  <c r="S14" i="39" s="1"/>
  <c r="Q17" i="39"/>
  <c r="Q13" i="39"/>
  <c r="H15" i="41"/>
  <c r="I15" i="41" s="1"/>
  <c r="J15" i="41" s="1"/>
  <c r="H25" i="41"/>
  <c r="H20" i="41"/>
  <c r="H26" i="41"/>
  <c r="H21" i="41"/>
  <c r="I23" i="41"/>
  <c r="J23" i="41" s="1"/>
  <c r="I19" i="41"/>
  <c r="J19" i="41" s="1"/>
  <c r="I21" i="41"/>
  <c r="J21" i="41" s="1"/>
  <c r="I17" i="41"/>
  <c r="J17" i="41" s="1"/>
  <c r="I13" i="41"/>
  <c r="J13" i="41" s="1"/>
  <c r="I18" i="41"/>
  <c r="J18" i="41" s="1"/>
  <c r="I14" i="41"/>
  <c r="J14" i="41" s="1"/>
  <c r="R13" i="40"/>
  <c r="S13" i="40" s="1"/>
  <c r="R18" i="40"/>
  <c r="S18" i="40" s="1"/>
  <c r="R14" i="40"/>
  <c r="S14" i="40" s="1"/>
  <c r="R19" i="40"/>
  <c r="S19" i="40" s="1"/>
  <c r="M26" i="40"/>
  <c r="P26" i="40" s="1"/>
  <c r="M34" i="40"/>
  <c r="P34" i="40" s="1"/>
  <c r="M27" i="40"/>
  <c r="P27" i="40" s="1"/>
  <c r="O33" i="40"/>
  <c r="Q33" i="40" s="1"/>
  <c r="M35" i="40"/>
  <c r="P35" i="40" s="1"/>
  <c r="M30" i="40"/>
  <c r="P30" i="40" s="1"/>
  <c r="O34" i="40"/>
  <c r="R13" i="39"/>
  <c r="S13" i="39" s="1"/>
  <c r="O24" i="39"/>
  <c r="M26" i="39"/>
  <c r="P26" i="39" s="1"/>
  <c r="O32" i="39"/>
  <c r="O25" i="39"/>
  <c r="M27" i="39"/>
  <c r="P27" i="39" s="1"/>
  <c r="O26" i="39"/>
  <c r="M29" i="39"/>
  <c r="P29" i="39" s="1"/>
  <c r="O28" i="39"/>
  <c r="O28" i="38"/>
  <c r="N30" i="38"/>
  <c r="O30" i="38"/>
  <c r="N28" i="38"/>
  <c r="N25" i="38"/>
  <c r="N26" i="38"/>
  <c r="M28" i="38"/>
  <c r="P28" i="38" s="1"/>
  <c r="M25" i="38"/>
  <c r="P25" i="38" s="1"/>
  <c r="N24" i="38"/>
  <c r="Q19" i="38"/>
  <c r="O27" i="38"/>
  <c r="N29" i="38"/>
  <c r="Q16" i="38"/>
  <c r="M29" i="38"/>
  <c r="P29" i="38" s="1"/>
  <c r="Q14" i="38"/>
  <c r="M22" i="38"/>
  <c r="P22" i="38" s="1"/>
  <c r="Q15" i="38"/>
  <c r="Q18" i="38"/>
  <c r="M27" i="38"/>
  <c r="P27" i="38" s="1"/>
  <c r="R18" i="38"/>
  <c r="S18" i="38" s="1"/>
  <c r="R13" i="38"/>
  <c r="S13" i="38" s="1"/>
  <c r="M30" i="38"/>
  <c r="P30" i="38" s="1"/>
  <c r="M23" i="38"/>
  <c r="P23" i="38" s="1"/>
  <c r="O29" i="38"/>
  <c r="M31" i="38"/>
  <c r="P31" i="38" s="1"/>
  <c r="O23" i="38"/>
  <c r="N31" i="38"/>
  <c r="O24" i="38"/>
  <c r="M26" i="38"/>
  <c r="P26" i="38" s="1"/>
  <c r="O22" i="38"/>
  <c r="O25" i="38"/>
  <c r="H26" i="37"/>
  <c r="H38" i="37"/>
  <c r="H20" i="37"/>
  <c r="H30" i="37"/>
  <c r="H14" i="37"/>
  <c r="H22" i="37"/>
  <c r="H16" i="37"/>
  <c r="H18" i="37"/>
  <c r="H31" i="37"/>
  <c r="H34" i="37"/>
  <c r="H35" i="37"/>
  <c r="H13" i="37"/>
  <c r="I13" i="37" s="1"/>
  <c r="J13" i="37" s="1"/>
  <c r="H19" i="37"/>
  <c r="H29" i="37"/>
  <c r="H32" i="37"/>
  <c r="H27" i="37"/>
  <c r="H37" i="37"/>
  <c r="H15" i="37"/>
  <c r="H25" i="37"/>
  <c r="H28" i="37"/>
  <c r="H39" i="37"/>
  <c r="H17" i="37"/>
  <c r="H23" i="37"/>
  <c r="H33" i="37"/>
  <c r="H36" i="37"/>
  <c r="H21" i="37"/>
  <c r="H24" i="37"/>
  <c r="R20" i="40" l="1"/>
  <c r="S20" i="40" s="1"/>
  <c r="R15" i="40"/>
  <c r="S15" i="40" s="1"/>
  <c r="R16" i="40"/>
  <c r="S16" i="40" s="1"/>
  <c r="Q32" i="40"/>
  <c r="N31" i="40"/>
  <c r="Q31" i="40" s="1"/>
  <c r="O30" i="40"/>
  <c r="Q35" i="40"/>
  <c r="Q27" i="39"/>
  <c r="Q33" i="39"/>
  <c r="Q30" i="39"/>
  <c r="Q32" i="39"/>
  <c r="Q28" i="39"/>
  <c r="Q31" i="39"/>
  <c r="Q29" i="39"/>
  <c r="Q25" i="39"/>
  <c r="R18" i="39"/>
  <c r="S18" i="39" s="1"/>
  <c r="R21" i="39"/>
  <c r="S21" i="39" s="1"/>
  <c r="R19" i="39"/>
  <c r="S19" i="39" s="1"/>
  <c r="Q24" i="39"/>
  <c r="R17" i="39"/>
  <c r="S17" i="39" s="1"/>
  <c r="R16" i="39"/>
  <c r="S16" i="39" s="1"/>
  <c r="R15" i="39"/>
  <c r="S15" i="39" s="1"/>
  <c r="R20" i="39"/>
  <c r="S20" i="39" s="1"/>
  <c r="I25" i="41"/>
  <c r="J25" i="41" s="1"/>
  <c r="I27" i="41"/>
  <c r="J27" i="41" s="1"/>
  <c r="I22" i="41"/>
  <c r="J22" i="41" s="1"/>
  <c r="I16" i="41"/>
  <c r="J16" i="41" s="1"/>
  <c r="I26" i="41"/>
  <c r="J26" i="41" s="1"/>
  <c r="I20" i="41"/>
  <c r="J20" i="41" s="1"/>
  <c r="I24" i="41"/>
  <c r="J24" i="41" s="1"/>
  <c r="Q34" i="40"/>
  <c r="Q26" i="39"/>
  <c r="Q30" i="38"/>
  <c r="Q28" i="38"/>
  <c r="Q26" i="38"/>
  <c r="Q29" i="38"/>
  <c r="Q25" i="38"/>
  <c r="Q31" i="38"/>
  <c r="Q27" i="38"/>
  <c r="Q24" i="38"/>
  <c r="Q22" i="38"/>
  <c r="Q23" i="38"/>
  <c r="R19" i="38"/>
  <c r="S19" i="38" s="1"/>
  <c r="R15" i="38"/>
  <c r="S15" i="38" s="1"/>
  <c r="R17" i="38"/>
  <c r="S17" i="38" s="1"/>
  <c r="R16" i="38"/>
  <c r="S16" i="38" s="1"/>
  <c r="I25" i="37"/>
  <c r="J25" i="37" s="1"/>
  <c r="I15" i="37"/>
  <c r="J15" i="37" s="1"/>
  <c r="I16" i="37"/>
  <c r="J16" i="37" s="1"/>
  <c r="I14" i="37"/>
  <c r="J14" i="37" s="1"/>
  <c r="I26" i="37"/>
  <c r="J26" i="37" s="1"/>
  <c r="I35" i="37"/>
  <c r="J35" i="37" s="1"/>
  <c r="I39" i="37"/>
  <c r="J39" i="37" s="1"/>
  <c r="I4" i="37" s="1"/>
  <c r="I18" i="37"/>
  <c r="J18" i="37" s="1"/>
  <c r="I29" i="37"/>
  <c r="J29" i="37" s="1"/>
  <c r="I20" i="37"/>
  <c r="J20" i="37" s="1"/>
  <c r="I24" i="37"/>
  <c r="J24" i="37" s="1"/>
  <c r="I22" i="37"/>
  <c r="J22" i="37" s="1"/>
  <c r="I30" i="37"/>
  <c r="J30" i="37" s="1"/>
  <c r="I37" i="37"/>
  <c r="J37" i="37" s="1"/>
  <c r="I28" i="37"/>
  <c r="J28" i="37" s="1"/>
  <c r="I19" i="37"/>
  <c r="J19" i="37" s="1"/>
  <c r="I33" i="37"/>
  <c r="J33" i="37" s="1"/>
  <c r="I34" i="37"/>
  <c r="J34" i="37" s="1"/>
  <c r="I38" i="37"/>
  <c r="J38" i="37" s="1"/>
  <c r="I32" i="37"/>
  <c r="J32" i="37" s="1"/>
  <c r="I23" i="37"/>
  <c r="J23" i="37" s="1"/>
  <c r="I36" i="37"/>
  <c r="J36" i="37" s="1"/>
  <c r="I27" i="37"/>
  <c r="J27" i="37" s="1"/>
  <c r="I17" i="37"/>
  <c r="J17" i="37" s="1"/>
  <c r="I31" i="37"/>
  <c r="J31" i="37" s="1"/>
  <c r="I21" i="37"/>
  <c r="J21" i="37" s="1"/>
  <c r="C28" i="40" l="1"/>
  <c r="O29" i="40"/>
  <c r="N30" i="40"/>
  <c r="Q30" i="40" s="1"/>
  <c r="R30" i="39"/>
  <c r="S30" i="39" s="1"/>
  <c r="R26" i="39"/>
  <c r="S26" i="39" s="1"/>
  <c r="R29" i="39"/>
  <c r="S29" i="39" s="1"/>
  <c r="R32" i="39"/>
  <c r="S32" i="39" s="1"/>
  <c r="R33" i="39"/>
  <c r="S33" i="39" s="1"/>
  <c r="R31" i="39"/>
  <c r="S31" i="39" s="1"/>
  <c r="R28" i="39"/>
  <c r="S28" i="39" s="1"/>
  <c r="R24" i="39"/>
  <c r="S24" i="39" s="1"/>
  <c r="R27" i="39"/>
  <c r="S27" i="39" s="1"/>
  <c r="R25" i="39"/>
  <c r="S25" i="39" s="1"/>
  <c r="R28" i="38"/>
  <c r="S28" i="38" s="1"/>
  <c r="R31" i="38"/>
  <c r="S31" i="38" s="1"/>
  <c r="R22" i="38"/>
  <c r="S22" i="38" s="1"/>
  <c r="R27" i="38"/>
  <c r="S27" i="38" s="1"/>
  <c r="I4" i="38" s="1"/>
  <c r="R30" i="38"/>
  <c r="S30" i="38" s="1"/>
  <c r="R23" i="38"/>
  <c r="S23" i="38" s="1"/>
  <c r="R26" i="38"/>
  <c r="S26" i="38" s="1"/>
  <c r="R25" i="38"/>
  <c r="S25" i="38" s="1"/>
  <c r="R24" i="38"/>
  <c r="S24" i="38" s="1"/>
  <c r="R29" i="38"/>
  <c r="S29" i="38" s="1"/>
  <c r="O28" i="40" l="1"/>
  <c r="N29" i="40"/>
  <c r="Q29" i="40" s="1"/>
  <c r="C26" i="40" l="1"/>
  <c r="O27" i="40"/>
  <c r="N28" i="40"/>
  <c r="Q28" i="40" s="1"/>
  <c r="O26" i="40" l="1"/>
  <c r="N27" i="40"/>
  <c r="Q27" i="40" s="1"/>
  <c r="O22" i="40" l="1"/>
  <c r="O25" i="40"/>
  <c r="N25" i="40"/>
  <c r="N26" i="40"/>
  <c r="Q26" i="40" s="1"/>
  <c r="Q25" i="40" l="1"/>
  <c r="Q21" i="40"/>
  <c r="Q22" i="40"/>
  <c r="R21" i="40" l="1"/>
  <c r="S21" i="40" s="1"/>
  <c r="R22" i="40"/>
  <c r="S22" i="40" s="1"/>
  <c r="R35" i="40"/>
  <c r="S35" i="40" s="1"/>
  <c r="R31" i="40"/>
  <c r="S31" i="40" s="1"/>
  <c r="R29" i="40"/>
  <c r="S29" i="40" s="1"/>
  <c r="R32" i="40"/>
  <c r="S32" i="40" s="1"/>
  <c r="R34" i="40"/>
  <c r="S34" i="40" s="1"/>
  <c r="R28" i="40"/>
  <c r="S28" i="40" s="1"/>
  <c r="R26" i="40"/>
  <c r="S26" i="40" s="1"/>
  <c r="R30" i="40"/>
  <c r="S30" i="40" s="1"/>
  <c r="R25" i="40"/>
  <c r="S25" i="40" s="1"/>
  <c r="R33" i="40"/>
  <c r="S33" i="40" s="1"/>
  <c r="R27" i="40"/>
  <c r="S27" i="40" s="1"/>
  <c r="C8" i="19" l="1"/>
  <c r="C7" i="19"/>
  <c r="C6" i="19"/>
  <c r="C5" i="19"/>
  <c r="C4" i="19"/>
  <c r="C3" i="19"/>
  <c r="D2" i="19"/>
  <c r="C2" i="19"/>
  <c r="P23" i="4"/>
  <c r="Q24" i="4"/>
  <c r="I6" i="19"/>
  <c r="G6" i="19"/>
  <c r="Q10" i="6"/>
  <c r="Q8" i="6"/>
  <c r="I12" i="1"/>
  <c r="F13" i="1"/>
  <c r="G13" i="1" s="1"/>
  <c r="R14" i="1" s="1"/>
  <c r="C30" i="1" s="1"/>
  <c r="G12" i="1"/>
  <c r="F9" i="1"/>
  <c r="E9" i="1"/>
  <c r="F8" i="7"/>
  <c r="F7" i="7"/>
  <c r="Q13" i="3"/>
  <c r="Q20" i="3"/>
  <c r="G13" i="3"/>
  <c r="F10" i="2"/>
  <c r="F10" i="36"/>
  <c r="G10" i="36"/>
  <c r="F9" i="36"/>
  <c r="G8" i="6"/>
  <c r="L8" i="6" s="1"/>
  <c r="S7" i="6"/>
  <c r="F9" i="6"/>
  <c r="G9" i="6" s="1"/>
  <c r="L9" i="6" s="1"/>
  <c r="O24" i="4" l="1"/>
  <c r="H13" i="1"/>
  <c r="H9" i="6"/>
  <c r="G10" i="6"/>
  <c r="L12" i="1"/>
  <c r="L13" i="1" s="1"/>
  <c r="Q13" i="1" s="1"/>
  <c r="P12" i="1"/>
  <c r="G9" i="1"/>
  <c r="J7" i="7"/>
  <c r="F20" i="3"/>
  <c r="F19" i="3"/>
  <c r="F10" i="6" l="1"/>
  <c r="H11" i="6"/>
  <c r="C30" i="6" s="1"/>
  <c r="H6" i="19" s="1"/>
  <c r="C23" i="7"/>
  <c r="L7" i="7"/>
  <c r="O13" i="1"/>
  <c r="I15" i="4" l="1"/>
  <c r="F16" i="4"/>
  <c r="G15" i="4"/>
  <c r="F25" i="4"/>
  <c r="F24" i="4"/>
  <c r="G24" i="4" s="1"/>
  <c r="F9" i="2"/>
  <c r="P8" i="1"/>
  <c r="L15" i="4" l="1"/>
  <c r="P8" i="2"/>
  <c r="L24" i="4"/>
  <c r="G8" i="1" l="1"/>
  <c r="L8" i="1" s="1"/>
  <c r="G8" i="2"/>
  <c r="Q9" i="1" l="1"/>
  <c r="L8" i="2"/>
  <c r="P18" i="3"/>
  <c r="O19" i="3" l="1"/>
  <c r="O9" i="1"/>
  <c r="Q10" i="2"/>
  <c r="G18" i="3"/>
  <c r="L18" i="3" s="1"/>
  <c r="P6" i="36" l="1"/>
  <c r="H7" i="19"/>
  <c r="I8" i="19"/>
  <c r="H8" i="19"/>
  <c r="G8" i="19"/>
  <c r="F8" i="19"/>
  <c r="Q8" i="36"/>
  <c r="F8" i="6"/>
  <c r="P16" i="3"/>
  <c r="L16" i="3"/>
  <c r="Q17" i="3"/>
  <c r="O17" i="3" s="1"/>
  <c r="S22" i="4"/>
  <c r="Q22" i="4"/>
  <c r="G22" i="4"/>
  <c r="P20" i="4"/>
  <c r="F21" i="4"/>
  <c r="F7" i="6"/>
  <c r="F17" i="3"/>
  <c r="G7" i="1"/>
  <c r="R8" i="1" s="1"/>
  <c r="G7" i="2"/>
  <c r="R8" i="2" s="1"/>
  <c r="I2" i="19"/>
  <c r="D8" i="19"/>
  <c r="D6" i="19"/>
  <c r="D5" i="19"/>
  <c r="D4" i="19"/>
  <c r="D3" i="19"/>
  <c r="D7" i="19"/>
  <c r="P13" i="4"/>
  <c r="G14" i="36"/>
  <c r="G13" i="36"/>
  <c r="G11" i="36"/>
  <c r="G7" i="36"/>
  <c r="G8" i="36" s="1"/>
  <c r="G6" i="36"/>
  <c r="O8" i="6"/>
  <c r="G6" i="6"/>
  <c r="L6" i="6" s="1"/>
  <c r="K6" i="1"/>
  <c r="P11" i="3"/>
  <c r="L11" i="3"/>
  <c r="I6" i="1"/>
  <c r="P6" i="1" s="1"/>
  <c r="G6" i="1"/>
  <c r="P6" i="2"/>
  <c r="G6" i="2"/>
  <c r="L6" i="2" s="1"/>
  <c r="P6" i="7"/>
  <c r="G6" i="7"/>
  <c r="L6" i="7" s="1"/>
  <c r="Q6" i="7" s="1"/>
  <c r="G20" i="4"/>
  <c r="L20" i="4" s="1"/>
  <c r="L13" i="36" l="1"/>
  <c r="F8" i="36"/>
  <c r="I9" i="36"/>
  <c r="O22" i="4"/>
  <c r="L6" i="1"/>
  <c r="Q7" i="1" s="1"/>
  <c r="O7" i="1" s="1"/>
  <c r="Q12" i="3"/>
  <c r="O12" i="3" s="1"/>
  <c r="F22" i="4"/>
  <c r="H24" i="4"/>
  <c r="Q7" i="2"/>
  <c r="G13" i="4" l="1"/>
  <c r="L13" i="4" s="1"/>
  <c r="R13" i="4" s="1"/>
  <c r="G16" i="3"/>
  <c r="F11" i="4"/>
  <c r="F10" i="4"/>
  <c r="P9" i="4"/>
  <c r="G9" i="3"/>
  <c r="H13" i="4" l="1"/>
  <c r="S9" i="3"/>
  <c r="F10" i="3"/>
  <c r="G10" i="3" s="1"/>
  <c r="R11" i="3" s="1"/>
  <c r="Q10" i="3" l="1"/>
  <c r="O10" i="3" s="1"/>
  <c r="S10" i="4" l="1"/>
  <c r="Q11" i="4"/>
  <c r="O10" i="4" l="1"/>
  <c r="F5" i="19" l="1"/>
  <c r="I3" i="19" l="1"/>
  <c r="I7" i="19" l="1"/>
  <c r="I4" i="19" l="1"/>
  <c r="I5" i="19"/>
  <c r="G7" i="19"/>
  <c r="H5" i="19" l="1"/>
  <c r="G5" i="19" l="1"/>
  <c r="G3" i="19" l="1"/>
  <c r="H4" i="19"/>
  <c r="H2" i="19"/>
  <c r="G2" i="19" l="1"/>
  <c r="G4" i="19"/>
  <c r="F4" i="19" l="1"/>
  <c r="F2" i="19" l="1"/>
  <c r="F3" i="19" l="1"/>
  <c r="H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cmcneil</author>
    <author>tc={FA3C1CA9-52F3-4E20-9716-62B95AFE8BFB}</author>
    <author>tc={A541F1BA-F187-4CA8-ACF8-76C73BF712CF}</author>
  </authors>
  <commentList>
    <comment ref="A4" authorId="0" shapeId="0" xr:uid="{00000000-0006-0000-0100-000001000000}">
      <text>
        <r>
          <rPr>
            <b/>
            <sz val="9"/>
            <color indexed="81"/>
            <rFont val="Tahoma"/>
            <family val="2"/>
          </rPr>
          <t>cmcneil:</t>
        </r>
        <r>
          <rPr>
            <sz val="9"/>
            <color indexed="81"/>
            <rFont val="Tahoma"/>
            <family val="2"/>
          </rPr>
          <t xml:space="preserve">
Date of site visit</t>
        </r>
      </text>
    </comment>
    <comment ref="B4" authorId="0" shapeId="0" xr:uid="{00000000-0006-0000-01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100-000003000000}">
      <text>
        <r>
          <rPr>
            <b/>
            <sz val="9"/>
            <color indexed="81"/>
            <rFont val="Tahoma"/>
            <family val="2"/>
          </rPr>
          <t>cmcneil:</t>
        </r>
        <r>
          <rPr>
            <sz val="9"/>
            <color indexed="81"/>
            <rFont val="Tahoma"/>
            <family val="2"/>
          </rPr>
          <t xml:space="preserve">
Name of the stake, eg. 17AU</t>
        </r>
      </text>
    </comment>
    <comment ref="D4" authorId="0" shapeId="0" xr:uid="{00000000-0006-0000-01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100-000005000000}">
      <text>
        <r>
          <rPr>
            <b/>
            <sz val="9"/>
            <color indexed="81"/>
            <rFont val="Tahoma"/>
            <family val="2"/>
          </rPr>
          <t>cmcneil:</t>
        </r>
        <r>
          <rPr>
            <sz val="9"/>
            <color indexed="81"/>
            <rFont val="Tahoma"/>
            <family val="2"/>
          </rPr>
          <t xml:space="preserve">
Total length of stake</t>
        </r>
      </text>
    </comment>
    <comment ref="F4" authorId="0" shapeId="0" xr:uid="{00000000-0006-0000-01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1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1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1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1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1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1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1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1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1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1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1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1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1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1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1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1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1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R11" authorId="1" shapeId="0" xr:uid="{FA3C1CA9-52F3-4E20-9716-62B95AFE8BFB}">
      <text>
        <t xml:space="preserve">[Threaded comment]
Your version of Excel allows you to read this threaded comment; however, any edits to it will get removed if the file is opened in a newer version of Excel. Learn more: https://go.microsoft.com/fwlink/?linkid=870924
Comment:
    CHOICE not to use this stake-calculated winter ablation. The stake was leaning, indicating it possible could have some float. </t>
      </text>
    </comment>
    <comment ref="C24" authorId="2" shapeId="0" xr:uid="{A541F1BA-F187-4CA8-ACF8-76C73BF712CF}">
      <text>
        <t>[Threaded comment]
Your version of Excel allows you to read this threaded comment; however, any edits to it will get removed if the file is opened in a newer version of Excel. Learn more: https://go.microsoft.com/fwlink/?linkid=870924
Comment:
    Significant stake lean in Spring 2024; better to have NAN winter ablation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7C863EF5-2885-4BE0-A663-24A4439576C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C7525D4D-ED1D-4B1D-AF0A-5191A764C3A9}">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2B4FAC9F-9957-4172-AAFA-CA29C5A1E8A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ABAE34D8-F892-4CF7-8C9F-C80297AB25A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6B3AEEBF-998E-4BAD-973B-E394CD31310B}">
      <text>
        <r>
          <rPr>
            <sz val="8"/>
            <color indexed="81"/>
            <rFont val="Tahoma"/>
            <family val="2"/>
          </rPr>
          <t xml:space="preserve">Sipre coring auger=45.6cm2 
large tube 41.05 cm2       
small tube 25.6   cm2          
Snow Metrics 1000 cm^3
</t>
        </r>
      </text>
    </comment>
    <comment ref="D9" authorId="0" shapeId="0" xr:uid="{156A8CC9-83C3-425F-85AF-08F9DA0C979C}">
      <text>
        <r>
          <rPr>
            <b/>
            <sz val="9"/>
            <color indexed="81"/>
            <rFont val="Tahoma"/>
            <family val="2"/>
          </rPr>
          <t>cmcneil:</t>
        </r>
        <r>
          <rPr>
            <sz val="9"/>
            <color indexed="81"/>
            <rFont val="Tahoma"/>
            <family val="2"/>
          </rPr>
          <t xml:space="preserve">
Measurements of core lengths.</t>
        </r>
      </text>
    </comment>
    <comment ref="H9" authorId="0" shapeId="0" xr:uid="{7B51C86C-E638-4762-9152-D662FB505E69}">
      <text>
        <r>
          <rPr>
            <b/>
            <sz val="9"/>
            <color indexed="81"/>
            <rFont val="Tahoma"/>
            <family val="2"/>
          </rPr>
          <t>cmcneil:</t>
        </r>
        <r>
          <rPr>
            <sz val="9"/>
            <color indexed="81"/>
            <rFont val="Tahoma"/>
            <family val="2"/>
          </rPr>
          <t xml:space="preserve">
Measurements of core diameter</t>
        </r>
      </text>
    </comment>
    <comment ref="A10" authorId="0" shapeId="0" xr:uid="{DB55417F-7D07-4B3D-AA0B-BD0E69C90463}">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F07036EA-B3EB-42EF-B8E0-B279F579A23F}">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FBD7A349-8A34-47A4-B92F-6381F3F5999F}">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C900F31B-6F76-428B-B6A0-E39E545DD3FF}">
      <text>
        <r>
          <rPr>
            <b/>
            <sz val="9"/>
            <color indexed="81"/>
            <rFont val="Tahoma"/>
            <family val="2"/>
          </rPr>
          <t>cmcneil:</t>
        </r>
        <r>
          <rPr>
            <sz val="9"/>
            <color indexed="81"/>
            <rFont val="Tahoma"/>
            <family val="2"/>
          </rPr>
          <t xml:space="preserve">
Average of all measured lengths of core section</t>
        </r>
      </text>
    </comment>
    <comment ref="L10" authorId="0" shapeId="0" xr:uid="{4FB0ED83-59C3-4906-9C77-036C028ECF39}">
      <text>
        <r>
          <rPr>
            <b/>
            <sz val="9"/>
            <color indexed="81"/>
            <rFont val="Tahoma"/>
            <family val="2"/>
          </rPr>
          <t>cmcneil:</t>
        </r>
        <r>
          <rPr>
            <sz val="9"/>
            <color indexed="81"/>
            <rFont val="Tahoma"/>
            <family val="2"/>
          </rPr>
          <t xml:space="preserve">
Average of all diameters measured for each core section</t>
        </r>
      </text>
    </comment>
    <comment ref="M10" authorId="0" shapeId="0" xr:uid="{632D08D9-AE7B-4418-818E-54FBA23BF71C}">
      <text>
        <r>
          <rPr>
            <b/>
            <sz val="9"/>
            <color indexed="81"/>
            <rFont val="Tahoma"/>
            <family val="2"/>
          </rPr>
          <t>cmcneil:</t>
        </r>
        <r>
          <rPr>
            <sz val="9"/>
            <color indexed="81"/>
            <rFont val="Tahoma"/>
            <family val="2"/>
          </rPr>
          <t xml:space="preserve">
Volume of sample taken</t>
        </r>
      </text>
    </comment>
    <comment ref="N10" authorId="0" shapeId="0" xr:uid="{D0A2F17A-704B-412D-A53E-91254378FC1F}">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9CB98898-4271-4B93-9078-6C957A397A6C}">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0ED7CE5D-47CE-4203-83F5-67C71D94F3E2}">
      <text>
        <r>
          <rPr>
            <b/>
            <sz val="9"/>
            <color indexed="81"/>
            <rFont val="Tahoma"/>
            <family val="2"/>
          </rPr>
          <t>cmcneil:</t>
        </r>
        <r>
          <rPr>
            <sz val="9"/>
            <color indexed="81"/>
            <rFont val="Tahoma"/>
            <family val="2"/>
          </rPr>
          <t xml:space="preserve">
Density of sample. Calculated from the mass/volume</t>
        </r>
      </text>
    </comment>
    <comment ref="Q10" authorId="0" shapeId="0" xr:uid="{3C2BB018-5E64-4AB5-9EEA-17390EF39036}">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331120B6-EFEC-428B-A096-116EF4079A86}">
      <text>
        <r>
          <rPr>
            <b/>
            <sz val="9"/>
            <color indexed="81"/>
            <rFont val="Tahoma"/>
            <family val="2"/>
          </rPr>
          <t>cmcneil:</t>
        </r>
        <r>
          <rPr>
            <sz val="9"/>
            <color indexed="81"/>
            <rFont val="Tahoma"/>
            <family val="2"/>
          </rPr>
          <t xml:space="preserve">
Cummulative s.w.e. of from surface to the depth of each sample</t>
        </r>
      </text>
    </comment>
    <comment ref="S10" authorId="0" shapeId="0" xr:uid="{0A0D0EE7-0497-4796-97F7-386F06EBC46D}">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A9143841-7C38-4154-A46D-C1154853FAE4}">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D4557619-2BDF-4D34-BD37-3B721417111A}">
      <text>
        <r>
          <rPr>
            <b/>
            <sz val="9"/>
            <color indexed="81"/>
            <rFont val="Tahoma"/>
            <family val="2"/>
          </rPr>
          <t>cmcneil:</t>
        </r>
        <r>
          <rPr>
            <sz val="9"/>
            <color indexed="81"/>
            <rFont val="Tahoma"/>
            <family val="2"/>
          </rPr>
          <t xml:space="preserve">
What was used to measure snow depth</t>
        </r>
      </text>
    </comment>
    <comment ref="V10" authorId="0" shapeId="0" xr:uid="{F2F1F453-00FA-47F4-B03E-F01FBB0C835A}">
      <text>
        <r>
          <rPr>
            <b/>
            <sz val="9"/>
            <color indexed="81"/>
            <rFont val="Tahoma"/>
            <family val="2"/>
          </rPr>
          <t>cmcneil:</t>
        </r>
        <r>
          <rPr>
            <sz val="9"/>
            <color indexed="81"/>
            <rFont val="Tahoma"/>
            <family val="2"/>
          </rPr>
          <t xml:space="preserve">
snow depth observed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tc={F188812B-1C16-448D-922B-D8EE027C3177}</author>
  </authors>
  <commentList>
    <comment ref="H1" authorId="0" shapeId="0" xr:uid="{4C2C605B-8F44-4B0C-A202-C6CB6F19C9D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96432439-65F0-46B9-8E60-B52F5BBF3D7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CF0C8F82-2DA5-4764-9C49-EE0760DEEDEE}">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37F3E45E-5D9A-479F-8F10-4C582FA5F503}">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7373AFA9-D728-4071-9E3C-9B60E9221C81}">
      <text>
        <r>
          <rPr>
            <sz val="8"/>
            <color indexed="81"/>
            <rFont val="Tahoma"/>
            <family val="2"/>
          </rPr>
          <t xml:space="preserve">Sipre coring auger=45.6cm2 
large tube 41.05 cm2       
small tube 25.6   cm2          
Snow Metrics 1000 cm^3
</t>
        </r>
      </text>
    </comment>
    <comment ref="D9" authorId="0" shapeId="0" xr:uid="{24422A0F-5671-4C20-8048-75C0D1EB4C40}">
      <text>
        <r>
          <rPr>
            <b/>
            <sz val="9"/>
            <color indexed="81"/>
            <rFont val="Tahoma"/>
            <family val="2"/>
          </rPr>
          <t>cmcneil:</t>
        </r>
        <r>
          <rPr>
            <sz val="9"/>
            <color indexed="81"/>
            <rFont val="Tahoma"/>
            <family val="2"/>
          </rPr>
          <t xml:space="preserve">
Measurements of core lengths.</t>
        </r>
      </text>
    </comment>
    <comment ref="H9" authorId="0" shapeId="0" xr:uid="{3A002F47-C125-4EAE-9F51-C3A0FD2C6C93}">
      <text>
        <r>
          <rPr>
            <b/>
            <sz val="9"/>
            <color indexed="81"/>
            <rFont val="Tahoma"/>
            <family val="2"/>
          </rPr>
          <t>cmcneil:</t>
        </r>
        <r>
          <rPr>
            <sz val="9"/>
            <color indexed="81"/>
            <rFont val="Tahoma"/>
            <family val="2"/>
          </rPr>
          <t xml:space="preserve">
Measurements of core diameter</t>
        </r>
      </text>
    </comment>
    <comment ref="A10" authorId="0" shapeId="0" xr:uid="{3D5F22FC-B9A3-4BFD-97F3-90BD3BD8C5E1}">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27099F32-09FA-451F-9B82-04144C69740B}">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1A54129-C1A0-4064-AF0C-B2464A86E314}">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D85248D2-2DD0-413F-9C73-0B080F78287B}">
      <text>
        <r>
          <rPr>
            <b/>
            <sz val="9"/>
            <color indexed="81"/>
            <rFont val="Tahoma"/>
            <family val="2"/>
          </rPr>
          <t>cmcneil:</t>
        </r>
        <r>
          <rPr>
            <sz val="9"/>
            <color indexed="81"/>
            <rFont val="Tahoma"/>
            <family val="2"/>
          </rPr>
          <t xml:space="preserve">
Average of all measured lengths of core section</t>
        </r>
      </text>
    </comment>
    <comment ref="L10" authorId="0" shapeId="0" xr:uid="{0E17FC5D-D2ED-446E-9066-B829CD5D9EB6}">
      <text>
        <r>
          <rPr>
            <b/>
            <sz val="9"/>
            <color indexed="81"/>
            <rFont val="Tahoma"/>
            <family val="2"/>
          </rPr>
          <t>cmcneil:</t>
        </r>
        <r>
          <rPr>
            <sz val="9"/>
            <color indexed="81"/>
            <rFont val="Tahoma"/>
            <family val="2"/>
          </rPr>
          <t xml:space="preserve">
Average of all diameters measured for each core section</t>
        </r>
      </text>
    </comment>
    <comment ref="M10" authorId="0" shapeId="0" xr:uid="{8C71ABCD-22D8-494E-9547-0C71268DDBFB}">
      <text>
        <r>
          <rPr>
            <b/>
            <sz val="9"/>
            <color indexed="81"/>
            <rFont val="Tahoma"/>
            <family val="2"/>
          </rPr>
          <t>cmcneil:</t>
        </r>
        <r>
          <rPr>
            <sz val="9"/>
            <color indexed="81"/>
            <rFont val="Tahoma"/>
            <family val="2"/>
          </rPr>
          <t xml:space="preserve">
Volume of sample taken</t>
        </r>
      </text>
    </comment>
    <comment ref="N10" authorId="0" shapeId="0" xr:uid="{96BE4657-57CB-4A07-B000-585EA2F090D7}">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D171855C-6703-409B-9592-FDC40A693C73}">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FFEFFE14-D81F-4D86-BC14-EC52ACDCD793}">
      <text>
        <r>
          <rPr>
            <b/>
            <sz val="9"/>
            <color indexed="81"/>
            <rFont val="Tahoma"/>
            <family val="2"/>
          </rPr>
          <t>cmcneil:</t>
        </r>
        <r>
          <rPr>
            <sz val="9"/>
            <color indexed="81"/>
            <rFont val="Tahoma"/>
            <family val="2"/>
          </rPr>
          <t xml:space="preserve">
Density of sample. Calculated from the mass/volume</t>
        </r>
      </text>
    </comment>
    <comment ref="Q10" authorId="0" shapeId="0" xr:uid="{8E7BA2CE-DBAE-49C1-89C1-0921346EE4D9}">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03F1CE9E-592C-4542-9F3C-A6EA93C7F916}">
      <text>
        <r>
          <rPr>
            <b/>
            <sz val="9"/>
            <color indexed="81"/>
            <rFont val="Tahoma"/>
            <family val="2"/>
          </rPr>
          <t>cmcneil:</t>
        </r>
        <r>
          <rPr>
            <sz val="9"/>
            <color indexed="81"/>
            <rFont val="Tahoma"/>
            <family val="2"/>
          </rPr>
          <t xml:space="preserve">
Cummulative s.w.e. of from surface to the depth of each sample</t>
        </r>
      </text>
    </comment>
    <comment ref="S10" authorId="0" shapeId="0" xr:uid="{D935E8A8-2DB8-48BB-B0A6-EA4CBFA73D84}">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F72CE542-AFAB-4980-952C-1C83847117D5}">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8BD1A7B7-B86C-48E1-AA77-704E2C5C5E5C}">
      <text>
        <r>
          <rPr>
            <b/>
            <sz val="9"/>
            <color indexed="81"/>
            <rFont val="Tahoma"/>
            <family val="2"/>
          </rPr>
          <t>cmcneil:</t>
        </r>
        <r>
          <rPr>
            <sz val="9"/>
            <color indexed="81"/>
            <rFont val="Tahoma"/>
            <family val="2"/>
          </rPr>
          <t xml:space="preserve">
What was used to measure snow depth</t>
        </r>
      </text>
    </comment>
    <comment ref="V10" authorId="0" shapeId="0" xr:uid="{AD408D93-E897-4EBB-AC21-C81F3AE8385D}">
      <text>
        <r>
          <rPr>
            <b/>
            <sz val="9"/>
            <color indexed="81"/>
            <rFont val="Tahoma"/>
            <family val="2"/>
          </rPr>
          <t>cmcneil:</t>
        </r>
        <r>
          <rPr>
            <sz val="9"/>
            <color indexed="81"/>
            <rFont val="Tahoma"/>
            <family val="2"/>
          </rPr>
          <t xml:space="preserve">
snow depth observed</t>
        </r>
      </text>
    </comment>
    <comment ref="C33" authorId="2" shapeId="0" xr:uid="{F188812B-1C16-448D-922B-D8EE027C3177}">
      <text>
        <t>[Threaded comment]
Your version of Excel allows you to read this threaded comment; however, any edits to it will get removed if the file is opened in a newer version of Excel. Learn more: https://go.microsoft.com/fwlink/?linkid=870924
Comment:
    This was entered in the notes as 438, Tape is confusing because it has 20 cm cut off. Suspect it is actually 458, and 20 cm was subtracted twice
Reply:
    Agreed - based on the 80cm of core measured, that interpretation must be correct. Easy mistake to make in field, where tape measurer was missing first 20 cm (necessitating subtraction for correct SBD measurements).</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1292385-D0E6-44E7-A90A-09DAFFBAFF6F}">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CE3692B0-87B7-4309-9674-752B2C2FDC45}">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E848B8B7-CD14-4743-9D19-CF9FDE5D3657}">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40C47A1A-2583-410F-840B-4350D5E3582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131415F0-5701-4438-A792-E80B342F2BE8}">
      <text>
        <r>
          <rPr>
            <sz val="8"/>
            <color indexed="81"/>
            <rFont val="Tahoma"/>
            <family val="2"/>
          </rPr>
          <t xml:space="preserve">Sipre coring auger=45.6cm2 
large tube 41.05 cm2       
small tube 25.6   cm2          
Snow Metrics 1000 cm^3
</t>
        </r>
      </text>
    </comment>
    <comment ref="D9" authorId="0" shapeId="0" xr:uid="{8563444D-F286-4263-ABE1-49FDD290E046}">
      <text>
        <r>
          <rPr>
            <b/>
            <sz val="9"/>
            <color indexed="81"/>
            <rFont val="Tahoma"/>
            <family val="2"/>
          </rPr>
          <t>cmcneil:</t>
        </r>
        <r>
          <rPr>
            <sz val="9"/>
            <color indexed="81"/>
            <rFont val="Tahoma"/>
            <family val="2"/>
          </rPr>
          <t xml:space="preserve">
Measurements of core lengths.</t>
        </r>
      </text>
    </comment>
    <comment ref="H9" authorId="0" shapeId="0" xr:uid="{750B4EBB-D240-4090-A5BA-4B9340AF2A0C}">
      <text>
        <r>
          <rPr>
            <b/>
            <sz val="9"/>
            <color indexed="81"/>
            <rFont val="Tahoma"/>
            <family val="2"/>
          </rPr>
          <t>cmcneil:</t>
        </r>
        <r>
          <rPr>
            <sz val="9"/>
            <color indexed="81"/>
            <rFont val="Tahoma"/>
            <family val="2"/>
          </rPr>
          <t xml:space="preserve">
Measurements of core diameter</t>
        </r>
      </text>
    </comment>
    <comment ref="A10" authorId="0" shapeId="0" xr:uid="{E4B10239-39F2-4795-B493-8D5385BF34E6}">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CE2EE857-FFAC-409A-8F55-BCC7E9A8606E}">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61286049-A14E-4D01-9F48-A988AEF4318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0A3DE486-CDC9-4CBE-972B-2A100C4085AE}">
      <text>
        <r>
          <rPr>
            <b/>
            <sz val="9"/>
            <color indexed="81"/>
            <rFont val="Tahoma"/>
            <family val="2"/>
          </rPr>
          <t>cmcneil:</t>
        </r>
        <r>
          <rPr>
            <sz val="9"/>
            <color indexed="81"/>
            <rFont val="Tahoma"/>
            <family val="2"/>
          </rPr>
          <t xml:space="preserve">
Average of all measured lengths of core section</t>
        </r>
      </text>
    </comment>
    <comment ref="L10" authorId="0" shapeId="0" xr:uid="{9E099BFC-7BD2-4F4D-9477-2EFA6EC1D7EA}">
      <text>
        <r>
          <rPr>
            <b/>
            <sz val="9"/>
            <color indexed="81"/>
            <rFont val="Tahoma"/>
            <family val="2"/>
          </rPr>
          <t>cmcneil:</t>
        </r>
        <r>
          <rPr>
            <sz val="9"/>
            <color indexed="81"/>
            <rFont val="Tahoma"/>
            <family val="2"/>
          </rPr>
          <t xml:space="preserve">
Average of all diameters measured for each core section</t>
        </r>
      </text>
    </comment>
    <comment ref="M10" authorId="0" shapeId="0" xr:uid="{9E888DC3-3EC5-4DA6-8E23-C6C598A458B8}">
      <text>
        <r>
          <rPr>
            <b/>
            <sz val="9"/>
            <color indexed="81"/>
            <rFont val="Tahoma"/>
            <family val="2"/>
          </rPr>
          <t>cmcneil:</t>
        </r>
        <r>
          <rPr>
            <sz val="9"/>
            <color indexed="81"/>
            <rFont val="Tahoma"/>
            <family val="2"/>
          </rPr>
          <t xml:space="preserve">
Volume of sample taken</t>
        </r>
      </text>
    </comment>
    <comment ref="N10" authorId="0" shapeId="0" xr:uid="{FC25C949-0886-45B0-8274-F08A8CE8DE21}">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2F1127B5-07F7-4919-9AEB-1F9CC97978CC}">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3188E6FF-95E2-4A9D-A77B-9C632D13D2C4}">
      <text>
        <r>
          <rPr>
            <b/>
            <sz val="9"/>
            <color indexed="81"/>
            <rFont val="Tahoma"/>
            <family val="2"/>
          </rPr>
          <t>cmcneil:</t>
        </r>
        <r>
          <rPr>
            <sz val="9"/>
            <color indexed="81"/>
            <rFont val="Tahoma"/>
            <family val="2"/>
          </rPr>
          <t xml:space="preserve">
Density of sample. Calculated from the mass/volume</t>
        </r>
      </text>
    </comment>
    <comment ref="Q10" authorId="0" shapeId="0" xr:uid="{C29134F2-B7D9-43F0-B14A-F6A96BE7CCF3}">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85039C1E-C93D-4975-9F8D-0304518FC36F}">
      <text>
        <r>
          <rPr>
            <b/>
            <sz val="9"/>
            <color indexed="81"/>
            <rFont val="Tahoma"/>
            <family val="2"/>
          </rPr>
          <t>cmcneil:</t>
        </r>
        <r>
          <rPr>
            <sz val="9"/>
            <color indexed="81"/>
            <rFont val="Tahoma"/>
            <family val="2"/>
          </rPr>
          <t xml:space="preserve">
Cummulative s.w.e. of from surface to the depth of each sample</t>
        </r>
      </text>
    </comment>
    <comment ref="S10" authorId="0" shapeId="0" xr:uid="{3B82C9A1-9A07-4062-A2ED-54729A8B2802}">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057CA911-BF37-4E68-85B4-286D791AF250}">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4BA84443-14A9-49FA-B6F9-57167D148DF6}">
      <text>
        <r>
          <rPr>
            <b/>
            <sz val="9"/>
            <color indexed="81"/>
            <rFont val="Tahoma"/>
            <family val="2"/>
          </rPr>
          <t>cmcneil:</t>
        </r>
        <r>
          <rPr>
            <sz val="9"/>
            <color indexed="81"/>
            <rFont val="Tahoma"/>
            <family val="2"/>
          </rPr>
          <t xml:space="preserve">
What was used to measure snow depth</t>
        </r>
      </text>
    </comment>
    <comment ref="V10" authorId="0" shapeId="0" xr:uid="{FBB9B272-B078-4C22-9EE0-C594681F3B3D}">
      <text>
        <r>
          <rPr>
            <b/>
            <sz val="9"/>
            <color indexed="81"/>
            <rFont val="Tahoma"/>
            <family val="2"/>
          </rPr>
          <t>cmcneil:</t>
        </r>
        <r>
          <rPr>
            <sz val="9"/>
            <color indexed="81"/>
            <rFont val="Tahoma"/>
            <family val="2"/>
          </rPr>
          <t xml:space="preserve">
snow depth observed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5D842801-6488-489B-8AF0-4C822B067D0C}">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9ED8CAA0-C0E1-4086-8A99-0C85A1E3F5E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ED382E09-DD60-4FF6-9431-5D0C6FE1A73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7936B2B8-6987-45A6-A8E3-8A95AF6299FB}">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B80B9700-E7FD-48B0-A776-81E678581E2B}">
      <text>
        <r>
          <rPr>
            <sz val="8"/>
            <color indexed="81"/>
            <rFont val="Tahoma"/>
            <family val="2"/>
          </rPr>
          <t xml:space="preserve">Sipre coring auger=45.6cm2 
large tube 41.05 cm2       
small tube 25.6   cm2          
Snow Metrics 1000 cm^3
</t>
        </r>
      </text>
    </comment>
    <comment ref="A10" authorId="0" shapeId="0" xr:uid="{18796135-950E-4D96-B06A-CDEF9285FD65}">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DDAA2454-1C31-440A-ADB0-60C8B9355F1A}">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B4730A79-72E2-4B1D-B189-168FFDE1D95B}">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85C1E4BF-EE8F-4C03-8D19-690D6844616F}">
      <text>
        <r>
          <rPr>
            <b/>
            <sz val="9"/>
            <color indexed="81"/>
            <rFont val="Tahoma"/>
            <family val="2"/>
          </rPr>
          <t>cmcneil:</t>
        </r>
        <r>
          <rPr>
            <sz val="9"/>
            <color indexed="81"/>
            <rFont val="Tahoma"/>
            <family val="2"/>
          </rPr>
          <t xml:space="preserve">
Volume of sample taken</t>
        </r>
      </text>
    </comment>
    <comment ref="E10" authorId="0" shapeId="0" xr:uid="{0BCE5F78-809D-4EBB-B847-ADC3F3884F9A}">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FAEB181A-5BD3-4741-AECC-4C195765E097}">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ACE685DC-3E1D-4866-A861-762890A7B574}">
      <text>
        <r>
          <rPr>
            <b/>
            <sz val="9"/>
            <color indexed="81"/>
            <rFont val="Tahoma"/>
            <family val="2"/>
          </rPr>
          <t>cmcneil:</t>
        </r>
        <r>
          <rPr>
            <sz val="9"/>
            <color indexed="81"/>
            <rFont val="Tahoma"/>
            <family val="2"/>
          </rPr>
          <t xml:space="preserve">
Density of sample. Calculated from the mass/volume</t>
        </r>
      </text>
    </comment>
    <comment ref="H10" authorId="0" shapeId="0" xr:uid="{02C70C92-A493-4A8A-B6BE-1ACFB94FF213}">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2FE32EE1-34FF-43D4-8129-85A41C00F5FA}">
      <text>
        <r>
          <rPr>
            <b/>
            <sz val="9"/>
            <color indexed="81"/>
            <rFont val="Tahoma"/>
            <family val="2"/>
          </rPr>
          <t>cmcneil:</t>
        </r>
        <r>
          <rPr>
            <sz val="9"/>
            <color indexed="81"/>
            <rFont val="Tahoma"/>
            <family val="2"/>
          </rPr>
          <t xml:space="preserve">
Cummulative s.w.e. of from surface to the depth of each sample</t>
        </r>
      </text>
    </comment>
    <comment ref="J10" authorId="0" shapeId="0" xr:uid="{AF8616A2-3815-4C78-9FED-366D2ACC039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590FDBDD-1A4A-468A-ACC2-7AAD6D3A9A41}">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3C54CF16-057F-47BD-A309-9337E2F17BFD}">
      <text>
        <r>
          <rPr>
            <b/>
            <sz val="9"/>
            <color indexed="81"/>
            <rFont val="Tahoma"/>
            <family val="2"/>
          </rPr>
          <t>cmcneil:</t>
        </r>
        <r>
          <rPr>
            <sz val="9"/>
            <color indexed="81"/>
            <rFont val="Tahoma"/>
            <family val="2"/>
          </rPr>
          <t xml:space="preserve">
What was used to measure snow depth</t>
        </r>
      </text>
    </comment>
    <comment ref="M10" authorId="0" shapeId="0" xr:uid="{72110088-9DF3-49C1-A058-0B0D8592CD53}">
      <text>
        <r>
          <rPr>
            <b/>
            <sz val="9"/>
            <color indexed="81"/>
            <rFont val="Tahoma"/>
            <family val="2"/>
          </rPr>
          <t>cmcneil:</t>
        </r>
        <r>
          <rPr>
            <sz val="9"/>
            <color indexed="81"/>
            <rFont val="Tahoma"/>
            <family val="2"/>
          </rPr>
          <t xml:space="preserve">
snow depth observed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1EC50D6-763B-4C9D-81FD-C43FFEFCF7E4}">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4E96CA0C-A03A-4514-8460-8F2AA4A6E9E9}">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A7A1E7B5-DC82-45BE-9652-5D1D8EF956AE}">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45B9C76-4337-49CB-B028-74D22A28E006}">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704EFA4F-8061-49B3-8B6A-79737B7C4459}">
      <text>
        <r>
          <rPr>
            <sz val="8"/>
            <color indexed="81"/>
            <rFont val="Tahoma"/>
            <family val="2"/>
          </rPr>
          <t xml:space="preserve">Sipre coring auger=45.6cm2 
large tube 41.05 cm2       
small tube 25.6   cm2          
Snow Metrics 1000 cm^3
</t>
        </r>
      </text>
    </comment>
    <comment ref="A10" authorId="0" shapeId="0" xr:uid="{CD3A949E-1C01-4775-9F2E-EF86DD65E967}">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54971410-F95B-49ED-BA71-5EB74AA03CB5}">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396851B9-17FB-43A8-92AA-1876D42390E7}">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4CA04428-4C0C-4F28-B49C-A76DB0FBF2A0}">
      <text>
        <r>
          <rPr>
            <b/>
            <sz val="9"/>
            <color indexed="81"/>
            <rFont val="Tahoma"/>
            <family val="2"/>
          </rPr>
          <t>cmcneil:</t>
        </r>
        <r>
          <rPr>
            <sz val="9"/>
            <color indexed="81"/>
            <rFont val="Tahoma"/>
            <family val="2"/>
          </rPr>
          <t xml:space="preserve">
Volume of sample taken</t>
        </r>
      </text>
    </comment>
    <comment ref="E10" authorId="0" shapeId="0" xr:uid="{1975A4FE-CB31-46EC-867D-47628D9973CE}">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5F78AFAA-E726-44E9-9C65-9DB24A92F2E3}">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29714954-9B96-408D-8336-5970AE9F377F}">
      <text>
        <r>
          <rPr>
            <b/>
            <sz val="9"/>
            <color indexed="81"/>
            <rFont val="Tahoma"/>
            <family val="2"/>
          </rPr>
          <t>cmcneil:</t>
        </r>
        <r>
          <rPr>
            <sz val="9"/>
            <color indexed="81"/>
            <rFont val="Tahoma"/>
            <family val="2"/>
          </rPr>
          <t xml:space="preserve">
Density of sample. Calculated from the mass/volume</t>
        </r>
      </text>
    </comment>
    <comment ref="H10" authorId="0" shapeId="0" xr:uid="{E7840850-E41D-48B0-A42B-4902E199C267}">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1F96FE5C-7134-498F-BF06-F743F26A2AEA}">
      <text>
        <r>
          <rPr>
            <b/>
            <sz val="9"/>
            <color indexed="81"/>
            <rFont val="Tahoma"/>
            <family val="2"/>
          </rPr>
          <t>cmcneil:</t>
        </r>
        <r>
          <rPr>
            <sz val="9"/>
            <color indexed="81"/>
            <rFont val="Tahoma"/>
            <family val="2"/>
          </rPr>
          <t xml:space="preserve">
Cummulative s.w.e. of from surface to the depth of each sample</t>
        </r>
      </text>
    </comment>
    <comment ref="J10" authorId="0" shapeId="0" xr:uid="{FC3A2256-5A28-4A1D-9E92-166FBFBD9EE3}">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67673687-480A-4520-A623-CC4BBFC68AEC}">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807FF196-FFB6-41C2-B71B-712AF2155180}">
      <text>
        <r>
          <rPr>
            <b/>
            <sz val="9"/>
            <color indexed="81"/>
            <rFont val="Tahoma"/>
            <family val="2"/>
          </rPr>
          <t>cmcneil:</t>
        </r>
        <r>
          <rPr>
            <sz val="9"/>
            <color indexed="81"/>
            <rFont val="Tahoma"/>
            <family val="2"/>
          </rPr>
          <t xml:space="preserve">
What was used to measure snow depth</t>
        </r>
      </text>
    </comment>
    <comment ref="M10" authorId="0" shapeId="0" xr:uid="{97D6A315-03C9-4418-82C1-03308EA9E5AF}">
      <text>
        <r>
          <rPr>
            <b/>
            <sz val="9"/>
            <color indexed="81"/>
            <rFont val="Tahoma"/>
            <family val="2"/>
          </rPr>
          <t>cmcneil:</t>
        </r>
        <r>
          <rPr>
            <sz val="9"/>
            <color indexed="81"/>
            <rFont val="Tahoma"/>
            <family val="2"/>
          </rPr>
          <t xml:space="preserve">
snow depth observed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436277A5-3A0C-49C9-95DF-85DB165C9FB5}">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FCDD38A7-8233-415F-BC86-FA8F59EBDB83}">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F8E87188-357F-4AB6-9515-4E2D02A3205F}">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C7592B8C-F016-4499-AF2B-5F2B3B8DAE3F}">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396424BC-08E9-4C77-8DB1-B3F5AE19C97C}">
      <text>
        <r>
          <rPr>
            <sz val="8"/>
            <color indexed="81"/>
            <rFont val="Tahoma"/>
            <family val="2"/>
          </rPr>
          <t xml:space="preserve">Sipre coring auger=45.6cm2 
large tube 41.05 cm2       
small tube 25.6   cm2          
Snow Metrics 1000 cm^3
</t>
        </r>
      </text>
    </comment>
    <comment ref="A10" authorId="0" shapeId="0" xr:uid="{1A977F9F-073C-4889-94AC-51A45CCE1BCE}">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C28CBF82-217A-48E6-9C72-49C06D795B1D}">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6EE8E9AA-7785-4CD0-AAFA-435D5855E8F6}">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3FDCA221-C133-4A50-B231-E297B555A86C}">
      <text>
        <r>
          <rPr>
            <b/>
            <sz val="9"/>
            <color indexed="81"/>
            <rFont val="Tahoma"/>
            <family val="2"/>
          </rPr>
          <t>cmcneil:</t>
        </r>
        <r>
          <rPr>
            <sz val="9"/>
            <color indexed="81"/>
            <rFont val="Tahoma"/>
            <family val="2"/>
          </rPr>
          <t xml:space="preserve">
Volume of sample taken</t>
        </r>
      </text>
    </comment>
    <comment ref="E10" authorId="0" shapeId="0" xr:uid="{6AD2833F-1905-420F-8AC1-A8F363C026B2}">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614256AA-514D-454E-9F62-D947BB5DFED9}">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9286FCB-E4BC-4D07-BE07-382173B3FD52}">
      <text>
        <r>
          <rPr>
            <b/>
            <sz val="9"/>
            <color indexed="81"/>
            <rFont val="Tahoma"/>
            <family val="2"/>
          </rPr>
          <t>cmcneil:</t>
        </r>
        <r>
          <rPr>
            <sz val="9"/>
            <color indexed="81"/>
            <rFont val="Tahoma"/>
            <family val="2"/>
          </rPr>
          <t xml:space="preserve">
Density of sample. Calculated from the mass/volume</t>
        </r>
      </text>
    </comment>
    <comment ref="H10" authorId="0" shapeId="0" xr:uid="{B072FECE-5E89-4F6E-BF52-CC3B08DED676}">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C5CDAF6C-B26C-4A43-BAB2-99F1D416D858}">
      <text>
        <r>
          <rPr>
            <b/>
            <sz val="9"/>
            <color indexed="81"/>
            <rFont val="Tahoma"/>
            <family val="2"/>
          </rPr>
          <t>cmcneil:</t>
        </r>
        <r>
          <rPr>
            <sz val="9"/>
            <color indexed="81"/>
            <rFont val="Tahoma"/>
            <family val="2"/>
          </rPr>
          <t xml:space="preserve">
Cummulative s.w.e. of from surface to the depth of each sample</t>
        </r>
      </text>
    </comment>
    <comment ref="J10" authorId="0" shapeId="0" xr:uid="{16D434D8-4A15-460F-A466-FD27270D3A47}">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7638E541-D95F-4C46-8C6F-93F0EB10BEFC}">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E1938610-F1DC-41FE-A0A5-30EC14C1DA66}">
      <text>
        <r>
          <rPr>
            <b/>
            <sz val="9"/>
            <color indexed="81"/>
            <rFont val="Tahoma"/>
            <family val="2"/>
          </rPr>
          <t>cmcneil:</t>
        </r>
        <r>
          <rPr>
            <sz val="9"/>
            <color indexed="81"/>
            <rFont val="Tahoma"/>
            <family val="2"/>
          </rPr>
          <t xml:space="preserve">
What was used to measure snow depth</t>
        </r>
      </text>
    </comment>
    <comment ref="M10" authorId="0" shapeId="0" xr:uid="{A71D02D6-BAE6-4613-ACEA-2050B25C78F4}">
      <text>
        <r>
          <rPr>
            <b/>
            <sz val="9"/>
            <color indexed="81"/>
            <rFont val="Tahoma"/>
            <family val="2"/>
          </rPr>
          <t>cmcneil:</t>
        </r>
        <r>
          <rPr>
            <sz val="9"/>
            <color indexed="81"/>
            <rFont val="Tahoma"/>
            <family val="2"/>
          </rPr>
          <t xml:space="preserve">
snow depth observed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Baker, Emily Hewitt</author>
  </authors>
  <commentList>
    <comment ref="A4" authorId="0" shapeId="0" xr:uid="{00000000-0006-0000-0200-000001000000}">
      <text>
        <r>
          <rPr>
            <b/>
            <sz val="9"/>
            <color indexed="81"/>
            <rFont val="Tahoma"/>
            <family val="2"/>
          </rPr>
          <t>cmcneil:</t>
        </r>
        <r>
          <rPr>
            <sz val="9"/>
            <color indexed="81"/>
            <rFont val="Tahoma"/>
            <family val="2"/>
          </rPr>
          <t xml:space="preserve">
Date of site visit</t>
        </r>
      </text>
    </comment>
    <comment ref="B4" authorId="0" shapeId="0" xr:uid="{00000000-0006-0000-02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200-000003000000}">
      <text>
        <r>
          <rPr>
            <b/>
            <sz val="9"/>
            <color indexed="81"/>
            <rFont val="Tahoma"/>
            <family val="2"/>
          </rPr>
          <t>cmcneil:</t>
        </r>
        <r>
          <rPr>
            <sz val="9"/>
            <color indexed="81"/>
            <rFont val="Tahoma"/>
            <family val="2"/>
          </rPr>
          <t xml:space="preserve">
Name of the stake, eg. 17AU</t>
        </r>
      </text>
    </comment>
    <comment ref="D4" authorId="0" shapeId="0" xr:uid="{00000000-0006-0000-02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200-000005000000}">
      <text>
        <r>
          <rPr>
            <b/>
            <sz val="9"/>
            <color indexed="81"/>
            <rFont val="Tahoma"/>
            <family val="2"/>
          </rPr>
          <t>cmcneil:</t>
        </r>
        <r>
          <rPr>
            <sz val="9"/>
            <color indexed="81"/>
            <rFont val="Tahoma"/>
            <family val="2"/>
          </rPr>
          <t xml:space="preserve">
Total length of stake</t>
        </r>
      </text>
    </comment>
    <comment ref="F4" authorId="0" shapeId="0" xr:uid="{00000000-0006-0000-02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2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2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2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2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2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2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2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2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2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2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2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2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2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2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2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2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2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I12" authorId="1" shapeId="0" xr:uid="{B557E508-3FCF-4965-B223-75AB340A2680}">
      <text>
        <r>
          <rPr>
            <b/>
            <sz val="9"/>
            <color indexed="81"/>
            <rFont val="Tahoma"/>
            <family val="2"/>
          </rPr>
          <t>Baker, Emily Hewitt:</t>
        </r>
        <r>
          <rPr>
            <sz val="9"/>
            <color indexed="81"/>
            <rFont val="Tahoma"/>
            <family val="2"/>
          </rPr>
          <t xml:space="preserve">
No probing at 23AB stake in spring 2023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tc={66F4ECC1-2E6F-412F-9CFA-7C15BF7136ED}</author>
    <author>tc={E69B41B0-FEB6-4B8A-86D1-502F86AEC2D1}</author>
    <author>Baker, Emily Hewitt</author>
  </authors>
  <commentList>
    <comment ref="A4" authorId="0" shapeId="0" xr:uid="{00000000-0006-0000-0300-000001000000}">
      <text>
        <r>
          <rPr>
            <b/>
            <sz val="9"/>
            <color indexed="81"/>
            <rFont val="Tahoma"/>
            <family val="2"/>
          </rPr>
          <t>cmcneil:</t>
        </r>
        <r>
          <rPr>
            <sz val="9"/>
            <color indexed="81"/>
            <rFont val="Tahoma"/>
            <family val="2"/>
          </rPr>
          <t xml:space="preserve">
Date of site visit</t>
        </r>
      </text>
    </comment>
    <comment ref="B4" authorId="0" shapeId="0" xr:uid="{00000000-0006-0000-03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300-000003000000}">
      <text>
        <r>
          <rPr>
            <b/>
            <sz val="9"/>
            <color indexed="81"/>
            <rFont val="Tahoma"/>
            <family val="2"/>
          </rPr>
          <t>cmcneil:</t>
        </r>
        <r>
          <rPr>
            <sz val="9"/>
            <color indexed="81"/>
            <rFont val="Tahoma"/>
            <family val="2"/>
          </rPr>
          <t xml:space="preserve">
Name of the stake, eg. 17AU</t>
        </r>
      </text>
    </comment>
    <comment ref="D4" authorId="0" shapeId="0" xr:uid="{00000000-0006-0000-03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300-000005000000}">
      <text>
        <r>
          <rPr>
            <b/>
            <sz val="9"/>
            <color indexed="81"/>
            <rFont val="Tahoma"/>
            <family val="2"/>
          </rPr>
          <t>cmcneil:</t>
        </r>
        <r>
          <rPr>
            <sz val="9"/>
            <color indexed="81"/>
            <rFont val="Tahoma"/>
            <family val="2"/>
          </rPr>
          <t xml:space="preserve">
Total length of stake</t>
        </r>
      </text>
    </comment>
    <comment ref="F4" authorId="0" shapeId="0" xr:uid="{00000000-0006-0000-03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3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3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3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3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3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3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3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3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3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3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3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3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3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3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3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3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3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8" authorId="1" shapeId="0" xr:uid="{66F4ECC1-2E6F-412F-9CFA-7C15BF7136ED}">
      <text>
        <t>[Threaded comment]
Your version of Excel allows you to read this threaded comment; however, any edits to it will get removed if the file is opened in a newer version of Excel. Learn more: https://go.microsoft.com/fwlink/?linkid=870924
Comment:
    Mean density 2015-2020</t>
      </text>
    </comment>
    <comment ref="R14" authorId="2" shapeId="0" xr:uid="{E69B41B0-FEB6-4B8A-86D1-502F86AEC2D1}">
      <text>
        <t xml:space="preserve">[Threaded comment]
Your version of Excel allows you to read this threaded comment; however, any edits to it will get removed if the file is opened in a newer version of Excel. Learn more: https://go.microsoft.com/fwlink/?linkid=870924
Comment:
    I didn't average this number as it is suspect given how old the stake is </t>
      </text>
    </comment>
    <comment ref="Q22" authorId="3" shapeId="0" xr:uid="{7353E7F1-83ED-468D-ACDA-197C967151B9}">
      <text>
        <r>
          <rPr>
            <b/>
            <sz val="9"/>
            <color indexed="81"/>
            <rFont val="Tahoma"/>
            <family val="2"/>
          </rPr>
          <t>Baker, Emily Hewitt:</t>
        </r>
        <r>
          <rPr>
            <sz val="9"/>
            <color indexed="81"/>
            <rFont val="Tahoma"/>
            <family val="2"/>
          </rPr>
          <t xml:space="preserve">
VERY leaning stake, best to ignore stake measurement as it is in question, and divergest from healthy 2024 stake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tc={EE181FB6-59DE-46BF-9E14-8C5CE822952F}</author>
    <author>tc={21897E21-D9AF-4557-ACCC-B3A3C6F2A09E}</author>
    <author>Sass, Louis</author>
    <author>tc={EC01AD4E-BD66-46C1-A504-041A9FCAB2EC}</author>
    <author>Baker, Emily Hewitt</author>
  </authors>
  <commentList>
    <comment ref="A4" authorId="0" shapeId="0" xr:uid="{00000000-0006-0000-0400-000001000000}">
      <text>
        <r>
          <rPr>
            <b/>
            <sz val="9"/>
            <color indexed="81"/>
            <rFont val="Tahoma"/>
            <family val="2"/>
          </rPr>
          <t>cmcneil:</t>
        </r>
        <r>
          <rPr>
            <sz val="9"/>
            <color indexed="81"/>
            <rFont val="Tahoma"/>
            <family val="2"/>
          </rPr>
          <t xml:space="preserve">
Date of site visit</t>
        </r>
      </text>
    </comment>
    <comment ref="B4" authorId="0" shapeId="0" xr:uid="{00000000-0006-0000-04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400-000003000000}">
      <text>
        <r>
          <rPr>
            <b/>
            <sz val="9"/>
            <color indexed="81"/>
            <rFont val="Tahoma"/>
            <family val="2"/>
          </rPr>
          <t>cmcneil:</t>
        </r>
        <r>
          <rPr>
            <sz val="9"/>
            <color indexed="81"/>
            <rFont val="Tahoma"/>
            <family val="2"/>
          </rPr>
          <t xml:space="preserve">
Name of the stake, eg. 17AU</t>
        </r>
      </text>
    </comment>
    <comment ref="D4" authorId="0" shapeId="0" xr:uid="{00000000-0006-0000-04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400-000005000000}">
      <text>
        <r>
          <rPr>
            <b/>
            <sz val="9"/>
            <color indexed="81"/>
            <rFont val="Tahoma"/>
            <family val="2"/>
          </rPr>
          <t>cmcneil:</t>
        </r>
        <r>
          <rPr>
            <sz val="9"/>
            <color indexed="81"/>
            <rFont val="Tahoma"/>
            <family val="2"/>
          </rPr>
          <t xml:space="preserve">
Total length of stake</t>
        </r>
      </text>
    </comment>
    <comment ref="F4" authorId="0" shapeId="0" xr:uid="{00000000-0006-0000-04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4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4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4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4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4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4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4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4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4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4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4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4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4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4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4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4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4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9" authorId="1" shapeId="0" xr:uid="{EE181FB6-59DE-46BF-9E14-8C5CE822952F}">
      <text>
        <t>[Threaded comment]
Your version of Excel allows you to read this threaded comment; however, any edits to it will get removed if the file is opened in a newer version of Excel. Learn more: https://go.microsoft.com/fwlink/?linkid=870924
Comment:
    Mean density 2011-2020</t>
      </text>
    </comment>
    <comment ref="I24" authorId="2" shapeId="0" xr:uid="{21897E21-D9AF-4557-ACCC-B3A3C6F2A09E}">
      <text>
        <t>[Threaded comment]
Your version of Excel allows you to read this threaded comment; however, any edits to it will get removed if the file is opened in a newer version of Excel. Learn more: https://go.microsoft.com/fwlink/?linkid=870924
Comment:
    Using the stake measurement here rather than the pit. It appears the pit was not deep enough to get the 22 summer surface and the full 23 accumulation.</t>
      </text>
    </comment>
    <comment ref="J31" authorId="3" shapeId="0" xr:uid="{83149552-4ED5-430C-8837-B56D29F4461B}">
      <text>
        <r>
          <rPr>
            <b/>
            <sz val="9"/>
            <color indexed="81"/>
            <rFont val="Tahoma"/>
            <family val="2"/>
          </rPr>
          <t>Sass, Louis:</t>
        </r>
        <r>
          <rPr>
            <sz val="9"/>
            <color indexed="81"/>
            <rFont val="Tahoma"/>
            <family val="2"/>
          </rPr>
          <t xml:space="preserve">
24 stake has snow, but index site area is 0. Below index has some ablation</t>
        </r>
      </text>
    </comment>
    <comment ref="C42" authorId="4" shapeId="0" xr:uid="{EC01AD4E-BD66-46C1-A504-041A9FCAB2EC}">
      <text>
        <t>[Threaded comment]
Your version of Excel allows you to read this threaded comment; however, any edits to it will get removed if the file is opened in a newer version of Excel. Learn more: https://go.microsoft.com/fwlink/?linkid=870924
Comment:
    I didn't average the 20D stake as it is so far down glacier</t>
      </text>
    </comment>
    <comment ref="C43" authorId="5" shapeId="0" xr:uid="{6C28CA57-ABFF-439A-A0EB-CB8F209116F9}">
      <text>
        <r>
          <rPr>
            <b/>
            <sz val="9"/>
            <color indexed="81"/>
            <rFont val="Tahoma"/>
            <family val="2"/>
          </rPr>
          <t>Baker, Emily Hewitt:</t>
        </r>
        <r>
          <rPr>
            <sz val="9"/>
            <color indexed="81"/>
            <rFont val="Tahoma"/>
            <family val="2"/>
          </rPr>
          <t xml:space="preserve">
Variable skuzz of snow 1-2cm deep around site 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00000000-0006-0000-0500-000001000000}">
      <text>
        <r>
          <rPr>
            <b/>
            <sz val="9"/>
            <color indexed="81"/>
            <rFont val="Tahoma"/>
            <family val="2"/>
          </rPr>
          <t>cmcneil:</t>
        </r>
        <r>
          <rPr>
            <sz val="9"/>
            <color indexed="81"/>
            <rFont val="Tahoma"/>
            <family val="2"/>
          </rPr>
          <t xml:space="preserve">
Date of site visit</t>
        </r>
      </text>
    </comment>
    <comment ref="B4" authorId="0" shapeId="0" xr:uid="{00000000-0006-0000-05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500-000003000000}">
      <text>
        <r>
          <rPr>
            <b/>
            <sz val="9"/>
            <color indexed="81"/>
            <rFont val="Tahoma"/>
            <family val="2"/>
          </rPr>
          <t>cmcneil:</t>
        </r>
        <r>
          <rPr>
            <sz val="9"/>
            <color indexed="81"/>
            <rFont val="Tahoma"/>
            <family val="2"/>
          </rPr>
          <t xml:space="preserve">
Name of the stake, eg. 17AU</t>
        </r>
      </text>
    </comment>
    <comment ref="D4" authorId="0" shapeId="0" xr:uid="{00000000-0006-0000-05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500-000005000000}">
      <text>
        <r>
          <rPr>
            <b/>
            <sz val="9"/>
            <color indexed="81"/>
            <rFont val="Tahoma"/>
            <family val="2"/>
          </rPr>
          <t>cmcneil:</t>
        </r>
        <r>
          <rPr>
            <sz val="9"/>
            <color indexed="81"/>
            <rFont val="Tahoma"/>
            <family val="2"/>
          </rPr>
          <t xml:space="preserve">
Total length of stake</t>
        </r>
      </text>
    </comment>
    <comment ref="F4" authorId="0" shapeId="0" xr:uid="{00000000-0006-0000-05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5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5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5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5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5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5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5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5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5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5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5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5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5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5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5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5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5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00000000-0006-0000-0600-000001000000}">
      <text>
        <r>
          <rPr>
            <b/>
            <sz val="9"/>
            <color indexed="81"/>
            <rFont val="Tahoma"/>
            <family val="2"/>
          </rPr>
          <t>cmcneil:</t>
        </r>
        <r>
          <rPr>
            <sz val="9"/>
            <color indexed="81"/>
            <rFont val="Tahoma"/>
            <family val="2"/>
          </rPr>
          <t xml:space="preserve">
Date of site visit</t>
        </r>
      </text>
    </comment>
    <comment ref="B4" authorId="0" shapeId="0" xr:uid="{00000000-0006-0000-06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600-000003000000}">
      <text>
        <r>
          <rPr>
            <b/>
            <sz val="9"/>
            <color indexed="81"/>
            <rFont val="Tahoma"/>
            <family val="2"/>
          </rPr>
          <t>cmcneil:</t>
        </r>
        <r>
          <rPr>
            <sz val="9"/>
            <color indexed="81"/>
            <rFont val="Tahoma"/>
            <family val="2"/>
          </rPr>
          <t xml:space="preserve">
Name of the stake, eg. 17AU</t>
        </r>
      </text>
    </comment>
    <comment ref="D4" authorId="0" shapeId="0" xr:uid="{00000000-0006-0000-06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600-000005000000}">
      <text>
        <r>
          <rPr>
            <b/>
            <sz val="9"/>
            <color indexed="81"/>
            <rFont val="Tahoma"/>
            <family val="2"/>
          </rPr>
          <t>cmcneil:</t>
        </r>
        <r>
          <rPr>
            <sz val="9"/>
            <color indexed="81"/>
            <rFont val="Tahoma"/>
            <family val="2"/>
          </rPr>
          <t xml:space="preserve">
Total length of stake</t>
        </r>
      </text>
    </comment>
    <comment ref="F4" authorId="0" shapeId="0" xr:uid="{00000000-0006-0000-06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6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6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6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6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6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6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6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6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6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6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6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6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6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6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6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6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6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Baker, Emily Hewitt</author>
  </authors>
  <commentList>
    <comment ref="A4" authorId="0" shapeId="0" xr:uid="{4DEF853B-9467-49E6-B873-664526ED2C67}">
      <text>
        <r>
          <rPr>
            <b/>
            <sz val="9"/>
            <color indexed="81"/>
            <rFont val="Tahoma"/>
            <family val="2"/>
          </rPr>
          <t>cmcneil:</t>
        </r>
        <r>
          <rPr>
            <sz val="9"/>
            <color indexed="81"/>
            <rFont val="Tahoma"/>
            <family val="2"/>
          </rPr>
          <t xml:space="preserve">
Date of site visit</t>
        </r>
      </text>
    </comment>
    <comment ref="B4" authorId="0" shapeId="0" xr:uid="{2143FEB7-EC8B-4D2C-94C5-ECFCFCEC301D}">
      <text>
        <r>
          <rPr>
            <b/>
            <sz val="9"/>
            <color indexed="81"/>
            <rFont val="Tahoma"/>
            <family val="2"/>
          </rPr>
          <t>cmcneil:</t>
        </r>
        <r>
          <rPr>
            <sz val="9"/>
            <color indexed="81"/>
            <rFont val="Tahoma"/>
            <family val="2"/>
          </rPr>
          <t xml:space="preserve">
Notebook field data can be found in</t>
        </r>
      </text>
    </comment>
    <comment ref="C4" authorId="0" shapeId="0" xr:uid="{C611B6F3-490A-40D9-AEC0-CF03AE2D9A7C}">
      <text>
        <r>
          <rPr>
            <b/>
            <sz val="9"/>
            <color indexed="81"/>
            <rFont val="Tahoma"/>
            <family val="2"/>
          </rPr>
          <t>cmcneil:</t>
        </r>
        <r>
          <rPr>
            <sz val="9"/>
            <color indexed="81"/>
            <rFont val="Tahoma"/>
            <family val="2"/>
          </rPr>
          <t xml:space="preserve">
Name of the stake, eg. 17AU</t>
        </r>
      </text>
    </comment>
    <comment ref="D4" authorId="0" shapeId="0" xr:uid="{92026FDD-1CB6-4F10-B837-EE96E286977A}">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564A3A88-F776-4409-88BB-AAEDF13F049E}">
      <text>
        <r>
          <rPr>
            <b/>
            <sz val="9"/>
            <color indexed="81"/>
            <rFont val="Tahoma"/>
            <family val="2"/>
          </rPr>
          <t>cmcneil:</t>
        </r>
        <r>
          <rPr>
            <sz val="9"/>
            <color indexed="81"/>
            <rFont val="Tahoma"/>
            <family val="2"/>
          </rPr>
          <t xml:space="preserve">
Total length of stake</t>
        </r>
      </text>
    </comment>
    <comment ref="F4" authorId="0" shapeId="0" xr:uid="{A39A7294-B5A2-4F30-A7A4-C98701E1F1F2}">
      <text>
        <r>
          <rPr>
            <b/>
            <sz val="9"/>
            <color indexed="81"/>
            <rFont val="Tahoma"/>
            <family val="2"/>
          </rPr>
          <t>cmcneil:</t>
        </r>
        <r>
          <rPr>
            <sz val="9"/>
            <color indexed="81"/>
            <rFont val="Tahoma"/>
            <family val="2"/>
          </rPr>
          <t xml:space="preserve">
Length of stake above the surface noted in column D</t>
        </r>
      </text>
    </comment>
    <comment ref="G4" authorId="0" shapeId="0" xr:uid="{DB0786AB-A8F6-4C93-889D-F12F21E0EC3E}">
      <text>
        <r>
          <rPr>
            <b/>
            <sz val="9"/>
            <color indexed="81"/>
            <rFont val="Tahoma"/>
            <family val="2"/>
          </rPr>
          <t>cmcneil:</t>
        </r>
        <r>
          <rPr>
            <sz val="9"/>
            <color indexed="81"/>
            <rFont val="Tahoma"/>
            <family val="2"/>
          </rPr>
          <t xml:space="preserve">
Length of stake still below the surface noted in column D</t>
        </r>
      </text>
    </comment>
    <comment ref="H4" authorId="0" shapeId="0" xr:uid="{496B4E9A-4B9C-46B5-9E90-5C24E7C55F76}">
      <text>
        <r>
          <rPr>
            <b/>
            <sz val="9"/>
            <color indexed="81"/>
            <rFont val="Tahoma"/>
            <family val="2"/>
          </rPr>
          <t>cmcneil:</t>
        </r>
        <r>
          <rPr>
            <sz val="9"/>
            <color indexed="81"/>
            <rFont val="Tahoma"/>
            <family val="2"/>
          </rPr>
          <t xml:space="preserve">
Change in stake since previous site visits</t>
        </r>
      </text>
    </comment>
    <comment ref="I4" authorId="0" shapeId="0" xr:uid="{398D6057-B714-4BC8-8A09-D8528F671955}">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96A4C45F-A684-45CD-95E6-310FA8DA60CD}">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889A40ED-013B-4AF6-B9F9-68B00E9C527E}">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29D4F19E-F55C-4627-AB9F-BB6DF6199734}">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A723BFD3-C3DB-4E17-9FEB-E26E6C12DE61}">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2A67F560-CEB2-49F2-ADE6-19789897855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970754A6-647D-43E0-B60D-3EC1443E9ECA}">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8E82E3EF-2ACD-4EC7-940A-B964D63520BC}">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86A50298-B591-428A-B41F-ED6225686A8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3BA789B6-9C33-4EAC-9553-06493244F9D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484CB3A9-BAD2-4DC4-A620-ECEC67D0810C}">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C8376119-B3A2-409C-9B17-E526E827CB12}">
      <text>
        <r>
          <rPr>
            <b/>
            <sz val="9"/>
            <color indexed="81"/>
            <rFont val="Tahoma"/>
            <family val="2"/>
          </rPr>
          <t>cmcneil:</t>
        </r>
        <r>
          <rPr>
            <sz val="9"/>
            <color indexed="81"/>
            <rFont val="Tahoma"/>
            <family val="2"/>
          </rPr>
          <t xml:space="preserve">
UTM easting of stake measured with GPS</t>
        </r>
      </text>
    </comment>
    <comment ref="U4" authorId="0" shapeId="0" xr:uid="{3718DA98-B926-436C-BE17-6C347A7201C8}">
      <text>
        <r>
          <rPr>
            <b/>
            <sz val="9"/>
            <color indexed="81"/>
            <rFont val="Tahoma"/>
            <family val="2"/>
          </rPr>
          <t>cmcneil:</t>
        </r>
        <r>
          <rPr>
            <sz val="9"/>
            <color indexed="81"/>
            <rFont val="Tahoma"/>
            <family val="2"/>
          </rPr>
          <t xml:space="preserve">
UTM Northing of stake measured with GPS</t>
        </r>
      </text>
    </comment>
    <comment ref="V4" authorId="0" shapeId="0" xr:uid="{845544DF-341C-48D2-A653-1270C52C6CD9}">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95E0FE56-6D23-4847-9246-AF93D5039F73}">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J13" authorId="1" shapeId="0" xr:uid="{372F9D0F-236F-473D-AF68-A2517A5F070F}">
      <text>
        <r>
          <rPr>
            <b/>
            <sz val="9"/>
            <color indexed="81"/>
            <rFont val="Tahoma"/>
            <family val="2"/>
          </rPr>
          <t>Baker, Emily Hewitt:</t>
        </r>
        <r>
          <rPr>
            <sz val="9"/>
            <color indexed="81"/>
            <rFont val="Tahoma"/>
            <family val="2"/>
          </rPr>
          <t xml:space="preserve">
This is from pit</t>
        </r>
      </text>
    </comment>
    <comment ref="J14" authorId="1" shapeId="0" xr:uid="{539D000F-99DF-4A13-B1D8-F381C6FDF8CF}">
      <text>
        <r>
          <rPr>
            <b/>
            <sz val="9"/>
            <color indexed="81"/>
            <rFont val="Tahoma"/>
            <family val="2"/>
          </rPr>
          <t>Baker, Emily Hewitt:</t>
        </r>
        <r>
          <rPr>
            <sz val="9"/>
            <color indexed="81"/>
            <rFont val="Tahoma"/>
            <family val="2"/>
          </rPr>
          <t xml:space="preserve">
Average of 0.15m at stake, and 0m at pit</t>
        </r>
      </text>
    </comment>
    <comment ref="K14" authorId="1" shapeId="0" xr:uid="{7BBF0FDB-49F5-48BB-B1A1-D829EB94FCF7}">
      <text>
        <r>
          <rPr>
            <b/>
            <sz val="9"/>
            <color indexed="81"/>
            <rFont val="Tahoma"/>
            <family val="2"/>
          </rPr>
          <t>Baker, Emily Hewitt:</t>
        </r>
        <r>
          <rPr>
            <sz val="9"/>
            <color indexed="81"/>
            <rFont val="Tahoma"/>
            <family val="2"/>
          </rPr>
          <t xml:space="preserve">
ASSUMED density - new snow density was NOT measured unfortunately in fall 2024</t>
        </r>
      </text>
    </comment>
    <comment ref="C26" authorId="1" shapeId="0" xr:uid="{3B7E7A78-36F8-4506-A9DD-D330E344F8D1}">
      <text>
        <r>
          <rPr>
            <b/>
            <sz val="9"/>
            <color indexed="81"/>
            <rFont val="Tahoma"/>
            <family val="2"/>
          </rPr>
          <t>Baker, Emily Hewitt:</t>
        </r>
        <r>
          <rPr>
            <sz val="9"/>
            <color indexed="81"/>
            <rFont val="Tahoma"/>
            <family val="2"/>
          </rPr>
          <t xml:space="preserve">
No stake found spring 2024</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6ADA4E89-20B7-4CD4-8014-B96A46C80CAB}">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55862840-F88A-4304-9C12-DD0F6958E64B}">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822FED1-79B8-43B6-814B-90A6E213240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EE97B84F-5462-426D-8051-11B8AAB61229}">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8F555B5A-936B-4CE8-904B-AC5928CB2A7B}">
      <text>
        <r>
          <rPr>
            <sz val="8"/>
            <color indexed="81"/>
            <rFont val="Tahoma"/>
            <family val="2"/>
          </rPr>
          <t xml:space="preserve">Sipre coring auger=45.6cm2 
large tube 41.05 cm2       
small tube 25.6   cm2          
Snow Metrics 1000 cm^3
</t>
        </r>
      </text>
    </comment>
    <comment ref="A10" authorId="0" shapeId="0" xr:uid="{535C680A-3A73-4F5A-BF53-5AB35D4B570E}">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D361814A-F18F-43DF-BF95-CF5DFF06F01E}">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E0B6B7F6-C2CA-404B-A672-538BCD48AB1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804A40FF-6872-4837-91BB-882BCA1D0E11}">
      <text>
        <r>
          <rPr>
            <b/>
            <sz val="9"/>
            <color indexed="81"/>
            <rFont val="Tahoma"/>
            <family val="2"/>
          </rPr>
          <t>cmcneil:</t>
        </r>
        <r>
          <rPr>
            <sz val="9"/>
            <color indexed="81"/>
            <rFont val="Tahoma"/>
            <family val="2"/>
          </rPr>
          <t xml:space="preserve">
Volume of sample taken</t>
        </r>
      </text>
    </comment>
    <comment ref="E10" authorId="0" shapeId="0" xr:uid="{4D4B35BD-D193-4BA2-97E0-2C27EE4B60C3}">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FFE7AB46-DE26-483E-81E8-E7C7BA6B0383}">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40A31A06-25F3-48ED-9039-F44D00F53B07}">
      <text>
        <r>
          <rPr>
            <b/>
            <sz val="9"/>
            <color indexed="81"/>
            <rFont val="Tahoma"/>
            <family val="2"/>
          </rPr>
          <t>cmcneil:</t>
        </r>
        <r>
          <rPr>
            <sz val="9"/>
            <color indexed="81"/>
            <rFont val="Tahoma"/>
            <family val="2"/>
          </rPr>
          <t xml:space="preserve">
Density of sample. Calculated from the mass/volume</t>
        </r>
      </text>
    </comment>
    <comment ref="H10" authorId="0" shapeId="0" xr:uid="{6E436A89-C3BA-46AF-8918-603C6E369B2E}">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5D68C433-FDF6-44CE-94EC-F18F099914E6}">
      <text>
        <r>
          <rPr>
            <b/>
            <sz val="9"/>
            <color indexed="81"/>
            <rFont val="Tahoma"/>
            <family val="2"/>
          </rPr>
          <t>cmcneil:</t>
        </r>
        <r>
          <rPr>
            <sz val="9"/>
            <color indexed="81"/>
            <rFont val="Tahoma"/>
            <family val="2"/>
          </rPr>
          <t xml:space="preserve">
Cummulative s.w.e. of from surface to the depth of each sample</t>
        </r>
      </text>
    </comment>
    <comment ref="J10" authorId="0" shapeId="0" xr:uid="{90B1A422-F71A-4EE6-BE6A-7DD89FC32F5F}">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B8DC20AC-D35D-4A59-95AF-022F3BFAC918}">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D1B0F509-B1E2-4DE5-8EA2-4A952D99BB7B}">
      <text>
        <r>
          <rPr>
            <b/>
            <sz val="9"/>
            <color indexed="81"/>
            <rFont val="Tahoma"/>
            <family val="2"/>
          </rPr>
          <t>cmcneil:</t>
        </r>
        <r>
          <rPr>
            <sz val="9"/>
            <color indexed="81"/>
            <rFont val="Tahoma"/>
            <family val="2"/>
          </rPr>
          <t xml:space="preserve">
What was used to measure snow depth</t>
        </r>
      </text>
    </comment>
    <comment ref="M10" authorId="0" shapeId="0" xr:uid="{261923E7-78E2-48F2-B334-9A430E4D7620}">
      <text>
        <r>
          <rPr>
            <b/>
            <sz val="9"/>
            <color indexed="81"/>
            <rFont val="Tahoma"/>
            <family val="2"/>
          </rPr>
          <t>cmcneil:</t>
        </r>
        <r>
          <rPr>
            <sz val="9"/>
            <color indexed="81"/>
            <rFont val="Tahoma"/>
            <family val="2"/>
          </rPr>
          <t xml:space="preserve">
snow depth observed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DCF708CA-2DD4-4055-BB13-9337348D0857}">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79B4BA3A-5452-4FC2-9511-BC85344AA70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C99C4FC-1F02-4E90-B498-13FC1D7FA71D}">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32A4F74-51C8-4407-A3E7-30FB7EA2291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2DC9B71-5FF1-45FD-B8A7-398059FC8CEE}">
      <text>
        <r>
          <rPr>
            <sz val="8"/>
            <color indexed="81"/>
            <rFont val="Tahoma"/>
            <family val="2"/>
          </rPr>
          <t xml:space="preserve">Sipre coring auger=45.6cm2 
large tube 41.05 cm2       
small tube 25.6   cm2          
Snow Metrics 1000 cm^3
</t>
        </r>
      </text>
    </comment>
    <comment ref="A10" authorId="0" shapeId="0" xr:uid="{1165237B-5D88-4EC6-9DCF-90A574BDDF9A}">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733AE4C6-F50A-4861-A9E5-5D6C4A6ECBF7}">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2C623AEF-F989-487A-8A16-D31D0105A8A3}">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39F7EC86-3B77-4901-BADF-3CF87E858A8B}">
      <text>
        <r>
          <rPr>
            <b/>
            <sz val="9"/>
            <color indexed="81"/>
            <rFont val="Tahoma"/>
            <family val="2"/>
          </rPr>
          <t>cmcneil:</t>
        </r>
        <r>
          <rPr>
            <sz val="9"/>
            <color indexed="81"/>
            <rFont val="Tahoma"/>
            <family val="2"/>
          </rPr>
          <t xml:space="preserve">
Volume of sample taken</t>
        </r>
      </text>
    </comment>
    <comment ref="E10" authorId="0" shapeId="0" xr:uid="{16434EEB-F27C-4350-BA4A-B35C67CADACA}">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2E744ACB-C025-4120-9382-46B3D3D08EC4}">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AC513AAA-2776-4765-A064-7286CC5F398F}">
      <text>
        <r>
          <rPr>
            <b/>
            <sz val="9"/>
            <color indexed="81"/>
            <rFont val="Tahoma"/>
            <family val="2"/>
          </rPr>
          <t>cmcneil:</t>
        </r>
        <r>
          <rPr>
            <sz val="9"/>
            <color indexed="81"/>
            <rFont val="Tahoma"/>
            <family val="2"/>
          </rPr>
          <t xml:space="preserve">
Density of sample. Calculated from the mass/volume</t>
        </r>
      </text>
    </comment>
    <comment ref="H10" authorId="0" shapeId="0" xr:uid="{923C3D15-8DFF-47E7-AAB3-D812EECB56DE}">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59DD509D-79B0-4113-802B-A7556ADB5A32}">
      <text>
        <r>
          <rPr>
            <b/>
            <sz val="9"/>
            <color indexed="81"/>
            <rFont val="Tahoma"/>
            <family val="2"/>
          </rPr>
          <t>cmcneil:</t>
        </r>
        <r>
          <rPr>
            <sz val="9"/>
            <color indexed="81"/>
            <rFont val="Tahoma"/>
            <family val="2"/>
          </rPr>
          <t xml:space="preserve">
Cummulative s.w.e. of from surface to the depth of each sample</t>
        </r>
      </text>
    </comment>
    <comment ref="J10" authorId="0" shapeId="0" xr:uid="{2E8E90B8-0574-43E7-8D1D-DBFA9EA7C3CE}">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AE11AD41-1456-42AC-8DF4-F0100B8EFA7C}">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35C4C076-A877-425D-A45E-618EB7BD5492}">
      <text>
        <r>
          <rPr>
            <b/>
            <sz val="9"/>
            <color indexed="81"/>
            <rFont val="Tahoma"/>
            <family val="2"/>
          </rPr>
          <t>cmcneil:</t>
        </r>
        <r>
          <rPr>
            <sz val="9"/>
            <color indexed="81"/>
            <rFont val="Tahoma"/>
            <family val="2"/>
          </rPr>
          <t xml:space="preserve">
What was used to measure snow depth</t>
        </r>
      </text>
    </comment>
    <comment ref="M10" authorId="0" shapeId="0" xr:uid="{7EE87549-5FC5-4007-B663-1579EEF9E775}">
      <text>
        <r>
          <rPr>
            <b/>
            <sz val="9"/>
            <color indexed="81"/>
            <rFont val="Tahoma"/>
            <family val="2"/>
          </rPr>
          <t>cmcneil:</t>
        </r>
        <r>
          <rPr>
            <sz val="9"/>
            <color indexed="81"/>
            <rFont val="Tahoma"/>
            <family val="2"/>
          </rPr>
          <t xml:space="preserve">
snow depth observed</t>
        </r>
      </text>
    </comment>
  </commentList>
</comments>
</file>

<file path=xl/sharedStrings.xml><?xml version="1.0" encoding="utf-8"?>
<sst xmlns="http://schemas.openxmlformats.org/spreadsheetml/2006/main" count="1490" uniqueCount="217">
  <si>
    <t>Elevation</t>
  </si>
  <si>
    <t>bw</t>
  </si>
  <si>
    <t>ba</t>
  </si>
  <si>
    <t>Winter Ablation</t>
  </si>
  <si>
    <t>Summer Accumulation</t>
  </si>
  <si>
    <t>AU</t>
  </si>
  <si>
    <t>AB</t>
  </si>
  <si>
    <t>B</t>
  </si>
  <si>
    <t>D</t>
  </si>
  <si>
    <t>T</t>
  </si>
  <si>
    <t>V</t>
  </si>
  <si>
    <t>Stake  Location</t>
  </si>
  <si>
    <t>UTM(WGS84)</t>
  </si>
  <si>
    <t>Stake Lengths</t>
  </si>
  <si>
    <t>Zone 6 North</t>
  </si>
  <si>
    <t>Date</t>
  </si>
  <si>
    <t>Notebook</t>
  </si>
  <si>
    <t>Stake Name</t>
  </si>
  <si>
    <t>Surface Type</t>
  </si>
  <si>
    <t>Total</t>
  </si>
  <si>
    <t>Above Surface</t>
  </si>
  <si>
    <t>Below Surface</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</si>
  <si>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</si>
  <si>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</si>
  <si>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</si>
  <si>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</si>
  <si>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</si>
  <si>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</si>
  <si>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</si>
  <si>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</si>
  <si>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</si>
  <si>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</si>
  <si>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Easting</t>
  </si>
  <si>
    <t>Northing</t>
  </si>
  <si>
    <t>Comments</t>
  </si>
  <si>
    <t>(mm/dd/yyyy)</t>
  </si>
  <si>
    <t>(meters)</t>
  </si>
  <si>
    <t>(g/cm^3)</t>
  </si>
  <si>
    <t>(m w.e.)</t>
  </si>
  <si>
    <t>snow</t>
  </si>
  <si>
    <t>ice</t>
  </si>
  <si>
    <t>20CM</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</si>
  <si>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</si>
  <si>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</si>
  <si>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</si>
  <si>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</si>
  <si>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</si>
  <si>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</si>
  <si>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</si>
  <si>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</si>
  <si>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</si>
  <si>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</si>
  <si>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</si>
  <si>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</si>
  <si>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</si>
  <si>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</si>
  <si>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20EB</t>
  </si>
  <si>
    <t>new snow</t>
  </si>
  <si>
    <t>20B</t>
  </si>
  <si>
    <t>stake in small stream</t>
  </si>
  <si>
    <r>
      <t>b</t>
    </r>
    <r>
      <rPr>
        <b/>
        <vertAlign val="subscript"/>
        <sz val="10"/>
        <color rgb="FF000000"/>
        <rFont val="Segoe UI"/>
        <family val="2"/>
      </rPr>
      <t>s</t>
    </r>
  </si>
  <si>
    <r>
      <t>b</t>
    </r>
    <r>
      <rPr>
        <b/>
        <vertAlign val="subscript"/>
        <sz val="10"/>
        <color rgb="FF000000"/>
        <rFont val="Segoe UI"/>
        <family val="2"/>
      </rPr>
      <t>w</t>
    </r>
  </si>
  <si>
    <r>
      <t>b</t>
    </r>
    <r>
      <rPr>
        <b/>
        <vertAlign val="subscript"/>
        <sz val="10"/>
        <color rgb="FF000000"/>
        <rFont val="Segoe UI"/>
        <family val="2"/>
      </rPr>
      <t>a</t>
    </r>
  </si>
  <si>
    <t>firn</t>
  </si>
  <si>
    <t>20LS</t>
  </si>
  <si>
    <t>20D</t>
  </si>
  <si>
    <t>New Snow</t>
  </si>
  <si>
    <t>not found</t>
  </si>
  <si>
    <t>old snow</t>
  </si>
  <si>
    <t>21CM</t>
  </si>
  <si>
    <t>Year</t>
  </si>
  <si>
    <t>site_name</t>
  </si>
  <si>
    <t>spring_date</t>
  </si>
  <si>
    <t>fall_date</t>
  </si>
  <si>
    <t>elevation</t>
  </si>
  <si>
    <t>winter_ablation</t>
  </si>
  <si>
    <t>summer_accumulation</t>
  </si>
  <si>
    <t>firn (2021)</t>
  </si>
  <si>
    <t>21LS</t>
  </si>
  <si>
    <t>22LS</t>
  </si>
  <si>
    <t>22B</t>
  </si>
  <si>
    <t>22AC</t>
  </si>
  <si>
    <t>22D</t>
  </si>
  <si>
    <t>Snow</t>
  </si>
  <si>
    <t>22V</t>
  </si>
  <si>
    <t>22AU</t>
  </si>
  <si>
    <t>22AB</t>
  </si>
  <si>
    <t>22KB</t>
  </si>
  <si>
    <t>22T</t>
  </si>
  <si>
    <t>Z</t>
  </si>
  <si>
    <t>22Z</t>
  </si>
  <si>
    <t>22EB</t>
  </si>
  <si>
    <t>22CF</t>
  </si>
  <si>
    <t>firn (2022)</t>
  </si>
  <si>
    <t>23EB</t>
  </si>
  <si>
    <t>Email from Brianna rick</t>
  </si>
  <si>
    <t>23LS</t>
  </si>
  <si>
    <t>ANNUAL BALANCE FOR 2022</t>
  </si>
  <si>
    <t>ANNUAL BALANCE FOR 2023</t>
  </si>
  <si>
    <t>23KB</t>
  </si>
  <si>
    <t>23EHB</t>
  </si>
  <si>
    <t>22EHB</t>
  </si>
  <si>
    <t>23AB</t>
  </si>
  <si>
    <t>24LS</t>
  </si>
  <si>
    <t>24B</t>
  </si>
  <si>
    <t xml:space="preserve"> Glacier:</t>
  </si>
  <si>
    <t>Total snowpit depth(cm):</t>
  </si>
  <si>
    <t>Location:</t>
  </si>
  <si>
    <t>Depth of previous years' summer surface (cm):</t>
  </si>
  <si>
    <t xml:space="preserve">    Date:</t>
  </si>
  <si>
    <t>Average snow Depth (m):</t>
  </si>
  <si>
    <t xml:space="preserve">  Notebook:</t>
  </si>
  <si>
    <t>Column average density (g/cm^3):</t>
  </si>
  <si>
    <t>Sampler Type</t>
  </si>
  <si>
    <t>Snow Metrics</t>
  </si>
  <si>
    <t>Field Data</t>
  </si>
  <si>
    <t>Analysis</t>
  </si>
  <si>
    <t>Layer Values</t>
  </si>
  <si>
    <t>Cumulative  Values</t>
  </si>
  <si>
    <t>Additional snow depth measurements</t>
  </si>
  <si>
    <t>Layer Boundary</t>
  </si>
  <si>
    <t>C+S</t>
  </si>
  <si>
    <t>C</t>
  </si>
  <si>
    <t>SBD</t>
  </si>
  <si>
    <t>Volume</t>
  </si>
  <si>
    <t>Top</t>
  </si>
  <si>
    <t>Bottom</t>
  </si>
  <si>
    <t>Density</t>
  </si>
  <si>
    <t>SWE</t>
  </si>
  <si>
    <t xml:space="preserve"> Comments</t>
  </si>
  <si>
    <t>Type of meaasurement</t>
  </si>
  <si>
    <t>Snow Depth</t>
  </si>
  <si>
    <t>gm</t>
  </si>
  <si>
    <t>cm</t>
  </si>
  <si>
    <r>
      <t>cm</t>
    </r>
    <r>
      <rPr>
        <vertAlign val="superscript"/>
        <sz val="8"/>
        <rFont val="Arial"/>
        <family val="2"/>
      </rPr>
      <t>3</t>
    </r>
  </si>
  <si>
    <r>
      <t>gm/cm</t>
    </r>
    <r>
      <rPr>
        <vertAlign val="superscript"/>
        <sz val="8"/>
        <rFont val="Arial"/>
        <family val="2"/>
      </rPr>
      <t>3</t>
    </r>
  </si>
  <si>
    <t>m w.e.</t>
  </si>
  <si>
    <t>Pit</t>
  </si>
  <si>
    <t>Probe</t>
  </si>
  <si>
    <t xml:space="preserve"> </t>
  </si>
  <si>
    <t>Average =</t>
  </si>
  <si>
    <t>Stdev. =</t>
  </si>
  <si>
    <t>Only insert/delete rows from within the table above. This maintains the functionality of the spreadsheet</t>
  </si>
  <si>
    <t>Std.Err.Mean =</t>
  </si>
  <si>
    <t>Maximum =</t>
  </si>
  <si>
    <t>Minimum =</t>
  </si>
  <si>
    <t>24B Probe</t>
  </si>
  <si>
    <t>Bindex Probe</t>
  </si>
  <si>
    <t>24EB</t>
  </si>
  <si>
    <t>22B Probe</t>
  </si>
  <si>
    <t>20B Probe</t>
  </si>
  <si>
    <t>ice at 278</t>
  </si>
  <si>
    <t>Gulkana</t>
  </si>
  <si>
    <t>2024 EB</t>
  </si>
  <si>
    <t>Total Core Depth(cm):</t>
  </si>
  <si>
    <t>Depth of Previous Year's Summer Surface (cm):</t>
  </si>
  <si>
    <t>Average Snow Depth (m):</t>
  </si>
  <si>
    <t>Column Average Density (g/cm^3):</t>
  </si>
  <si>
    <t>Core Lengths</t>
  </si>
  <si>
    <t>Core Diameters</t>
  </si>
  <si>
    <t>Length 1</t>
  </si>
  <si>
    <t>Length 2</t>
  </si>
  <si>
    <t>Length 3</t>
  </si>
  <si>
    <t>Average Length</t>
  </si>
  <si>
    <t>Diameter 1</t>
  </si>
  <si>
    <t>Diameter 2</t>
  </si>
  <si>
    <t>Diameter 3</t>
  </si>
  <si>
    <t>Diameter 4</t>
  </si>
  <si>
    <t>Average Diameter</t>
  </si>
  <si>
    <t>(cm)</t>
  </si>
  <si>
    <r>
      <t>(g/cm</t>
    </r>
    <r>
      <rPr>
        <vertAlign val="superscript"/>
        <sz val="8"/>
        <rFont val="Arial"/>
        <family val="2"/>
      </rPr>
      <t>3)</t>
    </r>
  </si>
  <si>
    <t>Pit Data</t>
  </si>
  <si>
    <t>—</t>
  </si>
  <si>
    <t>Core Data</t>
  </si>
  <si>
    <t>24D</t>
  </si>
  <si>
    <t>obvious dirt at 354</t>
  </si>
  <si>
    <t>increase in grain size and hardness at 313</t>
  </si>
  <si>
    <t>appears to be melting out</t>
  </si>
  <si>
    <t>24AB</t>
  </si>
  <si>
    <t>24EHB</t>
  </si>
  <si>
    <t>24AU</t>
  </si>
  <si>
    <t>Claire</t>
  </si>
  <si>
    <t>24T</t>
  </si>
  <si>
    <t>/surf possible ss at 448</t>
  </si>
  <si>
    <t>/surf possible ss at 366</t>
  </si>
  <si>
    <t>24Z</t>
  </si>
  <si>
    <t>not Found</t>
  </si>
  <si>
    <t>nan</t>
  </si>
  <si>
    <t>≥3.27</t>
  </si>
  <si>
    <t>second dirty layer at 453 - probably 2021 ss as it matches that information on the 22D stake</t>
  </si>
  <si>
    <t>After checking out the 22D</t>
  </si>
  <si>
    <t xml:space="preserve">stake and comparing everything, </t>
  </si>
  <si>
    <t xml:space="preserve">it seems like the second </t>
  </si>
  <si>
    <t>dirty layer is almost certainly the 21 SS</t>
  </si>
  <si>
    <t>This interpretation suggests</t>
  </si>
  <si>
    <t>the pit in fall of 23 was not deep enough</t>
  </si>
  <si>
    <t>stake sheet in 23 and here are both updated to reflect that interpretation</t>
  </si>
  <si>
    <t>Probe 22AU</t>
  </si>
  <si>
    <t>Probe 24AU</t>
  </si>
  <si>
    <t>Probe 22D</t>
  </si>
  <si>
    <t>Probe 24D</t>
  </si>
  <si>
    <t>Pit/Core</t>
  </si>
  <si>
    <t>Summer surface at 394cm (458-64)</t>
  </si>
  <si>
    <t>new firn</t>
  </si>
  <si>
    <t>24KB</t>
  </si>
  <si>
    <t>Site Z</t>
  </si>
  <si>
    <t>very obvious dirty layer</t>
  </si>
  <si>
    <t>Site T</t>
  </si>
  <si>
    <t>super soft</t>
  </si>
  <si>
    <t>obvious dirty layer</t>
  </si>
  <si>
    <t>Site D</t>
  </si>
  <si>
    <t>Probe (index survey)</t>
  </si>
  <si>
    <t>ice lense 2-3cm (internal accumulation)</t>
  </si>
  <si>
    <t>old snow (ss24)</t>
  </si>
  <si>
    <t>firn (ss 23)</t>
  </si>
  <si>
    <t>22stake</t>
  </si>
  <si>
    <t>24stake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</si>
</sst>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mm/dd/yyyy"/>
    <numFmt numFmtId="165" formatCode="?,??0.00"/>
    <numFmt numFmtId="166" formatCode="?0.00"/>
    <numFmt numFmtId="167" formatCode="0.000"/>
    <numFmt numFmtId="168" formatCode="??0"/>
    <numFmt numFmtId="169" formatCode="??0.0"/>
    <numFmt numFmtId="170" formatCode="?0.0"/>
    <numFmt numFmtId="171" formatCode="mm/dd/yy"/>
    <numFmt numFmtId="172" formatCode="0.0"/>
  </numFmts>
  <fonts count="7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FFFF"/>
      <name val="Arial"/>
      <family val="2"/>
    </font>
    <font>
      <b/>
      <sz val="10"/>
      <color rgb="FF000000"/>
      <name val="Arial"/>
      <family val="2"/>
    </font>
    <font>
      <sz val="10"/>
      <color rgb="FF000000"/>
      <name val="Arial"/>
      <family val="2"/>
    </font>
    <font>
      <b/>
      <u/>
      <sz val="10"/>
      <color rgb="FF000000"/>
      <name val="Arial"/>
      <family val="2"/>
    </font>
    <font>
      <b/>
      <u/>
      <sz val="10"/>
      <name val="Arial"/>
      <family val="2"/>
    </font>
    <font>
      <b/>
      <sz val="10"/>
      <name val="Arial"/>
      <family val="2"/>
    </font>
    <font>
      <sz val="10"/>
      <color rgb="FF000000"/>
      <name val="Calibri"/>
      <family val="2"/>
    </font>
    <font>
      <sz val="8"/>
      <name val="Arial"/>
      <family val="2"/>
    </font>
    <font>
      <sz val="9"/>
      <color indexed="81"/>
      <name val="Tahoma"/>
      <family val="2"/>
    </font>
    <font>
      <b/>
      <sz val="9"/>
      <color indexed="81"/>
      <name val="Tahoma"/>
      <family val="2"/>
    </font>
    <font>
      <sz val="8"/>
      <name val="Arial"/>
      <family val="2"/>
    </font>
    <font>
      <sz val="8"/>
      <name val="Helv"/>
    </font>
    <font>
      <sz val="8"/>
      <color indexed="12"/>
      <name val="Arial"/>
      <family val="2"/>
    </font>
    <font>
      <b/>
      <sz val="8"/>
      <color indexed="8"/>
      <name val="Helv"/>
    </font>
    <font>
      <sz val="8"/>
      <color indexed="8"/>
      <name val="Arial"/>
      <family val="2"/>
    </font>
    <font>
      <u/>
      <sz val="8"/>
      <color indexed="12"/>
      <name val="Arial"/>
      <family val="2"/>
    </font>
    <font>
      <sz val="8"/>
      <color indexed="9"/>
      <name val="Arial"/>
      <family val="2"/>
    </font>
    <font>
      <sz val="8"/>
      <color indexed="10"/>
      <name val="Arial"/>
      <family val="2"/>
    </font>
    <font>
      <i/>
      <sz val="8"/>
      <color indexed="10"/>
      <name val="Arial"/>
      <family val="2"/>
    </font>
    <font>
      <i/>
      <sz val="8"/>
      <color indexed="14"/>
      <name val="Arial"/>
      <family val="2"/>
    </font>
    <font>
      <b/>
      <sz val="8"/>
      <color indexed="8"/>
      <name val="Arial"/>
      <family val="2"/>
    </font>
    <font>
      <i/>
      <sz val="8"/>
      <color indexed="8"/>
      <name val="Arial"/>
      <family val="2"/>
    </font>
    <font>
      <sz val="8"/>
      <color indexed="14"/>
      <name val="Arial"/>
      <family val="2"/>
    </font>
    <font>
      <sz val="10"/>
      <name val="Arial"/>
      <family val="2"/>
    </font>
    <font>
      <sz val="10"/>
      <color rgb="FF000000"/>
      <name val="AvantGarde"/>
      <family val="2"/>
    </font>
    <font>
      <sz val="10"/>
      <color theme="1"/>
      <name val="Arial"/>
      <family val="2"/>
    </font>
    <font>
      <b/>
      <sz val="10"/>
      <color theme="1"/>
      <name val="Arial"/>
      <family val="2"/>
    </font>
    <font>
      <sz val="10"/>
      <color theme="1"/>
      <name val="Calibri"/>
      <family val="2"/>
      <scheme val="minor"/>
    </font>
    <font>
      <b/>
      <sz val="10"/>
      <color rgb="FF000000"/>
      <name val="Calibri"/>
      <family val="2"/>
    </font>
    <font>
      <b/>
      <vertAlign val="subscript"/>
      <sz val="10"/>
      <color rgb="FF000000"/>
      <name val="Arial"/>
      <family val="2"/>
    </font>
    <font>
      <b/>
      <u/>
      <sz val="18"/>
      <color rgb="FF000000"/>
      <name val="Calibri"/>
      <family val="2"/>
    </font>
    <font>
      <sz val="10"/>
      <color theme="1"/>
      <name val="Segoe UI"/>
      <family val="2"/>
    </font>
    <font>
      <b/>
      <sz val="10"/>
      <color rgb="FF00FFFF"/>
      <name val="Segoe UI"/>
      <family val="2"/>
    </font>
    <font>
      <b/>
      <sz val="10"/>
      <color rgb="FF000000"/>
      <name val="Segoe UI"/>
      <family val="2"/>
    </font>
    <font>
      <b/>
      <u/>
      <sz val="10"/>
      <color rgb="FF000000"/>
      <name val="Segoe UI"/>
      <family val="2"/>
    </font>
    <font>
      <b/>
      <sz val="10"/>
      <color theme="1"/>
      <name val="Segoe UI"/>
      <family val="2"/>
    </font>
    <font>
      <b/>
      <u/>
      <sz val="10"/>
      <name val="Segoe UI"/>
      <family val="2"/>
    </font>
    <font>
      <sz val="10"/>
      <name val="Segoe UI"/>
      <family val="2"/>
    </font>
    <font>
      <b/>
      <vertAlign val="subscript"/>
      <sz val="10"/>
      <color rgb="FF000000"/>
      <name val="Segoe UI"/>
      <family val="2"/>
    </font>
    <font>
      <b/>
      <sz val="10"/>
      <name val="Segoe UI"/>
      <family val="2"/>
    </font>
    <font>
      <sz val="10"/>
      <color rgb="FF000000"/>
      <name val="Segoe UI"/>
      <family val="2"/>
    </font>
    <font>
      <b/>
      <u/>
      <sz val="18"/>
      <color rgb="FF000000"/>
      <name val="Segoe UI"/>
      <family val="2"/>
    </font>
    <font>
      <sz val="10"/>
      <name val="Arial"/>
      <family val="2"/>
    </font>
    <font>
      <b/>
      <sz val="8"/>
      <name val="Arial"/>
      <family val="2"/>
    </font>
    <font>
      <sz val="10"/>
      <color indexed="12"/>
      <name val="Arial"/>
      <family val="2"/>
    </font>
    <font>
      <sz val="10"/>
      <color rgb="FF0066FF"/>
      <name val="Arial"/>
      <family val="2"/>
    </font>
    <font>
      <b/>
      <u/>
      <sz val="8"/>
      <name val="Arial"/>
      <family val="2"/>
    </font>
    <font>
      <i/>
      <sz val="8"/>
      <name val="Arial"/>
      <family val="2"/>
    </font>
    <font>
      <vertAlign val="superscript"/>
      <sz val="8"/>
      <name val="Arial"/>
      <family val="2"/>
    </font>
    <font>
      <b/>
      <sz val="8"/>
      <color indexed="12"/>
      <name val="Arial"/>
      <family val="2"/>
    </font>
    <font>
      <sz val="8"/>
      <color indexed="16"/>
      <name val="Arial"/>
      <family val="2"/>
    </font>
    <font>
      <b/>
      <sz val="8"/>
      <color theme="5"/>
      <name val="Arial"/>
      <family val="2"/>
    </font>
    <font>
      <sz val="8"/>
      <color theme="5"/>
      <name val="Arial"/>
      <family val="2"/>
    </font>
    <font>
      <sz val="8"/>
      <color indexed="81"/>
      <name val="Tahoma"/>
      <family val="2"/>
    </font>
    <font>
      <b/>
      <u/>
      <sz val="8"/>
      <color theme="1"/>
      <name val="Arial"/>
      <family val="2"/>
    </font>
    <font>
      <b/>
      <sz val="8"/>
      <color theme="1"/>
      <name val="Arial"/>
      <family val="2"/>
    </font>
    <font>
      <sz val="8"/>
      <color theme="1"/>
      <name val="Arial"/>
      <family val="2"/>
    </font>
    <font>
      <sz val="8"/>
      <name val="Calibri"/>
      <family val="2"/>
    </font>
    <font>
      <b/>
      <u/>
      <sz val="16"/>
      <color rgb="FF000000"/>
      <name val="Segoe UI"/>
      <family val="2"/>
    </font>
    <font>
      <sz val="8"/>
      <color rgb="FFFF0000"/>
      <name val="Arial"/>
      <family val="2"/>
    </font>
  </fonts>
  <fills count="24">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00"/>
        <bgColor indexed="64"/>
      </patternFill>
    </fill>
    <fill>
      <patternFill patternType="solid">
        <fgColor theme="6" tint="0.39997558519241921"/>
        <bgColor indexed="64"/>
      </patternFill>
    </fill>
    <fill>
      <patternFill patternType="solid">
        <fgColor theme="6" tint="0.39997558519241921"/>
        <bgColor rgb="FFC2D69B"/>
      </patternFill>
    </fill>
    <fill>
      <patternFill patternType="solid">
        <fgColor theme="2"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C2D69B"/>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79998168889431442"/>
        <bgColor rgb="FFC2D69B"/>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tint="-9.9978637043366805E-2"/>
        <bgColor rgb="FFC2D69B"/>
      </patternFill>
    </fill>
  </fills>
  <borders count="31">
    <border>
      <left/>
      <right/>
      <top/>
      <bottom/>
      <diagonal/>
    </border>
    <border>
      <left/>
      <right/>
      <top/>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12"/>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37">
    <xf numFmtId="0" fontId="0" fillId="0" borderId="0"/>
    <xf numFmtId="0" fontId="21" fillId="0" borderId="1" applyNumberFormat="0" applyFill="0" applyBorder="0" applyAlignment="0" applyProtection="0">
      <protection locked="0"/>
    </xf>
    <xf numFmtId="168" fontId="22" fillId="0" borderId="1" applyFont="0" applyFill="0" applyBorder="0" applyAlignment="0" applyProtection="0">
      <alignment horizontal="left"/>
      <protection locked="0"/>
    </xf>
    <xf numFmtId="167" fontId="22" fillId="0" borderId="1" applyFont="0" applyFill="0" applyBorder="0" applyAlignment="0" applyProtection="0"/>
    <xf numFmtId="0" fontId="10" fillId="0" borderId="1"/>
    <xf numFmtId="0" fontId="21" fillId="0" borderId="1" applyNumberFormat="0" applyFill="0" applyBorder="0" applyAlignment="0" applyProtection="0">
      <alignment horizontal="left" vertical="top" wrapText="1"/>
      <protection locked="0"/>
    </xf>
    <xf numFmtId="0" fontId="23" fillId="0" borderId="1" applyNumberFormat="0" applyFill="0" applyBorder="0" applyAlignment="0" applyProtection="0">
      <alignment horizontal="left"/>
      <protection locked="0"/>
    </xf>
    <xf numFmtId="170" fontId="24" fillId="0" borderId="10" applyFont="0" applyFill="0" applyBorder="0" applyAlignment="0" applyProtection="0">
      <alignment horizontal="center" vertical="top" wrapText="1"/>
      <protection locked="0"/>
    </xf>
    <xf numFmtId="0" fontId="23" fillId="0" borderId="1" applyNumberFormat="0" applyFill="0" applyBorder="0" applyAlignment="0" applyProtection="0">
      <alignment horizontal="center" vertical="top" wrapText="1"/>
    </xf>
    <xf numFmtId="0" fontId="25" fillId="0" borderId="1" applyNumberFormat="0" applyFill="0" applyBorder="0" applyAlignment="0" applyProtection="0">
      <alignment horizontal="center" vertical="top" wrapText="1"/>
      <protection locked="0"/>
    </xf>
    <xf numFmtId="0" fontId="26" fillId="0" borderId="1" applyNumberFormat="0" applyFill="0" applyBorder="0" applyAlignment="0" applyProtection="0">
      <alignment vertical="top"/>
      <protection locked="0"/>
    </xf>
    <xf numFmtId="169" fontId="22" fillId="0" borderId="1" applyFont="0" applyFill="0" applyBorder="0" applyAlignment="0" applyProtection="0">
      <alignment horizontal="left"/>
      <protection locked="0"/>
    </xf>
    <xf numFmtId="166" fontId="24" fillId="0" borderId="10" applyFont="0" applyFill="0" applyBorder="0" applyAlignment="0" applyProtection="0">
      <alignment horizontal="center" vertical="top" wrapText="1"/>
      <protection locked="0"/>
    </xf>
    <xf numFmtId="2" fontId="24" fillId="0" borderId="10" applyFont="0" applyFill="0" applyBorder="0" applyAlignment="0" applyProtection="0">
      <alignment horizontal="center" vertical="top" wrapText="1"/>
      <protection locked="0"/>
    </xf>
    <xf numFmtId="0" fontId="27" fillId="0" borderId="1" applyNumberFormat="0" applyFill="0" applyAlignment="0" applyProtection="0">
      <alignment horizontal="centerContinuous"/>
    </xf>
    <xf numFmtId="14" fontId="28" fillId="0" borderId="1" applyNumberFormat="0" applyBorder="0" applyAlignment="0" applyProtection="0">
      <alignment horizontal="center" vertical="top" wrapText="1"/>
      <protection locked="0"/>
    </xf>
    <xf numFmtId="14" fontId="29" fillId="0" borderId="1" applyNumberFormat="0" applyFill="0" applyBorder="0" applyAlignment="0" applyProtection="0">
      <alignment horizontal="center" vertical="top" wrapText="1"/>
      <protection locked="0"/>
    </xf>
    <xf numFmtId="14" fontId="30" fillId="0" borderId="12" applyNumberFormat="0" applyFill="0" applyBorder="0" applyAlignment="0" applyProtection="0">
      <alignment horizontal="center" vertical="center" wrapText="1"/>
    </xf>
    <xf numFmtId="169" fontId="22" fillId="0" borderId="1" applyNumberFormat="0" applyFill="0" applyBorder="0" applyAlignment="0" applyProtection="0">
      <alignment horizontal="left"/>
      <protection locked="0"/>
    </xf>
    <xf numFmtId="167" fontId="31" fillId="0" borderId="1" applyNumberFormat="0" applyFill="0" applyBorder="0" applyAlignment="0" applyProtection="0">
      <alignment horizontal="center" vertical="top" wrapText="1"/>
      <protection locked="0"/>
    </xf>
    <xf numFmtId="167" fontId="32" fillId="0" borderId="1" applyNumberFormat="0" applyFill="0" applyBorder="0" applyAlignment="0" applyProtection="0">
      <alignment horizontal="center" vertical="top" wrapText="1"/>
      <protection locked="0"/>
    </xf>
    <xf numFmtId="0" fontId="21" fillId="0" borderId="1" applyNumberFormat="0" applyFill="0" applyBorder="0" applyAlignment="0" applyProtection="0">
      <protection locked="0"/>
    </xf>
    <xf numFmtId="171" fontId="33" fillId="0" borderId="18" applyNumberFormat="0" applyFill="0" applyBorder="0" applyAlignment="0" applyProtection="0">
      <alignment horizontal="center" vertical="top" wrapText="1"/>
    </xf>
    <xf numFmtId="0" fontId="9" fillId="0" borderId="1"/>
    <xf numFmtId="0" fontId="18" fillId="0" borderId="1" applyNumberFormat="0" applyFill="0" applyBorder="0" applyAlignment="0" applyProtection="0">
      <protection locked="0"/>
    </xf>
    <xf numFmtId="0" fontId="8" fillId="0" borderId="1"/>
    <xf numFmtId="0" fontId="18" fillId="0" borderId="1" applyNumberFormat="0" applyFill="0" applyBorder="0" applyAlignment="0" applyProtection="0">
      <alignment horizontal="left" vertical="top" wrapText="1"/>
      <protection locked="0"/>
    </xf>
    <xf numFmtId="0" fontId="7" fillId="0" borderId="1"/>
    <xf numFmtId="0" fontId="6" fillId="0" borderId="1"/>
    <xf numFmtId="0" fontId="53" fillId="0" borderId="1"/>
    <xf numFmtId="0" fontId="5" fillId="0" borderId="1"/>
    <xf numFmtId="0" fontId="4" fillId="0" borderId="1"/>
    <xf numFmtId="0" fontId="3" fillId="0" borderId="1"/>
    <xf numFmtId="0" fontId="54" fillId="0" borderId="1" applyNumberFormat="0" applyFill="0" applyBorder="0" applyAlignment="0" applyProtection="0">
      <alignment horizontal="left"/>
      <protection locked="0"/>
    </xf>
    <xf numFmtId="0" fontId="2" fillId="0" borderId="1"/>
    <xf numFmtId="0" fontId="18" fillId="0" borderId="1" applyNumberFormat="0" applyFill="0" applyBorder="0" applyAlignment="0" applyProtection="0">
      <protection locked="0"/>
    </xf>
    <xf numFmtId="0" fontId="1" fillId="0" borderId="1"/>
  </cellStyleXfs>
  <cellXfs count="1082">
    <xf numFmtId="0" fontId="0" fillId="0" borderId="0" xfId="0"/>
    <xf numFmtId="0" fontId="13" fillId="0" borderId="1" xfId="0" applyFont="1" applyBorder="1" applyAlignment="1">
      <alignment horizontal="center"/>
    </xf>
    <xf numFmtId="4" fontId="14" fillId="0" borderId="1" xfId="0" applyNumberFormat="1" applyFont="1" applyBorder="1" applyAlignment="1">
      <alignment horizontal="center"/>
    </xf>
    <xf numFmtId="4" fontId="12" fillId="0" borderId="1" xfId="0" applyNumberFormat="1" applyFont="1" applyBorder="1" applyAlignment="1">
      <alignment horizontal="center" vertical="top"/>
    </xf>
    <xf numFmtId="0" fontId="12" fillId="0" borderId="1" xfId="0" applyFont="1" applyBorder="1" applyAlignment="1">
      <alignment horizontal="center" vertical="top"/>
    </xf>
    <xf numFmtId="4" fontId="12" fillId="0" borderId="1" xfId="0" applyNumberFormat="1" applyFont="1" applyBorder="1" applyAlignment="1">
      <alignment horizontal="center"/>
    </xf>
    <xf numFmtId="0" fontId="12" fillId="0" borderId="1" xfId="0" applyFont="1" applyBorder="1" applyAlignment="1">
      <alignment horizontal="center" vertical="center"/>
    </xf>
    <xf numFmtId="0" fontId="17" fillId="0" borderId="1" xfId="0" applyFont="1" applyBorder="1"/>
    <xf numFmtId="0" fontId="13" fillId="2" borderId="1" xfId="0" applyFont="1" applyFill="1" applyBorder="1"/>
    <xf numFmtId="2" fontId="13" fillId="2" borderId="1" xfId="0" applyNumberFormat="1" applyFont="1" applyFill="1" applyBorder="1"/>
    <xf numFmtId="4" fontId="12" fillId="0" borderId="1" xfId="0" applyNumberFormat="1" applyFont="1" applyBorder="1" applyAlignment="1">
      <alignment horizontal="center" vertical="center"/>
    </xf>
    <xf numFmtId="0" fontId="0" fillId="0" borderId="0" xfId="0"/>
    <xf numFmtId="0" fontId="13" fillId="0" borderId="2" xfId="0" applyFont="1" applyBorder="1" applyAlignment="1">
      <alignment horizontal="center"/>
    </xf>
    <xf numFmtId="0" fontId="17" fillId="0" borderId="1" xfId="0" applyFont="1" applyBorder="1" applyAlignment="1">
      <alignment horizontal="center"/>
    </xf>
    <xf numFmtId="2" fontId="17" fillId="0" borderId="1" xfId="0" applyNumberFormat="1" applyFont="1" applyBorder="1" applyAlignment="1">
      <alignment horizontal="center"/>
    </xf>
    <xf numFmtId="0" fontId="13" fillId="0" borderId="20" xfId="0" applyFont="1" applyBorder="1" applyAlignment="1">
      <alignment horizontal="center"/>
    </xf>
    <xf numFmtId="0" fontId="17" fillId="0" borderId="1" xfId="0" applyFont="1" applyFill="1" applyBorder="1"/>
    <xf numFmtId="4" fontId="37" fillId="0" borderId="1" xfId="0" applyNumberFormat="1" applyFont="1" applyBorder="1" applyAlignment="1">
      <alignment horizontal="center"/>
    </xf>
    <xf numFmtId="0" fontId="12" fillId="0" borderId="2" xfId="0" applyFont="1" applyBorder="1" applyAlignment="1">
      <alignment horizontal="center"/>
    </xf>
    <xf numFmtId="0" fontId="12" fillId="0" borderId="20" xfId="0" applyFont="1" applyBorder="1" applyAlignment="1">
      <alignment horizontal="center"/>
    </xf>
    <xf numFmtId="0" fontId="0" fillId="0" borderId="1" xfId="0" applyBorder="1"/>
    <xf numFmtId="0" fontId="13" fillId="0" borderId="1" xfId="0" applyFont="1" applyFill="1" applyBorder="1"/>
    <xf numFmtId="0" fontId="12" fillId="0" borderId="2" xfId="0" applyFont="1" applyBorder="1" applyAlignment="1">
      <alignment horizontal="center" vertical="top"/>
    </xf>
    <xf numFmtId="0" fontId="12" fillId="0" borderId="2" xfId="0" applyFont="1" applyBorder="1" applyAlignment="1">
      <alignment horizontal="center" vertical="center"/>
    </xf>
    <xf numFmtId="164" fontId="11" fillId="0" borderId="15" xfId="0" applyNumberFormat="1" applyFont="1" applyBorder="1" applyAlignment="1">
      <alignment horizontal="center" vertical="top"/>
    </xf>
    <xf numFmtId="0" fontId="12" fillId="0" borderId="14" xfId="0" applyFont="1" applyBorder="1" applyAlignment="1">
      <alignment horizontal="center" vertical="top"/>
    </xf>
    <xf numFmtId="0" fontId="13" fillId="0" borderId="22" xfId="0" applyFont="1" applyBorder="1" applyAlignment="1">
      <alignment horizontal="center"/>
    </xf>
    <xf numFmtId="0" fontId="13" fillId="0" borderId="24" xfId="0" applyFont="1" applyBorder="1" applyAlignment="1">
      <alignment horizontal="center"/>
    </xf>
    <xf numFmtId="0" fontId="13" fillId="0" borderId="14" xfId="0" applyFont="1" applyBorder="1" applyAlignment="1">
      <alignment horizontal="center"/>
    </xf>
    <xf numFmtId="4" fontId="12" fillId="0" borderId="14" xfId="0" applyNumberFormat="1" applyFont="1" applyBorder="1" applyAlignment="1">
      <alignment horizontal="center" vertical="top"/>
    </xf>
    <xf numFmtId="4" fontId="13" fillId="0" borderId="14" xfId="0" applyNumberFormat="1" applyFont="1" applyBorder="1" applyAlignment="1">
      <alignment horizontal="center"/>
    </xf>
    <xf numFmtId="164" fontId="11" fillId="0" borderId="12" xfId="0" applyNumberFormat="1" applyFont="1" applyBorder="1" applyAlignment="1">
      <alignment horizontal="center" vertical="top"/>
    </xf>
    <xf numFmtId="164" fontId="12" fillId="0" borderId="12" xfId="0" applyNumberFormat="1" applyFont="1" applyBorder="1" applyAlignment="1">
      <alignment horizontal="center" vertical="center"/>
    </xf>
    <xf numFmtId="164" fontId="13" fillId="0" borderId="7" xfId="0" applyNumberFormat="1" applyFont="1" applyBorder="1" applyAlignment="1">
      <alignment horizontal="center" vertical="top"/>
    </xf>
    <xf numFmtId="0" fontId="13" fillId="0" borderId="8" xfId="0" applyFont="1" applyBorder="1" applyAlignment="1">
      <alignment horizontal="center" vertical="top"/>
    </xf>
    <xf numFmtId="0" fontId="13" fillId="0" borderId="23" xfId="0" applyFont="1" applyBorder="1" applyAlignment="1">
      <alignment horizontal="center"/>
    </xf>
    <xf numFmtId="0" fontId="13" fillId="0" borderId="8" xfId="0" applyFont="1" applyBorder="1" applyAlignment="1">
      <alignment horizontal="center"/>
    </xf>
    <xf numFmtId="4" fontId="0" fillId="0" borderId="8" xfId="0" applyNumberFormat="1" applyFont="1" applyBorder="1" applyAlignment="1">
      <alignment horizontal="center"/>
    </xf>
    <xf numFmtId="4" fontId="13" fillId="0" borderId="8" xfId="0" applyNumberFormat="1" applyFont="1" applyBorder="1" applyAlignment="1">
      <alignment horizontal="center" vertical="top"/>
    </xf>
    <xf numFmtId="4" fontId="13" fillId="0" borderId="8" xfId="0" applyNumberFormat="1" applyFont="1" applyBorder="1" applyAlignment="1">
      <alignment horizontal="center"/>
    </xf>
    <xf numFmtId="2" fontId="0" fillId="0" borderId="8" xfId="0" applyNumberFormat="1" applyFont="1" applyBorder="1" applyAlignment="1">
      <alignment horizontal="center"/>
    </xf>
    <xf numFmtId="0" fontId="13" fillId="0" borderId="6" xfId="0" applyFont="1" applyBorder="1" applyAlignment="1">
      <alignment horizontal="center"/>
    </xf>
    <xf numFmtId="4" fontId="36" fillId="0" borderId="8" xfId="0" applyNumberFormat="1" applyFont="1" applyBorder="1" applyAlignment="1">
      <alignment horizontal="center"/>
    </xf>
    <xf numFmtId="0" fontId="13" fillId="0" borderId="9" xfId="0" applyFont="1" applyBorder="1" applyAlignment="1">
      <alignment horizontal="center"/>
    </xf>
    <xf numFmtId="2" fontId="0" fillId="0" borderId="1" xfId="0" applyNumberFormat="1" applyBorder="1"/>
    <xf numFmtId="0" fontId="12" fillId="0" borderId="13" xfId="0" applyFont="1" applyBorder="1" applyAlignment="1">
      <alignment horizontal="center" vertical="top"/>
    </xf>
    <xf numFmtId="0" fontId="13" fillId="0" borderId="9" xfId="0" applyFont="1" applyBorder="1" applyAlignment="1">
      <alignment horizontal="center" vertical="top"/>
    </xf>
    <xf numFmtId="4" fontId="13" fillId="0" borderId="25" xfId="0" applyNumberFormat="1" applyFont="1" applyBorder="1" applyAlignment="1">
      <alignment horizontal="center" vertical="top"/>
    </xf>
    <xf numFmtId="0" fontId="0" fillId="0" borderId="1" xfId="0" applyFill="1" applyBorder="1"/>
    <xf numFmtId="4" fontId="14" fillId="0" borderId="14" xfId="0" applyNumberFormat="1" applyFont="1" applyBorder="1" applyAlignment="1">
      <alignment horizontal="center"/>
    </xf>
    <xf numFmtId="4" fontId="12" fillId="0" borderId="16" xfId="0" applyNumberFormat="1" applyFont="1" applyBorder="1" applyAlignment="1">
      <alignment horizontal="center" vertical="top"/>
    </xf>
    <xf numFmtId="4" fontId="12" fillId="0" borderId="5" xfId="0" applyNumberFormat="1" applyFont="1" applyBorder="1" applyAlignment="1">
      <alignment horizontal="center" vertical="top"/>
    </xf>
    <xf numFmtId="0" fontId="12" fillId="0" borderId="5" xfId="0" applyFont="1" applyBorder="1" applyAlignment="1">
      <alignment horizontal="center"/>
    </xf>
    <xf numFmtId="4" fontId="12" fillId="0" borderId="5" xfId="0" applyNumberFormat="1" applyFont="1" applyBorder="1" applyAlignment="1">
      <alignment horizontal="center" vertical="center"/>
    </xf>
    <xf numFmtId="0" fontId="13" fillId="0" borderId="13" xfId="0" applyFont="1" applyBorder="1" applyAlignment="1">
      <alignment horizontal="center"/>
    </xf>
    <xf numFmtId="4" fontId="14" fillId="0" borderId="3" xfId="0" applyNumberFormat="1" applyFont="1" applyBorder="1" applyAlignment="1">
      <alignment horizontal="center"/>
    </xf>
    <xf numFmtId="0" fontId="0" fillId="0" borderId="3" xfId="0" applyBorder="1"/>
    <xf numFmtId="0" fontId="16" fillId="0" borderId="1" xfId="0" applyFont="1" applyBorder="1" applyAlignment="1">
      <alignment horizontal="center"/>
    </xf>
    <xf numFmtId="4" fontId="12" fillId="0" borderId="15" xfId="0" applyNumberFormat="1" applyFont="1" applyBorder="1" applyAlignment="1">
      <alignment horizontal="center" vertical="top"/>
    </xf>
    <xf numFmtId="4" fontId="12" fillId="0" borderId="17" xfId="0" applyNumberFormat="1" applyFont="1" applyBorder="1" applyAlignment="1">
      <alignment horizontal="center"/>
    </xf>
    <xf numFmtId="4" fontId="14" fillId="0" borderId="3" xfId="0" applyNumberFormat="1" applyFont="1" applyBorder="1" applyAlignment="1">
      <alignment horizontal="center" vertical="top"/>
    </xf>
    <xf numFmtId="4" fontId="14" fillId="0" borderId="1" xfId="0" applyNumberFormat="1" applyFont="1" applyBorder="1" applyAlignment="1">
      <alignment horizontal="center" vertical="top"/>
    </xf>
    <xf numFmtId="0" fontId="0" fillId="0" borderId="12" xfId="0" applyBorder="1"/>
    <xf numFmtId="0" fontId="0" fillId="0" borderId="11" xfId="0" applyBorder="1"/>
    <xf numFmtId="4" fontId="12" fillId="0" borderId="12" xfId="0" applyNumberFormat="1" applyFont="1" applyBorder="1" applyAlignment="1">
      <alignment horizontal="center"/>
    </xf>
    <xf numFmtId="4" fontId="37" fillId="0" borderId="11" xfId="0" applyNumberFormat="1" applyFont="1" applyBorder="1" applyAlignment="1">
      <alignment horizontal="center"/>
    </xf>
    <xf numFmtId="0" fontId="12" fillId="0" borderId="20" xfId="0" applyFont="1" applyBorder="1" applyAlignment="1">
      <alignment horizontal="center" vertical="center"/>
    </xf>
    <xf numFmtId="0" fontId="12" fillId="0" borderId="3" xfId="0" applyFont="1" applyBorder="1" applyAlignment="1">
      <alignment horizontal="center" vertical="center"/>
    </xf>
    <xf numFmtId="4" fontId="14" fillId="0" borderId="3" xfId="0" applyNumberFormat="1" applyFont="1" applyBorder="1" applyAlignment="1">
      <alignment horizontal="center" vertical="center" wrapText="1"/>
    </xf>
    <xf numFmtId="4" fontId="12" fillId="0" borderId="12" xfId="0" applyNumberFormat="1" applyFont="1" applyBorder="1" applyAlignment="1">
      <alignment horizontal="center" vertical="center"/>
    </xf>
    <xf numFmtId="4" fontId="37" fillId="0" borderId="1" xfId="0" applyNumberFormat="1" applyFont="1" applyBorder="1" applyAlignment="1">
      <alignment horizontal="center" vertical="center"/>
    </xf>
    <xf numFmtId="4" fontId="37" fillId="0" borderId="11" xfId="0" applyNumberFormat="1" applyFont="1" applyBorder="1" applyAlignment="1">
      <alignment horizontal="center" vertical="center"/>
    </xf>
    <xf numFmtId="2" fontId="16" fillId="0" borderId="1" xfId="0" applyNumberFormat="1" applyFont="1" applyBorder="1" applyAlignment="1">
      <alignment horizontal="center" vertical="center"/>
    </xf>
    <xf numFmtId="165" fontId="16" fillId="0" borderId="11" xfId="0" applyNumberFormat="1" applyFont="1" applyBorder="1" applyAlignment="1">
      <alignment horizontal="center" vertical="center"/>
    </xf>
    <xf numFmtId="0" fontId="0" fillId="0" borderId="1" xfId="0" applyBorder="1" applyAlignment="1">
      <alignment vertical="center"/>
    </xf>
    <xf numFmtId="4" fontId="13" fillId="0" borderId="7" xfId="0" applyNumberFormat="1" applyFont="1" applyBorder="1" applyAlignment="1">
      <alignment horizontal="center"/>
    </xf>
    <xf numFmtId="4" fontId="36" fillId="0" borderId="6" xfId="0" applyNumberFormat="1" applyFont="1" applyBorder="1" applyAlignment="1">
      <alignment horizontal="center"/>
    </xf>
    <xf numFmtId="4" fontId="16" fillId="4" borderId="14" xfId="0" applyNumberFormat="1" applyFont="1" applyFill="1" applyBorder="1" applyAlignment="1">
      <alignment horizontal="center"/>
    </xf>
    <xf numFmtId="0" fontId="16" fillId="4" borderId="14" xfId="0" applyFont="1" applyFill="1" applyBorder="1"/>
    <xf numFmtId="4" fontId="16" fillId="4" borderId="17" xfId="0" applyNumberFormat="1" applyFont="1" applyFill="1" applyBorder="1" applyAlignment="1">
      <alignment horizontal="center"/>
    </xf>
    <xf numFmtId="0" fontId="39" fillId="2" borderId="10" xfId="0" applyFont="1" applyFill="1" applyBorder="1"/>
    <xf numFmtId="164" fontId="39" fillId="2" borderId="10" xfId="0" applyNumberFormat="1" applyFont="1" applyFill="1" applyBorder="1"/>
    <xf numFmtId="0" fontId="39" fillId="2" borderId="10" xfId="0" applyFont="1" applyFill="1" applyBorder="1" applyAlignment="1">
      <alignment horizontal="center"/>
    </xf>
    <xf numFmtId="164" fontId="16" fillId="4" borderId="10" xfId="0" applyNumberFormat="1" applyFont="1" applyFill="1" applyBorder="1"/>
    <xf numFmtId="14" fontId="39" fillId="2" borderId="27" xfId="0" applyNumberFormat="1" applyFont="1" applyFill="1" applyBorder="1"/>
    <xf numFmtId="0" fontId="13" fillId="2" borderId="12" xfId="0" applyFont="1" applyFill="1" applyBorder="1"/>
    <xf numFmtId="0" fontId="13" fillId="2" borderId="2" xfId="0" applyFont="1" applyFill="1" applyBorder="1" applyAlignment="1">
      <alignment horizontal="right"/>
    </xf>
    <xf numFmtId="0" fontId="0" fillId="4" borderId="1" xfId="0" applyFill="1" applyBorder="1"/>
    <xf numFmtId="0" fontId="13" fillId="2" borderId="11" xfId="0" applyFont="1" applyFill="1" applyBorder="1"/>
    <xf numFmtId="0" fontId="36" fillId="4" borderId="2" xfId="0" applyFont="1" applyFill="1" applyBorder="1" applyAlignment="1">
      <alignment horizontal="right"/>
    </xf>
    <xf numFmtId="0" fontId="38" fillId="4" borderId="2" xfId="0" applyFont="1" applyFill="1" applyBorder="1" applyAlignment="1">
      <alignment horizontal="right"/>
    </xf>
    <xf numFmtId="0" fontId="13" fillId="2" borderId="7" xfId="0" applyFont="1" applyFill="1" applyBorder="1"/>
    <xf numFmtId="0" fontId="38" fillId="4" borderId="9" xfId="0" applyFont="1" applyFill="1" applyBorder="1" applyAlignment="1">
      <alignment horizontal="right"/>
    </xf>
    <xf numFmtId="2" fontId="13" fillId="2" borderId="8" xfId="0" applyNumberFormat="1" applyFont="1" applyFill="1" applyBorder="1"/>
    <xf numFmtId="0" fontId="13" fillId="2" borderId="8" xfId="0" applyFont="1" applyFill="1" applyBorder="1"/>
    <xf numFmtId="4" fontId="13" fillId="2" borderId="8" xfId="0" applyNumberFormat="1" applyFont="1" applyFill="1" applyBorder="1"/>
    <xf numFmtId="0" fontId="13" fillId="2" borderId="6" xfId="0" applyFont="1" applyFill="1" applyBorder="1"/>
    <xf numFmtId="14" fontId="0" fillId="0" borderId="1" xfId="0" applyNumberFormat="1" applyBorder="1"/>
    <xf numFmtId="4" fontId="0" fillId="0" borderId="1" xfId="0" applyNumberFormat="1" applyBorder="1"/>
    <xf numFmtId="0" fontId="0" fillId="0" borderId="8" xfId="0" applyBorder="1"/>
    <xf numFmtId="0" fontId="0" fillId="0" borderId="6" xfId="0" applyBorder="1"/>
    <xf numFmtId="14" fontId="34" fillId="0" borderId="1" xfId="0" applyNumberFormat="1" applyFont="1" applyBorder="1"/>
    <xf numFmtId="2" fontId="0" fillId="0" borderId="11" xfId="0" applyNumberFormat="1" applyBorder="1"/>
    <xf numFmtId="14" fontId="36" fillId="5" borderId="12" xfId="0" applyNumberFormat="1" applyFont="1" applyFill="1" applyBorder="1" applyAlignment="1">
      <alignment horizontal="center"/>
    </xf>
    <xf numFmtId="0" fontId="36" fillId="5" borderId="1" xfId="0" applyFont="1" applyFill="1" applyBorder="1" applyAlignment="1">
      <alignment horizontal="center"/>
    </xf>
    <xf numFmtId="0" fontId="36" fillId="5" borderId="2" xfId="0" applyFont="1" applyFill="1" applyBorder="1" applyAlignment="1">
      <alignment horizontal="center"/>
    </xf>
    <xf numFmtId="0" fontId="36" fillId="5" borderId="20" xfId="0" applyFont="1" applyFill="1" applyBorder="1" applyAlignment="1">
      <alignment horizontal="center"/>
    </xf>
    <xf numFmtId="4" fontId="36" fillId="5" borderId="1" xfId="0" applyNumberFormat="1" applyFont="1" applyFill="1" applyBorder="1" applyAlignment="1">
      <alignment horizontal="center"/>
    </xf>
    <xf numFmtId="4" fontId="36" fillId="5" borderId="5" xfId="0" applyNumberFormat="1" applyFont="1" applyFill="1" applyBorder="1" applyAlignment="1">
      <alignment horizontal="center"/>
    </xf>
    <xf numFmtId="4" fontId="36" fillId="5" borderId="3" xfId="0" applyNumberFormat="1" applyFont="1" applyFill="1" applyBorder="1" applyAlignment="1">
      <alignment horizontal="center"/>
    </xf>
    <xf numFmtId="4" fontId="36" fillId="5" borderId="2" xfId="0" applyNumberFormat="1" applyFont="1" applyFill="1" applyBorder="1" applyAlignment="1">
      <alignment horizontal="center"/>
    </xf>
    <xf numFmtId="4" fontId="0" fillId="0" borderId="7" xfId="0" applyNumberFormat="1" applyFont="1" applyBorder="1" applyAlignment="1">
      <alignment horizontal="center"/>
    </xf>
    <xf numFmtId="4" fontId="0" fillId="0" borderId="6" xfId="0" applyNumberFormat="1" applyFont="1" applyBorder="1" applyAlignment="1">
      <alignment horizontal="center"/>
    </xf>
    <xf numFmtId="0" fontId="42" fillId="4" borderId="2" xfId="0" applyFont="1" applyFill="1" applyBorder="1" applyAlignment="1">
      <alignment horizontal="right"/>
    </xf>
    <xf numFmtId="0" fontId="42" fillId="4" borderId="9" xfId="0" applyFont="1" applyFill="1" applyBorder="1" applyAlignment="1">
      <alignment horizontal="right"/>
    </xf>
    <xf numFmtId="164" fontId="43" fillId="0" borderId="12" xfId="0" applyNumberFormat="1" applyFont="1" applyBorder="1" applyAlignment="1">
      <alignment horizontal="center" vertical="top"/>
    </xf>
    <xf numFmtId="0" fontId="44" fillId="0" borderId="1" xfId="0" applyFont="1" applyBorder="1" applyAlignment="1">
      <alignment horizontal="center" vertical="top"/>
    </xf>
    <xf numFmtId="0" fontId="44" fillId="0" borderId="2" xfId="0" applyFont="1" applyBorder="1" applyAlignment="1">
      <alignment horizontal="center" vertical="top"/>
    </xf>
    <xf numFmtId="0" fontId="44" fillId="0" borderId="20" xfId="0" applyFont="1" applyBorder="1" applyAlignment="1">
      <alignment horizontal="center"/>
    </xf>
    <xf numFmtId="0" fontId="44" fillId="0" borderId="5" xfId="0" applyFont="1" applyBorder="1" applyAlignment="1">
      <alignment horizontal="center"/>
    </xf>
    <xf numFmtId="4" fontId="44" fillId="0" borderId="1" xfId="0" applyNumberFormat="1" applyFont="1" applyBorder="1" applyAlignment="1">
      <alignment horizontal="center"/>
    </xf>
    <xf numFmtId="4" fontId="45" fillId="0" borderId="3" xfId="0" applyNumberFormat="1" applyFont="1" applyBorder="1" applyAlignment="1">
      <alignment horizontal="center"/>
    </xf>
    <xf numFmtId="4" fontId="45" fillId="0" borderId="1" xfId="0" applyNumberFormat="1" applyFont="1" applyBorder="1" applyAlignment="1">
      <alignment horizontal="center"/>
    </xf>
    <xf numFmtId="4" fontId="44" fillId="0" borderId="12" xfId="0" applyNumberFormat="1" applyFont="1" applyBorder="1" applyAlignment="1">
      <alignment horizontal="center"/>
    </xf>
    <xf numFmtId="4" fontId="46" fillId="0" borderId="1" xfId="0" applyNumberFormat="1" applyFont="1" applyBorder="1" applyAlignment="1">
      <alignment horizontal="center"/>
    </xf>
    <xf numFmtId="4" fontId="46" fillId="0" borderId="11" xfId="0" applyNumberFormat="1" applyFont="1" applyBorder="1" applyAlignment="1">
      <alignment horizontal="center"/>
    </xf>
    <xf numFmtId="0" fontId="44" fillId="0" borderId="2" xfId="0" applyFont="1" applyBorder="1" applyAlignment="1">
      <alignment horizontal="center"/>
    </xf>
    <xf numFmtId="0" fontId="48" fillId="0" borderId="1" xfId="0" applyFont="1" applyBorder="1"/>
    <xf numFmtId="4" fontId="45" fillId="0" borderId="3" xfId="0" applyNumberFormat="1" applyFont="1" applyBorder="1" applyAlignment="1">
      <alignment horizontal="center" vertical="center" wrapText="1"/>
    </xf>
    <xf numFmtId="164" fontId="51" fillId="0" borderId="7" xfId="0" applyNumberFormat="1" applyFont="1" applyBorder="1" applyAlignment="1">
      <alignment horizontal="center" vertical="top"/>
    </xf>
    <xf numFmtId="0" fontId="51" fillId="0" borderId="8" xfId="0" applyFont="1" applyBorder="1" applyAlignment="1">
      <alignment horizontal="center" vertical="top"/>
    </xf>
    <xf numFmtId="0" fontId="51" fillId="0" borderId="9" xfId="0" applyFont="1" applyBorder="1" applyAlignment="1">
      <alignment horizontal="center" vertical="top"/>
    </xf>
    <xf numFmtId="0" fontId="51" fillId="0" borderId="23" xfId="0" applyFont="1" applyBorder="1" applyAlignment="1">
      <alignment horizontal="center"/>
    </xf>
    <xf numFmtId="4" fontId="48" fillId="0" borderId="8" xfId="0" applyNumberFormat="1" applyFont="1" applyBorder="1" applyAlignment="1">
      <alignment horizontal="center"/>
    </xf>
    <xf numFmtId="4" fontId="48" fillId="0" borderId="6" xfId="0" applyNumberFormat="1" applyFont="1" applyBorder="1" applyAlignment="1">
      <alignment horizontal="center"/>
    </xf>
    <xf numFmtId="4" fontId="48" fillId="0" borderId="4" xfId="0" applyNumberFormat="1" applyFont="1" applyBorder="1" applyAlignment="1">
      <alignment horizontal="center"/>
    </xf>
    <xf numFmtId="0" fontId="51" fillId="0" borderId="8" xfId="0" applyFont="1" applyBorder="1" applyAlignment="1">
      <alignment horizontal="center"/>
    </xf>
    <xf numFmtId="4" fontId="51" fillId="0" borderId="25" xfId="0" applyNumberFormat="1" applyFont="1" applyBorder="1" applyAlignment="1">
      <alignment horizontal="center" vertical="top"/>
    </xf>
    <xf numFmtId="4" fontId="51" fillId="0" borderId="8" xfId="0" applyNumberFormat="1" applyFont="1" applyBorder="1" applyAlignment="1">
      <alignment horizontal="center" vertical="top"/>
    </xf>
    <xf numFmtId="4" fontId="51" fillId="0" borderId="7" xfId="0" applyNumberFormat="1" applyFont="1" applyBorder="1" applyAlignment="1">
      <alignment horizontal="center"/>
    </xf>
    <xf numFmtId="4" fontId="51" fillId="0" borderId="8" xfId="0" applyNumberFormat="1" applyFont="1" applyBorder="1" applyAlignment="1">
      <alignment horizontal="center"/>
    </xf>
    <xf numFmtId="4" fontId="42" fillId="0" borderId="8" xfId="0" applyNumberFormat="1" applyFont="1" applyBorder="1" applyAlignment="1">
      <alignment horizontal="center"/>
    </xf>
    <xf numFmtId="4" fontId="42" fillId="0" borderId="6" xfId="0" applyNumberFormat="1" applyFont="1" applyBorder="1" applyAlignment="1">
      <alignment horizontal="center"/>
    </xf>
    <xf numFmtId="2" fontId="48" fillId="0" borderId="8" xfId="0" applyNumberFormat="1" applyFont="1" applyBorder="1" applyAlignment="1">
      <alignment horizontal="center"/>
    </xf>
    <xf numFmtId="0" fontId="51" fillId="0" borderId="6" xfId="0" applyFont="1" applyBorder="1" applyAlignment="1">
      <alignment horizontal="center"/>
    </xf>
    <xf numFmtId="0" fontId="51" fillId="0" borderId="9" xfId="0" applyFont="1" applyBorder="1" applyAlignment="1">
      <alignment horizontal="center"/>
    </xf>
    <xf numFmtId="0" fontId="48" fillId="0" borderId="1" xfId="0" applyFont="1" applyFill="1" applyBorder="1"/>
    <xf numFmtId="0" fontId="51" fillId="0" borderId="1" xfId="0" applyFont="1" applyFill="1" applyBorder="1"/>
    <xf numFmtId="0" fontId="48" fillId="0" borderId="2" xfId="0" applyFont="1" applyBorder="1"/>
    <xf numFmtId="0" fontId="48" fillId="0" borderId="11" xfId="0" applyFont="1" applyBorder="1"/>
    <xf numFmtId="0" fontId="48" fillId="0" borderId="5" xfId="0" applyFont="1" applyBorder="1"/>
    <xf numFmtId="0" fontId="48" fillId="0" borderId="12" xfId="0" applyFont="1" applyBorder="1"/>
    <xf numFmtId="0" fontId="51" fillId="0" borderId="1" xfId="0" applyFont="1" applyBorder="1" applyAlignment="1">
      <alignment horizontal="center"/>
    </xf>
    <xf numFmtId="2" fontId="51" fillId="0" borderId="1" xfId="0" applyNumberFormat="1" applyFont="1" applyBorder="1" applyAlignment="1">
      <alignment horizontal="center"/>
    </xf>
    <xf numFmtId="0" fontId="51" fillId="0" borderId="1" xfId="0" applyFont="1" applyBorder="1"/>
    <xf numFmtId="4" fontId="50" fillId="4" borderId="14" xfId="0" applyNumberFormat="1" applyFont="1" applyFill="1" applyBorder="1" applyAlignment="1">
      <alignment horizontal="center"/>
    </xf>
    <xf numFmtId="0" fontId="50" fillId="4" borderId="14" xfId="0" applyFont="1" applyFill="1" applyBorder="1"/>
    <xf numFmtId="4" fontId="50" fillId="4" borderId="17" xfId="0" applyNumberFormat="1" applyFont="1" applyFill="1" applyBorder="1" applyAlignment="1">
      <alignment horizontal="center"/>
    </xf>
    <xf numFmtId="0" fontId="44" fillId="2" borderId="10" xfId="0" applyFont="1" applyFill="1" applyBorder="1"/>
    <xf numFmtId="164" fontId="44" fillId="2" borderId="10" xfId="0" applyNumberFormat="1" applyFont="1" applyFill="1" applyBorder="1"/>
    <xf numFmtId="0" fontId="44" fillId="2" borderId="10" xfId="0" applyFont="1" applyFill="1" applyBorder="1" applyAlignment="1">
      <alignment horizontal="center"/>
    </xf>
    <xf numFmtId="164" fontId="50" fillId="4" borderId="10" xfId="0" applyNumberFormat="1" applyFont="1" applyFill="1" applyBorder="1"/>
    <xf numFmtId="14" fontId="44" fillId="2" borderId="27" xfId="0" applyNumberFormat="1" applyFont="1" applyFill="1" applyBorder="1"/>
    <xf numFmtId="0" fontId="51" fillId="2" borderId="12" xfId="0" applyFont="1" applyFill="1" applyBorder="1"/>
    <xf numFmtId="0" fontId="51" fillId="2" borderId="2" xfId="0" applyFont="1" applyFill="1" applyBorder="1" applyAlignment="1">
      <alignment horizontal="right"/>
    </xf>
    <xf numFmtId="2" fontId="51" fillId="2" borderId="1" xfId="0" applyNumberFormat="1" applyFont="1" applyFill="1" applyBorder="1"/>
    <xf numFmtId="0" fontId="51" fillId="2" borderId="1" xfId="0" applyFont="1" applyFill="1" applyBorder="1"/>
    <xf numFmtId="0" fontId="48" fillId="4" borderId="1" xfId="0" applyFont="1" applyFill="1" applyBorder="1"/>
    <xf numFmtId="0" fontId="51" fillId="2" borderId="11" xfId="0" applyFont="1" applyFill="1" applyBorder="1"/>
    <xf numFmtId="164" fontId="43" fillId="0" borderId="15" xfId="0" applyNumberFormat="1" applyFont="1" applyBorder="1" applyAlignment="1">
      <alignment horizontal="center" vertical="top"/>
    </xf>
    <xf numFmtId="0" fontId="44" fillId="0" borderId="14" xfId="0" applyFont="1" applyBorder="1" applyAlignment="1">
      <alignment horizontal="center" vertical="top"/>
    </xf>
    <xf numFmtId="0" fontId="44" fillId="0" borderId="13" xfId="0" applyFont="1" applyBorder="1" applyAlignment="1">
      <alignment horizontal="center" vertical="top"/>
    </xf>
    <xf numFmtId="0" fontId="51" fillId="0" borderId="22" xfId="0" applyFont="1" applyBorder="1" applyAlignment="1">
      <alignment horizontal="center"/>
    </xf>
    <xf numFmtId="0" fontId="51" fillId="0" borderId="24" xfId="0" applyFont="1" applyBorder="1" applyAlignment="1">
      <alignment horizontal="center"/>
    </xf>
    <xf numFmtId="0" fontId="51" fillId="0" borderId="14" xfId="0" applyFont="1" applyBorder="1" applyAlignment="1">
      <alignment horizontal="center"/>
    </xf>
    <xf numFmtId="4" fontId="44" fillId="0" borderId="14" xfId="0" applyNumberFormat="1" applyFont="1" applyBorder="1" applyAlignment="1">
      <alignment horizontal="center" vertical="top"/>
    </xf>
    <xf numFmtId="4" fontId="44" fillId="0" borderId="16" xfId="0" applyNumberFormat="1" applyFont="1" applyBorder="1" applyAlignment="1">
      <alignment horizontal="center" vertical="top"/>
    </xf>
    <xf numFmtId="4" fontId="45" fillId="0" borderId="14" xfId="0" applyNumberFormat="1" applyFont="1" applyBorder="1" applyAlignment="1">
      <alignment horizontal="center"/>
    </xf>
    <xf numFmtId="0" fontId="48" fillId="0" borderId="3" xfId="0" applyFont="1" applyBorder="1"/>
    <xf numFmtId="0" fontId="50" fillId="0" borderId="1" xfId="0" applyFont="1" applyBorder="1" applyAlignment="1">
      <alignment horizontal="center"/>
    </xf>
    <xf numFmtId="4" fontId="44" fillId="0" borderId="15" xfId="0" applyNumberFormat="1" applyFont="1" applyBorder="1" applyAlignment="1">
      <alignment horizontal="center" vertical="top"/>
    </xf>
    <xf numFmtId="4" fontId="51" fillId="0" borderId="14" xfId="0" applyNumberFormat="1" applyFont="1" applyBorder="1" applyAlignment="1">
      <alignment horizontal="center"/>
    </xf>
    <xf numFmtId="4" fontId="44" fillId="0" borderId="17" xfId="0" applyNumberFormat="1" applyFont="1" applyBorder="1" applyAlignment="1">
      <alignment horizontal="center"/>
    </xf>
    <xf numFmtId="0" fontId="51" fillId="0" borderId="13" xfId="0" applyFont="1" applyBorder="1" applyAlignment="1">
      <alignment horizontal="center"/>
    </xf>
    <xf numFmtId="0" fontId="51" fillId="0" borderId="20" xfId="0" applyFont="1" applyBorder="1" applyAlignment="1">
      <alignment horizontal="center"/>
    </xf>
    <xf numFmtId="4" fontId="44" fillId="0" borderId="1" xfId="0" applyNumberFormat="1" applyFont="1" applyBorder="1" applyAlignment="1">
      <alignment horizontal="center" vertical="top"/>
    </xf>
    <xf numFmtId="4" fontId="44" fillId="0" borderId="5" xfId="0" applyNumberFormat="1" applyFont="1" applyBorder="1" applyAlignment="1">
      <alignment horizontal="center" vertical="top"/>
    </xf>
    <xf numFmtId="4" fontId="45" fillId="0" borderId="3" xfId="0" applyNumberFormat="1" applyFont="1" applyBorder="1" applyAlignment="1">
      <alignment horizontal="center" vertical="top"/>
    </xf>
    <xf numFmtId="4" fontId="45" fillId="0" borderId="1" xfId="0" applyNumberFormat="1" applyFont="1" applyBorder="1" applyAlignment="1">
      <alignment horizontal="center" vertical="top"/>
    </xf>
    <xf numFmtId="0" fontId="51" fillId="0" borderId="2" xfId="0" applyFont="1" applyBorder="1" applyAlignment="1">
      <alignment horizontal="center"/>
    </xf>
    <xf numFmtId="4" fontId="45" fillId="0" borderId="20" xfId="0" applyNumberFormat="1" applyFont="1" applyBorder="1" applyAlignment="1">
      <alignment horizontal="center" vertical="center" wrapText="1"/>
    </xf>
    <xf numFmtId="4" fontId="45" fillId="0" borderId="1" xfId="0" applyNumberFormat="1" applyFont="1" applyBorder="1" applyAlignment="1">
      <alignment horizontal="center" vertical="center" wrapText="1"/>
    </xf>
    <xf numFmtId="4" fontId="48" fillId="0" borderId="7" xfId="0" applyNumberFormat="1" applyFont="1" applyBorder="1" applyAlignment="1">
      <alignment horizontal="center"/>
    </xf>
    <xf numFmtId="4" fontId="51" fillId="0" borderId="23" xfId="0" applyNumberFormat="1" applyFont="1" applyBorder="1" applyAlignment="1">
      <alignment horizontal="center" vertical="top"/>
    </xf>
    <xf numFmtId="14" fontId="51" fillId="5" borderId="1" xfId="0" applyNumberFormat="1" applyFont="1" applyFill="1" applyBorder="1" applyAlignment="1">
      <alignment horizontal="center"/>
    </xf>
    <xf numFmtId="0" fontId="51" fillId="5" borderId="1" xfId="0" applyFont="1" applyFill="1" applyBorder="1" applyAlignment="1">
      <alignment horizontal="center"/>
    </xf>
    <xf numFmtId="0" fontId="51" fillId="5" borderId="2" xfId="0" applyFont="1" applyFill="1" applyBorder="1" applyAlignment="1">
      <alignment horizontal="center"/>
    </xf>
    <xf numFmtId="0" fontId="51" fillId="5" borderId="20" xfId="0" applyFont="1" applyFill="1" applyBorder="1" applyAlignment="1">
      <alignment horizontal="center"/>
    </xf>
    <xf numFmtId="2" fontId="51" fillId="5" borderId="1" xfId="0" applyNumberFormat="1" applyFont="1" applyFill="1" applyBorder="1" applyAlignment="1">
      <alignment horizontal="center"/>
    </xf>
    <xf numFmtId="0" fontId="51" fillId="6" borderId="5" xfId="0" applyFont="1" applyFill="1" applyBorder="1" applyAlignment="1">
      <alignment horizontal="center"/>
    </xf>
    <xf numFmtId="0" fontId="51" fillId="6" borderId="1" xfId="0" applyFont="1" applyFill="1" applyBorder="1" applyAlignment="1">
      <alignment horizontal="center"/>
    </xf>
    <xf numFmtId="2" fontId="51" fillId="3" borderId="1" xfId="0" applyNumberFormat="1" applyFont="1" applyFill="1" applyBorder="1" applyAlignment="1">
      <alignment horizontal="center"/>
    </xf>
    <xf numFmtId="2" fontId="51" fillId="3" borderId="2" xfId="0" applyNumberFormat="1" applyFont="1" applyFill="1" applyBorder="1" applyAlignment="1">
      <alignment horizontal="center"/>
    </xf>
    <xf numFmtId="0" fontId="51" fillId="3" borderId="11" xfId="0" applyFont="1" applyFill="1" applyBorder="1" applyAlignment="1">
      <alignment horizontal="center"/>
    </xf>
    <xf numFmtId="0" fontId="51" fillId="3" borderId="1" xfId="0" applyFont="1" applyFill="1" applyBorder="1" applyAlignment="1">
      <alignment horizontal="center"/>
    </xf>
    <xf numFmtId="0" fontId="51" fillId="3" borderId="2" xfId="0" applyFont="1" applyFill="1" applyBorder="1"/>
    <xf numFmtId="0" fontId="48" fillId="0" borderId="20" xfId="0" applyFont="1" applyBorder="1"/>
    <xf numFmtId="0" fontId="51" fillId="2" borderId="7" xfId="0" applyFont="1" applyFill="1" applyBorder="1"/>
    <xf numFmtId="2" fontId="51" fillId="2" borderId="8" xfId="0" applyNumberFormat="1" applyFont="1" applyFill="1" applyBorder="1"/>
    <xf numFmtId="0" fontId="51" fillId="2" borderId="8" xfId="0" applyFont="1" applyFill="1" applyBorder="1"/>
    <xf numFmtId="4" fontId="51" fillId="2" borderId="8" xfId="0" applyNumberFormat="1" applyFont="1" applyFill="1" applyBorder="1"/>
    <xf numFmtId="0" fontId="51" fillId="2" borderId="6" xfId="0" applyFont="1" applyFill="1" applyBorder="1"/>
    <xf numFmtId="0" fontId="48" fillId="0" borderId="1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xf>
    <xf numFmtId="0" fontId="16" fillId="4" borderId="14" xfId="0" applyFont="1" applyFill="1" applyBorder="1" applyAlignment="1">
      <alignment horizontal="center"/>
    </xf>
    <xf numFmtId="0" fontId="17" fillId="0" borderId="1" xfId="0" applyFont="1" applyFill="1" applyBorder="1" applyAlignment="1">
      <alignment horizontal="center"/>
    </xf>
    <xf numFmtId="164" fontId="39" fillId="2" borderId="10" xfId="0" applyNumberFormat="1" applyFont="1" applyFill="1" applyBorder="1" applyAlignment="1">
      <alignment horizontal="center"/>
    </xf>
    <xf numFmtId="164" fontId="16" fillId="4" borderId="10" xfId="0" applyNumberFormat="1" applyFont="1" applyFill="1" applyBorder="1" applyAlignment="1">
      <alignment horizontal="center"/>
    </xf>
    <xf numFmtId="14" fontId="39" fillId="2" borderId="27" xfId="0" applyNumberFormat="1" applyFont="1" applyFill="1" applyBorder="1" applyAlignment="1">
      <alignment horizontal="center"/>
    </xf>
    <xf numFmtId="0" fontId="13" fillId="0" borderId="1" xfId="0" applyFont="1" applyFill="1" applyBorder="1" applyAlignment="1">
      <alignment horizontal="center"/>
    </xf>
    <xf numFmtId="0" fontId="13" fillId="2" borderId="12" xfId="0" applyFont="1" applyFill="1" applyBorder="1" applyAlignment="1">
      <alignment horizontal="center"/>
    </xf>
    <xf numFmtId="0" fontId="13" fillId="2" borderId="2" xfId="0" applyFont="1" applyFill="1" applyBorder="1" applyAlignment="1">
      <alignment horizontal="center"/>
    </xf>
    <xf numFmtId="2" fontId="13" fillId="2" borderId="1" xfId="0" applyNumberFormat="1" applyFont="1" applyFill="1" applyBorder="1" applyAlignment="1">
      <alignment horizontal="center"/>
    </xf>
    <xf numFmtId="0" fontId="13" fillId="2" borderId="1" xfId="0" applyFont="1" applyFill="1" applyBorder="1" applyAlignment="1">
      <alignment horizontal="center"/>
    </xf>
    <xf numFmtId="0" fontId="0" fillId="4" borderId="1" xfId="0" applyFill="1" applyBorder="1" applyAlignment="1">
      <alignment horizontal="center"/>
    </xf>
    <xf numFmtId="0" fontId="13" fillId="2" borderId="11" xfId="0" applyFont="1" applyFill="1" applyBorder="1" applyAlignment="1">
      <alignment horizontal="center"/>
    </xf>
    <xf numFmtId="0" fontId="36" fillId="4" borderId="2" xfId="0" applyFont="1" applyFill="1" applyBorder="1" applyAlignment="1">
      <alignment horizontal="center"/>
    </xf>
    <xf numFmtId="0" fontId="38" fillId="4" borderId="2" xfId="0" applyFont="1" applyFill="1" applyBorder="1" applyAlignment="1">
      <alignment horizontal="center"/>
    </xf>
    <xf numFmtId="0" fontId="13" fillId="2" borderId="7" xfId="0" applyFont="1" applyFill="1" applyBorder="1" applyAlignment="1">
      <alignment horizontal="center"/>
    </xf>
    <xf numFmtId="0" fontId="38" fillId="4" borderId="9" xfId="0" applyFont="1" applyFill="1" applyBorder="1" applyAlignment="1">
      <alignment horizontal="center"/>
    </xf>
    <xf numFmtId="2" fontId="13" fillId="2" borderId="8" xfId="0" applyNumberFormat="1" applyFont="1" applyFill="1" applyBorder="1" applyAlignment="1">
      <alignment horizontal="center"/>
    </xf>
    <xf numFmtId="0" fontId="13" fillId="2" borderId="8" xfId="0" applyFont="1" applyFill="1" applyBorder="1" applyAlignment="1">
      <alignment horizontal="center"/>
    </xf>
    <xf numFmtId="4" fontId="13" fillId="2" borderId="8" xfId="0" applyNumberFormat="1" applyFont="1" applyFill="1" applyBorder="1" applyAlignment="1">
      <alignment horizontal="center"/>
    </xf>
    <xf numFmtId="0" fontId="13" fillId="2" borderId="6" xfId="0" applyFont="1" applyFill="1" applyBorder="1" applyAlignment="1">
      <alignment horizontal="center"/>
    </xf>
    <xf numFmtId="0" fontId="48" fillId="9" borderId="1" xfId="0" applyFont="1" applyFill="1" applyBorder="1"/>
    <xf numFmtId="0" fontId="48" fillId="9" borderId="19" xfId="0" applyFont="1" applyFill="1" applyBorder="1"/>
    <xf numFmtId="0" fontId="48" fillId="9" borderId="2" xfId="0" applyFont="1" applyFill="1" applyBorder="1" applyAlignment="1">
      <alignment horizontal="center"/>
    </xf>
    <xf numFmtId="0" fontId="48" fillId="9" borderId="1" xfId="0" applyFont="1" applyFill="1" applyBorder="1" applyAlignment="1">
      <alignment horizontal="center"/>
    </xf>
    <xf numFmtId="14" fontId="48" fillId="9" borderId="1" xfId="0" applyNumberFormat="1" applyFont="1" applyFill="1" applyBorder="1" applyAlignment="1">
      <alignment horizontal="center"/>
    </xf>
    <xf numFmtId="0" fontId="48" fillId="9" borderId="11" xfId="0" applyFont="1" applyFill="1" applyBorder="1" applyAlignment="1">
      <alignment horizontal="center"/>
    </xf>
    <xf numFmtId="0" fontId="48" fillId="9" borderId="5" xfId="0" applyFont="1" applyFill="1" applyBorder="1" applyAlignment="1">
      <alignment horizontal="center"/>
    </xf>
    <xf numFmtId="2" fontId="48" fillId="9" borderId="1" xfId="0" applyNumberFormat="1" applyFont="1" applyFill="1" applyBorder="1" applyAlignment="1">
      <alignment horizontal="center"/>
    </xf>
    <xf numFmtId="2" fontId="48" fillId="9" borderId="2" xfId="0" applyNumberFormat="1" applyFont="1" applyFill="1" applyBorder="1" applyAlignment="1">
      <alignment horizontal="center"/>
    </xf>
    <xf numFmtId="2" fontId="36" fillId="5" borderId="1" xfId="0" applyNumberFormat="1" applyFont="1" applyFill="1" applyBorder="1" applyAlignment="1">
      <alignment horizontal="center"/>
    </xf>
    <xf numFmtId="0" fontId="12" fillId="0" borderId="3" xfId="0" applyFont="1" applyBorder="1" applyAlignment="1">
      <alignment horizontal="center"/>
    </xf>
    <xf numFmtId="0" fontId="12" fillId="0" borderId="1" xfId="0" applyFont="1" applyBorder="1" applyAlignment="1">
      <alignment horizontal="center"/>
    </xf>
    <xf numFmtId="0" fontId="12" fillId="0" borderId="11" xfId="0" applyFont="1" applyBorder="1" applyAlignment="1">
      <alignment horizontal="center"/>
    </xf>
    <xf numFmtId="0" fontId="44" fillId="0" borderId="3" xfId="0" applyFont="1" applyBorder="1" applyAlignment="1">
      <alignment horizontal="center"/>
    </xf>
    <xf numFmtId="0" fontId="44" fillId="0" borderId="1" xfId="0" applyFont="1" applyBorder="1" applyAlignment="1">
      <alignment horizontal="center"/>
    </xf>
    <xf numFmtId="0" fontId="44" fillId="0" borderId="11" xfId="0" applyFont="1" applyBorder="1" applyAlignment="1">
      <alignment horizontal="center"/>
    </xf>
    <xf numFmtId="165" fontId="47" fillId="0" borderId="1" xfId="0" applyNumberFormat="1" applyFont="1" applyBorder="1" applyAlignment="1">
      <alignment horizontal="center"/>
    </xf>
    <xf numFmtId="0" fontId="52" fillId="2" borderId="15" xfId="0" applyFont="1" applyFill="1" applyBorder="1" applyAlignment="1">
      <alignment horizontal="center" vertical="center"/>
    </xf>
    <xf numFmtId="0" fontId="52" fillId="2" borderId="13" xfId="0" applyFont="1" applyFill="1" applyBorder="1" applyAlignment="1">
      <alignment horizontal="center" vertical="center"/>
    </xf>
    <xf numFmtId="0" fontId="52" fillId="2" borderId="26" xfId="0" applyFont="1" applyFill="1" applyBorder="1" applyAlignment="1">
      <alignment horizontal="center" vertical="center"/>
    </xf>
    <xf numFmtId="0" fontId="52" fillId="2" borderId="21" xfId="0" applyFont="1" applyFill="1" applyBorder="1" applyAlignment="1">
      <alignment horizontal="center" vertical="center"/>
    </xf>
    <xf numFmtId="0" fontId="47" fillId="4" borderId="14" xfId="0" applyFont="1" applyFill="1" applyBorder="1" applyAlignment="1">
      <alignment horizontal="center"/>
    </xf>
    <xf numFmtId="2" fontId="36" fillId="5" borderId="12" xfId="0" applyNumberFormat="1" applyFont="1" applyFill="1" applyBorder="1" applyAlignment="1">
      <alignment horizontal="center"/>
    </xf>
    <xf numFmtId="14" fontId="36" fillId="0" borderId="12" xfId="0" applyNumberFormat="1" applyFont="1" applyFill="1" applyBorder="1" applyAlignment="1">
      <alignment horizontal="center"/>
    </xf>
    <xf numFmtId="0" fontId="36" fillId="0" borderId="1" xfId="0" applyFont="1" applyFill="1" applyBorder="1" applyAlignment="1">
      <alignment horizontal="center"/>
    </xf>
    <xf numFmtId="0" fontId="36" fillId="0" borderId="2" xfId="0" applyFont="1" applyFill="1" applyBorder="1" applyAlignment="1">
      <alignment horizontal="center"/>
    </xf>
    <xf numFmtId="0" fontId="36" fillId="0" borderId="20" xfId="0" applyFont="1" applyFill="1" applyBorder="1" applyAlignment="1">
      <alignment horizontal="center"/>
    </xf>
    <xf numFmtId="0" fontId="36" fillId="0" borderId="3" xfId="0" applyFont="1" applyFill="1" applyBorder="1" applyAlignment="1">
      <alignment horizontal="center"/>
    </xf>
    <xf numFmtId="4" fontId="36" fillId="0" borderId="1" xfId="0" applyNumberFormat="1" applyFont="1" applyFill="1" applyBorder="1" applyAlignment="1">
      <alignment horizontal="center"/>
    </xf>
    <xf numFmtId="4" fontId="36" fillId="0" borderId="5" xfId="0" applyNumberFormat="1" applyFont="1" applyFill="1" applyBorder="1" applyAlignment="1">
      <alignment horizontal="center"/>
    </xf>
    <xf numFmtId="2" fontId="36" fillId="0" borderId="1" xfId="0" applyNumberFormat="1" applyFont="1" applyFill="1" applyBorder="1" applyAlignment="1">
      <alignment horizontal="center"/>
    </xf>
    <xf numFmtId="4" fontId="36" fillId="0" borderId="3" xfId="0" applyNumberFormat="1" applyFont="1" applyFill="1" applyBorder="1" applyAlignment="1">
      <alignment horizontal="center"/>
    </xf>
    <xf numFmtId="2" fontId="36" fillId="0" borderId="12" xfId="0" applyNumberFormat="1" applyFont="1" applyFill="1" applyBorder="1" applyAlignment="1">
      <alignment horizontal="center"/>
    </xf>
    <xf numFmtId="4" fontId="36" fillId="0" borderId="2" xfId="0" applyNumberFormat="1" applyFont="1" applyFill="1" applyBorder="1" applyAlignment="1">
      <alignment horizontal="center"/>
    </xf>
    <xf numFmtId="14" fontId="36" fillId="10" borderId="12" xfId="0" applyNumberFormat="1" applyFont="1" applyFill="1" applyBorder="1" applyAlignment="1">
      <alignment horizontal="center"/>
    </xf>
    <xf numFmtId="0" fontId="36" fillId="10" borderId="1" xfId="0" applyFont="1" applyFill="1" applyBorder="1" applyAlignment="1">
      <alignment horizontal="center"/>
    </xf>
    <xf numFmtId="0" fontId="36" fillId="10" borderId="2" xfId="0" applyFont="1" applyFill="1" applyBorder="1" applyAlignment="1">
      <alignment horizontal="center"/>
    </xf>
    <xf numFmtId="0" fontId="36" fillId="10" borderId="20" xfId="0" applyFont="1" applyFill="1" applyBorder="1" applyAlignment="1">
      <alignment horizontal="center"/>
    </xf>
    <xf numFmtId="4" fontId="36" fillId="10" borderId="1" xfId="0" applyNumberFormat="1" applyFont="1" applyFill="1" applyBorder="1" applyAlignment="1">
      <alignment horizontal="center"/>
    </xf>
    <xf numFmtId="4" fontId="36" fillId="10" borderId="5" xfId="0" applyNumberFormat="1" applyFont="1" applyFill="1" applyBorder="1" applyAlignment="1">
      <alignment horizontal="center"/>
    </xf>
    <xf numFmtId="2" fontId="36" fillId="10" borderId="1" xfId="0" applyNumberFormat="1" applyFont="1" applyFill="1" applyBorder="1" applyAlignment="1">
      <alignment horizontal="center"/>
    </xf>
    <xf numFmtId="4" fontId="36" fillId="10" borderId="3" xfId="0" applyNumberFormat="1" applyFont="1" applyFill="1" applyBorder="1" applyAlignment="1">
      <alignment horizontal="center"/>
    </xf>
    <xf numFmtId="2" fontId="36" fillId="10" borderId="12" xfId="0" applyNumberFormat="1" applyFont="1" applyFill="1" applyBorder="1" applyAlignment="1">
      <alignment horizontal="center"/>
    </xf>
    <xf numFmtId="4" fontId="36" fillId="10" borderId="2" xfId="0" applyNumberFormat="1" applyFont="1" applyFill="1" applyBorder="1" applyAlignment="1">
      <alignment horizontal="center"/>
    </xf>
    <xf numFmtId="0" fontId="0" fillId="10" borderId="1" xfId="0" applyFill="1" applyBorder="1"/>
    <xf numFmtId="14" fontId="48" fillId="0" borderId="1" xfId="0" applyNumberFormat="1" applyFont="1" applyFill="1" applyBorder="1" applyAlignment="1">
      <alignment horizontal="center"/>
    </xf>
    <xf numFmtId="0" fontId="48" fillId="0" borderId="1" xfId="0" applyFont="1" applyFill="1" applyBorder="1" applyAlignment="1">
      <alignment horizontal="center"/>
    </xf>
    <xf numFmtId="2" fontId="48" fillId="0" borderId="1" xfId="0" applyNumberFormat="1" applyFont="1" applyFill="1" applyBorder="1" applyAlignment="1">
      <alignment horizontal="center"/>
    </xf>
    <xf numFmtId="14" fontId="48" fillId="12" borderId="1" xfId="0" applyNumberFormat="1" applyFont="1" applyFill="1" applyBorder="1" applyAlignment="1">
      <alignment horizontal="center"/>
    </xf>
    <xf numFmtId="0" fontId="48" fillId="12" borderId="1" xfId="0" applyFont="1" applyFill="1" applyBorder="1" applyAlignment="1">
      <alignment horizontal="center"/>
    </xf>
    <xf numFmtId="2" fontId="48" fillId="12" borderId="1" xfId="0" applyNumberFormat="1" applyFont="1" applyFill="1" applyBorder="1" applyAlignment="1">
      <alignment horizontal="center"/>
    </xf>
    <xf numFmtId="0" fontId="48" fillId="12" borderId="1" xfId="0" applyFont="1" applyFill="1" applyBorder="1"/>
    <xf numFmtId="0" fontId="0" fillId="12" borderId="1" xfId="0" applyFill="1" applyBorder="1"/>
    <xf numFmtId="0" fontId="48" fillId="0" borderId="2" xfId="0" applyFont="1" applyFill="1" applyBorder="1" applyAlignment="1">
      <alignment horizontal="center"/>
    </xf>
    <xf numFmtId="0" fontId="48" fillId="12" borderId="2" xfId="0" applyFont="1" applyFill="1" applyBorder="1" applyAlignment="1">
      <alignment horizontal="center"/>
    </xf>
    <xf numFmtId="0" fontId="48" fillId="9" borderId="20" xfId="0" applyFont="1" applyFill="1" applyBorder="1" applyAlignment="1">
      <alignment horizontal="center"/>
    </xf>
    <xf numFmtId="0" fontId="48" fillId="0" borderId="20" xfId="0" applyFont="1" applyFill="1" applyBorder="1" applyAlignment="1">
      <alignment horizontal="center"/>
    </xf>
    <xf numFmtId="0" fontId="48" fillId="12" borderId="20" xfId="0" applyFont="1" applyFill="1" applyBorder="1" applyAlignment="1">
      <alignment horizontal="center"/>
    </xf>
    <xf numFmtId="2" fontId="48" fillId="0" borderId="2" xfId="0" applyNumberFormat="1" applyFont="1" applyFill="1" applyBorder="1" applyAlignment="1">
      <alignment horizontal="center"/>
    </xf>
    <xf numFmtId="2" fontId="48" fillId="12" borderId="2" xfId="0" applyNumberFormat="1" applyFont="1" applyFill="1" applyBorder="1" applyAlignment="1">
      <alignment horizontal="center"/>
    </xf>
    <xf numFmtId="0" fontId="48" fillId="0" borderId="11" xfId="0" applyFont="1" applyFill="1" applyBorder="1" applyAlignment="1">
      <alignment horizontal="center"/>
    </xf>
    <xf numFmtId="0" fontId="48" fillId="12" borderId="11" xfId="0" applyFont="1" applyFill="1" applyBorder="1" applyAlignment="1">
      <alignment horizontal="center"/>
    </xf>
    <xf numFmtId="0" fontId="48" fillId="0" borderId="5" xfId="0" applyFont="1" applyFill="1" applyBorder="1" applyAlignment="1">
      <alignment horizontal="center"/>
    </xf>
    <xf numFmtId="0" fontId="48" fillId="12" borderId="5" xfId="0" applyFont="1" applyFill="1" applyBorder="1" applyAlignment="1">
      <alignment horizontal="center"/>
    </xf>
    <xf numFmtId="0" fontId="51" fillId="0" borderId="11" xfId="0" applyFont="1" applyBorder="1"/>
    <xf numFmtId="0" fontId="48" fillId="0" borderId="11" xfId="0" applyFont="1" applyFill="1" applyBorder="1"/>
    <xf numFmtId="0" fontId="17" fillId="13" borderId="1" xfId="0" applyFont="1" applyFill="1" applyBorder="1" applyAlignment="1">
      <alignment horizontal="center"/>
    </xf>
    <xf numFmtId="0" fontId="17" fillId="13" borderId="2" xfId="0" applyFont="1" applyFill="1" applyBorder="1" applyAlignment="1">
      <alignment horizontal="center"/>
    </xf>
    <xf numFmtId="0" fontId="17" fillId="13" borderId="20" xfId="0" applyFont="1" applyFill="1" applyBorder="1" applyAlignment="1">
      <alignment horizontal="center"/>
    </xf>
    <xf numFmtId="2" fontId="17" fillId="13" borderId="1" xfId="0" applyNumberFormat="1" applyFont="1" applyFill="1" applyBorder="1" applyAlignment="1">
      <alignment horizontal="center"/>
    </xf>
    <xf numFmtId="0" fontId="17" fillId="13" borderId="11" xfId="0" applyFont="1" applyFill="1" applyBorder="1" applyAlignment="1">
      <alignment horizontal="center"/>
    </xf>
    <xf numFmtId="0" fontId="17" fillId="13" borderId="5" xfId="0" applyFont="1" applyFill="1" applyBorder="1" applyAlignment="1">
      <alignment horizontal="center"/>
    </xf>
    <xf numFmtId="0" fontId="17" fillId="13" borderId="1" xfId="0" applyFont="1" applyFill="1" applyBorder="1"/>
    <xf numFmtId="0" fontId="0" fillId="13" borderId="1" xfId="0" applyFill="1" applyBorder="1"/>
    <xf numFmtId="0" fontId="51" fillId="13" borderId="1" xfId="0" applyFont="1" applyFill="1" applyBorder="1" applyAlignment="1">
      <alignment horizontal="center"/>
    </xf>
    <xf numFmtId="0" fontId="51" fillId="13" borderId="2" xfId="0" applyFont="1" applyFill="1" applyBorder="1" applyAlignment="1">
      <alignment horizontal="center"/>
    </xf>
    <xf numFmtId="0" fontId="51" fillId="13" borderId="20" xfId="0" applyFont="1" applyFill="1" applyBorder="1" applyAlignment="1">
      <alignment horizontal="center"/>
    </xf>
    <xf numFmtId="2" fontId="51" fillId="13" borderId="1" xfId="0" applyNumberFormat="1" applyFont="1" applyFill="1" applyBorder="1" applyAlignment="1">
      <alignment horizontal="center"/>
    </xf>
    <xf numFmtId="0" fontId="51" fillId="13" borderId="11" xfId="0" applyFont="1" applyFill="1" applyBorder="1" applyAlignment="1">
      <alignment horizontal="center"/>
    </xf>
    <xf numFmtId="0" fontId="51" fillId="13" borderId="5" xfId="0" applyFont="1" applyFill="1" applyBorder="1" applyAlignment="1">
      <alignment horizontal="center"/>
    </xf>
    <xf numFmtId="0" fontId="51" fillId="13" borderId="1" xfId="0" applyFont="1" applyFill="1" applyBorder="1"/>
    <xf numFmtId="0" fontId="51" fillId="13" borderId="11" xfId="0" applyFont="1" applyFill="1" applyBorder="1"/>
    <xf numFmtId="0" fontId="48" fillId="13" borderId="1" xfId="0" applyFont="1" applyFill="1" applyBorder="1"/>
    <xf numFmtId="14" fontId="51" fillId="13" borderId="1" xfId="0" applyNumberFormat="1" applyFont="1" applyFill="1" applyBorder="1" applyAlignment="1">
      <alignment horizontal="center"/>
    </xf>
    <xf numFmtId="2" fontId="51" fillId="13" borderId="11" xfId="0" applyNumberFormat="1" applyFont="1" applyFill="1" applyBorder="1" applyAlignment="1">
      <alignment horizontal="center"/>
    </xf>
    <xf numFmtId="14" fontId="0" fillId="0" borderId="1" xfId="0" applyNumberFormat="1" applyFill="1" applyBorder="1" applyAlignment="1">
      <alignment horizontal="center"/>
    </xf>
    <xf numFmtId="0" fontId="0" fillId="0" borderId="2" xfId="0" applyFill="1" applyBorder="1" applyAlignment="1">
      <alignment horizontal="center"/>
    </xf>
    <xf numFmtId="0" fontId="0" fillId="0" borderId="20" xfId="0" applyFill="1" applyBorder="1" applyAlignment="1">
      <alignment horizontal="center"/>
    </xf>
    <xf numFmtId="2" fontId="0" fillId="0" borderId="1" xfId="0" applyNumberFormat="1" applyFill="1" applyBorder="1" applyAlignment="1">
      <alignment horizontal="center"/>
    </xf>
    <xf numFmtId="2" fontId="0" fillId="0" borderId="11" xfId="0" applyNumberFormat="1" applyFill="1" applyBorder="1" applyAlignment="1">
      <alignment horizontal="center"/>
    </xf>
    <xf numFmtId="2" fontId="0" fillId="0" borderId="2" xfId="0" applyNumberFormat="1" applyFill="1" applyBorder="1" applyAlignment="1">
      <alignment horizontal="center"/>
    </xf>
    <xf numFmtId="14" fontId="0" fillId="14" borderId="1" xfId="0" applyNumberFormat="1" applyFill="1" applyBorder="1" applyAlignment="1">
      <alignment horizontal="center"/>
    </xf>
    <xf numFmtId="0" fontId="0" fillId="14" borderId="1" xfId="0" applyFill="1" applyBorder="1" applyAlignment="1">
      <alignment horizontal="center"/>
    </xf>
    <xf numFmtId="0" fontId="0" fillId="14" borderId="2" xfId="0" applyFill="1" applyBorder="1" applyAlignment="1">
      <alignment horizontal="center"/>
    </xf>
    <xf numFmtId="0" fontId="0" fillId="14" borderId="20" xfId="0" applyFill="1" applyBorder="1" applyAlignment="1">
      <alignment horizontal="center"/>
    </xf>
    <xf numFmtId="2" fontId="0" fillId="14" borderId="1" xfId="0" applyNumberFormat="1" applyFill="1" applyBorder="1" applyAlignment="1">
      <alignment horizontal="center"/>
    </xf>
    <xf numFmtId="2" fontId="0" fillId="14" borderId="11" xfId="0" applyNumberFormat="1" applyFill="1" applyBorder="1" applyAlignment="1">
      <alignment horizontal="center"/>
    </xf>
    <xf numFmtId="2" fontId="0" fillId="14" borderId="5" xfId="0" applyNumberFormat="1" applyFill="1" applyBorder="1" applyAlignment="1">
      <alignment horizontal="center"/>
    </xf>
    <xf numFmtId="2" fontId="0" fillId="14" borderId="2" xfId="0" applyNumberFormat="1" applyFill="1" applyBorder="1" applyAlignment="1">
      <alignment horizontal="center"/>
    </xf>
    <xf numFmtId="0" fontId="34" fillId="14" borderId="1" xfId="0" applyFont="1" applyFill="1" applyBorder="1" applyAlignment="1">
      <alignment horizontal="center"/>
    </xf>
    <xf numFmtId="0" fontId="34" fillId="14" borderId="2" xfId="0" applyFont="1" applyFill="1" applyBorder="1" applyAlignment="1">
      <alignment horizontal="center"/>
    </xf>
    <xf numFmtId="0" fontId="34" fillId="14" borderId="20" xfId="0" applyFont="1" applyFill="1" applyBorder="1" applyAlignment="1">
      <alignment horizontal="center"/>
    </xf>
    <xf numFmtId="14" fontId="51" fillId="15" borderId="1" xfId="0" applyNumberFormat="1" applyFont="1" applyFill="1" applyBorder="1" applyAlignment="1">
      <alignment horizontal="center"/>
    </xf>
    <xf numFmtId="0" fontId="51" fillId="15" borderId="1" xfId="0" applyFont="1" applyFill="1" applyBorder="1" applyAlignment="1">
      <alignment horizontal="center"/>
    </xf>
    <xf numFmtId="0" fontId="51" fillId="15" borderId="2" xfId="0" applyFont="1" applyFill="1" applyBorder="1" applyAlignment="1">
      <alignment horizontal="center"/>
    </xf>
    <xf numFmtId="0" fontId="51" fillId="15" borderId="20" xfId="0" applyFont="1" applyFill="1" applyBorder="1" applyAlignment="1">
      <alignment horizontal="center"/>
    </xf>
    <xf numFmtId="2" fontId="51" fillId="15" borderId="1" xfId="0" applyNumberFormat="1" applyFont="1" applyFill="1" applyBorder="1" applyAlignment="1">
      <alignment horizontal="center"/>
    </xf>
    <xf numFmtId="2" fontId="51" fillId="15" borderId="11" xfId="0" applyNumberFormat="1" applyFont="1" applyFill="1" applyBorder="1" applyAlignment="1">
      <alignment horizontal="center"/>
    </xf>
    <xf numFmtId="0" fontId="51" fillId="16" borderId="5" xfId="0" applyFont="1" applyFill="1" applyBorder="1" applyAlignment="1">
      <alignment horizontal="center"/>
    </xf>
    <xf numFmtId="0" fontId="51" fillId="16" borderId="1" xfId="0" applyFont="1" applyFill="1" applyBorder="1" applyAlignment="1">
      <alignment horizontal="center"/>
    </xf>
    <xf numFmtId="2" fontId="51" fillId="16" borderId="1" xfId="0" applyNumberFormat="1" applyFont="1" applyFill="1" applyBorder="1" applyAlignment="1">
      <alignment horizontal="center"/>
    </xf>
    <xf numFmtId="2" fontId="51" fillId="16" borderId="2" xfId="0" applyNumberFormat="1" applyFont="1" applyFill="1" applyBorder="1" applyAlignment="1">
      <alignment horizontal="center"/>
    </xf>
    <xf numFmtId="2" fontId="51" fillId="16" borderId="20" xfId="0" applyNumberFormat="1" applyFont="1" applyFill="1" applyBorder="1" applyAlignment="1">
      <alignment horizontal="center"/>
    </xf>
    <xf numFmtId="0" fontId="51" fillId="16" borderId="11" xfId="0" applyFont="1" applyFill="1" applyBorder="1" applyAlignment="1">
      <alignment horizontal="center"/>
    </xf>
    <xf numFmtId="2" fontId="51" fillId="16" borderId="11" xfId="0" applyNumberFormat="1" applyFont="1" applyFill="1" applyBorder="1" applyAlignment="1">
      <alignment horizontal="center"/>
    </xf>
    <xf numFmtId="0" fontId="51" fillId="16" borderId="2" xfId="0" applyFont="1" applyFill="1" applyBorder="1"/>
    <xf numFmtId="0" fontId="48" fillId="15" borderId="1" xfId="0" applyFont="1" applyFill="1" applyBorder="1"/>
    <xf numFmtId="0" fontId="0" fillId="15" borderId="1" xfId="0" applyFill="1" applyBorder="1"/>
    <xf numFmtId="0" fontId="48" fillId="15" borderId="2" xfId="0" applyFont="1" applyFill="1" applyBorder="1"/>
    <xf numFmtId="0" fontId="48" fillId="15" borderId="20" xfId="0" applyFont="1" applyFill="1" applyBorder="1"/>
    <xf numFmtId="0" fontId="48" fillId="15" borderId="11" xfId="0" applyFont="1" applyFill="1" applyBorder="1"/>
    <xf numFmtId="0" fontId="48" fillId="15" borderId="5" xfId="0" applyFont="1" applyFill="1" applyBorder="1"/>
    <xf numFmtId="2" fontId="48" fillId="15" borderId="2" xfId="0" applyNumberFormat="1" applyFont="1" applyFill="1" applyBorder="1"/>
    <xf numFmtId="2" fontId="48" fillId="15" borderId="1" xfId="0" applyNumberFormat="1" applyFont="1" applyFill="1" applyBorder="1"/>
    <xf numFmtId="0" fontId="53" fillId="0" borderId="1" xfId="29"/>
    <xf numFmtId="0" fontId="34" fillId="0" borderId="1" xfId="0" applyFont="1" applyBorder="1"/>
    <xf numFmtId="14" fontId="17" fillId="13" borderId="1" xfId="0" applyNumberFormat="1" applyFont="1" applyFill="1" applyBorder="1" applyAlignment="1">
      <alignment horizontal="center"/>
    </xf>
    <xf numFmtId="2" fontId="17" fillId="13" borderId="11" xfId="0" applyNumberFormat="1" applyFont="1" applyFill="1" applyBorder="1" applyAlignment="1">
      <alignment horizontal="center"/>
    </xf>
    <xf numFmtId="14" fontId="48" fillId="15" borderId="1" xfId="0" applyNumberFormat="1" applyFont="1" applyFill="1" applyBorder="1" applyAlignment="1">
      <alignment horizontal="center"/>
    </xf>
    <xf numFmtId="0" fontId="48" fillId="15" borderId="1" xfId="0" applyFont="1" applyFill="1" applyBorder="1" applyAlignment="1">
      <alignment horizontal="center"/>
    </xf>
    <xf numFmtId="0" fontId="48" fillId="15" borderId="2" xfId="0" applyFont="1" applyFill="1" applyBorder="1" applyAlignment="1">
      <alignment horizontal="center"/>
    </xf>
    <xf numFmtId="0" fontId="48" fillId="15" borderId="20" xfId="0" applyFont="1" applyFill="1" applyBorder="1" applyAlignment="1">
      <alignment horizontal="center"/>
    </xf>
    <xf numFmtId="0" fontId="48" fillId="15" borderId="11" xfId="0" applyFont="1" applyFill="1" applyBorder="1" applyAlignment="1">
      <alignment horizontal="center"/>
    </xf>
    <xf numFmtId="0" fontId="48" fillId="15" borderId="5" xfId="0" applyFont="1" applyFill="1" applyBorder="1" applyAlignment="1">
      <alignment horizontal="center"/>
    </xf>
    <xf numFmtId="2" fontId="48" fillId="15" borderId="2" xfId="0" applyNumberFormat="1" applyFont="1" applyFill="1" applyBorder="1" applyAlignment="1">
      <alignment horizontal="center"/>
    </xf>
    <xf numFmtId="2" fontId="48" fillId="15" borderId="1" xfId="0" applyNumberFormat="1" applyFont="1" applyFill="1" applyBorder="1" applyAlignment="1">
      <alignment horizontal="center"/>
    </xf>
    <xf numFmtId="2" fontId="48" fillId="15" borderId="11" xfId="0" applyNumberFormat="1" applyFont="1" applyFill="1" applyBorder="1" applyAlignment="1">
      <alignment horizontal="center"/>
    </xf>
    <xf numFmtId="0" fontId="0" fillId="15" borderId="1" xfId="0" applyFill="1" applyBorder="1" applyAlignment="1">
      <alignment horizontal="center"/>
    </xf>
    <xf numFmtId="2" fontId="17" fillId="13" borderId="1" xfId="0" applyNumberFormat="1" applyFont="1" applyFill="1" applyBorder="1"/>
    <xf numFmtId="0" fontId="16" fillId="0" borderId="15" xfId="0" applyFont="1" applyBorder="1"/>
    <xf numFmtId="0" fontId="16" fillId="0" borderId="14" xfId="0" applyFont="1" applyBorder="1"/>
    <xf numFmtId="0" fontId="16" fillId="0" borderId="17" xfId="0" applyFont="1" applyBorder="1"/>
    <xf numFmtId="1" fontId="0" fillId="0" borderId="12" xfId="0" applyNumberFormat="1" applyBorder="1"/>
    <xf numFmtId="0" fontId="0" fillId="0" borderId="7" xfId="0" applyBorder="1"/>
    <xf numFmtId="14" fontId="35" fillId="10" borderId="1" xfId="0" applyNumberFormat="1" applyFont="1" applyFill="1" applyBorder="1" applyAlignment="1">
      <alignment horizontal="center"/>
    </xf>
    <xf numFmtId="0" fontId="35" fillId="10" borderId="1" xfId="0" applyFont="1" applyFill="1" applyBorder="1" applyAlignment="1">
      <alignment horizontal="center"/>
    </xf>
    <xf numFmtId="2" fontId="35" fillId="10" borderId="1" xfId="0" applyNumberFormat="1" applyFont="1" applyFill="1" applyBorder="1" applyAlignment="1">
      <alignment horizontal="center"/>
    </xf>
    <xf numFmtId="0" fontId="35" fillId="11" borderId="1" xfId="0" applyFont="1" applyFill="1" applyBorder="1" applyAlignment="1">
      <alignment horizontal="center"/>
    </xf>
    <xf numFmtId="2" fontId="35" fillId="11" borderId="1" xfId="0" applyNumberFormat="1" applyFont="1" applyFill="1" applyBorder="1" applyAlignment="1">
      <alignment horizontal="center"/>
    </xf>
    <xf numFmtId="2" fontId="35" fillId="10" borderId="11" xfId="0" applyNumberFormat="1" applyFont="1" applyFill="1" applyBorder="1" applyAlignment="1">
      <alignment horizontal="center"/>
    </xf>
    <xf numFmtId="0" fontId="35" fillId="11" borderId="5" xfId="0" applyFont="1" applyFill="1" applyBorder="1" applyAlignment="1">
      <alignment horizontal="center"/>
    </xf>
    <xf numFmtId="0" fontId="35" fillId="11" borderId="11" xfId="0" applyFont="1" applyFill="1" applyBorder="1" applyAlignment="1">
      <alignment horizontal="center"/>
    </xf>
    <xf numFmtId="0" fontId="35" fillId="10" borderId="2" xfId="0" applyFont="1" applyFill="1" applyBorder="1" applyAlignment="1">
      <alignment horizontal="center"/>
    </xf>
    <xf numFmtId="0" fontId="35" fillId="10" borderId="20" xfId="0" applyFont="1" applyFill="1" applyBorder="1" applyAlignment="1">
      <alignment horizontal="center"/>
    </xf>
    <xf numFmtId="2" fontId="35" fillId="11" borderId="2" xfId="0" applyNumberFormat="1" applyFont="1" applyFill="1" applyBorder="1" applyAlignment="1">
      <alignment horizontal="center"/>
    </xf>
    <xf numFmtId="0" fontId="48" fillId="0" borderId="1" xfId="0" applyFont="1" applyBorder="1" applyAlignment="1">
      <alignment horizontal="center"/>
    </xf>
    <xf numFmtId="2" fontId="48" fillId="15" borderId="5" xfId="0" applyNumberFormat="1" applyFont="1" applyFill="1" applyBorder="1" applyAlignment="1">
      <alignment horizontal="center"/>
    </xf>
    <xf numFmtId="2" fontId="48" fillId="15" borderId="20" xfId="0" applyNumberFormat="1" applyFont="1" applyFill="1" applyBorder="1" applyAlignment="1">
      <alignment horizontal="center"/>
    </xf>
    <xf numFmtId="14" fontId="0" fillId="17" borderId="1" xfId="0" applyNumberFormat="1" applyFill="1" applyBorder="1" applyAlignment="1">
      <alignment horizontal="center"/>
    </xf>
    <xf numFmtId="0" fontId="0" fillId="17" borderId="1" xfId="0" applyFill="1" applyBorder="1" applyAlignment="1">
      <alignment horizontal="center"/>
    </xf>
    <xf numFmtId="2" fontId="0" fillId="17" borderId="1" xfId="0" applyNumberFormat="1" applyFill="1" applyBorder="1" applyAlignment="1">
      <alignment horizontal="center"/>
    </xf>
    <xf numFmtId="0" fontId="0" fillId="17" borderId="2" xfId="0" applyFill="1" applyBorder="1" applyAlignment="1">
      <alignment horizontal="center"/>
    </xf>
    <xf numFmtId="0" fontId="0" fillId="17" borderId="20" xfId="0" applyFill="1" applyBorder="1" applyAlignment="1">
      <alignment horizontal="center"/>
    </xf>
    <xf numFmtId="2" fontId="0" fillId="17" borderId="2" xfId="0" applyNumberFormat="1" applyFill="1" applyBorder="1" applyAlignment="1">
      <alignment horizontal="center"/>
    </xf>
    <xf numFmtId="2" fontId="0" fillId="17" borderId="20" xfId="0" applyNumberFormat="1" applyFill="1" applyBorder="1" applyAlignment="1">
      <alignment horizontal="center"/>
    </xf>
    <xf numFmtId="4" fontId="13" fillId="0" borderId="23" xfId="0" applyNumberFormat="1" applyFont="1" applyBorder="1" applyAlignment="1">
      <alignment horizontal="center" vertical="top"/>
    </xf>
    <xf numFmtId="2" fontId="0" fillId="14" borderId="20" xfId="0" applyNumberFormat="1" applyFill="1" applyBorder="1" applyAlignment="1">
      <alignment horizontal="center"/>
    </xf>
    <xf numFmtId="0" fontId="0" fillId="14" borderId="13" xfId="0" applyFill="1" applyBorder="1" applyAlignment="1">
      <alignment horizontal="center"/>
    </xf>
    <xf numFmtId="2" fontId="0" fillId="17" borderId="11" xfId="0" applyNumberFormat="1" applyFill="1" applyBorder="1" applyAlignment="1">
      <alignment horizontal="center"/>
    </xf>
    <xf numFmtId="0" fontId="0" fillId="17" borderId="11" xfId="0" applyFill="1" applyBorder="1" applyAlignment="1">
      <alignment horizontal="center"/>
    </xf>
    <xf numFmtId="2" fontId="0" fillId="0" borderId="20" xfId="0" applyNumberFormat="1" applyFill="1" applyBorder="1" applyAlignment="1">
      <alignment horizontal="center"/>
    </xf>
    <xf numFmtId="14" fontId="0" fillId="18" borderId="1" xfId="0" applyNumberFormat="1" applyFill="1" applyBorder="1" applyAlignment="1">
      <alignment horizontal="center"/>
    </xf>
    <xf numFmtId="0" fontId="0" fillId="18" borderId="1" xfId="0" applyFill="1" applyBorder="1" applyAlignment="1">
      <alignment horizontal="center"/>
    </xf>
    <xf numFmtId="0" fontId="0" fillId="18" borderId="2" xfId="0" applyFill="1" applyBorder="1" applyAlignment="1">
      <alignment horizontal="center"/>
    </xf>
    <xf numFmtId="0" fontId="0" fillId="18" borderId="20" xfId="0" applyFill="1" applyBorder="1" applyAlignment="1">
      <alignment horizontal="center"/>
    </xf>
    <xf numFmtId="2" fontId="0" fillId="18" borderId="1" xfId="0" applyNumberFormat="1" applyFill="1" applyBorder="1" applyAlignment="1">
      <alignment horizontal="center"/>
    </xf>
    <xf numFmtId="2" fontId="0" fillId="18" borderId="11" xfId="0" applyNumberFormat="1" applyFill="1" applyBorder="1" applyAlignment="1">
      <alignment horizontal="center"/>
    </xf>
    <xf numFmtId="2" fontId="0" fillId="18" borderId="2" xfId="0" applyNumberFormat="1" applyFill="1" applyBorder="1" applyAlignment="1">
      <alignment horizontal="center"/>
    </xf>
    <xf numFmtId="2" fontId="0" fillId="18" borderId="20" xfId="0" applyNumberFormat="1" applyFill="1" applyBorder="1" applyAlignment="1">
      <alignment horizontal="center"/>
    </xf>
    <xf numFmtId="0" fontId="0" fillId="17" borderId="1" xfId="0" applyFill="1" applyBorder="1"/>
    <xf numFmtId="0" fontId="0" fillId="0" borderId="2" xfId="0" applyBorder="1"/>
    <xf numFmtId="0" fontId="0" fillId="17" borderId="2" xfId="0" applyFill="1" applyBorder="1"/>
    <xf numFmtId="0" fontId="0" fillId="0" borderId="20" xfId="0" applyBorder="1"/>
    <xf numFmtId="0" fontId="17" fillId="11" borderId="2" xfId="0" applyFont="1" applyFill="1" applyBorder="1"/>
    <xf numFmtId="0" fontId="16" fillId="0" borderId="15" xfId="33" applyFont="1" applyBorder="1" applyAlignment="1" applyProtection="1">
      <alignment horizontal="right"/>
    </xf>
    <xf numFmtId="0" fontId="16" fillId="0" borderId="14" xfId="24" applyFont="1" applyBorder="1" applyProtection="1"/>
    <xf numFmtId="1" fontId="55" fillId="0" borderId="14" xfId="6" applyNumberFormat="1" applyFont="1" applyBorder="1" applyAlignment="1" applyProtection="1">
      <alignment horizontal="left"/>
      <protection locked="0"/>
    </xf>
    <xf numFmtId="1" fontId="55" fillId="0" borderId="14" xfId="6" applyNumberFormat="1" applyFont="1" applyBorder="1" applyAlignment="1" applyProtection="1">
      <alignment horizontal="left"/>
    </xf>
    <xf numFmtId="167" fontId="34" fillId="0" borderId="14" xfId="3" applyFont="1" applyBorder="1"/>
    <xf numFmtId="1" fontId="16" fillId="0" borderId="14" xfId="26" applyNumberFormat="1" applyFont="1" applyBorder="1" applyAlignment="1" applyProtection="1">
      <alignment horizontal="right"/>
    </xf>
    <xf numFmtId="1" fontId="34" fillId="0" borderId="14" xfId="26" applyNumberFormat="1" applyFont="1" applyBorder="1" applyAlignment="1" applyProtection="1">
      <alignment horizontal="center"/>
      <protection locked="0"/>
    </xf>
    <xf numFmtId="167" fontId="34" fillId="0" borderId="14" xfId="3" applyFont="1" applyFill="1" applyBorder="1" applyAlignment="1" applyProtection="1">
      <alignment horizontal="center"/>
    </xf>
    <xf numFmtId="0" fontId="54" fillId="0" borderId="17" xfId="24" applyFont="1" applyBorder="1" applyProtection="1"/>
    <xf numFmtId="0" fontId="54" fillId="0" borderId="1" xfId="24" applyFont="1" applyBorder="1" applyProtection="1"/>
    <xf numFmtId="0" fontId="54" fillId="0" borderId="1" xfId="24" applyFont="1" applyProtection="1"/>
    <xf numFmtId="0" fontId="16" fillId="0" borderId="12" xfId="33" applyFont="1" applyBorder="1" applyAlignment="1" applyProtection="1">
      <alignment horizontal="right"/>
    </xf>
    <xf numFmtId="0" fontId="16" fillId="0" borderId="1" xfId="24" applyFont="1" applyBorder="1" applyProtection="1"/>
    <xf numFmtId="1" fontId="55" fillId="0" borderId="1" xfId="6" applyNumberFormat="1" applyFont="1" applyBorder="1" applyAlignment="1" applyProtection="1">
      <alignment horizontal="left"/>
      <protection locked="0"/>
    </xf>
    <xf numFmtId="1" fontId="55" fillId="0" borderId="1" xfId="6" applyNumberFormat="1" applyFont="1" applyBorder="1" applyAlignment="1" applyProtection="1">
      <alignment horizontal="left"/>
    </xf>
    <xf numFmtId="167" fontId="34" fillId="0" borderId="1" xfId="3" applyFont="1" applyBorder="1"/>
    <xf numFmtId="1" fontId="16" fillId="0" borderId="1" xfId="26" applyNumberFormat="1" applyFont="1" applyBorder="1" applyAlignment="1" applyProtection="1">
      <alignment horizontal="right"/>
    </xf>
    <xf numFmtId="1" fontId="34" fillId="0" borderId="1" xfId="26" applyNumberFormat="1" applyFont="1" applyBorder="1" applyAlignment="1" applyProtection="1">
      <alignment horizontal="center"/>
    </xf>
    <xf numFmtId="167" fontId="34" fillId="0" borderId="1" xfId="3" applyFont="1" applyFill="1" applyBorder="1" applyAlignment="1" applyProtection="1">
      <alignment horizontal="center"/>
    </xf>
    <xf numFmtId="0" fontId="54" fillId="0" borderId="11" xfId="24" applyFont="1" applyBorder="1" applyProtection="1"/>
    <xf numFmtId="0" fontId="54" fillId="0" borderId="1" xfId="24" applyFont="1" applyBorder="1" applyAlignment="1" applyProtection="1">
      <alignment horizontal="left"/>
    </xf>
    <xf numFmtId="2" fontId="16" fillId="0" borderId="12" xfId="33" applyNumberFormat="1" applyFont="1" applyBorder="1" applyAlignment="1" applyProtection="1">
      <alignment horizontal="right"/>
    </xf>
    <xf numFmtId="2" fontId="16" fillId="0" borderId="1" xfId="33" applyNumberFormat="1" applyFont="1" applyBorder="1" applyAlignment="1" applyProtection="1">
      <alignment horizontal="right"/>
    </xf>
    <xf numFmtId="2" fontId="34" fillId="0" borderId="1" xfId="26" applyNumberFormat="1" applyFont="1" applyBorder="1" applyAlignment="1" applyProtection="1">
      <alignment horizontal="center"/>
    </xf>
    <xf numFmtId="0" fontId="18" fillId="0" borderId="11" xfId="26" applyBorder="1" applyAlignment="1" applyProtection="1">
      <alignment vertical="top"/>
    </xf>
    <xf numFmtId="0" fontId="18" fillId="0" borderId="1" xfId="26" applyBorder="1" applyAlignment="1" applyProtection="1">
      <alignment vertical="top"/>
    </xf>
    <xf numFmtId="0" fontId="18" fillId="0" borderId="1" xfId="26" applyAlignment="1" applyProtection="1">
      <alignment vertical="top"/>
    </xf>
    <xf numFmtId="0" fontId="56" fillId="0" borderId="1" xfId="6" applyFont="1" applyFill="1" applyBorder="1" applyAlignment="1" applyProtection="1">
      <alignment horizontal="left"/>
      <protection locked="0"/>
    </xf>
    <xf numFmtId="0" fontId="36" fillId="0" borderId="1" xfId="34" applyFont="1" applyAlignment="1">
      <alignment horizontal="center"/>
    </xf>
    <xf numFmtId="0" fontId="54" fillId="0" borderId="11" xfId="33" applyBorder="1" applyAlignment="1" applyProtection="1"/>
    <xf numFmtId="0" fontId="54" fillId="0" borderId="1" xfId="33" applyBorder="1" applyAlignment="1" applyProtection="1"/>
    <xf numFmtId="0" fontId="54" fillId="0" borderId="1" xfId="33" applyAlignment="1" applyProtection="1"/>
    <xf numFmtId="0" fontId="16" fillId="0" borderId="7" xfId="26" applyFont="1" applyBorder="1" applyAlignment="1" applyProtection="1">
      <alignment horizontal="right" vertical="top"/>
    </xf>
    <xf numFmtId="0" fontId="34" fillId="0" borderId="8" xfId="26" applyFont="1" applyBorder="1" applyAlignment="1" applyProtection="1">
      <alignment vertical="top"/>
    </xf>
    <xf numFmtId="1" fontId="55" fillId="0" borderId="8" xfId="26" applyNumberFormat="1" applyFont="1" applyBorder="1" applyAlignment="1" applyProtection="1">
      <alignment vertical="top"/>
      <protection locked="0"/>
    </xf>
    <xf numFmtId="1" fontId="34" fillId="0" borderId="8" xfId="26" applyNumberFormat="1" applyFont="1" applyBorder="1" applyAlignment="1" applyProtection="1">
      <alignment vertical="top"/>
    </xf>
    <xf numFmtId="167" fontId="34" fillId="0" borderId="8" xfId="26" applyNumberFormat="1" applyFont="1" applyBorder="1" applyAlignment="1" applyProtection="1">
      <alignment vertical="top"/>
    </xf>
    <xf numFmtId="2" fontId="34" fillId="0" borderId="8" xfId="26" applyNumberFormat="1" applyFont="1" applyBorder="1" applyAlignment="1" applyProtection="1">
      <alignment vertical="top"/>
    </xf>
    <xf numFmtId="0" fontId="34" fillId="0" borderId="8" xfId="26" applyFont="1" applyBorder="1" applyAlignment="1" applyProtection="1">
      <alignment vertical="top"/>
      <protection locked="0"/>
    </xf>
    <xf numFmtId="0" fontId="34" fillId="0" borderId="1" xfId="26" applyFont="1" applyBorder="1" applyAlignment="1" applyProtection="1">
      <alignment vertical="top"/>
    </xf>
    <xf numFmtId="0" fontId="54" fillId="0" borderId="6" xfId="33" applyBorder="1" applyAlignment="1" applyProtection="1">
      <alignment horizontal="centerContinuous"/>
    </xf>
    <xf numFmtId="0" fontId="57" fillId="0" borderId="15" xfId="33" applyFont="1" applyBorder="1" applyAlignment="1" applyProtection="1">
      <alignment horizontal="centerContinuous"/>
    </xf>
    <xf numFmtId="1" fontId="26" fillId="0" borderId="17" xfId="6" applyNumberFormat="1" applyFont="1" applyBorder="1" applyAlignment="1" applyProtection="1">
      <alignment horizontal="centerContinuous"/>
    </xf>
    <xf numFmtId="1" fontId="26" fillId="0" borderId="14" xfId="6" applyNumberFormat="1" applyFont="1" applyBorder="1" applyAlignment="1" applyProtection="1">
      <alignment horizontal="centerContinuous"/>
      <protection locked="0"/>
    </xf>
    <xf numFmtId="1" fontId="26" fillId="0" borderId="17" xfId="6" applyNumberFormat="1" applyFont="1" applyBorder="1" applyAlignment="1" applyProtection="1">
      <alignment horizontal="centerContinuous"/>
      <protection locked="0"/>
    </xf>
    <xf numFmtId="1" fontId="57" fillId="0" borderId="15" xfId="6" applyNumberFormat="1" applyFont="1" applyBorder="1" applyAlignment="1" applyProtection="1">
      <alignment horizontal="centerContinuous"/>
    </xf>
    <xf numFmtId="2" fontId="57" fillId="0" borderId="15" xfId="3" applyNumberFormat="1" applyFont="1" applyBorder="1" applyAlignment="1" applyProtection="1">
      <alignment horizontal="centerContinuous"/>
    </xf>
    <xf numFmtId="2" fontId="57" fillId="0" borderId="17" xfId="3" applyNumberFormat="1" applyFont="1" applyBorder="1" applyAlignment="1" applyProtection="1">
      <alignment horizontal="centerContinuous"/>
    </xf>
    <xf numFmtId="167" fontId="57" fillId="0" borderId="14" xfId="3" applyFont="1" applyBorder="1" applyAlignment="1" applyProtection="1">
      <alignment horizontal="centerContinuous"/>
    </xf>
    <xf numFmtId="0" fontId="58" fillId="0" borderId="16" xfId="24" applyFont="1" applyBorder="1" applyAlignment="1" applyProtection="1">
      <alignment horizontal="right"/>
    </xf>
    <xf numFmtId="0" fontId="57" fillId="0" borderId="12" xfId="33" applyFont="1" applyBorder="1" applyAlignment="1" applyProtection="1">
      <alignment horizontal="centerContinuous"/>
    </xf>
    <xf numFmtId="0" fontId="54" fillId="0" borderId="1" xfId="33" applyBorder="1" applyAlignment="1" applyProtection="1">
      <alignment horizontal="centerContinuous"/>
    </xf>
    <xf numFmtId="1" fontId="54" fillId="0" borderId="1" xfId="33" applyNumberFormat="1" applyBorder="1" applyAlignment="1" applyProtection="1">
      <alignment horizontal="centerContinuous"/>
    </xf>
    <xf numFmtId="1" fontId="54" fillId="0" borderId="11" xfId="33" applyNumberFormat="1" applyBorder="1" applyAlignment="1" applyProtection="1">
      <alignment horizontal="centerContinuous"/>
    </xf>
    <xf numFmtId="1" fontId="54" fillId="0" borderId="12" xfId="33" applyNumberFormat="1" applyBorder="1" applyAlignment="1" applyProtection="1">
      <alignment horizontal="centerContinuous"/>
    </xf>
    <xf numFmtId="167" fontId="54" fillId="0" borderId="12" xfId="3" applyFont="1" applyBorder="1" applyAlignment="1" applyProtection="1">
      <alignment horizontal="center"/>
    </xf>
    <xf numFmtId="2" fontId="54" fillId="0" borderId="11" xfId="3" applyNumberFormat="1" applyFont="1" applyBorder="1" applyAlignment="1" applyProtection="1">
      <alignment horizontal="center"/>
    </xf>
    <xf numFmtId="167" fontId="54" fillId="0" borderId="1" xfId="3" applyFont="1" applyBorder="1" applyAlignment="1" applyProtection="1">
      <alignment horizontal="center"/>
    </xf>
    <xf numFmtId="0" fontId="58" fillId="0" borderId="5" xfId="33" applyFont="1" applyBorder="1" applyAlignment="1" applyProtection="1">
      <alignment horizontal="right"/>
    </xf>
    <xf numFmtId="2" fontId="54" fillId="0" borderId="1" xfId="33" applyNumberFormat="1" applyBorder="1" applyAlignment="1" applyProtection="1">
      <alignment horizontal="center" vertical="center" wrapText="1"/>
    </xf>
    <xf numFmtId="0" fontId="54" fillId="0" borderId="1" xfId="33" applyBorder="1" applyAlignment="1" applyProtection="1">
      <alignment vertical="center"/>
    </xf>
    <xf numFmtId="0" fontId="18" fillId="0" borderId="1" xfId="24" applyAlignment="1" applyProtection="1">
      <alignment vertical="center" wrapText="1"/>
    </xf>
    <xf numFmtId="1" fontId="54" fillId="0" borderId="1" xfId="33" applyNumberFormat="1" applyBorder="1" applyAlignment="1" applyProtection="1"/>
    <xf numFmtId="1" fontId="54" fillId="0" borderId="11" xfId="33" applyNumberFormat="1" applyBorder="1" applyAlignment="1" applyProtection="1"/>
    <xf numFmtId="0" fontId="18" fillId="0" borderId="1" xfId="24" applyBorder="1" applyProtection="1"/>
    <xf numFmtId="0" fontId="54" fillId="0" borderId="11" xfId="33" applyBorder="1" applyAlignment="1" applyProtection="1">
      <alignment horizontal="center"/>
    </xf>
    <xf numFmtId="14" fontId="54" fillId="0" borderId="11" xfId="33" applyNumberFormat="1" applyBorder="1" applyAlignment="1" applyProtection="1">
      <alignment horizontal="centerContinuous"/>
    </xf>
    <xf numFmtId="2" fontId="18" fillId="0" borderId="1" xfId="24" applyNumberFormat="1" applyBorder="1" applyAlignment="1" applyProtection="1">
      <alignment horizontal="center" vertical="center" wrapText="1"/>
    </xf>
    <xf numFmtId="0" fontId="18" fillId="0" borderId="1" xfId="24" applyBorder="1" applyAlignment="1" applyProtection="1">
      <alignment vertical="center" wrapText="1"/>
    </xf>
    <xf numFmtId="0" fontId="54" fillId="0" borderId="12" xfId="33" applyBorder="1" applyAlignment="1" applyProtection="1">
      <alignment horizontal="center"/>
    </xf>
    <xf numFmtId="0" fontId="54" fillId="0" borderId="1" xfId="33" applyBorder="1" applyAlignment="1" applyProtection="1">
      <alignment horizontal="center"/>
    </xf>
    <xf numFmtId="168" fontId="54" fillId="0" borderId="1" xfId="2" applyFont="1" applyBorder="1" applyAlignment="1" applyProtection="1">
      <alignment horizontal="center"/>
    </xf>
    <xf numFmtId="168" fontId="54" fillId="0" borderId="11" xfId="2" applyFont="1" applyBorder="1" applyAlignment="1" applyProtection="1">
      <alignment horizontal="center"/>
    </xf>
    <xf numFmtId="168" fontId="54" fillId="0" borderId="12" xfId="2" applyFont="1" applyBorder="1" applyAlignment="1" applyProtection="1">
      <alignment horizontal="center"/>
    </xf>
    <xf numFmtId="0" fontId="54" fillId="0" borderId="5" xfId="33" applyBorder="1" applyAlignment="1" applyProtection="1">
      <alignment horizontal="center" vertical="center"/>
    </xf>
    <xf numFmtId="2" fontId="25" fillId="0" borderId="1" xfId="9" applyNumberFormat="1" applyBorder="1" applyAlignment="1" applyProtection="1">
      <alignment horizontal="center" vertical="center"/>
    </xf>
    <xf numFmtId="0" fontId="18" fillId="0" borderId="7" xfId="33" applyFont="1" applyBorder="1" applyAlignment="1" applyProtection="1">
      <alignment horizontal="center" vertical="center"/>
    </xf>
    <xf numFmtId="0" fontId="18" fillId="0" borderId="8" xfId="33" applyFont="1" applyBorder="1" applyAlignment="1" applyProtection="1">
      <alignment horizontal="center" vertical="center"/>
    </xf>
    <xf numFmtId="168" fontId="18" fillId="0" borderId="8" xfId="2" applyFont="1" applyBorder="1" applyAlignment="1" applyProtection="1">
      <alignment horizontal="center" vertical="center"/>
    </xf>
    <xf numFmtId="168" fontId="18" fillId="0" borderId="6" xfId="2" applyFont="1" applyBorder="1" applyAlignment="1" applyProtection="1">
      <alignment horizontal="center" vertical="center"/>
    </xf>
    <xf numFmtId="168" fontId="18" fillId="0" borderId="7" xfId="2" applyFont="1" applyBorder="1" applyAlignment="1" applyProtection="1">
      <alignment horizontal="center" vertical="center"/>
    </xf>
    <xf numFmtId="167" fontId="18" fillId="0" borderId="7" xfId="3" applyFont="1" applyBorder="1" applyAlignment="1" applyProtection="1">
      <alignment horizontal="center" vertical="center"/>
    </xf>
    <xf numFmtId="2" fontId="18" fillId="0" borderId="6" xfId="3" applyNumberFormat="1" applyFont="1" applyBorder="1" applyAlignment="1" applyProtection="1">
      <alignment horizontal="center" vertical="center"/>
    </xf>
    <xf numFmtId="167" fontId="18" fillId="0" borderId="8" xfId="3" applyFont="1" applyBorder="1" applyAlignment="1" applyProtection="1">
      <alignment horizontal="center" vertical="center"/>
    </xf>
    <xf numFmtId="0" fontId="18" fillId="0" borderId="4" xfId="24" applyBorder="1" applyAlignment="1" applyProtection="1">
      <alignment vertical="center" wrapText="1"/>
    </xf>
    <xf numFmtId="0" fontId="54" fillId="0" borderId="6" xfId="33" applyBorder="1" applyAlignment="1" applyProtection="1">
      <alignment horizontal="center" vertical="center" wrapText="1"/>
    </xf>
    <xf numFmtId="0" fontId="18" fillId="0" borderId="6" xfId="33" applyFont="1" applyBorder="1" applyAlignment="1" applyProtection="1">
      <alignment horizontal="center" vertical="center"/>
    </xf>
    <xf numFmtId="0" fontId="18" fillId="0" borderId="12" xfId="6" applyFont="1" applyBorder="1" applyAlignment="1" applyProtection="1">
      <alignment horizontal="center" vertical="center" wrapText="1"/>
      <protection locked="0"/>
    </xf>
    <xf numFmtId="0" fontId="18" fillId="0" borderId="1" xfId="6" applyFont="1" applyBorder="1" applyAlignment="1" applyProtection="1">
      <alignment horizontal="center" vertical="center" wrapText="1"/>
      <protection locked="0"/>
    </xf>
    <xf numFmtId="168" fontId="18" fillId="0" borderId="1" xfId="2" applyFont="1" applyBorder="1" applyAlignment="1" applyProtection="1">
      <alignment horizontal="center" vertical="center" wrapText="1"/>
      <protection locked="0"/>
    </xf>
    <xf numFmtId="168" fontId="18" fillId="0" borderId="11" xfId="2" applyFont="1" applyBorder="1" applyAlignment="1" applyProtection="1">
      <alignment horizontal="center" vertical="center" wrapText="1"/>
      <protection locked="0"/>
    </xf>
    <xf numFmtId="168" fontId="23" fillId="0" borderId="12" xfId="2" applyFont="1" applyBorder="1" applyAlignment="1" applyProtection="1">
      <alignment horizontal="center" vertical="center" wrapText="1"/>
    </xf>
    <xf numFmtId="168" fontId="23" fillId="0" borderId="11" xfId="2" applyFont="1" applyBorder="1" applyAlignment="1" applyProtection="1">
      <alignment horizontal="center" vertical="center" wrapText="1"/>
    </xf>
    <xf numFmtId="167" fontId="23" fillId="0" borderId="12" xfId="3" applyFont="1" applyBorder="1" applyAlignment="1" applyProtection="1">
      <alignment horizontal="center" vertical="center" wrapText="1"/>
    </xf>
    <xf numFmtId="2" fontId="18" fillId="0" borderId="1" xfId="3" applyNumberFormat="1" applyFont="1" applyBorder="1" applyAlignment="1" applyProtection="1">
      <alignment horizontal="center" vertical="center" wrapText="1"/>
    </xf>
    <xf numFmtId="167" fontId="18" fillId="0" borderId="15" xfId="3" applyFont="1" applyBorder="1" applyAlignment="1" applyProtection="1">
      <alignment horizontal="center" vertical="center" wrapText="1"/>
    </xf>
    <xf numFmtId="167" fontId="18" fillId="0" borderId="17" xfId="3" applyFont="1" applyBorder="1" applyAlignment="1" applyProtection="1">
      <alignment horizontal="center" vertical="center" wrapText="1"/>
    </xf>
    <xf numFmtId="0" fontId="23" fillId="0" borderId="11" xfId="24" applyFont="1" applyBorder="1" applyAlignment="1" applyProtection="1">
      <alignment horizontal="left" vertical="center" wrapText="1"/>
      <protection locked="0"/>
    </xf>
    <xf numFmtId="0" fontId="25" fillId="0" borderId="13" xfId="9" applyNumberFormat="1" applyBorder="1" applyAlignment="1" applyProtection="1">
      <alignment horizontal="center" vertical="center" wrapText="1"/>
      <protection locked="0"/>
    </xf>
    <xf numFmtId="168" fontId="18" fillId="0" borderId="17" xfId="24" applyNumberFormat="1" applyBorder="1" applyAlignment="1" applyProtection="1">
      <alignment horizontal="center" vertical="center" wrapText="1"/>
    </xf>
    <xf numFmtId="2" fontId="23" fillId="0" borderId="1" xfId="8" applyNumberFormat="1" applyBorder="1" applyAlignment="1">
      <alignment horizontal="center" vertical="center" wrapText="1"/>
    </xf>
    <xf numFmtId="168" fontId="18" fillId="0" borderId="12" xfId="26" applyNumberFormat="1" applyBorder="1" applyAlignment="1" applyProtection="1">
      <alignment horizontal="center" vertical="center" wrapText="1"/>
    </xf>
    <xf numFmtId="168" fontId="18" fillId="0" borderId="11" xfId="26" applyNumberFormat="1" applyBorder="1" applyAlignment="1" applyProtection="1">
      <alignment horizontal="center" vertical="center" wrapText="1"/>
    </xf>
    <xf numFmtId="2" fontId="25" fillId="0" borderId="12" xfId="3" applyNumberFormat="1" applyFont="1" applyBorder="1" applyAlignment="1" applyProtection="1">
      <alignment horizontal="center" vertical="center" wrapText="1"/>
    </xf>
    <xf numFmtId="167" fontId="18" fillId="0" borderId="1" xfId="3" applyFont="1" applyBorder="1" applyAlignment="1" applyProtection="1">
      <alignment horizontal="center" vertical="center" wrapText="1"/>
    </xf>
    <xf numFmtId="167" fontId="18" fillId="0" borderId="12" xfId="3" applyFont="1" applyBorder="1" applyAlignment="1" applyProtection="1">
      <alignment horizontal="center" vertical="center" wrapText="1"/>
    </xf>
    <xf numFmtId="2" fontId="18" fillId="0" borderId="11" xfId="26" applyNumberFormat="1" applyBorder="1" applyAlignment="1" applyProtection="1">
      <alignment horizontal="center" vertical="center" wrapText="1"/>
    </xf>
    <xf numFmtId="0" fontId="25" fillId="0" borderId="2" xfId="9" applyNumberFormat="1" applyBorder="1" applyAlignment="1" applyProtection="1">
      <alignment horizontal="center" vertical="center" wrapText="1"/>
      <protection locked="0"/>
    </xf>
    <xf numFmtId="168" fontId="18" fillId="0" borderId="11" xfId="24" applyNumberFormat="1" applyBorder="1" applyAlignment="1" applyProtection="1">
      <alignment horizontal="center" vertical="center"/>
    </xf>
    <xf numFmtId="168" fontId="18" fillId="0" borderId="11" xfId="24" applyNumberFormat="1" applyBorder="1" applyAlignment="1" applyProtection="1">
      <alignment horizontal="center" vertical="center" wrapText="1"/>
    </xf>
    <xf numFmtId="0" fontId="18" fillId="0" borderId="12" xfId="6" applyFont="1" applyFill="1" applyBorder="1" applyAlignment="1" applyProtection="1">
      <alignment horizontal="center" vertical="center" wrapText="1"/>
      <protection locked="0"/>
    </xf>
    <xf numFmtId="0" fontId="60" fillId="0" borderId="11" xfId="24" applyFont="1" applyBorder="1" applyAlignment="1" applyProtection="1">
      <alignment horizontal="left" vertical="center" wrapText="1"/>
      <protection locked="0"/>
    </xf>
    <xf numFmtId="0" fontId="18" fillId="0" borderId="11" xfId="24" applyBorder="1" applyAlignment="1" applyProtection="1">
      <alignment horizontal="left" vertical="center" wrapText="1"/>
    </xf>
    <xf numFmtId="2" fontId="18" fillId="0" borderId="1" xfId="8" applyNumberFormat="1" applyFont="1" applyBorder="1" applyAlignment="1">
      <alignment horizontal="center" vertical="center" wrapText="1"/>
    </xf>
    <xf numFmtId="2" fontId="18" fillId="0" borderId="1" xfId="8" applyNumberFormat="1" applyFont="1" applyBorder="1" applyAlignment="1">
      <alignment horizontal="center" vertical="center"/>
    </xf>
    <xf numFmtId="169" fontId="18" fillId="0" borderId="11" xfId="26" applyNumberFormat="1" applyBorder="1" applyAlignment="1" applyProtection="1">
      <alignment horizontal="left" vertical="center" wrapText="1"/>
      <protection locked="0"/>
    </xf>
    <xf numFmtId="0" fontId="18" fillId="0" borderId="1" xfId="24" applyAlignment="1" applyProtection="1">
      <alignment vertical="center"/>
    </xf>
    <xf numFmtId="168" fontId="18" fillId="0" borderId="11" xfId="8" applyNumberFormat="1" applyFont="1" applyBorder="1" applyAlignment="1">
      <alignment horizontal="center" vertical="center" wrapText="1"/>
    </xf>
    <xf numFmtId="0" fontId="18" fillId="0" borderId="11" xfId="24" applyBorder="1" applyAlignment="1" applyProtection="1">
      <alignment horizontal="left" vertical="center" wrapText="1"/>
      <protection locked="0"/>
    </xf>
    <xf numFmtId="168" fontId="18" fillId="0" borderId="11" xfId="8" applyNumberFormat="1" applyFont="1" applyBorder="1" applyAlignment="1">
      <alignment horizontal="center" vertical="center"/>
    </xf>
    <xf numFmtId="2" fontId="18" fillId="0" borderId="1" xfId="24" applyNumberFormat="1" applyBorder="1" applyAlignment="1" applyProtection="1">
      <alignment horizontal="center" vertical="center"/>
    </xf>
    <xf numFmtId="0" fontId="61" fillId="0" borderId="11" xfId="24" applyFont="1" applyBorder="1" applyAlignment="1" applyProtection="1">
      <alignment horizontal="left" vertical="center"/>
      <protection locked="0"/>
    </xf>
    <xf numFmtId="0" fontId="18" fillId="0" borderId="1" xfId="24" applyProtection="1"/>
    <xf numFmtId="0" fontId="61" fillId="0" borderId="11" xfId="24" applyNumberFormat="1" applyFont="1" applyBorder="1" applyAlignment="1" applyProtection="1">
      <alignment horizontal="left" vertical="center"/>
    </xf>
    <xf numFmtId="4" fontId="18" fillId="0" borderId="1" xfId="24" applyNumberFormat="1" applyBorder="1" applyAlignment="1" applyProtection="1">
      <alignment horizontal="center"/>
    </xf>
    <xf numFmtId="4" fontId="54" fillId="0" borderId="1" xfId="24" applyNumberFormat="1" applyFont="1" applyFill="1" applyBorder="1" applyAlignment="1" applyProtection="1">
      <alignment horizontal="center"/>
    </xf>
    <xf numFmtId="0" fontId="18" fillId="0" borderId="1" xfId="24" applyFill="1" applyProtection="1"/>
    <xf numFmtId="0" fontId="54" fillId="0" borderId="1" xfId="24" applyFont="1" applyFill="1" applyProtection="1"/>
    <xf numFmtId="2" fontId="54" fillId="0" borderId="1" xfId="24" applyNumberFormat="1" applyFont="1" applyFill="1" applyAlignment="1" applyProtection="1">
      <alignment horizontal="center"/>
    </xf>
    <xf numFmtId="2" fontId="18" fillId="0" borderId="1" xfId="24" applyNumberFormat="1" applyFill="1" applyBorder="1" applyAlignment="1" applyProtection="1">
      <alignment horizontal="center"/>
    </xf>
    <xf numFmtId="2" fontId="18" fillId="0" borderId="1" xfId="24" applyNumberFormat="1" applyBorder="1" applyAlignment="1" applyProtection="1">
      <alignment horizontal="center"/>
    </xf>
    <xf numFmtId="2" fontId="18" fillId="0" borderId="1" xfId="24" applyNumberFormat="1" applyAlignment="1" applyProtection="1">
      <alignment horizontal="center"/>
    </xf>
    <xf numFmtId="168" fontId="18" fillId="0" borderId="11" xfId="24" applyNumberFormat="1" applyBorder="1" applyAlignment="1" applyProtection="1">
      <alignment horizontal="center"/>
    </xf>
    <xf numFmtId="0" fontId="54" fillId="0" borderId="14" xfId="24" applyFont="1" applyBorder="1" applyProtection="1"/>
    <xf numFmtId="168" fontId="54" fillId="0" borderId="17" xfId="24" applyNumberFormat="1" applyFont="1" applyFill="1" applyBorder="1" applyAlignment="1" applyProtection="1">
      <alignment horizontal="center"/>
    </xf>
    <xf numFmtId="0" fontId="62" fillId="19" borderId="12" xfId="6" applyFont="1" applyFill="1" applyBorder="1" applyAlignment="1" applyProtection="1">
      <alignment horizontal="left" vertical="center"/>
      <protection locked="0"/>
    </xf>
    <xf numFmtId="0" fontId="63" fillId="19" borderId="1" xfId="6" applyFont="1" applyFill="1" applyBorder="1" applyAlignment="1" applyProtection="1">
      <alignment horizontal="center" vertical="center" wrapText="1"/>
      <protection locked="0"/>
    </xf>
    <xf numFmtId="168" fontId="63" fillId="19" borderId="1" xfId="2" applyFont="1" applyFill="1" applyBorder="1" applyAlignment="1" applyProtection="1">
      <alignment horizontal="center" vertical="center" wrapText="1"/>
      <protection locked="0"/>
    </xf>
    <xf numFmtId="168" fontId="63" fillId="19" borderId="11" xfId="2" applyFont="1" applyFill="1" applyBorder="1" applyAlignment="1" applyProtection="1">
      <alignment horizontal="center" vertical="center" wrapText="1"/>
      <protection locked="0"/>
    </xf>
    <xf numFmtId="168" fontId="18" fillId="19" borderId="12" xfId="26" applyNumberFormat="1" applyFill="1" applyBorder="1" applyAlignment="1" applyProtection="1">
      <alignment horizontal="center" vertical="center" wrapText="1"/>
    </xf>
    <xf numFmtId="168" fontId="18" fillId="19" borderId="11" xfId="26" applyNumberFormat="1" applyFill="1" applyBorder="1" applyAlignment="1" applyProtection="1">
      <alignment horizontal="center" vertical="center" wrapText="1"/>
    </xf>
    <xf numFmtId="2" fontId="25" fillId="19" borderId="12" xfId="3" applyNumberFormat="1" applyFont="1" applyFill="1" applyBorder="1" applyAlignment="1" applyProtection="1">
      <alignment horizontal="center" vertical="center" wrapText="1"/>
    </xf>
    <xf numFmtId="167" fontId="18" fillId="19" borderId="1" xfId="3" applyFont="1" applyFill="1" applyBorder="1" applyAlignment="1" applyProtection="1">
      <alignment horizontal="center" vertical="center" wrapText="1"/>
    </xf>
    <xf numFmtId="167" fontId="18" fillId="19" borderId="12" xfId="3" applyFont="1" applyFill="1" applyBorder="1" applyAlignment="1" applyProtection="1">
      <alignment horizontal="center" vertical="center" wrapText="1"/>
    </xf>
    <xf numFmtId="2" fontId="18" fillId="19" borderId="11" xfId="26" applyNumberFormat="1" applyFill="1" applyBorder="1" applyAlignment="1" applyProtection="1">
      <alignment horizontal="center" vertical="center" wrapText="1"/>
    </xf>
    <xf numFmtId="0" fontId="61" fillId="19" borderId="11" xfId="24" applyNumberFormat="1" applyFont="1" applyFill="1" applyBorder="1" applyAlignment="1" applyProtection="1">
      <alignment horizontal="left" vertical="center"/>
    </xf>
    <xf numFmtId="0" fontId="23" fillId="19" borderId="12" xfId="6" applyFill="1" applyBorder="1" applyAlignment="1" applyProtection="1">
      <alignment horizontal="center" vertical="center"/>
    </xf>
    <xf numFmtId="0" fontId="23" fillId="19" borderId="1" xfId="6" applyFill="1" applyBorder="1" applyAlignment="1" applyProtection="1">
      <alignment horizontal="center" vertical="center"/>
    </xf>
    <xf numFmtId="168" fontId="23" fillId="19" borderId="1" xfId="2" applyFont="1" applyFill="1" applyBorder="1" applyAlignment="1" applyProtection="1">
      <alignment horizontal="center" vertical="center"/>
    </xf>
    <xf numFmtId="168" fontId="23" fillId="19" borderId="11" xfId="2" applyFont="1" applyFill="1" applyBorder="1" applyAlignment="1" applyProtection="1">
      <alignment horizontal="center" vertical="center"/>
    </xf>
    <xf numFmtId="168" fontId="18" fillId="19" borderId="12" xfId="26" applyNumberFormat="1" applyFill="1" applyBorder="1" applyAlignment="1" applyProtection="1">
      <alignment horizontal="center" vertical="center"/>
    </xf>
    <xf numFmtId="168" fontId="18" fillId="19" borderId="11" xfId="26" applyNumberFormat="1" applyFill="1" applyBorder="1" applyAlignment="1" applyProtection="1">
      <alignment horizontal="center" vertical="center"/>
    </xf>
    <xf numFmtId="167" fontId="23" fillId="19" borderId="12" xfId="3" applyFont="1" applyFill="1" applyBorder="1" applyAlignment="1" applyProtection="1">
      <alignment horizontal="center" vertical="center"/>
    </xf>
    <xf numFmtId="2" fontId="18" fillId="19" borderId="1" xfId="3" applyNumberFormat="1" applyFont="1" applyFill="1" applyBorder="1" applyAlignment="1" applyProtection="1">
      <alignment horizontal="center" vertical="center"/>
    </xf>
    <xf numFmtId="167" fontId="18" fillId="19" borderId="12" xfId="3" applyFont="1" applyFill="1" applyBorder="1" applyAlignment="1" applyProtection="1">
      <alignment horizontal="center" vertical="center"/>
    </xf>
    <xf numFmtId="167" fontId="18" fillId="19" borderId="11" xfId="3" applyFont="1" applyFill="1" applyBorder="1" applyAlignment="1" applyProtection="1">
      <alignment horizontal="center" vertical="center"/>
    </xf>
    <xf numFmtId="0" fontId="18" fillId="19" borderId="11" xfId="24" applyFill="1" applyBorder="1" applyAlignment="1" applyProtection="1">
      <alignment horizontal="left" vertical="center"/>
    </xf>
    <xf numFmtId="0" fontId="23" fillId="19" borderId="7" xfId="6" applyFill="1" applyBorder="1" applyAlignment="1" applyProtection="1">
      <alignment horizontal="center" vertical="center"/>
    </xf>
    <xf numFmtId="0" fontId="23" fillId="19" borderId="8" xfId="6" applyFill="1" applyBorder="1" applyAlignment="1" applyProtection="1">
      <alignment horizontal="center" vertical="center"/>
    </xf>
    <xf numFmtId="168" fontId="23" fillId="19" borderId="8" xfId="2" applyFont="1" applyFill="1" applyBorder="1" applyAlignment="1" applyProtection="1">
      <alignment horizontal="center" vertical="center"/>
    </xf>
    <xf numFmtId="168" fontId="23" fillId="19" borderId="6" xfId="2" applyFont="1" applyFill="1" applyBorder="1" applyAlignment="1" applyProtection="1">
      <alignment horizontal="center" vertical="center"/>
    </xf>
    <xf numFmtId="168" fontId="18" fillId="19" borderId="7" xfId="26" applyNumberFormat="1" applyFill="1" applyBorder="1" applyAlignment="1" applyProtection="1">
      <alignment horizontal="center" vertical="center"/>
    </xf>
    <xf numFmtId="168" fontId="18" fillId="19" borderId="6" xfId="26" applyNumberFormat="1" applyFill="1" applyBorder="1" applyAlignment="1" applyProtection="1">
      <alignment horizontal="center" vertical="center"/>
    </xf>
    <xf numFmtId="167" fontId="23" fillId="19" borderId="7" xfId="3" applyFont="1" applyFill="1" applyBorder="1" applyAlignment="1" applyProtection="1">
      <alignment horizontal="center" vertical="center"/>
    </xf>
    <xf numFmtId="2" fontId="18" fillId="19" borderId="8" xfId="3" applyNumberFormat="1" applyFont="1" applyFill="1" applyBorder="1" applyAlignment="1" applyProtection="1">
      <alignment horizontal="center" vertical="center"/>
    </xf>
    <xf numFmtId="167" fontId="18" fillId="19" borderId="7" xfId="3" applyFont="1" applyFill="1" applyBorder="1" applyAlignment="1" applyProtection="1">
      <alignment horizontal="center" vertical="center"/>
    </xf>
    <xf numFmtId="167" fontId="18" fillId="19" borderId="6" xfId="3" applyFont="1" applyFill="1" applyBorder="1" applyAlignment="1" applyProtection="1">
      <alignment horizontal="center" vertical="center"/>
    </xf>
    <xf numFmtId="0" fontId="18" fillId="19" borderId="6" xfId="24" applyFill="1" applyBorder="1" applyAlignment="1" applyProtection="1">
      <alignment horizontal="left" vertical="center"/>
    </xf>
    <xf numFmtId="0" fontId="54" fillId="0" borderId="8" xfId="24" applyFont="1" applyBorder="1" applyAlignment="1" applyProtection="1">
      <alignment horizontal="left"/>
    </xf>
    <xf numFmtId="168" fontId="18" fillId="0" borderId="6" xfId="24" applyNumberFormat="1" applyBorder="1" applyAlignment="1" applyProtection="1">
      <alignment horizontal="center"/>
    </xf>
    <xf numFmtId="0" fontId="23" fillId="0" borderId="1" xfId="6" applyBorder="1" applyAlignment="1" applyProtection="1">
      <alignment horizontal="center"/>
    </xf>
    <xf numFmtId="168" fontId="23" fillId="0" borderId="1" xfId="2" applyFont="1" applyBorder="1" applyAlignment="1" applyProtection="1">
      <alignment horizontal="center"/>
    </xf>
    <xf numFmtId="168" fontId="18" fillId="0" borderId="1" xfId="26" applyNumberFormat="1" applyBorder="1" applyAlignment="1" applyProtection="1">
      <alignment horizontal="center"/>
    </xf>
    <xf numFmtId="167" fontId="23" fillId="0" borderId="1" xfId="3" applyFont="1" applyBorder="1" applyAlignment="1" applyProtection="1">
      <alignment horizontal="center"/>
    </xf>
    <xf numFmtId="2" fontId="18" fillId="0" borderId="1" xfId="3" applyNumberFormat="1" applyFont="1" applyBorder="1" applyAlignment="1" applyProtection="1">
      <alignment horizontal="center"/>
    </xf>
    <xf numFmtId="167" fontId="18" fillId="0" borderId="1" xfId="3" applyFont="1" applyBorder="1" applyAlignment="1" applyProtection="1">
      <alignment horizontal="center"/>
    </xf>
    <xf numFmtId="168" fontId="18" fillId="0" borderId="1" xfId="2" applyFont="1" applyAlignment="1" applyProtection="1">
      <alignment horizontal="center"/>
    </xf>
    <xf numFmtId="0" fontId="18" fillId="0" borderId="1" xfId="24" applyBorder="1" applyAlignment="1" applyProtection="1">
      <alignment horizontal="left"/>
    </xf>
    <xf numFmtId="0" fontId="54" fillId="0" borderId="1" xfId="24" applyFont="1" applyAlignment="1" applyProtection="1">
      <alignment horizontal="right"/>
    </xf>
    <xf numFmtId="1" fontId="18" fillId="0" borderId="1" xfId="24" applyNumberFormat="1" applyBorder="1" applyProtection="1"/>
    <xf numFmtId="0" fontId="18" fillId="0" borderId="1" xfId="24" applyBorder="1" applyAlignment="1" applyProtection="1">
      <alignment horizontal="center"/>
    </xf>
    <xf numFmtId="167" fontId="18" fillId="0" borderId="1" xfId="3" applyFont="1" applyAlignment="1" applyProtection="1">
      <alignment horizontal="center"/>
    </xf>
    <xf numFmtId="0" fontId="18" fillId="0" borderId="1" xfId="24" applyAlignment="1" applyProtection="1">
      <alignment horizontal="center"/>
    </xf>
    <xf numFmtId="167" fontId="54" fillId="0" borderId="1" xfId="3" applyFont="1" applyAlignment="1" applyProtection="1">
      <alignment horizontal="center"/>
    </xf>
    <xf numFmtId="2" fontId="18" fillId="0" borderId="1" xfId="24" applyNumberFormat="1" applyProtection="1"/>
    <xf numFmtId="1" fontId="18" fillId="0" borderId="1" xfId="24" applyNumberFormat="1" applyProtection="1"/>
    <xf numFmtId="2" fontId="18" fillId="0" borderId="1" xfId="3" applyNumberFormat="1" applyFont="1" applyAlignment="1" applyProtection="1">
      <alignment horizontal="center"/>
    </xf>
    <xf numFmtId="14" fontId="16" fillId="0" borderId="1" xfId="24" applyNumberFormat="1" applyFont="1" applyBorder="1" applyProtection="1"/>
    <xf numFmtId="2" fontId="35" fillId="11" borderId="11" xfId="0" applyNumberFormat="1" applyFont="1" applyFill="1" applyBorder="1" applyAlignment="1">
      <alignment horizontal="center"/>
    </xf>
    <xf numFmtId="2" fontId="0" fillId="0" borderId="1" xfId="0" applyNumberFormat="1" applyBorder="1" applyAlignment="1">
      <alignment horizontal="center"/>
    </xf>
    <xf numFmtId="2" fontId="0" fillId="0" borderId="11" xfId="0" applyNumberFormat="1" applyBorder="1" applyAlignment="1">
      <alignment horizontal="center"/>
    </xf>
    <xf numFmtId="0" fontId="16" fillId="0" borderId="14" xfId="33" applyFont="1" applyBorder="1" applyAlignment="1" applyProtection="1">
      <alignment horizontal="right"/>
    </xf>
    <xf numFmtId="0" fontId="16" fillId="0" borderId="1" xfId="24" applyFont="1" applyProtection="1"/>
    <xf numFmtId="2" fontId="54" fillId="0" borderId="1" xfId="24" applyNumberFormat="1" applyFont="1" applyProtection="1"/>
    <xf numFmtId="0" fontId="16" fillId="0" borderId="1" xfId="33" applyFont="1" applyBorder="1" applyAlignment="1" applyProtection="1">
      <alignment horizontal="right"/>
    </xf>
    <xf numFmtId="1" fontId="34" fillId="0" borderId="1" xfId="26" applyNumberFormat="1" applyFont="1" applyAlignment="1" applyProtection="1">
      <alignment horizontal="center"/>
    </xf>
    <xf numFmtId="0" fontId="34" fillId="0" borderId="1" xfId="26" applyFont="1" applyAlignment="1" applyProtection="1">
      <alignment horizontal="center"/>
    </xf>
    <xf numFmtId="2" fontId="18" fillId="0" borderId="1" xfId="26" applyNumberFormat="1" applyAlignment="1" applyProtection="1">
      <alignment vertical="top"/>
    </xf>
    <xf numFmtId="2" fontId="34" fillId="0" borderId="1" xfId="26" applyNumberFormat="1" applyFont="1" applyAlignment="1" applyProtection="1">
      <alignment horizontal="center"/>
    </xf>
    <xf numFmtId="2" fontId="54" fillId="0" borderId="1" xfId="33" applyNumberFormat="1" applyAlignment="1" applyProtection="1"/>
    <xf numFmtId="0" fontId="16" fillId="0" borderId="1" xfId="26" applyFont="1" applyBorder="1" applyAlignment="1" applyProtection="1">
      <alignment horizontal="right" vertical="top"/>
    </xf>
    <xf numFmtId="0" fontId="34" fillId="0" borderId="1" xfId="26" applyFont="1" applyAlignment="1" applyProtection="1">
      <alignment vertical="top"/>
    </xf>
    <xf numFmtId="1" fontId="55" fillId="0" borderId="1" xfId="26" applyNumberFormat="1" applyFont="1" applyBorder="1" applyAlignment="1" applyProtection="1">
      <alignment vertical="top"/>
      <protection locked="0"/>
    </xf>
    <xf numFmtId="1" fontId="34" fillId="0" borderId="1" xfId="26" applyNumberFormat="1" applyFont="1" applyBorder="1" applyAlignment="1" applyProtection="1">
      <alignment vertical="top"/>
    </xf>
    <xf numFmtId="167" fontId="34" fillId="0" borderId="1" xfId="26" applyNumberFormat="1" applyFont="1" applyBorder="1" applyAlignment="1" applyProtection="1">
      <alignment vertical="top"/>
    </xf>
    <xf numFmtId="2" fontId="34" fillId="0" borderId="1" xfId="26" applyNumberFormat="1" applyFont="1" applyBorder="1" applyAlignment="1" applyProtection="1">
      <alignment vertical="top"/>
    </xf>
    <xf numFmtId="0" fontId="34" fillId="0" borderId="1" xfId="26" applyFont="1" applyBorder="1" applyAlignment="1" applyProtection="1">
      <alignment vertical="top"/>
      <protection locked="0"/>
    </xf>
    <xf numFmtId="2" fontId="54" fillId="0" borderId="1" xfId="33" applyNumberFormat="1" applyBorder="1" applyAlignment="1" applyProtection="1"/>
    <xf numFmtId="2" fontId="57" fillId="0" borderId="14" xfId="3" applyNumberFormat="1" applyFont="1" applyBorder="1" applyAlignment="1" applyProtection="1">
      <alignment horizontal="centerContinuous"/>
    </xf>
    <xf numFmtId="0" fontId="65" fillId="0" borderId="3" xfId="35" applyFont="1" applyBorder="1" applyAlignment="1" applyProtection="1">
      <alignment horizontal="centerContinuous"/>
    </xf>
    <xf numFmtId="0" fontId="65" fillId="0" borderId="1" xfId="35" applyFont="1" applyBorder="1" applyAlignment="1" applyProtection="1">
      <alignment horizontal="centerContinuous"/>
    </xf>
    <xf numFmtId="0" fontId="65" fillId="0" borderId="2" xfId="35" applyFont="1" applyBorder="1" applyAlignment="1" applyProtection="1">
      <alignment horizontal="centerContinuous"/>
    </xf>
    <xf numFmtId="0" fontId="65" fillId="0" borderId="20" xfId="35" applyFont="1" applyBorder="1" applyAlignment="1" applyProtection="1">
      <alignment horizontal="center"/>
    </xf>
    <xf numFmtId="172" fontId="65" fillId="0" borderId="1" xfId="35" applyNumberFormat="1" applyFont="1" applyBorder="1" applyAlignment="1" applyProtection="1">
      <alignment horizontal="centerContinuous"/>
    </xf>
    <xf numFmtId="172" fontId="65" fillId="0" borderId="3" xfId="35" applyNumberFormat="1" applyFont="1" applyBorder="1" applyAlignment="1" applyProtection="1">
      <alignment horizontal="centerContinuous"/>
    </xf>
    <xf numFmtId="172" fontId="65" fillId="0" borderId="12" xfId="35" applyNumberFormat="1" applyFont="1" applyBorder="1" applyAlignment="1" applyProtection="1">
      <alignment horizontal="centerContinuous"/>
    </xf>
    <xf numFmtId="1" fontId="54" fillId="0" borderId="3" xfId="33" applyNumberFormat="1" applyBorder="1" applyAlignment="1" applyProtection="1">
      <alignment horizontal="centerContinuous"/>
    </xf>
    <xf numFmtId="2" fontId="54" fillId="0" borderId="1" xfId="3" applyNumberFormat="1" applyFont="1" applyBorder="1" applyAlignment="1" applyProtection="1">
      <alignment horizontal="center"/>
    </xf>
    <xf numFmtId="0" fontId="54" fillId="0" borderId="12" xfId="33" applyBorder="1" applyAlignment="1" applyProtection="1"/>
    <xf numFmtId="172" fontId="66" fillId="0" borderId="20" xfId="35" applyNumberFormat="1" applyFont="1" applyBorder="1" applyAlignment="1" applyProtection="1">
      <alignment horizontal="center"/>
    </xf>
    <xf numFmtId="172" fontId="66" fillId="0" borderId="3" xfId="35" applyNumberFormat="1" applyFont="1" applyBorder="1" applyAlignment="1" applyProtection="1">
      <alignment horizontal="center"/>
    </xf>
    <xf numFmtId="172" fontId="66" fillId="0" borderId="12" xfId="35" applyNumberFormat="1" applyFont="1" applyBorder="1" applyAlignment="1" applyProtection="1">
      <alignment horizontal="center"/>
    </xf>
    <xf numFmtId="2" fontId="18" fillId="0" borderId="1" xfId="24" applyNumberFormat="1" applyBorder="1" applyProtection="1"/>
    <xf numFmtId="0" fontId="66" fillId="0" borderId="3" xfId="35" applyFont="1" applyBorder="1" applyAlignment="1" applyProtection="1"/>
    <xf numFmtId="0" fontId="66" fillId="0" borderId="1" xfId="35" applyFont="1" applyBorder="1" applyAlignment="1" applyProtection="1"/>
    <xf numFmtId="0" fontId="66" fillId="0" borderId="2" xfId="35" applyFont="1" applyBorder="1" applyAlignment="1" applyProtection="1"/>
    <xf numFmtId="172" fontId="66" fillId="0" borderId="1" xfId="35" applyNumberFormat="1" applyFont="1" applyBorder="1" applyAlignment="1" applyProtection="1">
      <alignment horizontal="center"/>
    </xf>
    <xf numFmtId="168" fontId="54" fillId="0" borderId="3" xfId="2" applyFont="1" applyBorder="1" applyAlignment="1" applyProtection="1">
      <alignment horizontal="center"/>
    </xf>
    <xf numFmtId="0" fontId="67" fillId="0" borderId="3" xfId="35" applyFont="1" applyBorder="1" applyAlignment="1" applyProtection="1">
      <alignment horizontal="center"/>
    </xf>
    <xf numFmtId="0" fontId="67" fillId="0" borderId="1" xfId="35" applyFont="1" applyBorder="1" applyAlignment="1" applyProtection="1">
      <alignment horizontal="center"/>
    </xf>
    <xf numFmtId="0" fontId="67" fillId="0" borderId="2" xfId="35" applyFont="1" applyBorder="1" applyAlignment="1" applyProtection="1">
      <alignment horizontal="center"/>
    </xf>
    <xf numFmtId="172" fontId="67" fillId="0" borderId="20" xfId="35" applyNumberFormat="1" applyFont="1" applyBorder="1" applyAlignment="1" applyProtection="1">
      <alignment horizontal="center"/>
    </xf>
    <xf numFmtId="172" fontId="67" fillId="0" borderId="1" xfId="35" applyNumberFormat="1" applyFont="1" applyBorder="1" applyAlignment="1" applyProtection="1">
      <alignment horizontal="center"/>
    </xf>
    <xf numFmtId="172" fontId="67" fillId="0" borderId="3" xfId="35" applyNumberFormat="1" applyFont="1" applyBorder="1" applyAlignment="1" applyProtection="1">
      <alignment horizontal="center"/>
    </xf>
    <xf numFmtId="168" fontId="18" fillId="0" borderId="25" xfId="2" applyFont="1" applyBorder="1" applyAlignment="1" applyProtection="1">
      <alignment horizontal="center" vertical="center"/>
    </xf>
    <xf numFmtId="2" fontId="18" fillId="0" borderId="8" xfId="3" applyNumberFormat="1" applyFont="1" applyBorder="1" applyAlignment="1" applyProtection="1">
      <alignment horizontal="center" vertical="center"/>
    </xf>
    <xf numFmtId="0" fontId="54" fillId="0" borderId="15" xfId="6" applyFont="1" applyBorder="1" applyAlignment="1" applyProtection="1">
      <alignment horizontal="center" vertical="center" wrapText="1"/>
      <protection locked="0"/>
    </xf>
    <xf numFmtId="0" fontId="18" fillId="0" borderId="14" xfId="6" applyFont="1" applyBorder="1" applyAlignment="1" applyProtection="1">
      <alignment horizontal="center" vertical="center" wrapText="1"/>
      <protection locked="0"/>
    </xf>
    <xf numFmtId="168" fontId="18" fillId="0" borderId="14" xfId="2" applyFont="1" applyBorder="1" applyAlignment="1" applyProtection="1">
      <alignment horizontal="center" vertical="center" wrapText="1"/>
      <protection locked="0"/>
    </xf>
    <xf numFmtId="168" fontId="68" fillId="0" borderId="24" xfId="2" applyFont="1" applyBorder="1" applyAlignment="1" applyProtection="1">
      <alignment horizontal="center" vertical="center" wrapText="1"/>
      <protection locked="0"/>
    </xf>
    <xf numFmtId="168" fontId="68" fillId="0" borderId="14" xfId="2" applyFont="1" applyBorder="1" applyAlignment="1" applyProtection="1">
      <alignment horizontal="center" vertical="center" wrapText="1"/>
      <protection locked="0"/>
    </xf>
    <xf numFmtId="168" fontId="68" fillId="0" borderId="13" xfId="2" applyFont="1" applyBorder="1" applyAlignment="1" applyProtection="1">
      <alignment horizontal="center" vertical="center" wrapText="1"/>
      <protection locked="0"/>
    </xf>
    <xf numFmtId="168" fontId="68" fillId="0" borderId="22" xfId="2" applyFont="1" applyBorder="1" applyAlignment="1" applyProtection="1">
      <alignment horizontal="center" vertical="center" wrapText="1"/>
      <protection locked="0"/>
    </xf>
    <xf numFmtId="168" fontId="68" fillId="0" borderId="28" xfId="2" applyFont="1" applyBorder="1" applyAlignment="1" applyProtection="1">
      <alignment horizontal="center" vertical="center" wrapText="1"/>
      <protection locked="0"/>
    </xf>
    <xf numFmtId="168" fontId="23" fillId="0" borderId="3" xfId="2" applyFont="1" applyBorder="1" applyAlignment="1" applyProtection="1">
      <alignment horizontal="center" vertical="center" wrapText="1"/>
    </xf>
    <xf numFmtId="168" fontId="23" fillId="0" borderId="1" xfId="2" applyFont="1" applyBorder="1" applyAlignment="1" applyProtection="1">
      <alignment horizontal="center" vertical="center" wrapText="1"/>
    </xf>
    <xf numFmtId="2" fontId="23" fillId="0" borderId="15" xfId="3" applyNumberFormat="1" applyFont="1" applyBorder="1" applyAlignment="1" applyProtection="1">
      <alignment horizontal="center" vertical="center" wrapText="1"/>
    </xf>
    <xf numFmtId="2" fontId="18" fillId="0" borderId="14" xfId="3" applyNumberFormat="1" applyFont="1" applyBorder="1" applyAlignment="1" applyProtection="1">
      <alignment horizontal="center" vertical="center" wrapText="1"/>
    </xf>
    <xf numFmtId="2" fontId="18" fillId="0" borderId="15" xfId="3" applyNumberFormat="1" applyFont="1" applyBorder="1" applyAlignment="1" applyProtection="1">
      <alignment horizontal="center" vertical="center" wrapText="1"/>
    </xf>
    <xf numFmtId="2" fontId="18" fillId="0" borderId="17" xfId="3" applyNumberFormat="1" applyFont="1" applyBorder="1" applyAlignment="1" applyProtection="1">
      <alignment horizontal="center" vertical="center" wrapText="1"/>
    </xf>
    <xf numFmtId="0" fontId="23" fillId="0" borderId="17" xfId="24" applyFont="1" applyBorder="1" applyAlignment="1" applyProtection="1">
      <alignment horizontal="left" vertical="center" wrapText="1"/>
      <protection locked="0"/>
    </xf>
    <xf numFmtId="168" fontId="68" fillId="0" borderId="3" xfId="2" applyFont="1" applyBorder="1" applyAlignment="1" applyProtection="1">
      <alignment horizontal="center" vertical="center" wrapText="1"/>
      <protection locked="0"/>
    </xf>
    <xf numFmtId="168" fontId="68" fillId="0" borderId="1" xfId="2" applyFont="1" applyBorder="1" applyAlignment="1" applyProtection="1">
      <alignment horizontal="center" vertical="center" wrapText="1"/>
      <protection locked="0"/>
    </xf>
    <xf numFmtId="168" fontId="68" fillId="0" borderId="2" xfId="2" applyFont="1" applyBorder="1" applyAlignment="1" applyProtection="1">
      <alignment horizontal="center" vertical="center" wrapText="1"/>
      <protection locked="0"/>
    </xf>
    <xf numFmtId="168" fontId="68" fillId="0" borderId="20" xfId="2" applyFont="1" applyBorder="1" applyAlignment="1" applyProtection="1">
      <alignment horizontal="center" vertical="center" wrapText="1"/>
      <protection locked="0"/>
    </xf>
    <xf numFmtId="168" fontId="68" fillId="0" borderId="29" xfId="2" applyFont="1" applyBorder="1" applyAlignment="1" applyProtection="1">
      <alignment horizontal="center" vertical="center" wrapText="1"/>
      <protection locked="0"/>
    </xf>
    <xf numFmtId="168" fontId="18" fillId="0" borderId="3" xfId="26" applyNumberFormat="1" applyBorder="1" applyAlignment="1" applyProtection="1">
      <alignment horizontal="center" vertical="center" wrapText="1"/>
    </xf>
    <xf numFmtId="168" fontId="18" fillId="0" borderId="1" xfId="26" applyNumberFormat="1" applyBorder="1" applyAlignment="1" applyProtection="1">
      <alignment horizontal="center" vertical="center" wrapText="1"/>
    </xf>
    <xf numFmtId="2" fontId="18" fillId="0" borderId="12" xfId="3" applyNumberFormat="1" applyFont="1" applyBorder="1" applyAlignment="1" applyProtection="1">
      <alignment horizontal="center" vertical="center" wrapText="1"/>
    </xf>
    <xf numFmtId="0" fontId="18" fillId="0" borderId="7" xfId="6" applyFont="1" applyFill="1" applyBorder="1" applyAlignment="1" applyProtection="1">
      <alignment horizontal="center" vertical="center" wrapText="1"/>
      <protection locked="0"/>
    </xf>
    <xf numFmtId="0" fontId="18" fillId="0" borderId="8" xfId="6" applyFont="1" applyBorder="1" applyAlignment="1" applyProtection="1">
      <alignment horizontal="center" vertical="center" wrapText="1"/>
      <protection locked="0"/>
    </xf>
    <xf numFmtId="168" fontId="18" fillId="0" borderId="8" xfId="2" applyFont="1" applyBorder="1" applyAlignment="1" applyProtection="1">
      <alignment horizontal="center" vertical="center" wrapText="1"/>
      <protection locked="0"/>
    </xf>
    <xf numFmtId="168" fontId="18" fillId="0" borderId="25" xfId="2" applyFont="1" applyBorder="1" applyAlignment="1" applyProtection="1">
      <alignment horizontal="center" vertical="center" wrapText="1"/>
      <protection locked="0"/>
    </xf>
    <xf numFmtId="168" fontId="18" fillId="0" borderId="9" xfId="2" applyFont="1" applyBorder="1" applyAlignment="1" applyProtection="1">
      <alignment horizontal="center" vertical="center" wrapText="1"/>
      <protection locked="0"/>
    </xf>
    <xf numFmtId="168" fontId="18" fillId="0" borderId="23" xfId="2" applyFont="1" applyBorder="1" applyAlignment="1" applyProtection="1">
      <alignment horizontal="center" vertical="center" wrapText="1"/>
      <protection locked="0"/>
    </xf>
    <xf numFmtId="168" fontId="18" fillId="0" borderId="30" xfId="2" applyFont="1" applyBorder="1" applyAlignment="1" applyProtection="1">
      <alignment horizontal="center" vertical="center" wrapText="1"/>
      <protection locked="0"/>
    </xf>
    <xf numFmtId="168" fontId="18" fillId="0" borderId="25" xfId="26" applyNumberFormat="1" applyBorder="1" applyAlignment="1" applyProtection="1">
      <alignment horizontal="center" vertical="center" wrapText="1"/>
    </xf>
    <xf numFmtId="168" fontId="18" fillId="0" borderId="8" xfId="26" applyNumberFormat="1" applyBorder="1" applyAlignment="1" applyProtection="1">
      <alignment horizontal="center" vertical="center" wrapText="1"/>
    </xf>
    <xf numFmtId="2" fontId="25" fillId="0" borderId="7" xfId="3" applyNumberFormat="1" applyFont="1" applyBorder="1" applyAlignment="1" applyProtection="1">
      <alignment horizontal="center" vertical="center" wrapText="1"/>
    </xf>
    <xf numFmtId="2" fontId="18" fillId="0" borderId="8" xfId="3" applyNumberFormat="1" applyFont="1" applyBorder="1" applyAlignment="1" applyProtection="1">
      <alignment horizontal="center" vertical="center" wrapText="1"/>
    </xf>
    <xf numFmtId="2" fontId="18" fillId="0" borderId="7" xfId="3" applyNumberFormat="1" applyFont="1" applyBorder="1" applyAlignment="1" applyProtection="1">
      <alignment horizontal="center" vertical="center" wrapText="1"/>
    </xf>
    <xf numFmtId="2" fontId="18" fillId="0" borderId="6" xfId="26" applyNumberFormat="1" applyBorder="1" applyAlignment="1" applyProtection="1">
      <alignment horizontal="center" vertical="center" wrapText="1"/>
    </xf>
    <xf numFmtId="0" fontId="61" fillId="0" borderId="6" xfId="24" applyNumberFormat="1" applyFont="1" applyBorder="1" applyAlignment="1" applyProtection="1">
      <alignment horizontal="left" vertical="center"/>
    </xf>
    <xf numFmtId="0" fontId="54" fillId="0" borderId="12" xfId="6" applyFont="1" applyFill="1" applyBorder="1" applyAlignment="1" applyProtection="1">
      <alignment horizontal="center" vertical="center" wrapText="1"/>
      <protection locked="0"/>
    </xf>
    <xf numFmtId="168" fontId="18" fillId="0" borderId="3" xfId="2" applyFont="1" applyBorder="1" applyAlignment="1" applyProtection="1">
      <alignment horizontal="center" vertical="center" wrapText="1"/>
      <protection locked="0"/>
    </xf>
    <xf numFmtId="168" fontId="18" fillId="0" borderId="2" xfId="2" applyFont="1" applyBorder="1" applyAlignment="1" applyProtection="1">
      <alignment horizontal="center" vertical="center" wrapText="1"/>
      <protection locked="0"/>
    </xf>
    <xf numFmtId="168" fontId="18" fillId="0" borderId="20" xfId="2" applyFont="1" applyBorder="1" applyAlignment="1" applyProtection="1">
      <alignment horizontal="center" vertical="center" wrapText="1"/>
      <protection locked="0"/>
    </xf>
    <xf numFmtId="168" fontId="18" fillId="0" borderId="29" xfId="2" applyFont="1" applyBorder="1" applyAlignment="1" applyProtection="1">
      <alignment horizontal="center" vertical="center" wrapText="1"/>
      <protection locked="0"/>
    </xf>
    <xf numFmtId="172" fontId="18" fillId="0" borderId="3" xfId="2" applyNumberFormat="1" applyFont="1" applyBorder="1" applyAlignment="1" applyProtection="1">
      <alignment horizontal="center" vertical="center" wrapText="1"/>
      <protection locked="0"/>
    </xf>
    <xf numFmtId="172" fontId="18" fillId="0" borderId="1" xfId="2" applyNumberFormat="1" applyFont="1" applyBorder="1" applyAlignment="1" applyProtection="1">
      <alignment horizontal="center" vertical="center" wrapText="1"/>
      <protection locked="0"/>
    </xf>
    <xf numFmtId="172" fontId="18" fillId="0" borderId="2" xfId="2" applyNumberFormat="1" applyFont="1" applyBorder="1" applyAlignment="1" applyProtection="1">
      <alignment horizontal="center" vertical="center" wrapText="1"/>
      <protection locked="0"/>
    </xf>
    <xf numFmtId="172" fontId="18" fillId="0" borderId="20" xfId="2" applyNumberFormat="1" applyFont="1" applyBorder="1" applyAlignment="1" applyProtection="1">
      <alignment horizontal="center" vertical="center" wrapText="1"/>
      <protection locked="0"/>
    </xf>
    <xf numFmtId="172" fontId="18" fillId="0" borderId="29" xfId="2" applyNumberFormat="1" applyFont="1" applyBorder="1" applyAlignment="1" applyProtection="1">
      <alignment horizontal="center" vertical="center" wrapText="1"/>
      <protection locked="0"/>
    </xf>
    <xf numFmtId="168" fontId="63" fillId="19" borderId="20" xfId="2" applyFont="1" applyFill="1" applyBorder="1" applyAlignment="1" applyProtection="1">
      <alignment horizontal="center" vertical="center" wrapText="1"/>
      <protection locked="0"/>
    </xf>
    <xf numFmtId="168" fontId="63" fillId="19" borderId="29" xfId="2" applyFont="1" applyFill="1" applyBorder="1" applyAlignment="1" applyProtection="1">
      <alignment horizontal="center" vertical="center" wrapText="1"/>
      <protection locked="0"/>
    </xf>
    <xf numFmtId="168" fontId="18" fillId="19" borderId="3" xfId="26" applyNumberFormat="1" applyFill="1" applyBorder="1" applyAlignment="1" applyProtection="1">
      <alignment horizontal="center" vertical="center" wrapText="1"/>
    </xf>
    <xf numFmtId="168" fontId="18" fillId="19" borderId="1" xfId="26" applyNumberFormat="1" applyFill="1" applyBorder="1" applyAlignment="1" applyProtection="1">
      <alignment horizontal="center" vertical="center" wrapText="1"/>
    </xf>
    <xf numFmtId="2" fontId="18" fillId="19" borderId="1" xfId="3" applyNumberFormat="1" applyFont="1" applyFill="1" applyBorder="1" applyAlignment="1" applyProtection="1">
      <alignment horizontal="center" vertical="center" wrapText="1"/>
    </xf>
    <xf numFmtId="2" fontId="18" fillId="19" borderId="12" xfId="3" applyNumberFormat="1" applyFont="1" applyFill="1" applyBorder="1" applyAlignment="1" applyProtection="1">
      <alignment horizontal="center" vertical="center" wrapText="1"/>
    </xf>
    <xf numFmtId="168" fontId="23" fillId="19" borderId="20" xfId="2" applyFont="1" applyFill="1" applyBorder="1" applyAlignment="1" applyProtection="1">
      <alignment horizontal="center" vertical="center"/>
    </xf>
    <xf numFmtId="168" fontId="23" fillId="19" borderId="29" xfId="2" applyFont="1" applyFill="1" applyBorder="1" applyAlignment="1" applyProtection="1">
      <alignment horizontal="center" vertical="center"/>
    </xf>
    <xf numFmtId="168" fontId="18" fillId="19" borderId="3" xfId="26" applyNumberFormat="1" applyFill="1" applyBorder="1" applyAlignment="1" applyProtection="1">
      <alignment horizontal="center" vertical="center"/>
    </xf>
    <xf numFmtId="168" fontId="18" fillId="19" borderId="1" xfId="26" applyNumberFormat="1" applyFill="1" applyBorder="1" applyAlignment="1" applyProtection="1">
      <alignment horizontal="center" vertical="center"/>
    </xf>
    <xf numFmtId="2" fontId="23" fillId="19" borderId="12" xfId="3" applyNumberFormat="1" applyFont="1" applyFill="1" applyBorder="1" applyAlignment="1" applyProtection="1">
      <alignment horizontal="center" vertical="center"/>
    </xf>
    <xf numFmtId="2" fontId="18" fillId="19" borderId="12" xfId="3" applyNumberFormat="1" applyFont="1" applyFill="1" applyBorder="1" applyAlignment="1" applyProtection="1">
      <alignment horizontal="center" vertical="center"/>
    </xf>
    <xf numFmtId="2" fontId="18" fillId="19" borderId="11" xfId="3" applyNumberFormat="1" applyFont="1" applyFill="1" applyBorder="1" applyAlignment="1" applyProtection="1">
      <alignment horizontal="center" vertical="center"/>
    </xf>
    <xf numFmtId="168" fontId="23" fillId="19" borderId="23" xfId="2" applyFont="1" applyFill="1" applyBorder="1" applyAlignment="1" applyProtection="1">
      <alignment horizontal="center" vertical="center"/>
    </xf>
    <xf numFmtId="168" fontId="23" fillId="19" borderId="30" xfId="2" applyFont="1" applyFill="1" applyBorder="1" applyAlignment="1" applyProtection="1">
      <alignment horizontal="center" vertical="center"/>
    </xf>
    <xf numFmtId="168" fontId="18" fillId="19" borderId="25" xfId="26" applyNumberFormat="1" applyFill="1" applyBorder="1" applyAlignment="1" applyProtection="1">
      <alignment horizontal="center" vertical="center"/>
    </xf>
    <xf numFmtId="168" fontId="18" fillId="19" borderId="8" xfId="26" applyNumberFormat="1" applyFill="1" applyBorder="1" applyAlignment="1" applyProtection="1">
      <alignment horizontal="center" vertical="center"/>
    </xf>
    <xf numFmtId="2" fontId="23" fillId="19" borderId="7" xfId="3" applyNumberFormat="1" applyFont="1" applyFill="1" applyBorder="1" applyAlignment="1" applyProtection="1">
      <alignment horizontal="center" vertical="center"/>
    </xf>
    <xf numFmtId="2" fontId="18" fillId="19" borderId="7" xfId="3" applyNumberFormat="1" applyFont="1" applyFill="1" applyBorder="1" applyAlignment="1" applyProtection="1">
      <alignment horizontal="center" vertical="center"/>
    </xf>
    <xf numFmtId="2" fontId="18" fillId="19" borderId="6" xfId="3" applyNumberFormat="1" applyFont="1" applyFill="1" applyBorder="1" applyAlignment="1" applyProtection="1">
      <alignment horizontal="center" vertical="center"/>
    </xf>
    <xf numFmtId="14" fontId="48" fillId="20" borderId="1" xfId="0" applyNumberFormat="1" applyFont="1" applyFill="1" applyBorder="1" applyAlignment="1">
      <alignment horizontal="center"/>
    </xf>
    <xf numFmtId="0" fontId="48" fillId="20" borderId="1" xfId="0" applyFont="1" applyFill="1" applyBorder="1" applyAlignment="1">
      <alignment horizontal="center"/>
    </xf>
    <xf numFmtId="2" fontId="48" fillId="20" borderId="1" xfId="0" applyNumberFormat="1" applyFont="1" applyFill="1" applyBorder="1" applyAlignment="1">
      <alignment horizontal="center"/>
    </xf>
    <xf numFmtId="0" fontId="48" fillId="20" borderId="1" xfId="0" applyFont="1" applyFill="1" applyBorder="1"/>
    <xf numFmtId="0" fontId="0" fillId="20" borderId="1" xfId="0" applyFill="1" applyBorder="1"/>
    <xf numFmtId="0" fontId="48" fillId="20" borderId="11" xfId="0" applyFont="1" applyFill="1" applyBorder="1" applyAlignment="1">
      <alignment horizontal="center"/>
    </xf>
    <xf numFmtId="0" fontId="48" fillId="20" borderId="5" xfId="0" applyFont="1" applyFill="1" applyBorder="1" applyAlignment="1">
      <alignment horizontal="center"/>
    </xf>
    <xf numFmtId="2" fontId="48" fillId="20" borderId="2" xfId="0" applyNumberFormat="1" applyFont="1" applyFill="1" applyBorder="1" applyAlignment="1">
      <alignment horizontal="center"/>
    </xf>
    <xf numFmtId="0" fontId="48" fillId="20" borderId="2" xfId="0" applyFont="1" applyFill="1" applyBorder="1" applyAlignment="1">
      <alignment horizontal="center"/>
    </xf>
    <xf numFmtId="0" fontId="48" fillId="20" borderId="20" xfId="0" applyFont="1" applyFill="1" applyBorder="1" applyAlignment="1">
      <alignment horizontal="center"/>
    </xf>
    <xf numFmtId="0" fontId="44" fillId="0" borderId="2" xfId="0" applyFont="1" applyBorder="1" applyAlignment="1">
      <alignment horizontal="center" vertical="center" wrapText="1"/>
    </xf>
    <xf numFmtId="0" fontId="44" fillId="0" borderId="1" xfId="0" applyFont="1" applyBorder="1" applyAlignment="1">
      <alignment horizontal="center" vertical="center" wrapText="1"/>
    </xf>
    <xf numFmtId="164" fontId="44" fillId="0" borderId="12" xfId="0" applyNumberFormat="1" applyFont="1" applyBorder="1" applyAlignment="1">
      <alignment horizontal="center" vertical="center" wrapText="1"/>
    </xf>
    <xf numFmtId="0" fontId="44" fillId="0" borderId="20" xfId="0" applyFont="1" applyBorder="1" applyAlignment="1">
      <alignment horizontal="center" vertical="center" wrapText="1"/>
    </xf>
    <xf numFmtId="0" fontId="44" fillId="0" borderId="3" xfId="0" applyFont="1" applyBorder="1" applyAlignment="1">
      <alignment horizontal="center" vertical="center" wrapText="1"/>
    </xf>
    <xf numFmtId="4" fontId="44" fillId="0" borderId="1" xfId="0" applyNumberFormat="1" applyFont="1" applyBorder="1" applyAlignment="1">
      <alignment horizontal="center" vertical="center" wrapText="1"/>
    </xf>
    <xf numFmtId="4" fontId="44" fillId="0" borderId="5" xfId="0" applyNumberFormat="1" applyFont="1" applyBorder="1" applyAlignment="1">
      <alignment horizontal="center" vertical="center" wrapText="1"/>
    </xf>
    <xf numFmtId="4" fontId="44" fillId="0" borderId="12" xfId="0" applyNumberFormat="1" applyFont="1" applyBorder="1" applyAlignment="1">
      <alignment horizontal="center" vertical="center" wrapText="1"/>
    </xf>
    <xf numFmtId="4" fontId="46" fillId="0" borderId="1" xfId="0" applyNumberFormat="1" applyFont="1" applyBorder="1" applyAlignment="1">
      <alignment horizontal="center" vertical="center" wrapText="1"/>
    </xf>
    <xf numFmtId="4" fontId="46" fillId="0" borderId="11" xfId="0" applyNumberFormat="1" applyFont="1" applyBorder="1" applyAlignment="1">
      <alignment horizontal="center" vertical="center" wrapText="1"/>
    </xf>
    <xf numFmtId="2" fontId="50" fillId="0" borderId="1" xfId="0" applyNumberFormat="1" applyFont="1" applyBorder="1" applyAlignment="1">
      <alignment horizontal="center" vertical="center" wrapText="1"/>
    </xf>
    <xf numFmtId="165" fontId="50" fillId="0" borderId="11" xfId="0" applyNumberFormat="1" applyFont="1" applyBorder="1" applyAlignment="1">
      <alignment horizontal="center" vertical="center" wrapText="1"/>
    </xf>
    <xf numFmtId="0" fontId="48" fillId="0" borderId="1" xfId="0" applyFont="1" applyBorder="1" applyAlignment="1">
      <alignment vertical="center" wrapText="1"/>
    </xf>
    <xf numFmtId="0" fontId="0" fillId="0" borderId="1" xfId="0" applyBorder="1" applyAlignment="1">
      <alignment vertical="center" wrapText="1"/>
    </xf>
    <xf numFmtId="168" fontId="18" fillId="4" borderId="1" xfId="2" applyFont="1" applyFill="1" applyBorder="1" applyAlignment="1" applyProtection="1">
      <alignment horizontal="center" vertical="center" wrapText="1"/>
      <protection locked="0"/>
    </xf>
    <xf numFmtId="0" fontId="17" fillId="21" borderId="1" xfId="0" applyFont="1" applyFill="1" applyBorder="1" applyAlignment="1">
      <alignment horizontal="center"/>
    </xf>
    <xf numFmtId="2" fontId="17" fillId="21" borderId="1" xfId="0" applyNumberFormat="1" applyFont="1" applyFill="1" applyBorder="1" applyAlignment="1">
      <alignment horizontal="center"/>
    </xf>
    <xf numFmtId="0" fontId="17" fillId="21" borderId="1" xfId="0" applyFont="1" applyFill="1" applyBorder="1"/>
    <xf numFmtId="0" fontId="0" fillId="21" borderId="1" xfId="0" applyFill="1" applyBorder="1"/>
    <xf numFmtId="0" fontId="17" fillId="0" borderId="2" xfId="0" applyFont="1" applyBorder="1" applyAlignment="1">
      <alignment horizontal="center"/>
    </xf>
    <xf numFmtId="0" fontId="17" fillId="21" borderId="2" xfId="0" applyFont="1" applyFill="1" applyBorder="1" applyAlignment="1">
      <alignment horizontal="center"/>
    </xf>
    <xf numFmtId="0" fontId="17" fillId="0" borderId="20" xfId="0" applyFont="1" applyBorder="1" applyAlignment="1">
      <alignment horizontal="center"/>
    </xf>
    <xf numFmtId="0" fontId="17" fillId="21" borderId="20" xfId="0" applyFont="1" applyFill="1" applyBorder="1" applyAlignment="1">
      <alignment horizontal="center"/>
    </xf>
    <xf numFmtId="2" fontId="17" fillId="13" borderId="2" xfId="0" applyNumberFormat="1" applyFont="1" applyFill="1" applyBorder="1" applyAlignment="1">
      <alignment horizontal="center"/>
    </xf>
    <xf numFmtId="0" fontId="17" fillId="0" borderId="11" xfId="0" applyFont="1" applyBorder="1" applyAlignment="1">
      <alignment horizontal="center"/>
    </xf>
    <xf numFmtId="0" fontId="17" fillId="21" borderId="11" xfId="0" applyFont="1" applyFill="1" applyBorder="1" applyAlignment="1">
      <alignment horizontal="center"/>
    </xf>
    <xf numFmtId="2" fontId="17" fillId="13" borderId="5" xfId="0" applyNumberFormat="1" applyFont="1" applyFill="1" applyBorder="1" applyAlignment="1">
      <alignment horizontal="center"/>
    </xf>
    <xf numFmtId="0" fontId="17" fillId="0" borderId="5" xfId="0" applyFont="1" applyBorder="1" applyAlignment="1">
      <alignment horizontal="center"/>
    </xf>
    <xf numFmtId="0" fontId="17" fillId="21" borderId="5" xfId="0" applyFont="1" applyFill="1" applyBorder="1" applyAlignment="1">
      <alignment horizontal="center"/>
    </xf>
    <xf numFmtId="0" fontId="17" fillId="0" borderId="11" xfId="0" applyFont="1" applyBorder="1"/>
    <xf numFmtId="0" fontId="17" fillId="21" borderId="11" xfId="0" applyFont="1" applyFill="1" applyBorder="1"/>
    <xf numFmtId="0" fontId="12" fillId="0" borderId="5" xfId="0" applyFont="1" applyBorder="1" applyAlignment="1">
      <alignment horizontal="center" vertical="center"/>
    </xf>
    <xf numFmtId="0" fontId="13" fillId="0" borderId="4" xfId="0" applyFont="1" applyBorder="1" applyAlignment="1">
      <alignment horizontal="center"/>
    </xf>
    <xf numFmtId="0" fontId="48" fillId="13" borderId="5" xfId="0" applyFont="1" applyFill="1" applyBorder="1"/>
    <xf numFmtId="0" fontId="0" fillId="13" borderId="5" xfId="0" applyFill="1" applyBorder="1"/>
    <xf numFmtId="0" fontId="0" fillId="0" borderId="5" xfId="0" applyBorder="1"/>
    <xf numFmtId="0" fontId="0" fillId="21" borderId="5" xfId="0" applyFill="1" applyBorder="1"/>
    <xf numFmtId="14" fontId="17" fillId="21" borderId="1" xfId="0" applyNumberFormat="1" applyFont="1" applyFill="1" applyBorder="1" applyAlignment="1">
      <alignment horizontal="center"/>
    </xf>
    <xf numFmtId="0" fontId="48" fillId="0" borderId="2" xfId="0" applyFont="1" applyFill="1" applyBorder="1"/>
    <xf numFmtId="0" fontId="48" fillId="0" borderId="20" xfId="0" applyFont="1" applyFill="1" applyBorder="1"/>
    <xf numFmtId="0" fontId="48" fillId="0" borderId="5" xfId="0" applyFont="1" applyFill="1" applyBorder="1"/>
    <xf numFmtId="2" fontId="48" fillId="0" borderId="2" xfId="0" applyNumberFormat="1" applyFont="1" applyFill="1" applyBorder="1"/>
    <xf numFmtId="2" fontId="48" fillId="0" borderId="1" xfId="0" applyNumberFormat="1" applyFont="1" applyFill="1" applyBorder="1"/>
    <xf numFmtId="0" fontId="48" fillId="9" borderId="2" xfId="0" applyFont="1" applyFill="1" applyBorder="1"/>
    <xf numFmtId="0" fontId="48" fillId="9" borderId="20" xfId="0" applyFont="1" applyFill="1" applyBorder="1"/>
    <xf numFmtId="0" fontId="48" fillId="9" borderId="5" xfId="0" applyFont="1" applyFill="1" applyBorder="1"/>
    <xf numFmtId="0" fontId="0" fillId="9" borderId="1" xfId="0" applyFill="1" applyBorder="1"/>
    <xf numFmtId="2" fontId="51" fillId="6" borderId="5" xfId="0" applyNumberFormat="1" applyFont="1" applyFill="1" applyBorder="1" applyAlignment="1">
      <alignment horizontal="center"/>
    </xf>
    <xf numFmtId="0" fontId="51" fillId="3" borderId="17" xfId="0" applyFont="1" applyFill="1" applyBorder="1" applyAlignment="1">
      <alignment horizontal="center"/>
    </xf>
    <xf numFmtId="14" fontId="51" fillId="22" borderId="1" xfId="0" applyNumberFormat="1" applyFont="1" applyFill="1" applyBorder="1" applyAlignment="1">
      <alignment horizontal="center"/>
    </xf>
    <xf numFmtId="0" fontId="51" fillId="22" borderId="1" xfId="0" applyFont="1" applyFill="1" applyBorder="1" applyAlignment="1">
      <alignment horizontal="center"/>
    </xf>
    <xf numFmtId="0" fontId="51" fillId="22" borderId="2" xfId="0" applyFont="1" applyFill="1" applyBorder="1" applyAlignment="1">
      <alignment horizontal="center"/>
    </xf>
    <xf numFmtId="0" fontId="51" fillId="22" borderId="20" xfId="0" applyFont="1" applyFill="1" applyBorder="1" applyAlignment="1">
      <alignment horizontal="center"/>
    </xf>
    <xf numFmtId="2" fontId="51" fillId="22" borderId="1" xfId="0" applyNumberFormat="1" applyFont="1" applyFill="1" applyBorder="1" applyAlignment="1">
      <alignment horizontal="center"/>
    </xf>
    <xf numFmtId="0" fontId="51" fillId="23" borderId="5" xfId="0" applyFont="1" applyFill="1" applyBorder="1" applyAlignment="1">
      <alignment horizontal="center"/>
    </xf>
    <xf numFmtId="0" fontId="51" fillId="23" borderId="1" xfId="0" applyFont="1" applyFill="1" applyBorder="1" applyAlignment="1">
      <alignment horizontal="center"/>
    </xf>
    <xf numFmtId="2" fontId="51" fillId="23" borderId="1" xfId="0" applyNumberFormat="1" applyFont="1" applyFill="1" applyBorder="1" applyAlignment="1">
      <alignment horizontal="center"/>
    </xf>
    <xf numFmtId="2" fontId="51" fillId="23" borderId="2" xfId="0" applyNumberFormat="1" applyFont="1" applyFill="1" applyBorder="1" applyAlignment="1">
      <alignment horizontal="center"/>
    </xf>
    <xf numFmtId="0" fontId="51" fillId="23" borderId="11" xfId="0" applyFont="1" applyFill="1" applyBorder="1" applyAlignment="1">
      <alignment horizontal="center"/>
    </xf>
    <xf numFmtId="0" fontId="51" fillId="23" borderId="1" xfId="0" applyFont="1" applyFill="1" applyBorder="1"/>
    <xf numFmtId="0" fontId="51" fillId="23" borderId="11" xfId="0" applyFont="1" applyFill="1" applyBorder="1"/>
    <xf numFmtId="0" fontId="51" fillId="23" borderId="2" xfId="0" applyFont="1" applyFill="1" applyBorder="1"/>
    <xf numFmtId="0" fontId="48" fillId="22" borderId="1" xfId="0" applyFont="1" applyFill="1" applyBorder="1"/>
    <xf numFmtId="0" fontId="0" fillId="22" borderId="1" xfId="0" applyFill="1" applyBorder="1"/>
    <xf numFmtId="0" fontId="48" fillId="22" borderId="2" xfId="0" applyFont="1" applyFill="1" applyBorder="1"/>
    <xf numFmtId="0" fontId="48" fillId="22" borderId="20" xfId="0" applyFont="1" applyFill="1" applyBorder="1"/>
    <xf numFmtId="0" fontId="48" fillId="22" borderId="11" xfId="0" applyFont="1" applyFill="1" applyBorder="1"/>
    <xf numFmtId="0" fontId="48" fillId="22" borderId="5" xfId="0" applyFont="1" applyFill="1" applyBorder="1"/>
    <xf numFmtId="0" fontId="48" fillId="22" borderId="11" xfId="0" applyFont="1" applyFill="1" applyBorder="1" applyAlignment="1">
      <alignment horizontal="center"/>
    </xf>
    <xf numFmtId="0" fontId="48" fillId="22" borderId="19" xfId="0" applyFont="1" applyFill="1" applyBorder="1"/>
    <xf numFmtId="14" fontId="51" fillId="0" borderId="1" xfId="0" applyNumberFormat="1" applyFont="1" applyFill="1" applyBorder="1" applyAlignment="1">
      <alignment horizontal="center"/>
    </xf>
    <xf numFmtId="0" fontId="51" fillId="0" borderId="1" xfId="0" applyFont="1" applyFill="1" applyBorder="1" applyAlignment="1">
      <alignment horizontal="center"/>
    </xf>
    <xf numFmtId="0" fontId="51" fillId="0" borderId="2" xfId="0" applyFont="1" applyFill="1" applyBorder="1" applyAlignment="1">
      <alignment horizontal="center"/>
    </xf>
    <xf numFmtId="0" fontId="51" fillId="0" borderId="20" xfId="0" applyFont="1" applyFill="1" applyBorder="1" applyAlignment="1">
      <alignment horizontal="center"/>
    </xf>
    <xf numFmtId="2" fontId="51" fillId="0" borderId="1" xfId="0" applyNumberFormat="1" applyFont="1" applyFill="1" applyBorder="1" applyAlignment="1">
      <alignment horizontal="center"/>
    </xf>
    <xf numFmtId="2" fontId="51" fillId="0" borderId="5" xfId="0" applyNumberFormat="1" applyFont="1" applyFill="1" applyBorder="1" applyAlignment="1">
      <alignment horizontal="center"/>
    </xf>
    <xf numFmtId="2" fontId="51" fillId="0" borderId="2" xfId="0" applyNumberFormat="1" applyFont="1" applyFill="1" applyBorder="1" applyAlignment="1">
      <alignment horizontal="center"/>
    </xf>
    <xf numFmtId="0" fontId="51" fillId="0" borderId="11" xfId="0" applyFont="1" applyFill="1" applyBorder="1" applyAlignment="1">
      <alignment horizontal="center"/>
    </xf>
    <xf numFmtId="0" fontId="51" fillId="0" borderId="11" xfId="0" applyFont="1" applyFill="1" applyBorder="1"/>
    <xf numFmtId="0" fontId="51" fillId="0" borderId="2" xfId="0" applyFont="1" applyFill="1" applyBorder="1"/>
    <xf numFmtId="164" fontId="43" fillId="0" borderId="15" xfId="29" applyNumberFormat="1" applyFont="1" applyBorder="1" applyAlignment="1">
      <alignment horizontal="center" vertical="top"/>
    </xf>
    <xf numFmtId="0" fontId="44" fillId="0" borderId="14" xfId="29" applyFont="1" applyBorder="1" applyAlignment="1">
      <alignment horizontal="center" vertical="top"/>
    </xf>
    <xf numFmtId="0" fontId="44" fillId="0" borderId="13" xfId="29" applyFont="1" applyBorder="1" applyAlignment="1">
      <alignment horizontal="center" vertical="top"/>
    </xf>
    <xf numFmtId="0" fontId="51" fillId="0" borderId="22" xfId="29" applyFont="1" applyBorder="1" applyAlignment="1">
      <alignment horizontal="center"/>
    </xf>
    <xf numFmtId="0" fontId="51" fillId="0" borderId="24" xfId="29" applyFont="1" applyBorder="1" applyAlignment="1">
      <alignment horizontal="center"/>
    </xf>
    <xf numFmtId="0" fontId="51" fillId="0" borderId="14" xfId="29" applyFont="1" applyBorder="1" applyAlignment="1">
      <alignment horizontal="center"/>
    </xf>
    <xf numFmtId="4" fontId="44" fillId="0" borderId="14" xfId="29" applyNumberFormat="1" applyFont="1" applyBorder="1" applyAlignment="1">
      <alignment horizontal="center" vertical="top"/>
    </xf>
    <xf numFmtId="4" fontId="44" fillId="0" borderId="16" xfId="29" applyNumberFormat="1" applyFont="1" applyBorder="1" applyAlignment="1">
      <alignment horizontal="center" vertical="top"/>
    </xf>
    <xf numFmtId="4" fontId="45" fillId="0" borderId="14" xfId="29" applyNumberFormat="1" applyFont="1" applyBorder="1" applyAlignment="1">
      <alignment horizontal="center"/>
    </xf>
    <xf numFmtId="0" fontId="48" fillId="0" borderId="3" xfId="29" applyFont="1" applyBorder="1"/>
    <xf numFmtId="0" fontId="50" fillId="0" borderId="1" xfId="29" applyFont="1" applyAlignment="1">
      <alignment horizontal="center"/>
    </xf>
    <xf numFmtId="4" fontId="44" fillId="0" borderId="15" xfId="29" applyNumberFormat="1" applyFont="1" applyBorder="1" applyAlignment="1">
      <alignment horizontal="center" vertical="top"/>
    </xf>
    <xf numFmtId="4" fontId="51" fillId="0" borderId="14" xfId="29" applyNumberFormat="1" applyFont="1" applyBorder="1" applyAlignment="1">
      <alignment horizontal="center"/>
    </xf>
    <xf numFmtId="4" fontId="44" fillId="0" borderId="17" xfId="29" applyNumberFormat="1" applyFont="1" applyBorder="1" applyAlignment="1">
      <alignment horizontal="center"/>
    </xf>
    <xf numFmtId="0" fontId="51" fillId="0" borderId="13" xfId="29" applyFont="1" applyBorder="1" applyAlignment="1">
      <alignment horizontal="center"/>
    </xf>
    <xf numFmtId="0" fontId="48" fillId="0" borderId="1" xfId="29" applyFont="1"/>
    <xf numFmtId="164" fontId="43" fillId="0" borderId="12" xfId="29" applyNumberFormat="1" applyFont="1" applyBorder="1" applyAlignment="1">
      <alignment horizontal="center" vertical="top"/>
    </xf>
    <xf numFmtId="0" fontId="44" fillId="0" borderId="1" xfId="29" applyFont="1" applyAlignment="1">
      <alignment horizontal="center" vertical="top"/>
    </xf>
    <xf numFmtId="0" fontId="44" fillId="0" borderId="2" xfId="29" applyFont="1" applyBorder="1" applyAlignment="1">
      <alignment horizontal="center" vertical="top"/>
    </xf>
    <xf numFmtId="0" fontId="51" fillId="0" borderId="20" xfId="29" applyFont="1" applyBorder="1" applyAlignment="1">
      <alignment horizontal="center"/>
    </xf>
    <xf numFmtId="0" fontId="44" fillId="0" borderId="3" xfId="29" applyFont="1" applyBorder="1" applyAlignment="1">
      <alignment horizontal="center"/>
    </xf>
    <xf numFmtId="0" fontId="44" fillId="0" borderId="1" xfId="29" applyFont="1" applyAlignment="1">
      <alignment horizontal="center"/>
    </xf>
    <xf numFmtId="4" fontId="44" fillId="0" borderId="1" xfId="29" applyNumberFormat="1" applyFont="1" applyAlignment="1">
      <alignment horizontal="center" vertical="top"/>
    </xf>
    <xf numFmtId="4" fontId="44" fillId="0" borderId="5" xfId="29" applyNumberFormat="1" applyFont="1" applyBorder="1" applyAlignment="1">
      <alignment horizontal="center" vertical="top"/>
    </xf>
    <xf numFmtId="4" fontId="44" fillId="0" borderId="1" xfId="29" applyNumberFormat="1" applyFont="1" applyAlignment="1">
      <alignment horizontal="center"/>
    </xf>
    <xf numFmtId="0" fontId="51" fillId="0" borderId="1" xfId="29" applyFont="1" applyAlignment="1">
      <alignment horizontal="center"/>
    </xf>
    <xf numFmtId="4" fontId="45" fillId="0" borderId="3" xfId="29" applyNumberFormat="1" applyFont="1" applyBorder="1" applyAlignment="1">
      <alignment horizontal="center" vertical="top"/>
    </xf>
    <xf numFmtId="4" fontId="45" fillId="0" borderId="1" xfId="29" applyNumberFormat="1" applyFont="1" applyAlignment="1">
      <alignment horizontal="center" vertical="top"/>
    </xf>
    <xf numFmtId="0" fontId="48" fillId="0" borderId="12" xfId="29" applyFont="1" applyBorder="1"/>
    <xf numFmtId="0" fontId="48" fillId="0" borderId="11" xfId="29" applyFont="1" applyBorder="1"/>
    <xf numFmtId="0" fontId="44" fillId="0" borderId="11" xfId="29" applyFont="1" applyBorder="1" applyAlignment="1">
      <alignment horizontal="center"/>
    </xf>
    <xf numFmtId="0" fontId="51" fillId="0" borderId="2" xfId="29" applyFont="1" applyBorder="1" applyAlignment="1">
      <alignment horizontal="center"/>
    </xf>
    <xf numFmtId="0" fontId="44" fillId="0" borderId="20" xfId="29" applyFont="1" applyBorder="1" applyAlignment="1">
      <alignment horizontal="center"/>
    </xf>
    <xf numFmtId="0" fontId="44" fillId="0" borderId="5" xfId="29" applyFont="1" applyBorder="1" applyAlignment="1">
      <alignment horizontal="center"/>
    </xf>
    <xf numFmtId="4" fontId="45" fillId="0" borderId="3" xfId="29" applyNumberFormat="1" applyFont="1" applyBorder="1" applyAlignment="1">
      <alignment horizontal="center"/>
    </xf>
    <xf numFmtId="4" fontId="45" fillId="0" borderId="1" xfId="29" applyNumberFormat="1" applyFont="1" applyAlignment="1">
      <alignment horizontal="center"/>
    </xf>
    <xf numFmtId="4" fontId="44" fillId="0" borderId="12" xfId="29" applyNumberFormat="1" applyFont="1" applyBorder="1" applyAlignment="1">
      <alignment horizontal="center"/>
    </xf>
    <xf numFmtId="4" fontId="46" fillId="0" borderId="1" xfId="29" applyNumberFormat="1" applyFont="1" applyAlignment="1">
      <alignment horizontal="center"/>
    </xf>
    <xf numFmtId="4" fontId="46" fillId="0" borderId="11" xfId="29" applyNumberFormat="1" applyFont="1" applyBorder="1" applyAlignment="1">
      <alignment horizontal="center"/>
    </xf>
    <xf numFmtId="0" fontId="44" fillId="0" borderId="2" xfId="29" applyFont="1" applyBorder="1" applyAlignment="1">
      <alignment horizontal="center"/>
    </xf>
    <xf numFmtId="164" fontId="44" fillId="0" borderId="12" xfId="29" applyNumberFormat="1" applyFont="1" applyBorder="1" applyAlignment="1">
      <alignment horizontal="center" vertical="center" wrapText="1"/>
    </xf>
    <xf numFmtId="0" fontId="44" fillId="0" borderId="1" xfId="29" applyFont="1" applyAlignment="1">
      <alignment horizontal="center" vertical="center" wrapText="1"/>
    </xf>
    <xf numFmtId="0" fontId="44" fillId="0" borderId="2" xfId="29" applyFont="1" applyBorder="1" applyAlignment="1">
      <alignment horizontal="center" vertical="center" wrapText="1"/>
    </xf>
    <xf numFmtId="0" fontId="44" fillId="0" borderId="20" xfId="29" applyFont="1" applyBorder="1" applyAlignment="1">
      <alignment horizontal="center" vertical="center" wrapText="1"/>
    </xf>
    <xf numFmtId="0" fontId="44" fillId="0" borderId="3" xfId="29" applyFont="1" applyBorder="1" applyAlignment="1">
      <alignment horizontal="center" vertical="center" wrapText="1"/>
    </xf>
    <xf numFmtId="4" fontId="44" fillId="0" borderId="1" xfId="29" applyNumberFormat="1" applyFont="1" applyAlignment="1">
      <alignment horizontal="center" vertical="center" wrapText="1"/>
    </xf>
    <xf numFmtId="4" fontId="44" fillId="0" borderId="5" xfId="29" applyNumberFormat="1" applyFont="1" applyBorder="1" applyAlignment="1">
      <alignment horizontal="center" vertical="center" wrapText="1"/>
    </xf>
    <xf numFmtId="4" fontId="45" fillId="0" borderId="3" xfId="29" applyNumberFormat="1" applyFont="1" applyBorder="1" applyAlignment="1">
      <alignment horizontal="center" vertical="center" wrapText="1"/>
    </xf>
    <xf numFmtId="4" fontId="44" fillId="0" borderId="12" xfId="29" applyNumberFormat="1" applyFont="1" applyBorder="1" applyAlignment="1">
      <alignment horizontal="center" vertical="center" wrapText="1"/>
    </xf>
    <xf numFmtId="4" fontId="46" fillId="0" borderId="1" xfId="29" applyNumberFormat="1" applyFont="1" applyAlignment="1">
      <alignment horizontal="center" vertical="center" wrapText="1"/>
    </xf>
    <xf numFmtId="4" fontId="46" fillId="0" borderId="11" xfId="29" applyNumberFormat="1" applyFont="1" applyBorder="1" applyAlignment="1">
      <alignment horizontal="center" vertical="center" wrapText="1"/>
    </xf>
    <xf numFmtId="2" fontId="50" fillId="0" borderId="1" xfId="29" applyNumberFormat="1" applyFont="1" applyAlignment="1">
      <alignment horizontal="center" vertical="center" wrapText="1"/>
    </xf>
    <xf numFmtId="165" fontId="50" fillId="0" borderId="11" xfId="29" applyNumberFormat="1" applyFont="1" applyBorder="1" applyAlignment="1">
      <alignment horizontal="center" vertical="center" wrapText="1"/>
    </xf>
    <xf numFmtId="0" fontId="48" fillId="0" borderId="1" xfId="29" applyFont="1" applyAlignment="1">
      <alignment vertical="center" wrapText="1"/>
    </xf>
    <xf numFmtId="164" fontId="51" fillId="0" borderId="7" xfId="29" applyNumberFormat="1" applyFont="1" applyBorder="1" applyAlignment="1">
      <alignment horizontal="center" vertical="top"/>
    </xf>
    <xf numFmtId="0" fontId="51" fillId="0" borderId="8" xfId="29" applyFont="1" applyBorder="1" applyAlignment="1">
      <alignment horizontal="center" vertical="top"/>
    </xf>
    <xf numFmtId="0" fontId="51" fillId="0" borderId="9" xfId="29" applyFont="1" applyBorder="1" applyAlignment="1">
      <alignment horizontal="center" vertical="top"/>
    </xf>
    <xf numFmtId="0" fontId="51" fillId="0" borderId="23" xfId="29" applyFont="1" applyBorder="1" applyAlignment="1">
      <alignment horizontal="center"/>
    </xf>
    <xf numFmtId="4" fontId="48" fillId="0" borderId="8" xfId="29" applyNumberFormat="1" applyFont="1" applyBorder="1" applyAlignment="1">
      <alignment horizontal="center"/>
    </xf>
    <xf numFmtId="0" fontId="51" fillId="0" borderId="8" xfId="29" applyFont="1" applyBorder="1" applyAlignment="1">
      <alignment horizontal="center"/>
    </xf>
    <xf numFmtId="4" fontId="51" fillId="0" borderId="25" xfId="29" applyNumberFormat="1" applyFont="1" applyBorder="1" applyAlignment="1">
      <alignment horizontal="center" vertical="top"/>
    </xf>
    <xf numFmtId="4" fontId="51" fillId="0" borderId="8" xfId="29" applyNumberFormat="1" applyFont="1" applyBorder="1" applyAlignment="1">
      <alignment horizontal="center" vertical="top"/>
    </xf>
    <xf numFmtId="4" fontId="51" fillId="0" borderId="7" xfId="29" applyNumberFormat="1" applyFont="1" applyBorder="1" applyAlignment="1">
      <alignment horizontal="center"/>
    </xf>
    <xf numFmtId="4" fontId="51" fillId="0" borderId="8" xfId="29" applyNumberFormat="1" applyFont="1" applyBorder="1" applyAlignment="1">
      <alignment horizontal="center"/>
    </xf>
    <xf numFmtId="4" fontId="42" fillId="0" borderId="8" xfId="29" applyNumberFormat="1" applyFont="1" applyBorder="1" applyAlignment="1">
      <alignment horizontal="center"/>
    </xf>
    <xf numFmtId="4" fontId="42" fillId="0" borderId="6" xfId="29" applyNumberFormat="1" applyFont="1" applyBorder="1" applyAlignment="1">
      <alignment horizontal="center"/>
    </xf>
    <xf numFmtId="2" fontId="48" fillId="0" borderId="8" xfId="29" applyNumberFormat="1" applyFont="1" applyBorder="1" applyAlignment="1">
      <alignment horizontal="center"/>
    </xf>
    <xf numFmtId="0" fontId="51" fillId="0" borderId="6" xfId="29" applyFont="1" applyBorder="1" applyAlignment="1">
      <alignment horizontal="center"/>
    </xf>
    <xf numFmtId="0" fontId="51" fillId="0" borderId="9" xfId="29" applyFont="1" applyBorder="1" applyAlignment="1">
      <alignment horizontal="center"/>
    </xf>
    <xf numFmtId="14" fontId="48" fillId="7" borderId="12" xfId="29" applyNumberFormat="1" applyFont="1" applyFill="1" applyBorder="1" applyAlignment="1">
      <alignment horizontal="center"/>
    </xf>
    <xf numFmtId="0" fontId="48" fillId="7" borderId="1" xfId="29" applyFont="1" applyFill="1" applyAlignment="1">
      <alignment horizontal="center"/>
    </xf>
    <xf numFmtId="0" fontId="48" fillId="7" borderId="2" xfId="29" applyFont="1" applyFill="1" applyBorder="1" applyAlignment="1">
      <alignment horizontal="center"/>
    </xf>
    <xf numFmtId="0" fontId="48" fillId="7" borderId="20" xfId="29" applyFont="1" applyFill="1" applyBorder="1" applyAlignment="1">
      <alignment horizontal="center"/>
    </xf>
    <xf numFmtId="0" fontId="48" fillId="7" borderId="3" xfId="29" applyFont="1" applyFill="1" applyBorder="1" applyAlignment="1">
      <alignment horizontal="center"/>
    </xf>
    <xf numFmtId="4" fontId="48" fillId="7" borderId="1" xfId="29" applyNumberFormat="1" applyFont="1" applyFill="1" applyAlignment="1">
      <alignment horizontal="center"/>
    </xf>
    <xf numFmtId="4" fontId="48" fillId="7" borderId="5" xfId="29" applyNumberFormat="1" applyFont="1" applyFill="1" applyBorder="1" applyAlignment="1">
      <alignment horizontal="center"/>
    </xf>
    <xf numFmtId="4" fontId="48" fillId="7" borderId="3" xfId="29" applyNumberFormat="1" applyFont="1" applyFill="1" applyBorder="1" applyAlignment="1">
      <alignment horizontal="center"/>
    </xf>
    <xf numFmtId="4" fontId="48" fillId="7" borderId="12" xfId="29" applyNumberFormat="1" applyFont="1" applyFill="1" applyBorder="1" applyAlignment="1">
      <alignment horizontal="center"/>
    </xf>
    <xf numFmtId="4" fontId="48" fillId="7" borderId="2" xfId="29" applyNumberFormat="1" applyFont="1" applyFill="1" applyBorder="1" applyAlignment="1">
      <alignment horizontal="center"/>
    </xf>
    <xf numFmtId="14" fontId="51" fillId="7" borderId="12" xfId="29" applyNumberFormat="1" applyFont="1" applyFill="1" applyBorder="1" applyAlignment="1">
      <alignment horizontal="center"/>
    </xf>
    <xf numFmtId="0" fontId="51" fillId="7" borderId="1" xfId="29" applyFont="1" applyFill="1" applyAlignment="1">
      <alignment horizontal="center"/>
    </xf>
    <xf numFmtId="0" fontId="51" fillId="7" borderId="2" xfId="29" applyFont="1" applyFill="1" applyBorder="1" applyAlignment="1">
      <alignment horizontal="center"/>
    </xf>
    <xf numFmtId="0" fontId="51" fillId="7" borderId="20" xfId="29" applyFont="1" applyFill="1" applyBorder="1" applyAlignment="1">
      <alignment horizontal="center"/>
    </xf>
    <xf numFmtId="2" fontId="51" fillId="7" borderId="3" xfId="29" applyNumberFormat="1" applyFont="1" applyFill="1" applyBorder="1" applyAlignment="1">
      <alignment horizontal="center"/>
    </xf>
    <xf numFmtId="2" fontId="51" fillId="7" borderId="1" xfId="29" applyNumberFormat="1" applyFont="1" applyFill="1" applyAlignment="1">
      <alignment horizontal="center"/>
    </xf>
    <xf numFmtId="4" fontId="51" fillId="7" borderId="1" xfId="29" applyNumberFormat="1" applyFont="1" applyFill="1" applyAlignment="1">
      <alignment horizontal="center"/>
    </xf>
    <xf numFmtId="2" fontId="51" fillId="7" borderId="12" xfId="29" applyNumberFormat="1" applyFont="1" applyFill="1" applyBorder="1" applyAlignment="1">
      <alignment horizontal="center"/>
    </xf>
    <xf numFmtId="0" fontId="51" fillId="7" borderId="2" xfId="29" applyFont="1" applyFill="1" applyBorder="1"/>
    <xf numFmtId="0" fontId="51" fillId="7" borderId="12" xfId="29" applyFont="1" applyFill="1" applyBorder="1" applyAlignment="1">
      <alignment horizontal="center"/>
    </xf>
    <xf numFmtId="0" fontId="48" fillId="0" borderId="1" xfId="29" applyFont="1" applyAlignment="1">
      <alignment horizontal="center"/>
    </xf>
    <xf numFmtId="0" fontId="48" fillId="0" borderId="2" xfId="29" applyFont="1" applyBorder="1"/>
    <xf numFmtId="0" fontId="48" fillId="0" borderId="20" xfId="29" applyFont="1" applyBorder="1"/>
    <xf numFmtId="2" fontId="51" fillId="0" borderId="5" xfId="29" applyNumberFormat="1" applyFont="1" applyBorder="1" applyAlignment="1">
      <alignment horizontal="center"/>
    </xf>
    <xf numFmtId="2" fontId="51" fillId="0" borderId="1" xfId="29" applyNumberFormat="1" applyFont="1" applyAlignment="1">
      <alignment horizontal="center"/>
    </xf>
    <xf numFmtId="0" fontId="51" fillId="0" borderId="3" xfId="29" applyFont="1" applyBorder="1" applyAlignment="1">
      <alignment horizontal="center"/>
    </xf>
    <xf numFmtId="2" fontId="51" fillId="0" borderId="12" xfId="29" applyNumberFormat="1" applyFont="1" applyBorder="1" applyAlignment="1">
      <alignment horizontal="center"/>
    </xf>
    <xf numFmtId="0" fontId="51" fillId="0" borderId="1" xfId="29" applyFont="1"/>
    <xf numFmtId="0" fontId="51" fillId="0" borderId="2" xfId="29" applyFont="1" applyBorder="1"/>
    <xf numFmtId="14" fontId="42" fillId="8" borderId="12" xfId="29" applyNumberFormat="1" applyFont="1" applyFill="1" applyBorder="1" applyAlignment="1">
      <alignment horizontal="center"/>
    </xf>
    <xf numFmtId="0" fontId="42" fillId="8" borderId="1" xfId="29" applyFont="1" applyFill="1" applyAlignment="1">
      <alignment horizontal="center"/>
    </xf>
    <xf numFmtId="0" fontId="42" fillId="8" borderId="2" xfId="29" applyFont="1" applyFill="1" applyBorder="1" applyAlignment="1">
      <alignment horizontal="center"/>
    </xf>
    <xf numFmtId="0" fontId="42" fillId="8" borderId="20" xfId="29" applyFont="1" applyFill="1" applyBorder="1" applyAlignment="1">
      <alignment horizontal="center"/>
    </xf>
    <xf numFmtId="0" fontId="42" fillId="8" borderId="3" xfId="29" applyFont="1" applyFill="1" applyBorder="1" applyAlignment="1">
      <alignment horizontal="center"/>
    </xf>
    <xf numFmtId="4" fontId="42" fillId="8" borderId="1" xfId="29" applyNumberFormat="1" applyFont="1" applyFill="1" applyAlignment="1">
      <alignment horizontal="center"/>
    </xf>
    <xf numFmtId="4" fontId="42" fillId="8" borderId="5" xfId="29" applyNumberFormat="1" applyFont="1" applyFill="1" applyBorder="1" applyAlignment="1">
      <alignment horizontal="center"/>
    </xf>
    <xf numFmtId="4" fontId="42" fillId="8" borderId="3" xfId="29" applyNumberFormat="1" applyFont="1" applyFill="1" applyBorder="1" applyAlignment="1">
      <alignment horizontal="center"/>
    </xf>
    <xf numFmtId="4" fontId="42" fillId="8" borderId="12" xfId="29" applyNumberFormat="1" applyFont="1" applyFill="1" applyBorder="1" applyAlignment="1">
      <alignment horizontal="center"/>
    </xf>
    <xf numFmtId="4" fontId="42" fillId="8" borderId="2" xfId="29" applyNumberFormat="1" applyFont="1" applyFill="1" applyBorder="1" applyAlignment="1">
      <alignment horizontal="center"/>
    </xf>
    <xf numFmtId="14" fontId="51" fillId="8" borderId="12" xfId="29" applyNumberFormat="1" applyFont="1" applyFill="1" applyBorder="1" applyAlignment="1">
      <alignment horizontal="center"/>
    </xf>
    <xf numFmtId="0" fontId="51" fillId="8" borderId="1" xfId="29" applyFont="1" applyFill="1" applyAlignment="1">
      <alignment horizontal="center"/>
    </xf>
    <xf numFmtId="0" fontId="51" fillId="8" borderId="2" xfId="29" applyFont="1" applyFill="1" applyBorder="1" applyAlignment="1">
      <alignment horizontal="center"/>
    </xf>
    <xf numFmtId="0" fontId="51" fillId="8" borderId="20" xfId="29" applyFont="1" applyFill="1" applyBorder="1" applyAlignment="1">
      <alignment horizontal="center"/>
    </xf>
    <xf numFmtId="2" fontId="51" fillId="8" borderId="3" xfId="29" applyNumberFormat="1" applyFont="1" applyFill="1" applyBorder="1" applyAlignment="1">
      <alignment horizontal="center"/>
    </xf>
    <xf numFmtId="2" fontId="51" fillId="8" borderId="1" xfId="29" applyNumberFormat="1" applyFont="1" applyFill="1" applyAlignment="1">
      <alignment horizontal="center"/>
    </xf>
    <xf numFmtId="14" fontId="42" fillId="0" borderId="12" xfId="29" applyNumberFormat="1" applyFont="1" applyBorder="1" applyAlignment="1">
      <alignment horizontal="center"/>
    </xf>
    <xf numFmtId="0" fontId="42" fillId="0" borderId="1" xfId="29" applyFont="1" applyAlignment="1">
      <alignment horizontal="center"/>
    </xf>
    <xf numFmtId="0" fontId="42" fillId="0" borderId="2" xfId="29" applyFont="1" applyBorder="1" applyAlignment="1">
      <alignment horizontal="center"/>
    </xf>
    <xf numFmtId="0" fontId="42" fillId="0" borderId="20" xfId="29" applyFont="1" applyBorder="1" applyAlignment="1">
      <alignment horizontal="center"/>
    </xf>
    <xf numFmtId="0" fontId="42" fillId="0" borderId="3" xfId="29" applyFont="1" applyBorder="1" applyAlignment="1">
      <alignment horizontal="center"/>
    </xf>
    <xf numFmtId="4" fontId="42" fillId="0" borderId="1" xfId="29" applyNumberFormat="1" applyFont="1" applyAlignment="1">
      <alignment horizontal="center"/>
    </xf>
    <xf numFmtId="4" fontId="42" fillId="0" borderId="5" xfId="29" applyNumberFormat="1" applyFont="1" applyBorder="1" applyAlignment="1">
      <alignment horizontal="center"/>
    </xf>
    <xf numFmtId="4" fontId="42" fillId="0" borderId="3" xfId="29" applyNumberFormat="1" applyFont="1" applyBorder="1" applyAlignment="1">
      <alignment horizontal="center"/>
    </xf>
    <xf numFmtId="4" fontId="42" fillId="0" borderId="12" xfId="29" applyNumberFormat="1" applyFont="1" applyBorder="1" applyAlignment="1">
      <alignment horizontal="center"/>
    </xf>
    <xf numFmtId="4" fontId="42" fillId="0" borderId="2" xfId="29" applyNumberFormat="1" applyFont="1" applyBorder="1" applyAlignment="1">
      <alignment horizontal="center"/>
    </xf>
    <xf numFmtId="14" fontId="51" fillId="5" borderId="12" xfId="29" applyNumberFormat="1" applyFont="1" applyFill="1" applyBorder="1" applyAlignment="1">
      <alignment horizontal="center"/>
    </xf>
    <xf numFmtId="0" fontId="51" fillId="5" borderId="1" xfId="29" applyFont="1" applyFill="1" applyBorder="1" applyAlignment="1">
      <alignment horizontal="center"/>
    </xf>
    <xf numFmtId="0" fontId="51" fillId="5" borderId="2" xfId="29" applyFont="1" applyFill="1" applyBorder="1" applyAlignment="1">
      <alignment horizontal="center"/>
    </xf>
    <xf numFmtId="0" fontId="51" fillId="5" borderId="20" xfId="29" applyFont="1" applyFill="1" applyBorder="1" applyAlignment="1">
      <alignment horizontal="center"/>
    </xf>
    <xf numFmtId="2" fontId="51" fillId="5" borderId="3" xfId="29" applyNumberFormat="1" applyFont="1" applyFill="1" applyBorder="1" applyAlignment="1">
      <alignment horizontal="center"/>
    </xf>
    <xf numFmtId="2" fontId="51" fillId="5" borderId="1" xfId="29" applyNumberFormat="1" applyFont="1" applyFill="1" applyBorder="1" applyAlignment="1">
      <alignment horizontal="center"/>
    </xf>
    <xf numFmtId="0" fontId="51" fillId="6" borderId="5" xfId="29" applyFont="1" applyFill="1" applyBorder="1" applyAlignment="1">
      <alignment horizontal="center"/>
    </xf>
    <xf numFmtId="0" fontId="51" fillId="6" borderId="1" xfId="29" applyFont="1" applyFill="1" applyBorder="1" applyAlignment="1">
      <alignment horizontal="center"/>
    </xf>
    <xf numFmtId="2" fontId="51" fillId="3" borderId="1" xfId="29" applyNumberFormat="1" applyFont="1" applyFill="1" applyBorder="1" applyAlignment="1">
      <alignment horizontal="center"/>
    </xf>
    <xf numFmtId="2" fontId="51" fillId="3" borderId="3" xfId="29" applyNumberFormat="1" applyFont="1" applyFill="1" applyBorder="1" applyAlignment="1">
      <alignment horizontal="center"/>
    </xf>
    <xf numFmtId="0" fontId="51" fillId="3" borderId="1" xfId="29" applyFont="1" applyFill="1" applyBorder="1" applyAlignment="1">
      <alignment horizontal="center"/>
    </xf>
    <xf numFmtId="0" fontId="51" fillId="3" borderId="12" xfId="29" applyFont="1" applyFill="1" applyBorder="1" applyAlignment="1">
      <alignment horizontal="center"/>
    </xf>
    <xf numFmtId="0" fontId="51" fillId="3" borderId="2" xfId="29" applyFont="1" applyFill="1" applyBorder="1"/>
    <xf numFmtId="0" fontId="48" fillId="0" borderId="1" xfId="29" applyFont="1" applyBorder="1"/>
    <xf numFmtId="4" fontId="50" fillId="4" borderId="14" xfId="29" applyNumberFormat="1" applyFont="1" applyFill="1" applyBorder="1" applyAlignment="1">
      <alignment horizontal="center"/>
    </xf>
    <xf numFmtId="0" fontId="50" fillId="4" borderId="14" xfId="29" applyFont="1" applyFill="1" applyBorder="1"/>
    <xf numFmtId="4" fontId="50" fillId="4" borderId="17" xfId="29" applyNumberFormat="1" applyFont="1" applyFill="1" applyBorder="1" applyAlignment="1">
      <alignment horizontal="center"/>
    </xf>
    <xf numFmtId="0" fontId="44" fillId="2" borderId="10" xfId="29" applyFont="1" applyFill="1" applyBorder="1"/>
    <xf numFmtId="164" fontId="44" fillId="2" borderId="10" xfId="29" applyNumberFormat="1" applyFont="1" applyFill="1" applyBorder="1"/>
    <xf numFmtId="0" fontId="44" fillId="2" borderId="10" xfId="29" applyFont="1" applyFill="1" applyBorder="1" applyAlignment="1">
      <alignment horizontal="center"/>
    </xf>
    <xf numFmtId="164" fontId="50" fillId="4" borderId="10" xfId="29" applyNumberFormat="1" applyFont="1" applyFill="1" applyBorder="1"/>
    <xf numFmtId="14" fontId="44" fillId="2" borderId="27" xfId="29" applyNumberFormat="1" applyFont="1" applyFill="1" applyBorder="1"/>
    <xf numFmtId="0" fontId="51" fillId="2" borderId="12" xfId="29" applyFont="1" applyFill="1" applyBorder="1"/>
    <xf numFmtId="0" fontId="51" fillId="2" borderId="2" xfId="29" applyFont="1" applyFill="1" applyBorder="1" applyAlignment="1">
      <alignment horizontal="right"/>
    </xf>
    <xf numFmtId="2" fontId="51" fillId="2" borderId="1" xfId="29" applyNumberFormat="1" applyFont="1" applyFill="1"/>
    <xf numFmtId="0" fontId="51" fillId="2" borderId="1" xfId="29" applyFont="1" applyFill="1"/>
    <xf numFmtId="0" fontId="48" fillId="4" borderId="1" xfId="29" applyFont="1" applyFill="1"/>
    <xf numFmtId="0" fontId="51" fillId="2" borderId="11" xfId="29" applyFont="1" applyFill="1" applyBorder="1"/>
    <xf numFmtId="0" fontId="42" fillId="4" borderId="2" xfId="29" applyFont="1" applyFill="1" applyBorder="1" applyAlignment="1">
      <alignment horizontal="right"/>
    </xf>
    <xf numFmtId="0" fontId="51" fillId="2" borderId="7" xfId="29" applyFont="1" applyFill="1" applyBorder="1"/>
    <xf numFmtId="0" fontId="42" fillId="4" borderId="9" xfId="29" applyFont="1" applyFill="1" applyBorder="1" applyAlignment="1">
      <alignment horizontal="right"/>
    </xf>
    <xf numFmtId="2" fontId="51" fillId="2" borderId="8" xfId="29" applyNumberFormat="1" applyFont="1" applyFill="1" applyBorder="1"/>
    <xf numFmtId="0" fontId="51" fillId="2" borderId="8" xfId="29" applyFont="1" applyFill="1" applyBorder="1"/>
    <xf numFmtId="4" fontId="51" fillId="2" borderId="8" xfId="29" applyNumberFormat="1" applyFont="1" applyFill="1" applyBorder="1"/>
    <xf numFmtId="0" fontId="51" fillId="2" borderId="6" xfId="29" applyFont="1" applyFill="1" applyBorder="1"/>
    <xf numFmtId="0" fontId="23" fillId="0" borderId="4" xfId="24" applyFont="1" applyBorder="1" applyAlignment="1" applyProtection="1">
      <alignment horizontal="left" vertical="center" wrapText="1"/>
      <protection locked="0"/>
    </xf>
    <xf numFmtId="0" fontId="61" fillId="0" borderId="5" xfId="24" applyNumberFormat="1" applyFont="1" applyBorder="1" applyAlignment="1" applyProtection="1">
      <alignment horizontal="left" vertical="center"/>
    </xf>
    <xf numFmtId="0" fontId="61" fillId="0" borderId="11" xfId="24" applyNumberFormat="1" applyFont="1" applyFill="1" applyBorder="1" applyAlignment="1" applyProtection="1">
      <alignment horizontal="left" vertical="center"/>
    </xf>
    <xf numFmtId="0" fontId="70" fillId="0" borderId="1" xfId="24" applyFont="1" applyProtection="1"/>
    <xf numFmtId="2" fontId="48" fillId="0" borderId="1" xfId="0" applyNumberFormat="1" applyFont="1" applyBorder="1"/>
    <xf numFmtId="2" fontId="48" fillId="9" borderId="11" xfId="0" applyNumberFormat="1" applyFont="1" applyFill="1" applyBorder="1" applyAlignment="1">
      <alignment horizontal="center"/>
    </xf>
    <xf numFmtId="2" fontId="48" fillId="0" borderId="11" xfId="0" applyNumberFormat="1" applyFont="1" applyFill="1" applyBorder="1" applyAlignment="1">
      <alignment horizontal="center"/>
    </xf>
    <xf numFmtId="2" fontId="48" fillId="12" borderId="11" xfId="0" applyNumberFormat="1" applyFont="1" applyFill="1" applyBorder="1" applyAlignment="1">
      <alignment horizontal="center"/>
    </xf>
    <xf numFmtId="2" fontId="48" fillId="20" borderId="11" xfId="0" applyNumberFormat="1" applyFont="1" applyFill="1" applyBorder="1" applyAlignment="1">
      <alignment horizontal="center"/>
    </xf>
    <xf numFmtId="2" fontId="48" fillId="0" borderId="1" xfId="0" applyNumberFormat="1" applyFont="1" applyBorder="1" applyAlignment="1">
      <alignment horizontal="center"/>
    </xf>
    <xf numFmtId="2" fontId="48" fillId="0" borderId="11" xfId="0" applyNumberFormat="1" applyFont="1" applyBorder="1" applyAlignment="1">
      <alignment horizontal="center"/>
    </xf>
    <xf numFmtId="2" fontId="51" fillId="3" borderId="1" xfId="0" applyNumberFormat="1" applyFont="1" applyFill="1" applyBorder="1"/>
    <xf numFmtId="2" fontId="51" fillId="6" borderId="11" xfId="0" applyNumberFormat="1" applyFont="1" applyFill="1" applyBorder="1"/>
    <xf numFmtId="2" fontId="48" fillId="7" borderId="1" xfId="29" applyNumberFormat="1" applyFont="1" applyFill="1" applyAlignment="1">
      <alignment horizontal="center"/>
    </xf>
    <xf numFmtId="2" fontId="48" fillId="7" borderId="12" xfId="29" applyNumberFormat="1" applyFont="1" applyFill="1" applyBorder="1" applyAlignment="1">
      <alignment horizontal="center"/>
    </xf>
    <xf numFmtId="2" fontId="51" fillId="7" borderId="11" xfId="29" applyNumberFormat="1" applyFont="1" applyFill="1" applyBorder="1" applyAlignment="1">
      <alignment horizontal="center"/>
    </xf>
    <xf numFmtId="2" fontId="51" fillId="0" borderId="11" xfId="29" applyNumberFormat="1" applyFont="1" applyBorder="1" applyAlignment="1">
      <alignment horizontal="center"/>
    </xf>
    <xf numFmtId="2" fontId="42" fillId="8" borderId="1" xfId="29" applyNumberFormat="1" applyFont="1" applyFill="1" applyAlignment="1">
      <alignment horizontal="center"/>
    </xf>
    <xf numFmtId="2" fontId="42" fillId="8" borderId="12" xfId="29" applyNumberFormat="1" applyFont="1" applyFill="1" applyBorder="1" applyAlignment="1">
      <alignment horizontal="center"/>
    </xf>
    <xf numFmtId="2" fontId="51" fillId="8" borderId="11" xfId="29" applyNumberFormat="1" applyFont="1" applyFill="1" applyBorder="1" applyAlignment="1">
      <alignment horizontal="center"/>
    </xf>
    <xf numFmtId="2" fontId="42" fillId="0" borderId="1" xfId="29" applyNumberFormat="1" applyFont="1" applyAlignment="1">
      <alignment horizontal="center"/>
    </xf>
    <xf numFmtId="2" fontId="42" fillId="0" borderId="12" xfId="29" applyNumberFormat="1" applyFont="1" applyBorder="1" applyAlignment="1">
      <alignment horizontal="center"/>
    </xf>
    <xf numFmtId="2" fontId="51" fillId="3" borderId="12" xfId="29" applyNumberFormat="1" applyFont="1" applyFill="1" applyBorder="1" applyAlignment="1">
      <alignment horizontal="center"/>
    </xf>
    <xf numFmtId="2" fontId="51" fillId="6" borderId="11" xfId="29" applyNumberFormat="1" applyFont="1" applyFill="1" applyBorder="1" applyAlignment="1">
      <alignment horizontal="center"/>
    </xf>
    <xf numFmtId="2" fontId="48" fillId="13" borderId="11" xfId="0" applyNumberFormat="1" applyFont="1" applyFill="1" applyBorder="1" applyAlignment="1">
      <alignment horizontal="center"/>
    </xf>
    <xf numFmtId="2" fontId="0" fillId="13" borderId="11" xfId="0" applyNumberFormat="1" applyFill="1" applyBorder="1" applyAlignment="1">
      <alignment horizontal="center"/>
    </xf>
    <xf numFmtId="2" fontId="0" fillId="21" borderId="11" xfId="0" applyNumberFormat="1" applyFill="1" applyBorder="1" applyAlignment="1">
      <alignment horizontal="center"/>
    </xf>
    <xf numFmtId="2" fontId="17" fillId="5" borderId="11" xfId="0" applyNumberFormat="1" applyFont="1" applyFill="1" applyBorder="1"/>
    <xf numFmtId="2" fontId="17" fillId="0" borderId="11" xfId="0" applyNumberFormat="1" applyFont="1" applyFill="1" applyBorder="1"/>
    <xf numFmtId="2" fontId="17" fillId="10" borderId="11" xfId="0" applyNumberFormat="1" applyFont="1" applyFill="1" applyBorder="1" applyAlignment="1">
      <alignment horizontal="center"/>
    </xf>
    <xf numFmtId="2" fontId="17" fillId="11" borderId="1" xfId="0" applyNumberFormat="1" applyFont="1" applyFill="1" applyBorder="1" applyAlignment="1">
      <alignment horizontal="center"/>
    </xf>
    <xf numFmtId="2" fontId="17" fillId="11" borderId="11" xfId="0" applyNumberFormat="1" applyFont="1" applyFill="1" applyBorder="1" applyAlignment="1">
      <alignment horizontal="center"/>
    </xf>
    <xf numFmtId="0" fontId="0" fillId="9" borderId="1" xfId="0" applyFill="1" applyBorder="1" applyAlignment="1">
      <alignment horizontal="center"/>
    </xf>
    <xf numFmtId="0" fontId="36" fillId="0" borderId="1" xfId="36" applyFont="1" applyAlignment="1">
      <alignment horizontal="center"/>
    </xf>
    <xf numFmtId="2" fontId="17" fillId="21" borderId="11" xfId="0" applyNumberFormat="1" applyFont="1" applyFill="1" applyBorder="1" applyAlignment="1">
      <alignment horizontal="center"/>
    </xf>
    <xf numFmtId="2" fontId="17" fillId="21" borderId="5" xfId="0" applyNumberFormat="1" applyFont="1" applyFill="1" applyBorder="1" applyAlignment="1">
      <alignment horizontal="center"/>
    </xf>
    <xf numFmtId="2" fontId="36" fillId="5" borderId="3" xfId="0" applyNumberFormat="1" applyFont="1" applyFill="1" applyBorder="1" applyAlignment="1">
      <alignment horizontal="center"/>
    </xf>
    <xf numFmtId="2" fontId="36" fillId="10" borderId="3" xfId="0" applyNumberFormat="1" applyFont="1" applyFill="1" applyBorder="1" applyAlignment="1">
      <alignment horizontal="center"/>
    </xf>
    <xf numFmtId="2" fontId="35" fillId="11" borderId="5" xfId="0" applyNumberFormat="1" applyFont="1" applyFill="1" applyBorder="1" applyAlignment="1">
      <alignment horizontal="center"/>
    </xf>
    <xf numFmtId="1" fontId="25" fillId="0" borderId="1" xfId="9" applyNumberFormat="1" applyBorder="1" applyAlignment="1" applyProtection="1">
      <alignment horizontal="center" vertical="center"/>
    </xf>
    <xf numFmtId="1" fontId="18" fillId="0" borderId="1" xfId="24" applyNumberFormat="1" applyBorder="1" applyAlignment="1" applyProtection="1">
      <alignment horizontal="center" vertical="center" wrapText="1"/>
    </xf>
    <xf numFmtId="1" fontId="18" fillId="0" borderId="1" xfId="8" applyNumberFormat="1" applyFont="1" applyBorder="1" applyAlignment="1">
      <alignment horizontal="center" vertical="center" wrapText="1"/>
    </xf>
    <xf numFmtId="1" fontId="18" fillId="0" borderId="1" xfId="8" applyNumberFormat="1" applyFont="1" applyBorder="1" applyAlignment="1">
      <alignment horizontal="center" vertical="center"/>
    </xf>
    <xf numFmtId="1" fontId="18" fillId="0" borderId="1" xfId="24" applyNumberFormat="1" applyBorder="1" applyAlignment="1" applyProtection="1">
      <alignment horizontal="center" vertical="center"/>
    </xf>
    <xf numFmtId="14" fontId="51" fillId="0" borderId="1" xfId="0" applyNumberFormat="1" applyFont="1" applyBorder="1" applyAlignment="1">
      <alignment horizontal="center"/>
    </xf>
    <xf numFmtId="2" fontId="48" fillId="20" borderId="5" xfId="0" applyNumberFormat="1" applyFont="1" applyFill="1" applyBorder="1" applyAlignment="1">
      <alignment horizontal="center"/>
    </xf>
    <xf numFmtId="2" fontId="0" fillId="0" borderId="1" xfId="0" applyNumberFormat="1" applyFill="1" applyBorder="1" applyAlignment="1">
      <alignment horizontal="left"/>
    </xf>
    <xf numFmtId="2" fontId="0" fillId="14" borderId="1" xfId="0" applyNumberFormat="1" applyFill="1" applyBorder="1" applyAlignment="1">
      <alignment horizontal="left"/>
    </xf>
    <xf numFmtId="1" fontId="16" fillId="0" borderId="14" xfId="0" applyNumberFormat="1" applyFont="1" applyBorder="1"/>
    <xf numFmtId="1" fontId="0" fillId="0" borderId="1" xfId="0" applyNumberFormat="1" applyBorder="1"/>
    <xf numFmtId="1" fontId="0" fillId="0" borderId="8" xfId="0" applyNumberFormat="1" applyBorder="1"/>
    <xf numFmtId="1" fontId="0" fillId="0" borderId="0" xfId="0" applyNumberFormat="1"/>
    <xf numFmtId="0" fontId="14" fillId="0" borderId="15" xfId="0" applyFont="1" applyBorder="1" applyAlignment="1">
      <alignment horizontal="center"/>
    </xf>
    <xf numFmtId="0" fontId="14" fillId="0" borderId="14" xfId="0" applyFont="1" applyBorder="1" applyAlignment="1">
      <alignment horizontal="center"/>
    </xf>
    <xf numFmtId="0" fontId="14" fillId="0" borderId="17" xfId="0" applyFont="1" applyBorder="1" applyAlignment="1">
      <alignment horizontal="center"/>
    </xf>
    <xf numFmtId="0" fontId="14" fillId="0" borderId="12" xfId="0" applyFont="1" applyBorder="1" applyAlignment="1">
      <alignment horizontal="center"/>
    </xf>
    <xf numFmtId="0" fontId="14" fillId="0" borderId="1" xfId="0" applyFont="1" applyBorder="1" applyAlignment="1">
      <alignment horizontal="center"/>
    </xf>
    <xf numFmtId="0" fontId="12" fillId="0" borderId="3" xfId="0" applyFont="1" applyBorder="1" applyAlignment="1">
      <alignment horizontal="center"/>
    </xf>
    <xf numFmtId="0" fontId="12" fillId="0" borderId="1" xfId="0" applyFont="1" applyBorder="1" applyAlignment="1">
      <alignment horizontal="center"/>
    </xf>
    <xf numFmtId="0" fontId="12" fillId="0" borderId="11" xfId="0" applyFont="1" applyBorder="1" applyAlignment="1">
      <alignment horizontal="center"/>
    </xf>
    <xf numFmtId="165" fontId="15" fillId="0" borderId="12" xfId="0" applyNumberFormat="1" applyFont="1" applyBorder="1" applyAlignment="1">
      <alignment horizontal="center"/>
    </xf>
    <xf numFmtId="165" fontId="15" fillId="0" borderId="1" xfId="0" applyNumberFormat="1" applyFont="1" applyBorder="1" applyAlignment="1">
      <alignment horizontal="center"/>
    </xf>
    <xf numFmtId="0" fontId="41" fillId="2" borderId="15" xfId="0" applyFont="1" applyFill="1" applyBorder="1" applyAlignment="1">
      <alignment horizontal="center" vertical="center"/>
    </xf>
    <xf numFmtId="0" fontId="41" fillId="2" borderId="13" xfId="0" applyFont="1" applyFill="1" applyBorder="1" applyAlignment="1">
      <alignment horizontal="center" vertical="center"/>
    </xf>
    <xf numFmtId="0" fontId="41" fillId="2" borderId="26" xfId="0" applyFont="1" applyFill="1" applyBorder="1" applyAlignment="1">
      <alignment horizontal="center" vertical="center"/>
    </xf>
    <xf numFmtId="0" fontId="41" fillId="2" borderId="21" xfId="0" applyFont="1" applyFill="1" applyBorder="1" applyAlignment="1">
      <alignment horizontal="center" vertical="center"/>
    </xf>
    <xf numFmtId="0" fontId="15" fillId="4" borderId="24" xfId="0" applyFont="1" applyFill="1" applyBorder="1" applyAlignment="1">
      <alignment horizontal="center"/>
    </xf>
    <xf numFmtId="0" fontId="15" fillId="4" borderId="14" xfId="0" applyFont="1" applyFill="1" applyBorder="1" applyAlignment="1">
      <alignment horizontal="center"/>
    </xf>
    <xf numFmtId="0" fontId="45" fillId="0" borderId="15" xfId="0" applyFont="1" applyBorder="1" applyAlignment="1">
      <alignment horizontal="center"/>
    </xf>
    <xf numFmtId="0" fontId="45" fillId="0" borderId="14" xfId="0" applyFont="1" applyBorder="1" applyAlignment="1">
      <alignment horizontal="center"/>
    </xf>
    <xf numFmtId="0" fontId="45" fillId="0" borderId="17" xfId="0" applyFont="1" applyBorder="1" applyAlignment="1">
      <alignment horizontal="center"/>
    </xf>
    <xf numFmtId="0" fontId="45" fillId="0" borderId="12" xfId="0" applyFont="1" applyBorder="1" applyAlignment="1">
      <alignment horizontal="center"/>
    </xf>
    <xf numFmtId="0" fontId="45" fillId="0" borderId="1" xfId="0" applyFont="1" applyBorder="1" applyAlignment="1">
      <alignment horizontal="center"/>
    </xf>
    <xf numFmtId="0" fontId="44" fillId="0" borderId="3" xfId="0" applyFont="1" applyBorder="1" applyAlignment="1">
      <alignment horizontal="center"/>
    </xf>
    <xf numFmtId="0" fontId="44" fillId="0" borderId="1" xfId="0" applyFont="1" applyBorder="1" applyAlignment="1">
      <alignment horizontal="center"/>
    </xf>
    <xf numFmtId="0" fontId="44" fillId="0" borderId="11" xfId="0" applyFont="1" applyBorder="1" applyAlignment="1">
      <alignment horizontal="center"/>
    </xf>
    <xf numFmtId="165" fontId="47" fillId="0" borderId="12" xfId="0" applyNumberFormat="1" applyFont="1" applyBorder="1" applyAlignment="1">
      <alignment horizontal="center"/>
    </xf>
    <xf numFmtId="165" fontId="47" fillId="0" borderId="1" xfId="0" applyNumberFormat="1" applyFont="1" applyBorder="1" applyAlignment="1">
      <alignment horizontal="center"/>
    </xf>
    <xf numFmtId="0" fontId="52" fillId="2" borderId="15" xfId="0" applyFont="1" applyFill="1" applyBorder="1" applyAlignment="1">
      <alignment horizontal="center" vertical="center"/>
    </xf>
    <xf numFmtId="0" fontId="52" fillId="2" borderId="13" xfId="0" applyFont="1" applyFill="1" applyBorder="1" applyAlignment="1">
      <alignment horizontal="center" vertical="center"/>
    </xf>
    <xf numFmtId="0" fontId="52" fillId="2" borderId="26" xfId="0" applyFont="1" applyFill="1" applyBorder="1" applyAlignment="1">
      <alignment horizontal="center" vertical="center"/>
    </xf>
    <xf numFmtId="0" fontId="52" fillId="2" borderId="21" xfId="0" applyFont="1" applyFill="1" applyBorder="1" applyAlignment="1">
      <alignment horizontal="center" vertical="center"/>
    </xf>
    <xf numFmtId="0" fontId="47" fillId="4" borderId="24" xfId="0" applyFont="1" applyFill="1" applyBorder="1" applyAlignment="1">
      <alignment horizontal="center"/>
    </xf>
    <xf numFmtId="0" fontId="47" fillId="4" borderId="14" xfId="0" applyFont="1" applyFill="1" applyBorder="1" applyAlignment="1">
      <alignment horizontal="center"/>
    </xf>
    <xf numFmtId="0" fontId="45" fillId="0" borderId="14" xfId="29" applyFont="1" applyBorder="1" applyAlignment="1">
      <alignment horizontal="center"/>
    </xf>
    <xf numFmtId="0" fontId="45" fillId="0" borderId="17" xfId="29" applyFont="1" applyBorder="1" applyAlignment="1">
      <alignment horizontal="center"/>
    </xf>
    <xf numFmtId="0" fontId="45" fillId="0" borderId="1" xfId="29" applyFont="1" applyAlignment="1">
      <alignment horizontal="center"/>
    </xf>
    <xf numFmtId="0" fontId="44" fillId="0" borderId="3" xfId="29" applyFont="1" applyBorder="1" applyAlignment="1">
      <alignment horizontal="center"/>
    </xf>
    <xf numFmtId="0" fontId="44" fillId="0" borderId="1" xfId="29" applyFont="1" applyAlignment="1">
      <alignment horizontal="center"/>
    </xf>
    <xf numFmtId="0" fontId="44" fillId="0" borderId="11" xfId="29" applyFont="1" applyBorder="1" applyAlignment="1">
      <alignment horizontal="center"/>
    </xf>
    <xf numFmtId="165" fontId="47" fillId="0" borderId="1" xfId="29" applyNumberFormat="1" applyFont="1" applyAlignment="1">
      <alignment horizontal="center"/>
    </xf>
    <xf numFmtId="0" fontId="69" fillId="2" borderId="15" xfId="29" applyFont="1" applyFill="1" applyBorder="1" applyAlignment="1">
      <alignment horizontal="center" vertical="center"/>
    </xf>
    <xf numFmtId="0" fontId="69" fillId="2" borderId="13" xfId="29" applyFont="1" applyFill="1" applyBorder="1" applyAlignment="1">
      <alignment horizontal="center" vertical="center"/>
    </xf>
    <xf numFmtId="0" fontId="69" fillId="2" borderId="26" xfId="29" applyFont="1" applyFill="1" applyBorder="1" applyAlignment="1">
      <alignment horizontal="center" vertical="center"/>
    </xf>
    <xf numFmtId="0" fontId="69" fillId="2" borderId="21" xfId="29" applyFont="1" applyFill="1" applyBorder="1" applyAlignment="1">
      <alignment horizontal="center" vertical="center"/>
    </xf>
    <xf numFmtId="0" fontId="47" fillId="4" borderId="14" xfId="29" applyFont="1" applyFill="1" applyBorder="1" applyAlignment="1">
      <alignment horizontal="center"/>
    </xf>
    <xf numFmtId="0" fontId="54" fillId="0" borderId="14" xfId="24" applyFont="1" applyBorder="1" applyAlignment="1" applyProtection="1">
      <alignment horizontal="center"/>
    </xf>
    <xf numFmtId="0" fontId="54" fillId="0" borderId="17" xfId="24" applyFont="1" applyBorder="1" applyAlignment="1" applyProtection="1">
      <alignment horizontal="center"/>
    </xf>
    <xf numFmtId="0" fontId="57" fillId="0" borderId="15" xfId="33" applyFont="1" applyBorder="1" applyAlignment="1" applyProtection="1">
      <alignment horizontal="center"/>
    </xf>
    <xf numFmtId="0" fontId="57" fillId="0" borderId="14" xfId="33" applyFont="1" applyBorder="1" applyAlignment="1" applyProtection="1">
      <alignment horizontal="center"/>
    </xf>
    <xf numFmtId="1" fontId="57" fillId="0" borderId="15" xfId="6" applyNumberFormat="1" applyFont="1" applyBorder="1" applyAlignment="1" applyProtection="1">
      <alignment horizontal="center"/>
    </xf>
    <xf numFmtId="1" fontId="57" fillId="0" borderId="14" xfId="6" applyNumberFormat="1" applyFont="1" applyBorder="1" applyAlignment="1" applyProtection="1">
      <alignment horizontal="center"/>
    </xf>
    <xf numFmtId="1" fontId="57" fillId="0" borderId="17" xfId="6" applyNumberFormat="1" applyFont="1" applyBorder="1" applyAlignment="1" applyProtection="1">
      <alignment horizontal="center"/>
    </xf>
    <xf numFmtId="0" fontId="66" fillId="0" borderId="3" xfId="35" applyFont="1" applyBorder="1" applyAlignment="1" applyProtection="1">
      <alignment horizontal="center"/>
    </xf>
    <xf numFmtId="0" fontId="66" fillId="0" borderId="1" xfId="35" applyFont="1" applyBorder="1" applyAlignment="1" applyProtection="1">
      <alignment horizontal="center"/>
    </xf>
    <xf numFmtId="0" fontId="66" fillId="0" borderId="2" xfId="35" applyFont="1" applyBorder="1" applyAlignment="1" applyProtection="1">
      <alignment horizontal="center"/>
    </xf>
    <xf numFmtId="172" fontId="66" fillId="0" borderId="3" xfId="35" applyNumberFormat="1" applyFont="1" applyBorder="1" applyAlignment="1" applyProtection="1">
      <alignment horizontal="center"/>
    </xf>
    <xf numFmtId="172" fontId="66" fillId="0" borderId="1" xfId="35" applyNumberFormat="1" applyFont="1" applyBorder="1" applyAlignment="1" applyProtection="1">
      <alignment horizontal="center"/>
    </xf>
    <xf numFmtId="172" fontId="66" fillId="0" borderId="2" xfId="35" applyNumberFormat="1" applyFont="1" applyBorder="1" applyAlignment="1" applyProtection="1">
      <alignment horizontal="center"/>
    </xf>
    <xf numFmtId="0" fontId="42" fillId="20" borderId="1" xfId="0" applyFont="1" applyFill="1" applyBorder="1" applyAlignment="1">
      <alignment horizontal="center"/>
    </xf>
  </cellXfs>
  <cellStyles count="37">
    <cellStyle name="??0" xfId="2" xr:uid="{00000000-0005-0000-0000-000000000000}"/>
    <cellStyle name="??0.0" xfId="11" xr:uid="{00000000-0005-0000-0000-000001000000}"/>
    <cellStyle name="?0.0" xfId="7" xr:uid="{00000000-0005-0000-0000-000002000000}"/>
    <cellStyle name="?0.00" xfId="12" xr:uid="{00000000-0005-0000-0000-000003000000}"/>
    <cellStyle name="0.00" xfId="13" xr:uid="{00000000-0005-0000-0000-000004000000}"/>
    <cellStyle name="0.000" xfId="3" xr:uid="{00000000-0005-0000-0000-000005000000}"/>
    <cellStyle name="Blank" xfId="14" xr:uid="{00000000-0005-0000-0000-000006000000}"/>
    <cellStyle name="EndYear" xfId="15" xr:uid="{00000000-0005-0000-0000-000007000000}"/>
    <cellStyle name="est. Annual Balance" xfId="16" xr:uid="{00000000-0005-0000-0000-000008000000}"/>
    <cellStyle name="est. bw(s)" xfId="17" xr:uid="{00000000-0005-0000-0000-000009000000}"/>
    <cellStyle name="hel8" xfId="5" xr:uid="{00000000-0005-0000-0000-00000A000000}"/>
    <cellStyle name="hel8 2" xfId="26" xr:uid="{00000000-0005-0000-0000-00000B000000}"/>
    <cellStyle name="hel8 blue" xfId="6" xr:uid="{00000000-0005-0000-0000-00000C000000}"/>
    <cellStyle name="hel8_PD860330" xfId="18" xr:uid="{00000000-0005-0000-0000-00000D000000}"/>
    <cellStyle name="hel8b" xfId="19" xr:uid="{00000000-0005-0000-0000-00000E000000}"/>
    <cellStyle name="hel8b_Snow Pit1" xfId="33" xr:uid="{BA2881D8-A634-4B74-96E2-0C8B21BF4D4C}"/>
    <cellStyle name="hel8i" xfId="20" xr:uid="{00000000-0005-0000-0000-000010000000}"/>
    <cellStyle name="Hyperlink 2" xfId="10" xr:uid="{00000000-0005-0000-0000-000011000000}"/>
    <cellStyle name="McCall" xfId="8" xr:uid="{00000000-0005-0000-0000-000012000000}"/>
    <cellStyle name="Normal" xfId="0" builtinId="0"/>
    <cellStyle name="Normal 2" xfId="1" xr:uid="{00000000-0005-0000-0000-000014000000}"/>
    <cellStyle name="Normal 2 2" xfId="21" xr:uid="{00000000-0005-0000-0000-000015000000}"/>
    <cellStyle name="Normal 2 3" xfId="24" xr:uid="{00000000-0005-0000-0000-000016000000}"/>
    <cellStyle name="Normal 3" xfId="4" xr:uid="{00000000-0005-0000-0000-000017000000}"/>
    <cellStyle name="Normal 3 2" xfId="25" xr:uid="{00000000-0005-0000-0000-000018000000}"/>
    <cellStyle name="Normal 4" xfId="23" xr:uid="{00000000-0005-0000-0000-000019000000}"/>
    <cellStyle name="Normal 4 2" xfId="27" xr:uid="{80CAEF7D-5EDC-42C0-8F80-1A51F2F3FEC5}"/>
    <cellStyle name="Normal 4 3" xfId="28" xr:uid="{B462064B-F4EC-4381-A953-668D6E7BAF1C}"/>
    <cellStyle name="Normal 4 4" xfId="30" xr:uid="{36C55D4B-D460-4412-9A4C-5FB200949E70}"/>
    <cellStyle name="Normal 4 5" xfId="31" xr:uid="{30E2F0E8-F171-4299-A227-498848C7B6A2}"/>
    <cellStyle name="Normal 4 6" xfId="32" xr:uid="{3A61A257-1F39-48DB-8B19-9E8C2391161E}"/>
    <cellStyle name="Normal 4 7" xfId="34" xr:uid="{73E2769B-13A7-47C1-B34E-B30A00D62F41}"/>
    <cellStyle name="Normal 4 8" xfId="36" xr:uid="{969B7C24-1B0F-4725-BA96-DB4D5963F204}"/>
    <cellStyle name="Normal 5" xfId="29" xr:uid="{655553F0-066D-486C-BDD0-E61B85A5728B}"/>
    <cellStyle name="Normal_C-snowpits" xfId="35" xr:uid="{746FC747-09AB-47D1-93F1-DEB16F128C44}"/>
    <cellStyle name="OldStuff" xfId="22" xr:uid="{00000000-0005-0000-0000-00001B000000}"/>
    <cellStyle name="Probes" xfId="9" xr:uid="{00000000-0005-0000-0000-00001C000000}"/>
  </cellStyles>
  <dxfs count="6">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9" defaultPivotStyle="PivotStyleMedium4"/>
  <colors>
    <mruColors>
      <color rgb="FF66CCFF"/>
      <color rgb="FF3399FF"/>
      <color rgb="FF0066FF"/>
      <color rgb="FFFFCC00"/>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Stratigraphic </a:t>
            </a:r>
            <a:r>
              <a:rPr lang="en-US" baseline="0"/>
              <a:t>Balance Gradients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'GUI Input'!$E$2:$E$8</c:f>
              <c:numCache>
                <c:formatCode>0</c:formatCode>
                <c:ptCount val="7"/>
                <c:pt idx="0">
                  <c:v>1431.41</c:v>
                </c:pt>
                <c:pt idx="1">
                  <c:v>1528.376</c:v>
                </c:pt>
                <c:pt idx="2">
                  <c:v>1674.2539999999999</c:v>
                </c:pt>
                <c:pt idx="3">
                  <c:v>1850.153</c:v>
                </c:pt>
                <c:pt idx="4">
                  <c:v>1868.3910000000001</c:v>
                </c:pt>
                <c:pt idx="5">
                  <c:v>1875.867</c:v>
                </c:pt>
                <c:pt idx="6">
                  <c:v>2076.1239999999998</c:v>
                </c:pt>
              </c:numCache>
            </c:numRef>
          </c:xVal>
          <c:yVal>
            <c:numRef>
              <c:f>'GUI Input'!$F$2:$F$8</c:f>
              <c:numCache>
                <c:formatCode>0.00</c:formatCode>
                <c:ptCount val="7"/>
                <c:pt idx="0">
                  <c:v>0.59045999999999998</c:v>
                </c:pt>
                <c:pt idx="1">
                  <c:v>0.63740624999999995</c:v>
                </c:pt>
                <c:pt idx="2">
                  <c:v>1.0222</c:v>
                </c:pt>
                <c:pt idx="3">
                  <c:v>1.4791999999999998</c:v>
                </c:pt>
                <c:pt idx="4" formatCode="#,##0.00">
                  <c:v>1.6547999999999998</c:v>
                </c:pt>
                <c:pt idx="5" formatCode="#,##0.00">
                  <c:v>1.3458999999999999</c:v>
                </c:pt>
                <c:pt idx="6">
                  <c:v>2.0270522834703928</c:v>
                </c:pt>
              </c:numCache>
            </c:numRef>
          </c:yVal>
          <c:smooth val="0"/>
          <c:extLst>
            <c:ext xmlns:c16="http://schemas.microsoft.com/office/drawing/2014/chart" uri="{C3380CC4-5D6E-409C-BE32-E72D297353CC}">
              <c16:uniqueId val="{00000001-052B-45DA-9701-3E30121851ED}"/>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'GUI Input'!$E$2:$E$8</c:f>
              <c:numCache>
                <c:formatCode>0</c:formatCode>
                <c:ptCount val="7"/>
                <c:pt idx="0">
                  <c:v>1431.41</c:v>
                </c:pt>
                <c:pt idx="1">
                  <c:v>1528.376</c:v>
                </c:pt>
                <c:pt idx="2">
                  <c:v>1674.2539999999999</c:v>
                </c:pt>
                <c:pt idx="3">
                  <c:v>1850.153</c:v>
                </c:pt>
                <c:pt idx="4">
                  <c:v>1868.3910000000001</c:v>
                </c:pt>
                <c:pt idx="5">
                  <c:v>1875.867</c:v>
                </c:pt>
                <c:pt idx="6">
                  <c:v>2076.1239999999998</c:v>
                </c:pt>
              </c:numCache>
            </c:numRef>
          </c:xVal>
          <c:yVal>
            <c:numRef>
              <c:f>'GUI Input'!$G$2:$G$8</c:f>
              <c:numCache>
                <c:formatCode>0.00</c:formatCode>
                <c:ptCount val="7"/>
                <c:pt idx="0" formatCode="#,##0.00">
                  <c:v>-2.4975000000000005</c:v>
                </c:pt>
                <c:pt idx="1">
                  <c:v>-2.3220000000000001</c:v>
                </c:pt>
                <c:pt idx="2">
                  <c:v>-0.77400000000000035</c:v>
                </c:pt>
                <c:pt idx="3" formatCode="#,##0.00">
                  <c:v>0</c:v>
                </c:pt>
                <c:pt idx="4" formatCode="#,##0.00">
                  <c:v>0.58300000000000007</c:v>
                </c:pt>
                <c:pt idx="5" formatCode="#,##0.00">
                  <c:v>-3.6000000000000032E-2</c:v>
                </c:pt>
                <c:pt idx="6">
                  <c:v>1.1495341614906833</c:v>
                </c:pt>
              </c:numCache>
            </c:numRef>
          </c:yVal>
          <c:smooth val="0"/>
          <c:extLst xmlns:c15="http://schemas.microsoft.com/office/drawing/2012/chart">
            <c:ext xmlns:c16="http://schemas.microsoft.com/office/drawing/2014/chart" uri="{C3380CC4-5D6E-409C-BE32-E72D297353CC}">
              <c16:uniqueId val="{00000002-052B-45DA-9701-3E30121851ED}"/>
            </c:ext>
          </c:extLst>
        </c:ser>
        <c:dLbls>
          <c:showLegendKey val="0"/>
          <c:showVal val="0"/>
          <c:showCatName val="0"/>
          <c:showSerName val="0"/>
          <c:showPercent val="0"/>
          <c:showBubbleSize val="0"/>
        </c:dLbls>
        <c:axId val="259304264"/>
        <c:axId val="195280152"/>
        <c:extLst/>
      </c:scatterChart>
      <c:valAx>
        <c:axId val="259304264"/>
        <c:scaling>
          <c:orientation val="minMax"/>
          <c:max val="2200"/>
          <c:min val="1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80152"/>
        <c:crosses val="autoZero"/>
        <c:crossBetween val="midCat"/>
      </c:valAx>
      <c:valAx>
        <c:axId val="195280152"/>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balance</a:t>
                </a:r>
                <a:r>
                  <a:rPr lang="en-US" baseline="0"/>
                  <a:t> (m w.e.)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042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B17C-4CA1-9BAC-ADAD5B68AA22}"/>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0896-4C31-811E-41107F19B173}"/>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'20240417_PitCore_D'!$P$13:$P$19</c:f>
              <c:numCache>
                <c:formatCode>0.00</c:formatCode>
                <c:ptCount val="7"/>
                <c:pt idx="0">
                  <c:v>0.19151138716356109</c:v>
                </c:pt>
                <c:pt idx="1">
                  <c:v>0.21739130434782608</c:v>
                </c:pt>
                <c:pt idx="2">
                  <c:v>0.2225672877846791</c:v>
                </c:pt>
                <c:pt idx="3">
                  <c:v>0.28985507246376813</c:v>
                </c:pt>
                <c:pt idx="4">
                  <c:v>0.30538302277432711</c:v>
                </c:pt>
                <c:pt idx="5">
                  <c:v>0.3105590062111801</c:v>
                </c:pt>
                <c:pt idx="6">
                  <c:v>0.27432712215320909</c:v>
                </c:pt>
              </c:numCache>
            </c:numRef>
          </c:xVal>
          <c:yVal>
            <c:numRef>
              <c:f>'20240417_PitCore_D'!$C$13:$C$19</c:f>
              <c:numCache>
                <c:formatCode>??0</c:formatCode>
                <c:ptCount val="7"/>
                <c:pt idx="0">
                  <c:v>10</c:v>
                </c:pt>
                <c:pt idx="1">
                  <c:v>20</c:v>
                </c:pt>
                <c:pt idx="2">
                  <c:v>30</c:v>
                </c:pt>
                <c:pt idx="3">
                  <c:v>40</c:v>
                </c:pt>
                <c:pt idx="4">
                  <c:v>50</c:v>
                </c:pt>
                <c:pt idx="5">
                  <c:v>60</c:v>
                </c:pt>
                <c:pt idx="6">
                  <c:v>70</c:v>
                </c:pt>
              </c:numCache>
            </c:numRef>
          </c:yVal>
          <c:smooth val="1"/>
          <c:extLst>
            <c:ext xmlns:c16="http://schemas.microsoft.com/office/drawing/2014/chart" uri="{C3380CC4-5D6E-409C-BE32-E72D297353CC}">
              <c16:uniqueId val="{00000000-25D3-451E-A9E1-135DA245FCB0}"/>
            </c:ext>
          </c:extLst>
        </c:ser>
        <c:ser>
          <c:idx val="1"/>
          <c:order val="1"/>
          <c:tx>
            <c:v>core</c:v>
          </c:tx>
          <c:xVal>
            <c:numRef>
              <c:f>'20240417_PitCore_D'!$P$22:$P$26</c:f>
              <c:numCache>
                <c:formatCode>0.00</c:formatCode>
                <c:ptCount val="5"/>
                <c:pt idx="0">
                  <c:v>0.43967764233510864</c:v>
                </c:pt>
                <c:pt idx="1">
                  <c:v>0.46724940084274497</c:v>
                </c:pt>
                <c:pt idx="2">
                  <c:v>0.4448442421275306</c:v>
                </c:pt>
                <c:pt idx="3">
                  <c:v>0.52784724940497074</c:v>
                </c:pt>
                <c:pt idx="4">
                  <c:v>0.46466553318831511</c:v>
                </c:pt>
              </c:numCache>
            </c:numRef>
          </c:xVal>
          <c:yVal>
            <c:numRef>
              <c:f>'20240417_PitCore_D'!$C$22:$C$26</c:f>
              <c:numCache>
                <c:formatCode>??0</c:formatCode>
                <c:ptCount val="5"/>
                <c:pt idx="0">
                  <c:v>164</c:v>
                </c:pt>
                <c:pt idx="1">
                  <c:v>204</c:v>
                </c:pt>
                <c:pt idx="2">
                  <c:v>241</c:v>
                </c:pt>
                <c:pt idx="3">
                  <c:v>278</c:v>
                </c:pt>
                <c:pt idx="4">
                  <c:v>313</c:v>
                </c:pt>
              </c:numCache>
            </c:numRef>
          </c:yVal>
          <c:smooth val="1"/>
          <c:extLst>
            <c:ext xmlns:c16="http://schemas.microsoft.com/office/drawing/2014/chart" uri="{C3380CC4-5D6E-409C-BE32-E72D297353CC}">
              <c16:uniqueId val="{00000001-25D3-451E-A9E1-135DA245FCB0}"/>
            </c:ext>
          </c:extLst>
        </c:ser>
        <c:ser>
          <c:idx val="2"/>
          <c:order val="2"/>
          <c:tx>
            <c:v>firn</c:v>
          </c:tx>
          <c:xVal>
            <c:numRef>
              <c:f>'20240417_PitCore_D'!$P$27:$P$31</c:f>
              <c:numCache>
                <c:formatCode>0.00</c:formatCode>
                <c:ptCount val="5"/>
                <c:pt idx="0">
                  <c:v>0.54681850361191464</c:v>
                </c:pt>
                <c:pt idx="1">
                  <c:v>0.66060883031591788</c:v>
                </c:pt>
                <c:pt idx="2">
                  <c:v>0.58782989138280828</c:v>
                </c:pt>
                <c:pt idx="3">
                  <c:v>0.60007634745328342</c:v>
                </c:pt>
                <c:pt idx="4">
                  <c:v>0.783773188510411</c:v>
                </c:pt>
              </c:numCache>
            </c:numRef>
          </c:xVal>
          <c:yVal>
            <c:numRef>
              <c:f>'20240417_PitCore_D'!$C$27:$C$31</c:f>
              <c:numCache>
                <c:formatCode>??0</c:formatCode>
                <c:ptCount val="5"/>
                <c:pt idx="0">
                  <c:v>354</c:v>
                </c:pt>
                <c:pt idx="1">
                  <c:v>389</c:v>
                </c:pt>
                <c:pt idx="2">
                  <c:v>421</c:v>
                </c:pt>
                <c:pt idx="3">
                  <c:v>453</c:v>
                </c:pt>
                <c:pt idx="4">
                  <c:v>459</c:v>
                </c:pt>
              </c:numCache>
            </c:numRef>
          </c:yVal>
          <c:smooth val="1"/>
          <c:extLst>
            <c:ext xmlns:c16="http://schemas.microsoft.com/office/drawing/2014/chart" uri="{C3380CC4-5D6E-409C-BE32-E72D297353CC}">
              <c16:uniqueId val="{00000002-25D3-451E-A9E1-135DA245FCB0}"/>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'20240419_PitCore_T'!$P$13:$P$21</c:f>
              <c:numCache>
                <c:formatCode>0.00</c:formatCode>
                <c:ptCount val="9"/>
                <c:pt idx="0">
                  <c:v>0.15527950310559005</c:v>
                </c:pt>
                <c:pt idx="1">
                  <c:v>0.21221532091097309</c:v>
                </c:pt>
                <c:pt idx="2">
                  <c:v>0.28467908902691513</c:v>
                </c:pt>
                <c:pt idx="3">
                  <c:v>0.2691511387163561</c:v>
                </c:pt>
                <c:pt idx="4">
                  <c:v>0.32091097308488614</c:v>
                </c:pt>
                <c:pt idx="5">
                  <c:v>0.33126293995859213</c:v>
                </c:pt>
                <c:pt idx="6">
                  <c:v>0.31573498964803315</c:v>
                </c:pt>
                <c:pt idx="7">
                  <c:v>0.32091097308488614</c:v>
                </c:pt>
                <c:pt idx="8">
                  <c:v>0.29503105590062112</c:v>
                </c:pt>
              </c:numCache>
            </c:numRef>
          </c:xVal>
          <c:yVal>
            <c:numRef>
              <c:f>'20240419_PitCore_T'!$C$13:$C$21</c:f>
              <c:numCache>
                <c:formatCode>??0</c:formatCode>
                <c:ptCount val="9"/>
                <c:pt idx="0">
                  <c:v>10</c:v>
                </c:pt>
                <c:pt idx="1">
                  <c:v>20</c:v>
                </c:pt>
                <c:pt idx="2">
                  <c:v>30</c:v>
                </c:pt>
                <c:pt idx="3">
                  <c:v>40</c:v>
                </c:pt>
                <c:pt idx="4">
                  <c:v>50</c:v>
                </c:pt>
                <c:pt idx="5">
                  <c:v>60</c:v>
                </c:pt>
                <c:pt idx="6">
                  <c:v>70</c:v>
                </c:pt>
                <c:pt idx="7">
                  <c:v>80</c:v>
                </c:pt>
                <c:pt idx="8">
                  <c:v>90</c:v>
                </c:pt>
              </c:numCache>
            </c:numRef>
          </c:yVal>
          <c:smooth val="1"/>
          <c:extLst>
            <c:ext xmlns:c16="http://schemas.microsoft.com/office/drawing/2014/chart" uri="{C3380CC4-5D6E-409C-BE32-E72D297353CC}">
              <c16:uniqueId val="{00000000-D950-43C4-8ABA-7EF38A16E18C}"/>
            </c:ext>
          </c:extLst>
        </c:ser>
        <c:ser>
          <c:idx val="1"/>
          <c:order val="1"/>
          <c:tx>
            <c:v>core</c:v>
          </c:tx>
          <c:xVal>
            <c:numRef>
              <c:f>'20240419_PitCore_T'!$P$24:$P$31</c:f>
              <c:numCache>
                <c:formatCode>0.00</c:formatCode>
                <c:ptCount val="8"/>
                <c:pt idx="0">
                  <c:v>0.45112526547982956</c:v>
                </c:pt>
                <c:pt idx="1">
                  <c:v>0.3918865942552055</c:v>
                </c:pt>
                <c:pt idx="2">
                  <c:v>0.46602730127646058</c:v>
                </c:pt>
                <c:pt idx="3">
                  <c:v>0.43954847734029806</c:v>
                </c:pt>
                <c:pt idx="4">
                  <c:v>0.45720102663107309</c:v>
                </c:pt>
                <c:pt idx="5">
                  <c:v>0.48669786705888429</c:v>
                </c:pt>
                <c:pt idx="6">
                  <c:v>0.49739452347776075</c:v>
                </c:pt>
                <c:pt idx="7">
                  <c:v>0.48688940498374017</c:v>
                </c:pt>
              </c:numCache>
            </c:numRef>
          </c:xVal>
          <c:yVal>
            <c:numRef>
              <c:f>'20240419_PitCore_T'!$C$24:$C$31</c:f>
              <c:numCache>
                <c:formatCode>??0</c:formatCode>
                <c:ptCount val="8"/>
                <c:pt idx="0">
                  <c:v>128</c:v>
                </c:pt>
                <c:pt idx="1">
                  <c:v>176</c:v>
                </c:pt>
                <c:pt idx="2">
                  <c:v>217</c:v>
                </c:pt>
                <c:pt idx="3">
                  <c:v>254</c:v>
                </c:pt>
                <c:pt idx="4">
                  <c:v>288</c:v>
                </c:pt>
                <c:pt idx="5">
                  <c:v>319</c:v>
                </c:pt>
                <c:pt idx="6">
                  <c:v>349</c:v>
                </c:pt>
                <c:pt idx="7">
                  <c:v>382</c:v>
                </c:pt>
              </c:numCache>
            </c:numRef>
          </c:yVal>
          <c:smooth val="1"/>
          <c:extLst>
            <c:ext xmlns:c16="http://schemas.microsoft.com/office/drawing/2014/chart" uri="{C3380CC4-5D6E-409C-BE32-E72D297353CC}">
              <c16:uniqueId val="{00000001-D950-43C4-8ABA-7EF38A16E18C}"/>
            </c:ext>
          </c:extLst>
        </c:ser>
        <c:ser>
          <c:idx val="2"/>
          <c:order val="2"/>
          <c:tx>
            <c:v>firn</c:v>
          </c:tx>
          <c:xVal>
            <c:numRef>
              <c:f>'20240419_PitCore_T'!$P$32:$P$33</c:f>
              <c:numCache>
                <c:formatCode>0.00</c:formatCode>
                <c:ptCount val="2"/>
                <c:pt idx="0">
                  <c:v>0.49965540767538702</c:v>
                </c:pt>
                <c:pt idx="1">
                  <c:v>0.56213240979230295</c:v>
                </c:pt>
              </c:numCache>
            </c:numRef>
          </c:xVal>
          <c:yVal>
            <c:numRef>
              <c:f>'20240419_PitCore_T'!$C$32:$C$33</c:f>
              <c:numCache>
                <c:formatCode>??0</c:formatCode>
                <c:ptCount val="2"/>
                <c:pt idx="0">
                  <c:v>397</c:v>
                </c:pt>
                <c:pt idx="1">
                  <c:v>458</c:v>
                </c:pt>
              </c:numCache>
            </c:numRef>
          </c:yVal>
          <c:smooth val="1"/>
          <c:extLst>
            <c:ext xmlns:c16="http://schemas.microsoft.com/office/drawing/2014/chart" uri="{C3380CC4-5D6E-409C-BE32-E72D297353CC}">
              <c16:uniqueId val="{00000002-D950-43C4-8ABA-7EF38A16E18C}"/>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'20240419_PitCore_Z'!$P$13:$P$22</c:f>
              <c:numCache>
                <c:formatCode>0.00</c:formatCode>
                <c:ptCount val="10"/>
                <c:pt idx="0">
                  <c:v>0.25362318840579712</c:v>
                </c:pt>
                <c:pt idx="1">
                  <c:v>0.2225672877846791</c:v>
                </c:pt>
                <c:pt idx="2">
                  <c:v>0.2277432712215321</c:v>
                </c:pt>
                <c:pt idx="3">
                  <c:v>0.2691511387163561</c:v>
                </c:pt>
                <c:pt idx="4">
                  <c:v>0.34161490683229812</c:v>
                </c:pt>
                <c:pt idx="5">
                  <c:v>0.33643892339544512</c:v>
                </c:pt>
                <c:pt idx="6">
                  <c:v>0.31573498964803315</c:v>
                </c:pt>
                <c:pt idx="7">
                  <c:v>0.32608695652173914</c:v>
                </c:pt>
                <c:pt idx="8">
                  <c:v>0.30020703933747411</c:v>
                </c:pt>
                <c:pt idx="9">
                  <c:v>0.32091097308488614</c:v>
                </c:pt>
              </c:numCache>
            </c:numRef>
          </c:xVal>
          <c:yVal>
            <c:numRef>
              <c:f>'20240419_PitCore_Z'!$C$13:$C$22</c:f>
              <c:numCache>
                <c:formatCode>??0</c:formatCode>
                <c:ptCount val="10"/>
                <c:pt idx="0">
                  <c:v>10</c:v>
                </c:pt>
                <c:pt idx="1">
                  <c:v>20</c:v>
                </c:pt>
                <c:pt idx="2">
                  <c:v>30</c:v>
                </c:pt>
                <c:pt idx="3">
                  <c:v>40</c:v>
                </c:pt>
                <c:pt idx="4">
                  <c:v>50</c:v>
                </c:pt>
                <c:pt idx="5">
                  <c:v>60</c:v>
                </c:pt>
                <c:pt idx="6">
                  <c:v>70</c:v>
                </c:pt>
                <c:pt idx="7">
                  <c:v>80</c:v>
                </c:pt>
                <c:pt idx="8">
                  <c:v>90</c:v>
                </c:pt>
                <c:pt idx="9">
                  <c:v>100</c:v>
                </c:pt>
              </c:numCache>
            </c:numRef>
          </c:yVal>
          <c:smooth val="1"/>
          <c:extLst>
            <c:ext xmlns:c16="http://schemas.microsoft.com/office/drawing/2014/chart" uri="{C3380CC4-5D6E-409C-BE32-E72D297353CC}">
              <c16:uniqueId val="{00000000-1AF9-4D83-8F4D-353113C275D0}"/>
            </c:ext>
          </c:extLst>
        </c:ser>
        <c:ser>
          <c:idx val="1"/>
          <c:order val="1"/>
          <c:tx>
            <c:v>core</c:v>
          </c:tx>
          <c:xVal>
            <c:numRef>
              <c:f>'20240419_PitCore_Z'!$P$25:$P$32</c:f>
              <c:numCache>
                <c:formatCode>0.00</c:formatCode>
                <c:ptCount val="8"/>
                <c:pt idx="0">
                  <c:v>0.42672095818900152</c:v>
                </c:pt>
                <c:pt idx="1">
                  <c:v>0.48037711553863904</c:v>
                </c:pt>
                <c:pt idx="2">
                  <c:v>0.46466553318831511</c:v>
                </c:pt>
                <c:pt idx="3">
                  <c:v>0.47516249553443668</c:v>
                </c:pt>
                <c:pt idx="4">
                  <c:v>0.49194274597993876</c:v>
                </c:pt>
                <c:pt idx="5">
                  <c:v>0.50210469888948206</c:v>
                </c:pt>
                <c:pt idx="6">
                  <c:v>0.52595306071093373</c:v>
                </c:pt>
                <c:pt idx="7">
                  <c:v>0.54657867093489187</c:v>
                </c:pt>
              </c:numCache>
            </c:numRef>
          </c:xVal>
          <c:yVal>
            <c:numRef>
              <c:f>'20240419_PitCore_Z'!$C$25:$C$32</c:f>
              <c:numCache>
                <c:formatCode>??0</c:formatCode>
                <c:ptCount val="8"/>
                <c:pt idx="0">
                  <c:v>195</c:v>
                </c:pt>
                <c:pt idx="1">
                  <c:v>224</c:v>
                </c:pt>
                <c:pt idx="2">
                  <c:v>259</c:v>
                </c:pt>
                <c:pt idx="3">
                  <c:v>291</c:v>
                </c:pt>
                <c:pt idx="4">
                  <c:v>338</c:v>
                </c:pt>
                <c:pt idx="5">
                  <c:v>376</c:v>
                </c:pt>
                <c:pt idx="6">
                  <c:v>414</c:v>
                </c:pt>
                <c:pt idx="7">
                  <c:v>448</c:v>
                </c:pt>
              </c:numCache>
            </c:numRef>
          </c:yVal>
          <c:smooth val="1"/>
          <c:extLst>
            <c:ext xmlns:c16="http://schemas.microsoft.com/office/drawing/2014/chart" uri="{C3380CC4-5D6E-409C-BE32-E72D297353CC}">
              <c16:uniqueId val="{00000001-1AF9-4D83-8F4D-353113C275D0}"/>
            </c:ext>
          </c:extLst>
        </c:ser>
        <c:ser>
          <c:idx val="2"/>
          <c:order val="2"/>
          <c:tx>
            <c:v>firn</c:v>
          </c:tx>
          <c:xVal>
            <c:numRef>
              <c:f>'20240419_PitCore_Z'!$P$33:$P$35</c:f>
              <c:numCache>
                <c:formatCode>0.00</c:formatCode>
                <c:ptCount val="3"/>
                <c:pt idx="0">
                  <c:v>0.60564291839440854</c:v>
                </c:pt>
                <c:pt idx="1">
                  <c:v>0.60462503113660282</c:v>
                </c:pt>
                <c:pt idx="2">
                  <c:v>0.58782989138280828</c:v>
                </c:pt>
              </c:numCache>
            </c:numRef>
          </c:xVal>
          <c:yVal>
            <c:numRef>
              <c:f>'20240419_PitCore_Z'!$C$33:$C$35</c:f>
              <c:numCache>
                <c:formatCode>??0</c:formatCode>
                <c:ptCount val="3"/>
                <c:pt idx="0">
                  <c:v>492</c:v>
                </c:pt>
                <c:pt idx="1">
                  <c:v>533</c:v>
                </c:pt>
                <c:pt idx="2">
                  <c:v>577</c:v>
                </c:pt>
              </c:numCache>
            </c:numRef>
          </c:yVal>
          <c:smooth val="1"/>
          <c:extLst>
            <c:ext xmlns:c16="http://schemas.microsoft.com/office/drawing/2014/chart" uri="{C3380CC4-5D6E-409C-BE32-E72D297353CC}">
              <c16:uniqueId val="{00000002-1AF9-4D83-8F4D-353113C275D0}"/>
            </c:ext>
          </c:extLst>
        </c:ser>
        <c:dLbls>
          <c:showLegendKey val="0"/>
          <c:showVal val="0"/>
          <c:showCatName val="0"/>
          <c:showSerName val="0"/>
          <c:showPercent val="0"/>
          <c:showBubbleSize val="0"/>
        </c:dLbls>
        <c:axId val="169062400"/>
        <c:axId val="169064320"/>
      </c:scatterChart>
      <c:valAx>
        <c:axId val="169062400"/>
        <c:scaling>
          <c:orientation val="minMax"/>
          <c:max val="0.8"/>
          <c:min val="0.2"/>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5003-4CA4-9C54-474817DD3075}"/>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5C66-4257-84B0-5D7E82410741}"/>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DD1D-4629-B433-41E96EC2B9C5}"/>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342900</xdr:colOff>
      <xdr:row>4</xdr:row>
      <xdr:rowOff>11430</xdr:rowOff>
    </xdr:from>
    <xdr:to>
      <xdr:col>19</xdr:col>
      <xdr:colOff>78105</xdr:colOff>
      <xdr:row>19</xdr:row>
      <xdr:rowOff>64770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115BD6EA-82E6-4359-8E4D-66AED9113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4E5739B0-1BEA-4AC2-B4F6-15EC81362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51</xdr:row>
      <xdr:rowOff>30480</xdr:rowOff>
    </xdr:to>
    <xdr:graphicFrame macro="">
      <xdr:nvGraphicFramePr>
        <xdr:cNvPr id="2" name="Chart 1">
          <a:extLst>
            <a:ext uri="{FF2B5EF4-FFF2-40B4-BE49-F238E27FC236}">
              <a16:creationId xmlns:a16="http://schemas.microsoft.com/office/drawing/2014/main" id="{7D51CAAE-914C-4258-92F0-6B0EC5E6E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2BE087CC-CD9C-4D20-B65A-EDA051DB5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517A1285-1A91-4DEF-8B6B-A6A7BA5E4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D5338830-7679-44DE-982A-2963C0E6E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E7BF2DAA-14C5-4207-A9AD-9FEBA942C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0</xdr:row>
      <xdr:rowOff>0</xdr:rowOff>
    </xdr:to>
    <xdr:sp macro="" textlink="">
      <xdr:nvSpPr>
        <xdr:cNvPr id="2053" name="Rectangle 5" hidden="1">
          <a:extLst>
            <a:ext uri="{FF2B5EF4-FFF2-40B4-BE49-F238E27FC236}">
              <a16:creationId xmlns:a16="http://schemas.microsoft.com/office/drawing/2014/main" id="{00000000-0008-0000-0100-000005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9" name="AutoShape 5">
          <a:extLst>
            <a:ext uri="{FF2B5EF4-FFF2-40B4-BE49-F238E27FC236}">
              <a16:creationId xmlns:a16="http://schemas.microsoft.com/office/drawing/2014/main" id="{00000000-0008-0000-01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10" name="AutoShape 5">
          <a:extLst>
            <a:ext uri="{FF2B5EF4-FFF2-40B4-BE49-F238E27FC236}">
              <a16:creationId xmlns:a16="http://schemas.microsoft.com/office/drawing/2014/main" id="{00000000-0008-0000-01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11" name="AutoShape 5">
          <a:extLst>
            <a:ext uri="{FF2B5EF4-FFF2-40B4-BE49-F238E27FC236}">
              <a16:creationId xmlns:a16="http://schemas.microsoft.com/office/drawing/2014/main" id="{00000000-0008-0000-01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51</xdr:row>
      <xdr:rowOff>142875</xdr:rowOff>
    </xdr:to>
    <xdr:sp macro="" textlink="">
      <xdr:nvSpPr>
        <xdr:cNvPr id="12" name="AutoShape 5">
          <a:extLst>
            <a:ext uri="{FF2B5EF4-FFF2-40B4-BE49-F238E27FC236}">
              <a16:creationId xmlns:a16="http://schemas.microsoft.com/office/drawing/2014/main" id="{00000000-0008-0000-01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51</xdr:row>
      <xdr:rowOff>142875</xdr:rowOff>
    </xdr:to>
    <xdr:sp macro="" textlink="">
      <xdr:nvSpPr>
        <xdr:cNvPr id="13" name="AutoShape 5">
          <a:extLst>
            <a:ext uri="{FF2B5EF4-FFF2-40B4-BE49-F238E27FC236}">
              <a16:creationId xmlns:a16="http://schemas.microsoft.com/office/drawing/2014/main" id="{00000000-0008-0000-01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51</xdr:row>
      <xdr:rowOff>142875</xdr:rowOff>
    </xdr:to>
    <xdr:sp macro="" textlink="">
      <xdr:nvSpPr>
        <xdr:cNvPr id="14" name="AutoShape 5">
          <a:extLst>
            <a:ext uri="{FF2B5EF4-FFF2-40B4-BE49-F238E27FC236}">
              <a16:creationId xmlns:a16="http://schemas.microsoft.com/office/drawing/2014/main" id="{00000000-0008-0000-01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15</xdr:col>
      <xdr:colOff>571500</xdr:colOff>
      <xdr:row>2</xdr:row>
      <xdr:rowOff>0</xdr:rowOff>
    </xdr:to>
    <xdr:sp macro="" textlink="">
      <xdr:nvSpPr>
        <xdr:cNvPr id="1030" name="Rectangle 6" hidden="1">
          <a:extLst>
            <a:ext uri="{FF2B5EF4-FFF2-40B4-BE49-F238E27FC236}">
              <a16:creationId xmlns:a16="http://schemas.microsoft.com/office/drawing/2014/main" id="{00000000-0008-0000-0200-000006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56</xdr:row>
      <xdr:rowOff>142875</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56</xdr:row>
      <xdr:rowOff>142875</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56</xdr:row>
      <xdr:rowOff>142875</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57</xdr:row>
      <xdr:rowOff>142875</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57</xdr:row>
      <xdr:rowOff>142875</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57</xdr:row>
      <xdr:rowOff>142875</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3080" name="Rectangle 8" hidden="1">
          <a:extLst>
            <a:ext uri="{FF2B5EF4-FFF2-40B4-BE49-F238E27FC236}">
              <a16:creationId xmlns:a16="http://schemas.microsoft.com/office/drawing/2014/main" id="{00000000-0008-0000-0300-000008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9" name="AutoShape 5">
          <a:extLst>
            <a:ext uri="{FF2B5EF4-FFF2-40B4-BE49-F238E27FC236}">
              <a16:creationId xmlns:a16="http://schemas.microsoft.com/office/drawing/2014/main" id="{00000000-0008-0000-03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10" name="AutoShape 5">
          <a:extLst>
            <a:ext uri="{FF2B5EF4-FFF2-40B4-BE49-F238E27FC236}">
              <a16:creationId xmlns:a16="http://schemas.microsoft.com/office/drawing/2014/main" id="{00000000-0008-0000-03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11" name="AutoShape 5">
          <a:extLst>
            <a:ext uri="{FF2B5EF4-FFF2-40B4-BE49-F238E27FC236}">
              <a16:creationId xmlns:a16="http://schemas.microsoft.com/office/drawing/2014/main" id="{00000000-0008-0000-03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62</xdr:row>
      <xdr:rowOff>142875</xdr:rowOff>
    </xdr:to>
    <xdr:sp macro="" textlink="">
      <xdr:nvSpPr>
        <xdr:cNvPr id="12" name="AutoShape 5">
          <a:extLst>
            <a:ext uri="{FF2B5EF4-FFF2-40B4-BE49-F238E27FC236}">
              <a16:creationId xmlns:a16="http://schemas.microsoft.com/office/drawing/2014/main" id="{00000000-0008-0000-03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62</xdr:row>
      <xdr:rowOff>142875</xdr:rowOff>
    </xdr:to>
    <xdr:sp macro="" textlink="">
      <xdr:nvSpPr>
        <xdr:cNvPr id="13" name="AutoShape 5">
          <a:extLst>
            <a:ext uri="{FF2B5EF4-FFF2-40B4-BE49-F238E27FC236}">
              <a16:creationId xmlns:a16="http://schemas.microsoft.com/office/drawing/2014/main" id="{00000000-0008-0000-03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62</xdr:row>
      <xdr:rowOff>142875</xdr:rowOff>
    </xdr:to>
    <xdr:sp macro="" textlink="">
      <xdr:nvSpPr>
        <xdr:cNvPr id="14" name="AutoShape 5">
          <a:extLst>
            <a:ext uri="{FF2B5EF4-FFF2-40B4-BE49-F238E27FC236}">
              <a16:creationId xmlns:a16="http://schemas.microsoft.com/office/drawing/2014/main" id="{00000000-0008-0000-03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466725</xdr:colOff>
      <xdr:row>2</xdr:row>
      <xdr:rowOff>0</xdr:rowOff>
    </xdr:to>
    <xdr:sp macro="" textlink="">
      <xdr:nvSpPr>
        <xdr:cNvPr id="4109" name="Rectangle 13" hidden="1">
          <a:extLst>
            <a:ext uri="{FF2B5EF4-FFF2-40B4-BE49-F238E27FC236}">
              <a16:creationId xmlns:a16="http://schemas.microsoft.com/office/drawing/2014/main" id="{00000000-0008-0000-0400-00000D1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68</xdr:row>
      <xdr:rowOff>142875</xdr:rowOff>
    </xdr:to>
    <xdr:sp macro="" textlink="">
      <xdr:nvSpPr>
        <xdr:cNvPr id="9" name="AutoShape 5">
          <a:extLst>
            <a:ext uri="{FF2B5EF4-FFF2-40B4-BE49-F238E27FC236}">
              <a16:creationId xmlns:a16="http://schemas.microsoft.com/office/drawing/2014/main" id="{00000000-0008-0000-04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68</xdr:row>
      <xdr:rowOff>142875</xdr:rowOff>
    </xdr:to>
    <xdr:sp macro="" textlink="">
      <xdr:nvSpPr>
        <xdr:cNvPr id="10" name="AutoShape 5">
          <a:extLst>
            <a:ext uri="{FF2B5EF4-FFF2-40B4-BE49-F238E27FC236}">
              <a16:creationId xmlns:a16="http://schemas.microsoft.com/office/drawing/2014/main" id="{00000000-0008-0000-04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68</xdr:row>
      <xdr:rowOff>142875</xdr:rowOff>
    </xdr:to>
    <xdr:sp macro="" textlink="">
      <xdr:nvSpPr>
        <xdr:cNvPr id="11" name="AutoShape 5">
          <a:extLst>
            <a:ext uri="{FF2B5EF4-FFF2-40B4-BE49-F238E27FC236}">
              <a16:creationId xmlns:a16="http://schemas.microsoft.com/office/drawing/2014/main" id="{00000000-0008-0000-04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69</xdr:row>
      <xdr:rowOff>142875</xdr:rowOff>
    </xdr:to>
    <xdr:sp macro="" textlink="">
      <xdr:nvSpPr>
        <xdr:cNvPr id="12" name="AutoShape 5">
          <a:extLst>
            <a:ext uri="{FF2B5EF4-FFF2-40B4-BE49-F238E27FC236}">
              <a16:creationId xmlns:a16="http://schemas.microsoft.com/office/drawing/2014/main" id="{00000000-0008-0000-04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69</xdr:row>
      <xdr:rowOff>142875</xdr:rowOff>
    </xdr:to>
    <xdr:sp macro="" textlink="">
      <xdr:nvSpPr>
        <xdr:cNvPr id="13" name="AutoShape 5">
          <a:extLst>
            <a:ext uri="{FF2B5EF4-FFF2-40B4-BE49-F238E27FC236}">
              <a16:creationId xmlns:a16="http://schemas.microsoft.com/office/drawing/2014/main" id="{00000000-0008-0000-04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69</xdr:row>
      <xdr:rowOff>142875</xdr:rowOff>
    </xdr:to>
    <xdr:sp macro="" textlink="">
      <xdr:nvSpPr>
        <xdr:cNvPr id="14" name="AutoShape 5">
          <a:extLst>
            <a:ext uri="{FF2B5EF4-FFF2-40B4-BE49-F238E27FC236}">
              <a16:creationId xmlns:a16="http://schemas.microsoft.com/office/drawing/2014/main" id="{00000000-0008-0000-04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68</xdr:row>
      <xdr:rowOff>142875</xdr:rowOff>
    </xdr:to>
    <xdr:sp macro="" textlink="">
      <xdr:nvSpPr>
        <xdr:cNvPr id="15" name="AutoShape 5">
          <a:extLst>
            <a:ext uri="{FF2B5EF4-FFF2-40B4-BE49-F238E27FC236}">
              <a16:creationId xmlns:a16="http://schemas.microsoft.com/office/drawing/2014/main" id="{0F8E1B39-33F1-4F56-8B98-7F483225B11A}"/>
            </a:ext>
          </a:extLst>
        </xdr:cNvPr>
        <xdr:cNvSpPr>
          <a:spLocks noChangeArrowheads="1"/>
        </xdr:cNvSpPr>
      </xdr:nvSpPr>
      <xdr:spPr bwMode="auto">
        <a:xfrm>
          <a:off x="0" y="0"/>
          <a:ext cx="13963650" cy="15992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68</xdr:row>
      <xdr:rowOff>142875</xdr:rowOff>
    </xdr:to>
    <xdr:sp macro="" textlink="">
      <xdr:nvSpPr>
        <xdr:cNvPr id="16" name="AutoShape 5">
          <a:extLst>
            <a:ext uri="{FF2B5EF4-FFF2-40B4-BE49-F238E27FC236}">
              <a16:creationId xmlns:a16="http://schemas.microsoft.com/office/drawing/2014/main" id="{6DDEE4F3-1D94-4A90-997D-54BB690DEBAC}"/>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68</xdr:row>
      <xdr:rowOff>142875</xdr:rowOff>
    </xdr:to>
    <xdr:sp macro="" textlink="">
      <xdr:nvSpPr>
        <xdr:cNvPr id="17" name="AutoShape 5">
          <a:extLst>
            <a:ext uri="{FF2B5EF4-FFF2-40B4-BE49-F238E27FC236}">
              <a16:creationId xmlns:a16="http://schemas.microsoft.com/office/drawing/2014/main" id="{FFC7497D-6545-4648-BF23-EFA7A544E26D}"/>
            </a:ext>
          </a:extLst>
        </xdr:cNvPr>
        <xdr:cNvSpPr>
          <a:spLocks noChangeArrowheads="1"/>
        </xdr:cNvSpPr>
      </xdr:nvSpPr>
      <xdr:spPr bwMode="auto">
        <a:xfrm>
          <a:off x="0" y="0"/>
          <a:ext cx="13963650" cy="15992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69</xdr:row>
      <xdr:rowOff>142875</xdr:rowOff>
    </xdr:to>
    <xdr:sp macro="" textlink="">
      <xdr:nvSpPr>
        <xdr:cNvPr id="18" name="AutoShape 5">
          <a:extLst>
            <a:ext uri="{FF2B5EF4-FFF2-40B4-BE49-F238E27FC236}">
              <a16:creationId xmlns:a16="http://schemas.microsoft.com/office/drawing/2014/main" id="{C5974907-87AC-4375-8A68-2E03C2E8D0BA}"/>
            </a:ext>
          </a:extLst>
        </xdr:cNvPr>
        <xdr:cNvSpPr>
          <a:spLocks noChangeArrowheads="1"/>
        </xdr:cNvSpPr>
      </xdr:nvSpPr>
      <xdr:spPr bwMode="auto">
        <a:xfrm>
          <a:off x="0" y="0"/>
          <a:ext cx="13963650" cy="16195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69</xdr:row>
      <xdr:rowOff>142875</xdr:rowOff>
    </xdr:to>
    <xdr:sp macro="" textlink="">
      <xdr:nvSpPr>
        <xdr:cNvPr id="19" name="AutoShape 5">
          <a:extLst>
            <a:ext uri="{FF2B5EF4-FFF2-40B4-BE49-F238E27FC236}">
              <a16:creationId xmlns:a16="http://schemas.microsoft.com/office/drawing/2014/main" id="{DBA77266-AB5C-4907-8156-1D8A778C7870}"/>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2</xdr:row>
      <xdr:rowOff>0</xdr:rowOff>
    </xdr:from>
    <xdr:to>
      <xdr:col>12</xdr:col>
      <xdr:colOff>361950</xdr:colOff>
      <xdr:row>69</xdr:row>
      <xdr:rowOff>142875</xdr:rowOff>
    </xdr:to>
    <xdr:sp macro="" textlink="">
      <xdr:nvSpPr>
        <xdr:cNvPr id="20" name="AutoShape 5">
          <a:extLst>
            <a:ext uri="{FF2B5EF4-FFF2-40B4-BE49-F238E27FC236}">
              <a16:creationId xmlns:a16="http://schemas.microsoft.com/office/drawing/2014/main" id="{13C4FAFE-A92D-40F6-B260-469F845B4FA6}"/>
            </a:ext>
          </a:extLst>
        </xdr:cNvPr>
        <xdr:cNvSpPr>
          <a:spLocks noChangeArrowheads="1"/>
        </xdr:cNvSpPr>
      </xdr:nvSpPr>
      <xdr:spPr bwMode="auto">
        <a:xfrm>
          <a:off x="0" y="0"/>
          <a:ext cx="13963650" cy="161956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0</xdr:row>
      <xdr:rowOff>0</xdr:rowOff>
    </xdr:to>
    <xdr:sp macro="" textlink="">
      <xdr:nvSpPr>
        <xdr:cNvPr id="6156" name="Rectangle 12" hidden="1">
          <a:extLst>
            <a:ext uri="{FF2B5EF4-FFF2-40B4-BE49-F238E27FC236}">
              <a16:creationId xmlns:a16="http://schemas.microsoft.com/office/drawing/2014/main" id="{00000000-0008-0000-0500-00000C1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9" name="AutoShape 5">
          <a:extLst>
            <a:ext uri="{FF2B5EF4-FFF2-40B4-BE49-F238E27FC236}">
              <a16:creationId xmlns:a16="http://schemas.microsoft.com/office/drawing/2014/main" id="{00000000-0008-0000-05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10" name="AutoShape 5">
          <a:extLst>
            <a:ext uri="{FF2B5EF4-FFF2-40B4-BE49-F238E27FC236}">
              <a16:creationId xmlns:a16="http://schemas.microsoft.com/office/drawing/2014/main" id="{00000000-0008-0000-05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11" name="AutoShape 5">
          <a:extLst>
            <a:ext uri="{FF2B5EF4-FFF2-40B4-BE49-F238E27FC236}">
              <a16:creationId xmlns:a16="http://schemas.microsoft.com/office/drawing/2014/main" id="{00000000-0008-0000-05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12" name="AutoShape 5">
          <a:extLst>
            <a:ext uri="{FF2B5EF4-FFF2-40B4-BE49-F238E27FC236}">
              <a16:creationId xmlns:a16="http://schemas.microsoft.com/office/drawing/2014/main" id="{00000000-0008-0000-05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13" name="AutoShape 5">
          <a:extLst>
            <a:ext uri="{FF2B5EF4-FFF2-40B4-BE49-F238E27FC236}">
              <a16:creationId xmlns:a16="http://schemas.microsoft.com/office/drawing/2014/main" id="{00000000-0008-0000-05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14" name="AutoShape 5">
          <a:extLst>
            <a:ext uri="{FF2B5EF4-FFF2-40B4-BE49-F238E27FC236}">
              <a16:creationId xmlns:a16="http://schemas.microsoft.com/office/drawing/2014/main" id="{00000000-0008-0000-05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314325</xdr:colOff>
      <xdr:row>0</xdr:row>
      <xdr:rowOff>0</xdr:rowOff>
    </xdr:to>
    <xdr:sp macro="" textlink="">
      <xdr:nvSpPr>
        <xdr:cNvPr id="7185" name="Rectangle 17" hidden="1">
          <a:extLst>
            <a:ext uri="{FF2B5EF4-FFF2-40B4-BE49-F238E27FC236}">
              <a16:creationId xmlns:a16="http://schemas.microsoft.com/office/drawing/2014/main" id="{00000000-0008-0000-0600-0000111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49</xdr:row>
      <xdr:rowOff>142875</xdr:rowOff>
    </xdr:to>
    <xdr:sp macro="" textlink="">
      <xdr:nvSpPr>
        <xdr:cNvPr id="9" name="AutoShape 5">
          <a:extLst>
            <a:ext uri="{FF2B5EF4-FFF2-40B4-BE49-F238E27FC236}">
              <a16:creationId xmlns:a16="http://schemas.microsoft.com/office/drawing/2014/main" id="{00000000-0008-0000-0600-000009000000}"/>
            </a:ext>
          </a:extLst>
        </xdr:cNvPr>
        <xdr:cNvSpPr>
          <a:spLocks noChangeArrowheads="1"/>
        </xdr:cNvSpPr>
      </xdr:nvSpPr>
      <xdr:spPr bwMode="auto">
        <a:xfrm>
          <a:off x="0" y="0"/>
          <a:ext cx="13719810" cy="1120711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49</xdr:row>
      <xdr:rowOff>142875</xdr:rowOff>
    </xdr:to>
    <xdr:sp macro="" textlink="">
      <xdr:nvSpPr>
        <xdr:cNvPr id="10" name="AutoShape 5">
          <a:extLst>
            <a:ext uri="{FF2B5EF4-FFF2-40B4-BE49-F238E27FC236}">
              <a16:creationId xmlns:a16="http://schemas.microsoft.com/office/drawing/2014/main" id="{00000000-0008-0000-0600-00000A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49</xdr:row>
      <xdr:rowOff>142875</xdr:rowOff>
    </xdr:to>
    <xdr:sp macro="" textlink="">
      <xdr:nvSpPr>
        <xdr:cNvPr id="11" name="AutoShape 5">
          <a:extLst>
            <a:ext uri="{FF2B5EF4-FFF2-40B4-BE49-F238E27FC236}">
              <a16:creationId xmlns:a16="http://schemas.microsoft.com/office/drawing/2014/main" id="{00000000-0008-0000-0600-00000B000000}"/>
            </a:ext>
          </a:extLst>
        </xdr:cNvPr>
        <xdr:cNvSpPr>
          <a:spLocks noChangeArrowheads="1"/>
        </xdr:cNvSpPr>
      </xdr:nvSpPr>
      <xdr:spPr bwMode="auto">
        <a:xfrm>
          <a:off x="0" y="0"/>
          <a:ext cx="13719810" cy="1120711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12" name="AutoShape 5">
          <a:extLst>
            <a:ext uri="{FF2B5EF4-FFF2-40B4-BE49-F238E27FC236}">
              <a16:creationId xmlns:a16="http://schemas.microsoft.com/office/drawing/2014/main" id="{00000000-0008-0000-0600-00000C000000}"/>
            </a:ext>
          </a:extLst>
        </xdr:cNvPr>
        <xdr:cNvSpPr>
          <a:spLocks noChangeArrowheads="1"/>
        </xdr:cNvSpPr>
      </xdr:nvSpPr>
      <xdr:spPr bwMode="auto">
        <a:xfrm>
          <a:off x="0" y="0"/>
          <a:ext cx="13719810" cy="1140523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13" name="AutoShape 5">
          <a:extLst>
            <a:ext uri="{FF2B5EF4-FFF2-40B4-BE49-F238E27FC236}">
              <a16:creationId xmlns:a16="http://schemas.microsoft.com/office/drawing/2014/main" id="{00000000-0008-0000-0600-00000D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14" name="AutoShape 5">
          <a:extLst>
            <a:ext uri="{FF2B5EF4-FFF2-40B4-BE49-F238E27FC236}">
              <a16:creationId xmlns:a16="http://schemas.microsoft.com/office/drawing/2014/main" id="{00000000-0008-0000-0600-00000E000000}"/>
            </a:ext>
          </a:extLst>
        </xdr:cNvPr>
        <xdr:cNvSpPr>
          <a:spLocks noChangeArrowheads="1"/>
        </xdr:cNvSpPr>
      </xdr:nvSpPr>
      <xdr:spPr bwMode="auto">
        <a:xfrm>
          <a:off x="0" y="0"/>
          <a:ext cx="13719810" cy="1140523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52</xdr:row>
      <xdr:rowOff>142875</xdr:rowOff>
    </xdr:to>
    <xdr:sp macro="" textlink="">
      <xdr:nvSpPr>
        <xdr:cNvPr id="2" name="AutoShape 5">
          <a:extLst>
            <a:ext uri="{FF2B5EF4-FFF2-40B4-BE49-F238E27FC236}">
              <a16:creationId xmlns:a16="http://schemas.microsoft.com/office/drawing/2014/main" id="{72B2CE6C-1DA4-4A7E-8190-0132AAF7B13C}"/>
            </a:ext>
          </a:extLst>
        </xdr:cNvPr>
        <xdr:cNvSpPr>
          <a:spLocks noChangeArrowheads="1"/>
        </xdr:cNvSpPr>
      </xdr:nvSpPr>
      <xdr:spPr bwMode="auto">
        <a:xfrm>
          <a:off x="0" y="0"/>
          <a:ext cx="13344525" cy="11258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52</xdr:row>
      <xdr:rowOff>142875</xdr:rowOff>
    </xdr:to>
    <xdr:sp macro="" textlink="">
      <xdr:nvSpPr>
        <xdr:cNvPr id="3" name="AutoShape 5">
          <a:extLst>
            <a:ext uri="{FF2B5EF4-FFF2-40B4-BE49-F238E27FC236}">
              <a16:creationId xmlns:a16="http://schemas.microsoft.com/office/drawing/2014/main" id="{7C7A88FB-1C56-4EDD-9FC6-10D0578B0C19}"/>
            </a:ext>
          </a:extLst>
        </xdr:cNvPr>
        <xdr:cNvSpPr>
          <a:spLocks noChangeArrowheads="1"/>
        </xdr:cNvSpPr>
      </xdr:nvSpPr>
      <xdr:spPr bwMode="auto">
        <a:xfrm>
          <a:off x="0" y="0"/>
          <a:ext cx="13344525" cy="11258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52</xdr:row>
      <xdr:rowOff>142875</xdr:rowOff>
    </xdr:to>
    <xdr:sp macro="" textlink="">
      <xdr:nvSpPr>
        <xdr:cNvPr id="4" name="AutoShape 5">
          <a:extLst>
            <a:ext uri="{FF2B5EF4-FFF2-40B4-BE49-F238E27FC236}">
              <a16:creationId xmlns:a16="http://schemas.microsoft.com/office/drawing/2014/main" id="{5ED82F65-126C-47AF-BE8D-41F0D34C42BE}"/>
            </a:ext>
          </a:extLst>
        </xdr:cNvPr>
        <xdr:cNvSpPr>
          <a:spLocks noChangeArrowheads="1"/>
        </xdr:cNvSpPr>
      </xdr:nvSpPr>
      <xdr:spPr bwMode="auto">
        <a:xfrm>
          <a:off x="0" y="0"/>
          <a:ext cx="13344525" cy="112585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53</xdr:row>
      <xdr:rowOff>142875</xdr:rowOff>
    </xdr:to>
    <xdr:sp macro="" textlink="">
      <xdr:nvSpPr>
        <xdr:cNvPr id="5" name="AutoShape 5">
          <a:extLst>
            <a:ext uri="{FF2B5EF4-FFF2-40B4-BE49-F238E27FC236}">
              <a16:creationId xmlns:a16="http://schemas.microsoft.com/office/drawing/2014/main" id="{211FD8F3-A379-4301-A731-F27873F98BD1}"/>
            </a:ext>
          </a:extLst>
        </xdr:cNvPr>
        <xdr:cNvSpPr>
          <a:spLocks noChangeArrowheads="1"/>
        </xdr:cNvSpPr>
      </xdr:nvSpPr>
      <xdr:spPr bwMode="auto">
        <a:xfrm>
          <a:off x="0" y="0"/>
          <a:ext cx="13344525" cy="11458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53</xdr:row>
      <xdr:rowOff>142875</xdr:rowOff>
    </xdr:to>
    <xdr:sp macro="" textlink="">
      <xdr:nvSpPr>
        <xdr:cNvPr id="6" name="AutoShape 5">
          <a:extLst>
            <a:ext uri="{FF2B5EF4-FFF2-40B4-BE49-F238E27FC236}">
              <a16:creationId xmlns:a16="http://schemas.microsoft.com/office/drawing/2014/main" id="{B25E203A-BE3B-43D6-996A-05393012E7F5}"/>
            </a:ext>
          </a:extLst>
        </xdr:cNvPr>
        <xdr:cNvSpPr>
          <a:spLocks noChangeArrowheads="1"/>
        </xdr:cNvSpPr>
      </xdr:nvSpPr>
      <xdr:spPr bwMode="auto">
        <a:xfrm>
          <a:off x="0" y="0"/>
          <a:ext cx="13344525" cy="114585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53</xdr:row>
      <xdr:rowOff>142875</xdr:rowOff>
    </xdr:to>
    <xdr:sp macro="" textlink="">
      <xdr:nvSpPr>
        <xdr:cNvPr id="7" name="AutoShape 5">
          <a:extLst>
            <a:ext uri="{FF2B5EF4-FFF2-40B4-BE49-F238E27FC236}">
              <a16:creationId xmlns:a16="http://schemas.microsoft.com/office/drawing/2014/main" id="{8860353F-4738-4915-ACE9-2DCD3D4874B0}"/>
            </a:ext>
          </a:extLst>
        </xdr:cNvPr>
        <xdr:cNvSpPr>
          <a:spLocks noChangeArrowheads="1"/>
        </xdr:cNvSpPr>
      </xdr:nvSpPr>
      <xdr:spPr bwMode="auto">
        <a:xfrm>
          <a:off x="0" y="0"/>
          <a:ext cx="13344525" cy="114585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BF1DD772-6FC6-476A-9290-600F707AC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LVERINE\STAKEBAL.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Q:\Project%20Data\GlacierData\Benchmark_Program\Data\_Templates\Mass_Balance_template_2021.xlsx" TargetMode="External"/><Relationship Id="rId1" Type="http://schemas.openxmlformats.org/officeDocument/2006/relationships/externalLinkPath" Target="/Project%20Data/GlacierData/Benchmark_Program/Data/_Templates/Mass_Balance_template_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LVERINE\Wolv-C%20Snowpi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OLVERINE\Wolv-B%20Snowp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 A"/>
      <sheetName val="Stake B"/>
      <sheetName val="Stake C"/>
      <sheetName val="SNOWPIT"/>
    </sheetNames>
    <sheetDataSet>
      <sheetData sheetId="0">
        <row r="103">
          <cell r="A103">
            <v>32784</v>
          </cell>
          <cell r="D103" t="str">
            <v>89T157</v>
          </cell>
          <cell r="E103" t="str">
            <v>89-A</v>
          </cell>
          <cell r="F103" t="str">
            <v>I</v>
          </cell>
          <cell r="H103">
            <v>7.9</v>
          </cell>
          <cell r="I103">
            <v>0</v>
          </cell>
          <cell r="J103">
            <v>0</v>
          </cell>
          <cell r="K103" t="str">
            <v/>
          </cell>
          <cell r="M103">
            <v>7.9</v>
          </cell>
          <cell r="N103" t="str">
            <v/>
          </cell>
          <cell r="X103" t="str">
            <v/>
          </cell>
          <cell r="Z103" t="str">
            <v/>
          </cell>
          <cell r="AA103" t="str">
            <v/>
          </cell>
          <cell r="AF103" t="str">
            <v/>
          </cell>
          <cell r="AJ103" t="str">
            <v/>
          </cell>
          <cell r="AM103" t="str">
            <v/>
          </cell>
          <cell r="AN103" t="str">
            <v/>
          </cell>
          <cell r="BG103" t="str">
            <v/>
          </cell>
          <cell r="BK103" t="str">
            <v/>
          </cell>
          <cell r="BL103" t="str">
            <v/>
          </cell>
          <cell r="BO103">
            <v>7.65</v>
          </cell>
          <cell r="BP103">
            <v>7.9</v>
          </cell>
          <cell r="BQ103">
            <v>7.9</v>
          </cell>
          <cell r="BU103" t="str">
            <v/>
          </cell>
          <cell r="BW103">
            <v>0</v>
          </cell>
          <cell r="BX103">
            <v>0</v>
          </cell>
          <cell r="BY103">
            <v>0</v>
          </cell>
          <cell r="BZ103">
            <v>0.23</v>
          </cell>
          <cell r="CA103">
            <v>0.23</v>
          </cell>
          <cell r="CB103">
            <v>0.23</v>
          </cell>
        </row>
        <row r="104">
          <cell r="A104">
            <v>32789</v>
          </cell>
          <cell r="D104" t="str">
            <v>89T160</v>
          </cell>
          <cell r="E104" t="str">
            <v>89-A</v>
          </cell>
          <cell r="F104" t="str">
            <v>I</v>
          </cell>
          <cell r="G104" t="str">
            <v>?/?</v>
          </cell>
          <cell r="H104">
            <v>7.85</v>
          </cell>
          <cell r="K104" t="str">
            <v/>
          </cell>
          <cell r="M104">
            <v>7.85</v>
          </cell>
          <cell r="N104" t="str">
            <v/>
          </cell>
          <cell r="X104" t="str">
            <v/>
          </cell>
          <cell r="Z104" t="str">
            <v/>
          </cell>
          <cell r="AA104" t="str">
            <v/>
          </cell>
          <cell r="AF104" t="str">
            <v/>
          </cell>
          <cell r="AJ104" t="str">
            <v/>
          </cell>
          <cell r="AM104" t="str">
            <v/>
          </cell>
          <cell r="AN104" t="str">
            <v/>
          </cell>
          <cell r="BG104" t="str">
            <v/>
          </cell>
          <cell r="BK104" t="str">
            <v/>
          </cell>
          <cell r="BL104" t="str">
            <v/>
          </cell>
          <cell r="BO104">
            <v>7.65</v>
          </cell>
          <cell r="BP104">
            <v>7.85</v>
          </cell>
          <cell r="BQ104">
            <v>7.85</v>
          </cell>
          <cell r="BU104" t="str">
            <v/>
          </cell>
          <cell r="BW104">
            <v>0</v>
          </cell>
          <cell r="BX104">
            <v>0</v>
          </cell>
          <cell r="BY104">
            <v>0</v>
          </cell>
          <cell r="BZ104">
            <v>0.18</v>
          </cell>
          <cell r="CA104">
            <v>0.18</v>
          </cell>
          <cell r="CB104">
            <v>0.18</v>
          </cell>
        </row>
        <row r="105">
          <cell r="A105">
            <v>32918</v>
          </cell>
          <cell r="D105" t="str">
            <v>90T53</v>
          </cell>
          <cell r="E105" t="str">
            <v>89-A</v>
          </cell>
          <cell r="F105" t="str">
            <v>S</v>
          </cell>
          <cell r="G105" t="str">
            <v>12/12</v>
          </cell>
          <cell r="H105">
            <v>9.5</v>
          </cell>
          <cell r="I105">
            <v>7.18</v>
          </cell>
          <cell r="J105">
            <v>7.15</v>
          </cell>
          <cell r="K105">
            <v>2.9999999999999361E-2</v>
          </cell>
          <cell r="M105">
            <v>9.4700000000000006</v>
          </cell>
          <cell r="N105">
            <v>1.8200000000000003</v>
          </cell>
          <cell r="X105">
            <v>1.82</v>
          </cell>
          <cell r="Z105" t="str">
            <v/>
          </cell>
          <cell r="AA105">
            <v>1</v>
          </cell>
          <cell r="AE105">
            <v>0.36</v>
          </cell>
          <cell r="AF105">
            <v>0.36</v>
          </cell>
          <cell r="AI105">
            <v>-1</v>
          </cell>
          <cell r="AJ105">
            <v>-1</v>
          </cell>
          <cell r="AM105">
            <v>7.65</v>
          </cell>
          <cell r="AN105">
            <v>7.65</v>
          </cell>
          <cell r="BG105" t="str">
            <v/>
          </cell>
          <cell r="BK105" t="str">
            <v/>
          </cell>
          <cell r="BL105" t="str">
            <v/>
          </cell>
          <cell r="BO105">
            <v>7.65</v>
          </cell>
          <cell r="BP105">
            <v>7.65</v>
          </cell>
          <cell r="BQ105">
            <v>7.65</v>
          </cell>
          <cell r="BU105">
            <v>0.66</v>
          </cell>
          <cell r="BW105">
            <v>0</v>
          </cell>
          <cell r="BX105">
            <v>0</v>
          </cell>
          <cell r="BY105">
            <v>0</v>
          </cell>
          <cell r="BZ105">
            <v>0</v>
          </cell>
          <cell r="CA105">
            <v>0.66</v>
          </cell>
          <cell r="CB105">
            <v>0</v>
          </cell>
        </row>
        <row r="106">
          <cell r="A106">
            <v>32949</v>
          </cell>
          <cell r="D106" t="str">
            <v>90T63</v>
          </cell>
          <cell r="E106" t="str">
            <v>89-A</v>
          </cell>
          <cell r="F106" t="str">
            <v>S</v>
          </cell>
          <cell r="G106" t="str">
            <v>12/12</v>
          </cell>
          <cell r="H106">
            <v>9.6</v>
          </cell>
          <cell r="K106" t="str">
            <v/>
          </cell>
          <cell r="M106">
            <v>9.6</v>
          </cell>
          <cell r="N106">
            <v>1.9499999999999993</v>
          </cell>
          <cell r="U106">
            <v>1.95</v>
          </cell>
          <cell r="V106">
            <v>3</v>
          </cell>
          <cell r="X106">
            <v>1.95</v>
          </cell>
          <cell r="AA106">
            <v>4</v>
          </cell>
          <cell r="AE106">
            <v>0.36</v>
          </cell>
          <cell r="AF106">
            <v>0.36</v>
          </cell>
          <cell r="AI106">
            <v>-1</v>
          </cell>
          <cell r="AJ106">
            <v>-1</v>
          </cell>
          <cell r="AM106">
            <v>7.65</v>
          </cell>
          <cell r="AN106">
            <v>7.65</v>
          </cell>
          <cell r="BG106" t="str">
            <v/>
          </cell>
          <cell r="BK106" t="str">
            <v/>
          </cell>
          <cell r="BL106" t="str">
            <v/>
          </cell>
          <cell r="BO106">
            <v>7.65</v>
          </cell>
          <cell r="BP106">
            <v>7.65</v>
          </cell>
          <cell r="BQ106">
            <v>7.65</v>
          </cell>
          <cell r="BU106">
            <v>0.7</v>
          </cell>
          <cell r="BW106">
            <v>0</v>
          </cell>
          <cell r="BX106">
            <v>0</v>
          </cell>
          <cell r="BY106">
            <v>0</v>
          </cell>
          <cell r="BZ106">
            <v>0</v>
          </cell>
          <cell r="CA106">
            <v>0.7</v>
          </cell>
          <cell r="CB106">
            <v>0</v>
          </cell>
        </row>
        <row r="107">
          <cell r="A107">
            <v>33026</v>
          </cell>
          <cell r="D107" t="str">
            <v>90M24</v>
          </cell>
          <cell r="E107" t="str">
            <v>89-A</v>
          </cell>
          <cell r="F107" t="str">
            <v>I</v>
          </cell>
          <cell r="G107" t="str">
            <v>12/6</v>
          </cell>
          <cell r="H107">
            <v>7.87</v>
          </cell>
          <cell r="I107">
            <v>3.26</v>
          </cell>
          <cell r="J107">
            <v>3.3</v>
          </cell>
          <cell r="K107">
            <v>-4.0000000000000036E-2</v>
          </cell>
          <cell r="M107">
            <v>7.91</v>
          </cell>
          <cell r="N107" t="str">
            <v/>
          </cell>
          <cell r="X107" t="str">
            <v/>
          </cell>
          <cell r="AA107" t="str">
            <v/>
          </cell>
          <cell r="AE107">
            <v>0.35</v>
          </cell>
          <cell r="AF107" t="str">
            <v/>
          </cell>
          <cell r="AI107">
            <v>-1</v>
          </cell>
          <cell r="AJ107" t="str">
            <v/>
          </cell>
          <cell r="AM107" t="str">
            <v/>
          </cell>
          <cell r="AN107" t="str">
            <v/>
          </cell>
          <cell r="BG107" t="str">
            <v/>
          </cell>
          <cell r="BK107" t="str">
            <v/>
          </cell>
          <cell r="BL107" t="str">
            <v/>
          </cell>
          <cell r="BO107">
            <v>7.65</v>
          </cell>
          <cell r="BP107">
            <v>7.91</v>
          </cell>
          <cell r="BQ107">
            <v>7.91</v>
          </cell>
          <cell r="BU107" t="str">
            <v/>
          </cell>
          <cell r="BW107">
            <v>0</v>
          </cell>
          <cell r="BX107">
            <v>0</v>
          </cell>
          <cell r="BY107">
            <v>0</v>
          </cell>
          <cell r="BZ107">
            <v>0.23</v>
          </cell>
          <cell r="CA107">
            <v>0.23</v>
          </cell>
          <cell r="CB107">
            <v>0.23</v>
          </cell>
        </row>
        <row r="108">
          <cell r="A108">
            <v>33123</v>
          </cell>
          <cell r="D108" t="str">
            <v>90M35</v>
          </cell>
          <cell r="E108" t="str">
            <v>89-A</v>
          </cell>
          <cell r="F108" t="str">
            <v>I</v>
          </cell>
          <cell r="G108" t="str">
            <v>9/3</v>
          </cell>
          <cell r="H108">
            <v>1.2</v>
          </cell>
          <cell r="I108">
            <v>3.29</v>
          </cell>
          <cell r="J108">
            <v>3.33</v>
          </cell>
          <cell r="K108">
            <v>-4.0000000000000036E-2</v>
          </cell>
          <cell r="M108">
            <v>1.2400000000000002</v>
          </cell>
          <cell r="N108" t="str">
            <v/>
          </cell>
          <cell r="X108" t="str">
            <v/>
          </cell>
          <cell r="AA108" t="str">
            <v/>
          </cell>
          <cell r="AF108" t="str">
            <v/>
          </cell>
          <cell r="AJ108" t="str">
            <v/>
          </cell>
          <cell r="AM108" t="str">
            <v/>
          </cell>
          <cell r="AN108" t="str">
            <v/>
          </cell>
          <cell r="BG108" t="str">
            <v/>
          </cell>
          <cell r="BK108" t="str">
            <v/>
          </cell>
          <cell r="BL108" t="str">
            <v/>
          </cell>
          <cell r="BO108">
            <v>7.65</v>
          </cell>
          <cell r="BP108">
            <v>1.2400000000000002</v>
          </cell>
          <cell r="BQ108">
            <v>1.2400000000000002</v>
          </cell>
          <cell r="BU108" t="str">
            <v/>
          </cell>
          <cell r="BW108">
            <v>0</v>
          </cell>
          <cell r="BX108">
            <v>0</v>
          </cell>
          <cell r="BY108">
            <v>0</v>
          </cell>
          <cell r="BZ108">
            <v>-5.77</v>
          </cell>
          <cell r="CA108">
            <v>-5.77</v>
          </cell>
          <cell r="CB108">
            <v>-5.77</v>
          </cell>
        </row>
        <row r="109">
          <cell r="D109" t="str">
            <v>bn 1990</v>
          </cell>
          <cell r="F109" t="str">
            <v>I</v>
          </cell>
          <cell r="M109" t="e">
            <v>#VALUE!</v>
          </cell>
          <cell r="BO109">
            <v>7.91</v>
          </cell>
          <cell r="BP109" t="e">
            <v>#VALUE!</v>
          </cell>
          <cell r="BQ109" t="e">
            <v>#VALUE!</v>
          </cell>
          <cell r="BU109" t="str">
            <v/>
          </cell>
          <cell r="BW109">
            <v>0</v>
          </cell>
          <cell r="BX109">
            <v>0</v>
          </cell>
          <cell r="BY109">
            <v>0</v>
          </cell>
          <cell r="BZ109" t="e">
            <v>#VALUE!</v>
          </cell>
          <cell r="CA109" t="e">
            <v>#VALUE!</v>
          </cell>
          <cell r="CB109" t="e">
            <v>#VALUE!</v>
          </cell>
        </row>
        <row r="110">
          <cell r="D110" t="str">
            <v>1990 HY end</v>
          </cell>
        </row>
        <row r="111">
          <cell r="K111" t="str">
            <v/>
          </cell>
          <cell r="N111" t="str">
            <v/>
          </cell>
          <cell r="X111" t="str">
            <v/>
          </cell>
          <cell r="AA111" t="str">
            <v/>
          </cell>
          <cell r="AF111" t="str">
            <v/>
          </cell>
          <cell r="AJ111" t="str">
            <v/>
          </cell>
          <cell r="AM111" t="str">
            <v/>
          </cell>
          <cell r="AN111" t="str">
            <v/>
          </cell>
          <cell r="BG111" t="str">
            <v/>
          </cell>
          <cell r="BK111" t="str">
            <v/>
          </cell>
          <cell r="BL111" t="str">
            <v/>
          </cell>
          <cell r="BP111" t="str">
            <v/>
          </cell>
          <cell r="BQ111" t="str">
            <v/>
          </cell>
          <cell r="BU111" t="str">
            <v/>
          </cell>
        </row>
        <row r="112">
          <cell r="A112">
            <v>33123</v>
          </cell>
          <cell r="D112" t="str">
            <v>90M35</v>
          </cell>
          <cell r="E112" t="str">
            <v>90-A</v>
          </cell>
          <cell r="F112" t="str">
            <v>I</v>
          </cell>
          <cell r="G112" t="str">
            <v>0/12</v>
          </cell>
          <cell r="H112">
            <v>8.1</v>
          </cell>
          <cell r="K112" t="str">
            <v/>
          </cell>
          <cell r="M112">
            <v>8.1</v>
          </cell>
          <cell r="N112" t="str">
            <v/>
          </cell>
          <cell r="X112" t="str">
            <v/>
          </cell>
          <cell r="AA112" t="str">
            <v/>
          </cell>
          <cell r="AF112" t="str">
            <v/>
          </cell>
          <cell r="AJ112" t="str">
            <v/>
          </cell>
          <cell r="AM112" t="str">
            <v/>
          </cell>
          <cell r="AN112" t="str">
            <v/>
          </cell>
          <cell r="BG112" t="str">
            <v/>
          </cell>
          <cell r="BK112" t="str">
            <v/>
          </cell>
          <cell r="BL112" t="str">
            <v/>
          </cell>
          <cell r="BO112">
            <v>8.1</v>
          </cell>
          <cell r="BP112">
            <v>8.1</v>
          </cell>
          <cell r="BQ112">
            <v>8.1</v>
          </cell>
          <cell r="BU112" t="str">
            <v/>
          </cell>
          <cell r="BW112">
            <v>0</v>
          </cell>
          <cell r="BX112">
            <v>0</v>
          </cell>
          <cell r="BY112">
            <v>0</v>
          </cell>
          <cell r="BZ112">
            <v>0</v>
          </cell>
          <cell r="CA112">
            <v>0</v>
          </cell>
          <cell r="CB112">
            <v>0</v>
          </cell>
        </row>
        <row r="113">
          <cell r="D113" t="str">
            <v>bn 1990</v>
          </cell>
          <cell r="F113" t="str">
            <v>I</v>
          </cell>
          <cell r="M113" t="e">
            <v>#VALUE!</v>
          </cell>
        </row>
        <row r="114">
          <cell r="D114" t="str">
            <v>1990 HY end</v>
          </cell>
        </row>
        <row r="115">
          <cell r="A115">
            <v>33245</v>
          </cell>
          <cell r="D115" t="str">
            <v>91M6</v>
          </cell>
          <cell r="E115" t="str">
            <v>90-A</v>
          </cell>
          <cell r="F115" t="str">
            <v>S</v>
          </cell>
          <cell r="G115" t="str">
            <v>12/12</v>
          </cell>
          <cell r="H115">
            <v>7.75</v>
          </cell>
          <cell r="I115">
            <v>3.3</v>
          </cell>
          <cell r="J115">
            <v>3.26</v>
          </cell>
          <cell r="K115">
            <v>4.0000000000000036E-2</v>
          </cell>
          <cell r="M115">
            <v>7.71</v>
          </cell>
          <cell r="N115" t="str">
            <v/>
          </cell>
          <cell r="U115">
            <v>0.12000000000000002</v>
          </cell>
          <cell r="V115">
            <v>10</v>
          </cell>
          <cell r="X115" t="e">
            <v>#VALUE!</v>
          </cell>
          <cell r="AA115">
            <v>10</v>
          </cell>
          <cell r="AE115">
            <v>0.37</v>
          </cell>
          <cell r="AF115">
            <v>0.37</v>
          </cell>
          <cell r="AI115">
            <v>-1</v>
          </cell>
          <cell r="AJ115" t="str">
            <v/>
          </cell>
          <cell r="AM115" t="e">
            <v>#VALUE!</v>
          </cell>
          <cell r="AN115" t="e">
            <v>#VALUE!</v>
          </cell>
          <cell r="BG115" t="str">
            <v/>
          </cell>
          <cell r="BK115" t="str">
            <v/>
          </cell>
          <cell r="BL115" t="str">
            <v/>
          </cell>
          <cell r="BO115" t="e">
            <v>#VALUE!</v>
          </cell>
          <cell r="BP115" t="e">
            <v>#VALUE!</v>
          </cell>
          <cell r="BQ115" t="e">
            <v>#VALUE!</v>
          </cell>
          <cell r="BU115" t="e">
            <v>#VALUE!</v>
          </cell>
          <cell r="BW115">
            <v>0</v>
          </cell>
          <cell r="BX115">
            <v>0</v>
          </cell>
          <cell r="BY115">
            <v>0</v>
          </cell>
          <cell r="BZ115">
            <v>0</v>
          </cell>
          <cell r="CA115" t="e">
            <v>#VALUE!</v>
          </cell>
          <cell r="CB115">
            <v>0</v>
          </cell>
        </row>
        <row r="116">
          <cell r="A116">
            <v>33371</v>
          </cell>
          <cell r="D116" t="str">
            <v>91M16</v>
          </cell>
          <cell r="E116" t="str">
            <v>90-A</v>
          </cell>
          <cell r="F116" t="str">
            <v>S</v>
          </cell>
          <cell r="G116" t="str">
            <v>12/9</v>
          </cell>
          <cell r="I116">
            <v>0</v>
          </cell>
          <cell r="J116">
            <v>0</v>
          </cell>
          <cell r="M116" t="str">
            <v/>
          </cell>
          <cell r="N116" t="str">
            <v/>
          </cell>
          <cell r="X116" t="str">
            <v/>
          </cell>
          <cell r="AA116" t="str">
            <v/>
          </cell>
          <cell r="AE116">
            <v>0.37</v>
          </cell>
          <cell r="AF116" t="str">
            <v/>
          </cell>
          <cell r="AI116">
            <v>-1</v>
          </cell>
          <cell r="AJ116" t="str">
            <v/>
          </cell>
          <cell r="AM116" t="str">
            <v/>
          </cell>
          <cell r="AN116" t="str">
            <v/>
          </cell>
          <cell r="BG116" t="str">
            <v/>
          </cell>
          <cell r="BK116" t="str">
            <v/>
          </cell>
          <cell r="BL116" t="str">
            <v/>
          </cell>
          <cell r="BO116" t="e">
            <v>#VALUE!</v>
          </cell>
          <cell r="BP116" t="str">
            <v/>
          </cell>
          <cell r="BQ116" t="str">
            <v/>
          </cell>
          <cell r="BU116" t="e">
            <v>#VALUE!</v>
          </cell>
          <cell r="BW116">
            <v>0</v>
          </cell>
          <cell r="BX116">
            <v>0</v>
          </cell>
          <cell r="BY116">
            <v>0</v>
          </cell>
          <cell r="BZ116">
            <v>0</v>
          </cell>
          <cell r="CA116" t="e">
            <v>#VALUE!</v>
          </cell>
          <cell r="CB116">
            <v>0</v>
          </cell>
        </row>
        <row r="117">
          <cell r="A117">
            <v>33493</v>
          </cell>
          <cell r="D117" t="str">
            <v>91M32</v>
          </cell>
          <cell r="E117" t="str">
            <v>90-A</v>
          </cell>
          <cell r="F117" t="str">
            <v>I</v>
          </cell>
          <cell r="G117" t="str">
            <v>9/6</v>
          </cell>
          <cell r="H117">
            <v>3.48</v>
          </cell>
          <cell r="I117">
            <v>3.57</v>
          </cell>
          <cell r="J117">
            <v>3.57</v>
          </cell>
          <cell r="K117" t="str">
            <v/>
          </cell>
          <cell r="M117">
            <v>3.48</v>
          </cell>
          <cell r="N117" t="str">
            <v/>
          </cell>
          <cell r="X117" t="str">
            <v/>
          </cell>
          <cell r="AA117" t="str">
            <v/>
          </cell>
          <cell r="AF117" t="str">
            <v/>
          </cell>
          <cell r="AJ117" t="str">
            <v/>
          </cell>
          <cell r="AM117" t="str">
            <v/>
          </cell>
          <cell r="AN117" t="str">
            <v/>
          </cell>
          <cell r="BG117" t="str">
            <v/>
          </cell>
          <cell r="BK117" t="str">
            <v/>
          </cell>
          <cell r="BL117" t="str">
            <v/>
          </cell>
          <cell r="BO117" t="e">
            <v>#VALUE!</v>
          </cell>
          <cell r="BP117">
            <v>3.48</v>
          </cell>
          <cell r="BQ117">
            <v>3.48</v>
          </cell>
          <cell r="BU117" t="str">
            <v/>
          </cell>
          <cell r="BW117">
            <v>0</v>
          </cell>
          <cell r="BX117">
            <v>0</v>
          </cell>
          <cell r="BY117">
            <v>0</v>
          </cell>
          <cell r="BZ117">
            <v>0</v>
          </cell>
          <cell r="CA117">
            <v>0</v>
          </cell>
          <cell r="CB117">
            <v>0</v>
          </cell>
        </row>
        <row r="118">
          <cell r="A118">
            <v>33499</v>
          </cell>
          <cell r="D118" t="str">
            <v>91M39</v>
          </cell>
          <cell r="E118" t="str">
            <v>90-A</v>
          </cell>
          <cell r="F118" t="str">
            <v>I</v>
          </cell>
          <cell r="G118" t="str">
            <v>9/6</v>
          </cell>
          <cell r="H118">
            <v>3.15</v>
          </cell>
          <cell r="K118" t="str">
            <v/>
          </cell>
          <cell r="M118">
            <v>3.15</v>
          </cell>
          <cell r="N118" t="str">
            <v/>
          </cell>
          <cell r="X118" t="str">
            <v/>
          </cell>
          <cell r="AA118" t="str">
            <v/>
          </cell>
          <cell r="AF118" t="str">
            <v/>
          </cell>
          <cell r="AJ118" t="str">
            <v/>
          </cell>
          <cell r="AM118" t="str">
            <v/>
          </cell>
          <cell r="AN118" t="str">
            <v/>
          </cell>
          <cell r="BG118" t="str">
            <v/>
          </cell>
          <cell r="BK118" t="str">
            <v/>
          </cell>
          <cell r="BL118" t="str">
            <v/>
          </cell>
          <cell r="BO118" t="e">
            <v>#VALUE!</v>
          </cell>
          <cell r="BP118">
            <v>3.15</v>
          </cell>
          <cell r="BQ118">
            <v>3.15</v>
          </cell>
          <cell r="BU118" t="str">
            <v/>
          </cell>
          <cell r="BW118">
            <v>0</v>
          </cell>
          <cell r="BX118">
            <v>0</v>
          </cell>
          <cell r="BY118">
            <v>0</v>
          </cell>
          <cell r="BZ118">
            <v>0</v>
          </cell>
          <cell r="CA118">
            <v>0</v>
          </cell>
          <cell r="CB118">
            <v>0</v>
          </cell>
        </row>
        <row r="119">
          <cell r="D119" t="str">
            <v>bn 1991</v>
          </cell>
          <cell r="F119" t="str">
            <v>I</v>
          </cell>
          <cell r="M119" t="e">
            <v>#VALUE!</v>
          </cell>
          <cell r="BO119" t="str">
            <v/>
          </cell>
          <cell r="BP119" t="e">
            <v>#VALUE!</v>
          </cell>
          <cell r="BQ119" t="e">
            <v>#VALUE!</v>
          </cell>
          <cell r="BU119" t="str">
            <v/>
          </cell>
          <cell r="BW119">
            <v>0</v>
          </cell>
          <cell r="BX119">
            <v>0</v>
          </cell>
          <cell r="BY119">
            <v>0</v>
          </cell>
          <cell r="BZ119">
            <v>0</v>
          </cell>
          <cell r="CA119">
            <v>0</v>
          </cell>
          <cell r="CB119">
            <v>0</v>
          </cell>
        </row>
        <row r="120">
          <cell r="D120" t="str">
            <v>1991 HY end</v>
          </cell>
        </row>
        <row r="121">
          <cell r="K121" t="str">
            <v/>
          </cell>
          <cell r="N121" t="str">
            <v/>
          </cell>
          <cell r="X121" t="str">
            <v/>
          </cell>
          <cell r="AA121" t="str">
            <v/>
          </cell>
          <cell r="AF121" t="str">
            <v/>
          </cell>
          <cell r="AJ121" t="str">
            <v/>
          </cell>
          <cell r="AM121" t="str">
            <v/>
          </cell>
          <cell r="AN121" t="str">
            <v/>
          </cell>
          <cell r="BG121" t="str">
            <v/>
          </cell>
          <cell r="BK121" t="str">
            <v/>
          </cell>
          <cell r="BL121" t="str">
            <v/>
          </cell>
          <cell r="BP121" t="str">
            <v/>
          </cell>
          <cell r="BQ121" t="str">
            <v/>
          </cell>
          <cell r="BU121" t="str">
            <v/>
          </cell>
        </row>
        <row r="122">
          <cell r="A122">
            <v>33499</v>
          </cell>
          <cell r="D122" t="str">
            <v>91M39</v>
          </cell>
          <cell r="E122" t="str">
            <v>91-A</v>
          </cell>
          <cell r="F122" t="str">
            <v>I</v>
          </cell>
          <cell r="G122" t="str">
            <v>0/12</v>
          </cell>
          <cell r="H122">
            <v>8.9</v>
          </cell>
          <cell r="K122" t="str">
            <v/>
          </cell>
          <cell r="M122">
            <v>8.9</v>
          </cell>
          <cell r="N122" t="str">
            <v/>
          </cell>
          <cell r="X122" t="str">
            <v/>
          </cell>
          <cell r="AA122" t="str">
            <v/>
          </cell>
          <cell r="AF122" t="str">
            <v/>
          </cell>
          <cell r="AJ122" t="str">
            <v/>
          </cell>
          <cell r="AM122" t="str">
            <v/>
          </cell>
          <cell r="AN122" t="str">
            <v/>
          </cell>
          <cell r="BG122" t="str">
            <v/>
          </cell>
          <cell r="BK122" t="str">
            <v/>
          </cell>
          <cell r="BL122" t="str">
            <v/>
          </cell>
          <cell r="BP122">
            <v>8.9</v>
          </cell>
          <cell r="BQ122">
            <v>8.9</v>
          </cell>
          <cell r="BU122" t="str">
            <v/>
          </cell>
          <cell r="BW122">
            <v>0</v>
          </cell>
          <cell r="BX122">
            <v>0</v>
          </cell>
          <cell r="BY122">
            <v>0</v>
          </cell>
          <cell r="BZ122">
            <v>0</v>
          </cell>
          <cell r="CA122">
            <v>0</v>
          </cell>
          <cell r="CB122">
            <v>0</v>
          </cell>
        </row>
        <row r="123">
          <cell r="D123" t="str">
            <v>bn 1991</v>
          </cell>
          <cell r="F123" t="str">
            <v>I</v>
          </cell>
          <cell r="M123" t="e">
            <v>#VALUE!</v>
          </cell>
        </row>
        <row r="124">
          <cell r="D124" t="str">
            <v>1991 HY end</v>
          </cell>
        </row>
        <row r="125">
          <cell r="A125">
            <v>33626</v>
          </cell>
          <cell r="D125" t="str">
            <v>92M3&amp;7</v>
          </cell>
          <cell r="E125" t="str">
            <v>91-A</v>
          </cell>
          <cell r="F125" t="str">
            <v>S</v>
          </cell>
          <cell r="I125">
            <v>3.29</v>
          </cell>
          <cell r="J125">
            <v>3.24</v>
          </cell>
          <cell r="K125">
            <v>4.9999999999999822E-2</v>
          </cell>
          <cell r="M125">
            <v>3.24</v>
          </cell>
          <cell r="N125" t="str">
            <v/>
          </cell>
          <cell r="X125" t="str">
            <v/>
          </cell>
          <cell r="AA125" t="str">
            <v/>
          </cell>
          <cell r="AE125">
            <v>0.39</v>
          </cell>
          <cell r="AF125" t="str">
            <v/>
          </cell>
          <cell r="AI125">
            <v>-1</v>
          </cell>
          <cell r="AJ125" t="str">
            <v/>
          </cell>
          <cell r="AM125" t="e">
            <v>#VALUE!</v>
          </cell>
          <cell r="AN125" t="e">
            <v>#VALUE!</v>
          </cell>
          <cell r="BG125" t="str">
            <v/>
          </cell>
          <cell r="BK125" t="str">
            <v/>
          </cell>
          <cell r="BL125" t="str">
            <v/>
          </cell>
          <cell r="BO125" t="e">
            <v>#VALUE!</v>
          </cell>
          <cell r="BP125" t="e">
            <v>#VALUE!</v>
          </cell>
          <cell r="BQ125" t="e">
            <v>#VALUE!</v>
          </cell>
          <cell r="BU125" t="e">
            <v>#VALUE!</v>
          </cell>
          <cell r="BW125">
            <v>0</v>
          </cell>
          <cell r="BX125">
            <v>0</v>
          </cell>
          <cell r="BY125">
            <v>0</v>
          </cell>
          <cell r="BZ125">
            <v>0</v>
          </cell>
          <cell r="CA125" t="e">
            <v>#VALUE!</v>
          </cell>
          <cell r="CB125">
            <v>0</v>
          </cell>
        </row>
        <row r="126">
          <cell r="A126">
            <v>33737</v>
          </cell>
          <cell r="D126" t="str">
            <v>92M12,14</v>
          </cell>
          <cell r="E126" t="str">
            <v>91-A</v>
          </cell>
          <cell r="F126" t="str">
            <v>S</v>
          </cell>
          <cell r="H126">
            <v>10.73</v>
          </cell>
          <cell r="I126">
            <v>0</v>
          </cell>
          <cell r="J126">
            <v>0</v>
          </cell>
          <cell r="K126" t="str">
            <v/>
          </cell>
          <cell r="M126">
            <v>10.73</v>
          </cell>
          <cell r="N126" t="str">
            <v/>
          </cell>
          <cell r="U126">
            <v>1.8233333333333333</v>
          </cell>
          <cell r="V126">
            <v>6</v>
          </cell>
          <cell r="X126" t="e">
            <v>#VALUE!</v>
          </cell>
          <cell r="AA126">
            <v>6</v>
          </cell>
          <cell r="AE126">
            <v>0.39</v>
          </cell>
          <cell r="AF126">
            <v>0.39</v>
          </cell>
          <cell r="AI126">
            <v>-1</v>
          </cell>
          <cell r="AJ126" t="str">
            <v/>
          </cell>
          <cell r="AM126" t="e">
            <v>#VALUE!</v>
          </cell>
          <cell r="AN126" t="e">
            <v>#VALUE!</v>
          </cell>
          <cell r="BG126" t="str">
            <v/>
          </cell>
          <cell r="BK126" t="str">
            <v/>
          </cell>
          <cell r="BL126" t="str">
            <v/>
          </cell>
          <cell r="BO126" t="e">
            <v>#VALUE!</v>
          </cell>
          <cell r="BP126" t="e">
            <v>#VALUE!</v>
          </cell>
          <cell r="BQ126" t="e">
            <v>#VALUE!</v>
          </cell>
          <cell r="BU126" t="e">
            <v>#VALUE!</v>
          </cell>
          <cell r="BW126">
            <v>0</v>
          </cell>
          <cell r="BX126">
            <v>0</v>
          </cell>
          <cell r="BY126">
            <v>0</v>
          </cell>
          <cell r="BZ126">
            <v>0</v>
          </cell>
          <cell r="CA126" t="e">
            <v>#VALUE!</v>
          </cell>
          <cell r="CB126">
            <v>0</v>
          </cell>
        </row>
        <row r="127">
          <cell r="A127">
            <v>33853</v>
          </cell>
          <cell r="D127" t="str">
            <v>92M61</v>
          </cell>
          <cell r="E127" t="str">
            <v>91-A</v>
          </cell>
          <cell r="F127" t="str">
            <v>I</v>
          </cell>
          <cell r="G127" t="str">
            <v>12/9</v>
          </cell>
          <cell r="I127">
            <v>4.79</v>
          </cell>
          <cell r="J127">
            <v>4.5999999999999996</v>
          </cell>
          <cell r="K127">
            <v>0.19000000000000039</v>
          </cell>
          <cell r="M127">
            <v>4.5999999999999996</v>
          </cell>
          <cell r="N127" t="str">
            <v/>
          </cell>
          <cell r="X127" t="str">
            <v/>
          </cell>
          <cell r="AA127" t="str">
            <v/>
          </cell>
          <cell r="AF127" t="str">
            <v/>
          </cell>
          <cell r="AJ127" t="str">
            <v/>
          </cell>
          <cell r="AM127" t="str">
            <v/>
          </cell>
          <cell r="AN127" t="str">
            <v/>
          </cell>
          <cell r="BG127" t="str">
            <v/>
          </cell>
          <cell r="BK127" t="str">
            <v/>
          </cell>
          <cell r="BL127" t="str">
            <v/>
          </cell>
          <cell r="BO127" t="e">
            <v>#VALUE!</v>
          </cell>
          <cell r="BP127">
            <v>4.5999999999999996</v>
          </cell>
          <cell r="BQ127">
            <v>4.5999999999999996</v>
          </cell>
          <cell r="BU127" t="str">
            <v/>
          </cell>
          <cell r="BW127">
            <v>0</v>
          </cell>
          <cell r="BX127">
            <v>0</v>
          </cell>
          <cell r="BY127">
            <v>0</v>
          </cell>
          <cell r="BZ127">
            <v>0</v>
          </cell>
          <cell r="CA127">
            <v>0</v>
          </cell>
          <cell r="CB127">
            <v>0</v>
          </cell>
        </row>
        <row r="128">
          <cell r="D128" t="str">
            <v>bn 1992</v>
          </cell>
          <cell r="F128" t="str">
            <v>I</v>
          </cell>
          <cell r="M128">
            <v>4.54</v>
          </cell>
          <cell r="BO128" t="e">
            <v>#VALUE!</v>
          </cell>
          <cell r="BP128">
            <v>4.54</v>
          </cell>
          <cell r="BQ128">
            <v>4.54</v>
          </cell>
          <cell r="BU128" t="str">
            <v/>
          </cell>
          <cell r="BW128">
            <v>0</v>
          </cell>
          <cell r="BX128">
            <v>0</v>
          </cell>
          <cell r="BY128">
            <v>0</v>
          </cell>
          <cell r="BZ128">
            <v>0</v>
          </cell>
          <cell r="CA128">
            <v>0</v>
          </cell>
          <cell r="CB128">
            <v>0</v>
          </cell>
        </row>
        <row r="129">
          <cell r="D129" t="str">
            <v>1992 HY end</v>
          </cell>
        </row>
        <row r="130">
          <cell r="A130">
            <v>34009</v>
          </cell>
          <cell r="D130" t="str">
            <v>93M5</v>
          </cell>
          <cell r="E130" t="str">
            <v>91-A</v>
          </cell>
          <cell r="F130" t="str">
            <v>S</v>
          </cell>
          <cell r="I130">
            <v>4.47</v>
          </cell>
          <cell r="J130">
            <v>4.3899999999999997</v>
          </cell>
          <cell r="K130">
            <v>8.0000000000000071E-2</v>
          </cell>
          <cell r="M130">
            <v>4.3899999999999997</v>
          </cell>
          <cell r="N130" t="str">
            <v/>
          </cell>
          <cell r="U130">
            <v>-0.15000000000000036</v>
          </cell>
          <cell r="V130">
            <v>1</v>
          </cell>
          <cell r="X130" t="e">
            <v>#VALUE!</v>
          </cell>
          <cell r="AA130">
            <v>1</v>
          </cell>
          <cell r="AE130">
            <v>0.39</v>
          </cell>
          <cell r="AF130">
            <v>0.39</v>
          </cell>
          <cell r="AI130">
            <v>-1</v>
          </cell>
          <cell r="AJ130" t="str">
            <v/>
          </cell>
          <cell r="AM130" t="e">
            <v>#VALUE!</v>
          </cell>
          <cell r="AN130" t="e">
            <v>#VALUE!</v>
          </cell>
          <cell r="BG130" t="str">
            <v/>
          </cell>
          <cell r="BK130" t="str">
            <v/>
          </cell>
          <cell r="BL130" t="str">
            <v/>
          </cell>
          <cell r="BO130" t="e">
            <v>#VALUE!</v>
          </cell>
          <cell r="BP130" t="e">
            <v>#VALUE!</v>
          </cell>
          <cell r="BQ130" t="e">
            <v>#VALUE!</v>
          </cell>
          <cell r="BU130" t="e">
            <v>#VALUE!</v>
          </cell>
          <cell r="BW130">
            <v>0</v>
          </cell>
          <cell r="BX130">
            <v>0</v>
          </cell>
          <cell r="BY130">
            <v>0</v>
          </cell>
          <cell r="BZ130">
            <v>0</v>
          </cell>
          <cell r="CA130" t="e">
            <v>#VALUE!</v>
          </cell>
          <cell r="CB130">
            <v>0</v>
          </cell>
        </row>
        <row r="131">
          <cell r="A131">
            <v>34105</v>
          </cell>
          <cell r="D131" t="str">
            <v>93M7</v>
          </cell>
          <cell r="E131" t="str">
            <v>91-A</v>
          </cell>
          <cell r="F131" t="str">
            <v>S</v>
          </cell>
          <cell r="G131" t="str">
            <v>13.?/12</v>
          </cell>
          <cell r="I131">
            <v>4.9000000000000004</v>
          </cell>
          <cell r="J131">
            <v>4.8499999999999996</v>
          </cell>
          <cell r="K131">
            <v>5.0000000000000711E-2</v>
          </cell>
          <cell r="M131">
            <v>4.8499999999999996</v>
          </cell>
          <cell r="N131" t="str">
            <v/>
          </cell>
          <cell r="X131" t="str">
            <v/>
          </cell>
          <cell r="AA131" t="str">
            <v/>
          </cell>
          <cell r="AE131">
            <v>0.39</v>
          </cell>
          <cell r="AF131" t="str">
            <v/>
          </cell>
          <cell r="AI131">
            <v>-1</v>
          </cell>
          <cell r="AJ131" t="str">
            <v/>
          </cell>
          <cell r="AM131" t="e">
            <v>#VALUE!</v>
          </cell>
          <cell r="AN131" t="e">
            <v>#VALUE!</v>
          </cell>
          <cell r="BG131" t="str">
            <v/>
          </cell>
          <cell r="BK131" t="str">
            <v/>
          </cell>
          <cell r="BL131" t="str">
            <v/>
          </cell>
          <cell r="BO131" t="e">
            <v>#VALUE!</v>
          </cell>
          <cell r="BP131" t="e">
            <v>#VALUE!</v>
          </cell>
          <cell r="BQ131" t="e">
            <v>#VALUE!</v>
          </cell>
          <cell r="BU131" t="e">
            <v>#VALUE!</v>
          </cell>
          <cell r="BW131">
            <v>0</v>
          </cell>
          <cell r="BX131">
            <v>0</v>
          </cell>
          <cell r="BY131">
            <v>0</v>
          </cell>
          <cell r="BZ131">
            <v>0</v>
          </cell>
          <cell r="CA131" t="e">
            <v>#VALUE!</v>
          </cell>
          <cell r="CB131">
            <v>0</v>
          </cell>
        </row>
        <row r="132">
          <cell r="A132">
            <v>34222</v>
          </cell>
          <cell r="D132" t="str">
            <v>93M32</v>
          </cell>
          <cell r="E132" t="str">
            <v>91-A</v>
          </cell>
          <cell r="F132" t="str">
            <v>I</v>
          </cell>
          <cell r="G132" t="str">
            <v>?/0</v>
          </cell>
          <cell r="H132" t="str">
            <v>STAKE MELTED OUT</v>
          </cell>
          <cell r="K132" t="str">
            <v/>
          </cell>
          <cell r="M132" t="str">
            <v>&lt;0</v>
          </cell>
          <cell r="N132" t="str">
            <v/>
          </cell>
          <cell r="X132" t="str">
            <v/>
          </cell>
          <cell r="AA132" t="str">
            <v/>
          </cell>
          <cell r="AF132" t="str">
            <v/>
          </cell>
          <cell r="AJ132" t="str">
            <v/>
          </cell>
          <cell r="AM132" t="str">
            <v/>
          </cell>
          <cell r="AN132" t="str">
            <v/>
          </cell>
          <cell r="BG132" t="str">
            <v/>
          </cell>
          <cell r="BK132" t="str">
            <v/>
          </cell>
          <cell r="BL132" t="str">
            <v/>
          </cell>
          <cell r="BO132" t="e">
            <v>#VALUE!</v>
          </cell>
          <cell r="BP132" t="str">
            <v>&lt;0</v>
          </cell>
          <cell r="BQ132">
            <v>0</v>
          </cell>
          <cell r="BU132" t="str">
            <v/>
          </cell>
          <cell r="BW132">
            <v>0</v>
          </cell>
          <cell r="BX132">
            <v>0</v>
          </cell>
          <cell r="BY132">
            <v>0</v>
          </cell>
          <cell r="BZ132">
            <v>0</v>
          </cell>
          <cell r="CA132">
            <v>0</v>
          </cell>
          <cell r="CB132">
            <v>0</v>
          </cell>
        </row>
        <row r="133">
          <cell r="K133" t="str">
            <v/>
          </cell>
          <cell r="N133" t="str">
            <v/>
          </cell>
          <cell r="X133" t="str">
            <v/>
          </cell>
          <cell r="AA133" t="str">
            <v/>
          </cell>
          <cell r="AF133" t="str">
            <v/>
          </cell>
          <cell r="AJ133" t="str">
            <v/>
          </cell>
          <cell r="AM133" t="str">
            <v/>
          </cell>
          <cell r="AN133" t="str">
            <v/>
          </cell>
          <cell r="BG133" t="str">
            <v/>
          </cell>
          <cell r="BK133" t="str">
            <v/>
          </cell>
          <cell r="BL133" t="str">
            <v/>
          </cell>
          <cell r="BP133" t="str">
            <v/>
          </cell>
          <cell r="BQ133" t="str">
            <v/>
          </cell>
          <cell r="BU133" t="str">
            <v/>
          </cell>
        </row>
        <row r="134">
          <cell r="A134">
            <v>33854</v>
          </cell>
          <cell r="D134" t="str">
            <v>92M63</v>
          </cell>
          <cell r="E134" t="str">
            <v>92-A</v>
          </cell>
          <cell r="F134" t="str">
            <v>I</v>
          </cell>
          <cell r="G134" t="str">
            <v>0/12</v>
          </cell>
          <cell r="H134">
            <v>8</v>
          </cell>
          <cell r="I134">
            <v>0</v>
          </cell>
          <cell r="J134">
            <v>0</v>
          </cell>
          <cell r="K134" t="str">
            <v/>
          </cell>
          <cell r="M134">
            <v>8</v>
          </cell>
          <cell r="N134" t="str">
            <v/>
          </cell>
          <cell r="X134" t="str">
            <v/>
          </cell>
          <cell r="AA134" t="str">
            <v/>
          </cell>
          <cell r="AF134" t="str">
            <v/>
          </cell>
          <cell r="AJ134" t="str">
            <v/>
          </cell>
          <cell r="AM134" t="str">
            <v/>
          </cell>
          <cell r="AN134" t="str">
            <v/>
          </cell>
          <cell r="BG134" t="str">
            <v/>
          </cell>
          <cell r="BK134" t="str">
            <v/>
          </cell>
          <cell r="BL134" t="str">
            <v/>
          </cell>
          <cell r="BO134" t="e">
            <v>#VALUE!</v>
          </cell>
          <cell r="BP134">
            <v>8</v>
          </cell>
          <cell r="BQ134">
            <v>8</v>
          </cell>
          <cell r="BU134" t="str">
            <v/>
          </cell>
          <cell r="BW134">
            <v>0</v>
          </cell>
          <cell r="BX134">
            <v>0</v>
          </cell>
          <cell r="BY134">
            <v>0</v>
          </cell>
          <cell r="BZ134">
            <v>0</v>
          </cell>
          <cell r="CA134">
            <v>0</v>
          </cell>
          <cell r="CB134">
            <v>0</v>
          </cell>
          <cell r="CC134" t="str">
            <v>This -2.93 agrees with B(I) for stk 91-A makes bn=-7.25</v>
          </cell>
        </row>
        <row r="135">
          <cell r="D135" t="str">
            <v>bn 1992</v>
          </cell>
          <cell r="M135">
            <v>7.94</v>
          </cell>
          <cell r="BO135" t="e">
            <v>#VALUE!</v>
          </cell>
          <cell r="BP135">
            <v>7.94</v>
          </cell>
          <cell r="BQ135">
            <v>7.94</v>
          </cell>
          <cell r="BU135" t="str">
            <v/>
          </cell>
          <cell r="BW135">
            <v>0</v>
          </cell>
          <cell r="BX135">
            <v>0</v>
          </cell>
          <cell r="BY135">
            <v>0</v>
          </cell>
          <cell r="BZ135">
            <v>0</v>
          </cell>
          <cell r="CA135">
            <v>0</v>
          </cell>
          <cell r="CB135">
            <v>0</v>
          </cell>
        </row>
        <row r="136">
          <cell r="D136" t="str">
            <v>1992 HY end</v>
          </cell>
        </row>
        <row r="137">
          <cell r="A137">
            <v>34105</v>
          </cell>
          <cell r="D137" t="str">
            <v>92M17</v>
          </cell>
          <cell r="E137" t="str">
            <v>92-A</v>
          </cell>
          <cell r="F137" t="str">
            <v>S</v>
          </cell>
          <cell r="I137">
            <v>4.57</v>
          </cell>
          <cell r="J137">
            <v>4.51</v>
          </cell>
          <cell r="K137">
            <v>6.0000000000000497E-2</v>
          </cell>
          <cell r="M137">
            <v>4.51</v>
          </cell>
          <cell r="N137" t="str">
            <v/>
          </cell>
          <cell r="U137">
            <v>-3.4300000000000006</v>
          </cell>
          <cell r="V137">
            <v>1</v>
          </cell>
          <cell r="X137" t="e">
            <v>#VALUE!</v>
          </cell>
          <cell r="AA137">
            <v>1</v>
          </cell>
          <cell r="AE137">
            <v>0.39</v>
          </cell>
          <cell r="AF137">
            <v>0.39</v>
          </cell>
          <cell r="AI137">
            <v>-1</v>
          </cell>
          <cell r="AJ137" t="str">
            <v/>
          </cell>
          <cell r="AM137" t="e">
            <v>#VALUE!</v>
          </cell>
          <cell r="AN137" t="e">
            <v>#VALUE!</v>
          </cell>
          <cell r="BG137" t="str">
            <v/>
          </cell>
          <cell r="BK137" t="str">
            <v/>
          </cell>
          <cell r="BL137" t="str">
            <v/>
          </cell>
          <cell r="BO137" t="e">
            <v>#VALUE!</v>
          </cell>
          <cell r="BP137" t="e">
            <v>#VALUE!</v>
          </cell>
          <cell r="BQ137" t="e">
            <v>#VALUE!</v>
          </cell>
          <cell r="BU137" t="e">
            <v>#VALUE!</v>
          </cell>
          <cell r="BW137">
            <v>0</v>
          </cell>
          <cell r="BX137">
            <v>0</v>
          </cell>
          <cell r="BY137">
            <v>0</v>
          </cell>
          <cell r="BZ137">
            <v>0</v>
          </cell>
          <cell r="CA137" t="e">
            <v>#VALUE!</v>
          </cell>
          <cell r="CB137">
            <v>0</v>
          </cell>
        </row>
        <row r="138">
          <cell r="A138">
            <v>34222</v>
          </cell>
          <cell r="D138" t="str">
            <v>93M32,34,37</v>
          </cell>
          <cell r="E138" t="str">
            <v>92-A</v>
          </cell>
          <cell r="F138" t="str">
            <v>I</v>
          </cell>
          <cell r="G138" t="str">
            <v>12/8</v>
          </cell>
          <cell r="H138">
            <v>3.7</v>
          </cell>
          <cell r="I138">
            <v>6.83</v>
          </cell>
          <cell r="J138">
            <v>6.53</v>
          </cell>
          <cell r="K138">
            <v>0.29999999999999982</v>
          </cell>
          <cell r="M138">
            <v>3.4000000000000004</v>
          </cell>
          <cell r="N138" t="str">
            <v/>
          </cell>
          <cell r="X138" t="str">
            <v/>
          </cell>
          <cell r="AA138" t="str">
            <v/>
          </cell>
          <cell r="AF138" t="str">
            <v/>
          </cell>
          <cell r="AJ138" t="str">
            <v/>
          </cell>
          <cell r="AM138" t="str">
            <v/>
          </cell>
          <cell r="AN138" t="str">
            <v/>
          </cell>
          <cell r="BG138" t="str">
            <v/>
          </cell>
          <cell r="BK138" t="str">
            <v/>
          </cell>
          <cell r="BL138" t="str">
            <v/>
          </cell>
          <cell r="BO138" t="e">
            <v>#VALUE!</v>
          </cell>
          <cell r="BP138">
            <v>3.4000000000000004</v>
          </cell>
          <cell r="BQ138">
            <v>3.4000000000000004</v>
          </cell>
          <cell r="BU138" t="str">
            <v/>
          </cell>
          <cell r="BW138">
            <v>0</v>
          </cell>
          <cell r="BX138">
            <v>0</v>
          </cell>
          <cell r="BY138">
            <v>0</v>
          </cell>
          <cell r="BZ138">
            <v>0</v>
          </cell>
          <cell r="CA138">
            <v>0</v>
          </cell>
          <cell r="CB138">
            <v>0</v>
          </cell>
        </row>
        <row r="139">
          <cell r="A139">
            <v>34225</v>
          </cell>
          <cell r="D139" t="str">
            <v>93M37</v>
          </cell>
          <cell r="E139" t="str">
            <v>92-A</v>
          </cell>
          <cell r="F139" t="str">
            <v>I</v>
          </cell>
          <cell r="G139" t="str">
            <v>8/8</v>
          </cell>
          <cell r="H139">
            <v>3.4</v>
          </cell>
          <cell r="K139" t="str">
            <v/>
          </cell>
          <cell r="M139">
            <v>3.4</v>
          </cell>
          <cell r="N139" t="str">
            <v/>
          </cell>
          <cell r="X139" t="str">
            <v/>
          </cell>
          <cell r="AA139" t="str">
            <v/>
          </cell>
          <cell r="AF139" t="str">
            <v/>
          </cell>
          <cell r="AJ139" t="str">
            <v/>
          </cell>
          <cell r="AM139" t="str">
            <v/>
          </cell>
          <cell r="AN139" t="str">
            <v/>
          </cell>
          <cell r="BG139" t="str">
            <v/>
          </cell>
          <cell r="BK139" t="str">
            <v/>
          </cell>
          <cell r="BL139" t="str">
            <v/>
          </cell>
          <cell r="BO139" t="e">
            <v>#VALUE!</v>
          </cell>
          <cell r="BP139">
            <v>3.4</v>
          </cell>
          <cell r="BQ139">
            <v>3.4</v>
          </cell>
          <cell r="BU139" t="str">
            <v/>
          </cell>
          <cell r="BW139">
            <v>0</v>
          </cell>
          <cell r="BX139">
            <v>0</v>
          </cell>
          <cell r="BY139">
            <v>0</v>
          </cell>
          <cell r="BZ139">
            <v>0</v>
          </cell>
          <cell r="CA139">
            <v>0</v>
          </cell>
          <cell r="CB139">
            <v>0</v>
          </cell>
        </row>
        <row r="140">
          <cell r="D140" t="str">
            <v>bn 1993</v>
          </cell>
          <cell r="F140" t="str">
            <v>I</v>
          </cell>
          <cell r="M140" t="e">
            <v>#VALUE!</v>
          </cell>
          <cell r="N140" t="str">
            <v/>
          </cell>
          <cell r="BO140" t="e">
            <v>#VALUE!</v>
          </cell>
          <cell r="BP140" t="e">
            <v>#VALUE!</v>
          </cell>
          <cell r="BQ140" t="e">
            <v>#VALUE!</v>
          </cell>
          <cell r="BU140" t="str">
            <v/>
          </cell>
          <cell r="BW140">
            <v>0</v>
          </cell>
          <cell r="BX140">
            <v>0</v>
          </cell>
          <cell r="BY140">
            <v>0</v>
          </cell>
          <cell r="BZ140">
            <v>0</v>
          </cell>
          <cell r="CA140">
            <v>0</v>
          </cell>
          <cell r="CB140">
            <v>0</v>
          </cell>
        </row>
        <row r="141">
          <cell r="D141" t="str">
            <v>1993 HY end</v>
          </cell>
        </row>
        <row r="142">
          <cell r="A142">
            <v>34370</v>
          </cell>
          <cell r="D142" t="str">
            <v>94M4</v>
          </cell>
          <cell r="E142" t="str">
            <v>92-A</v>
          </cell>
          <cell r="F142" t="str">
            <v>S</v>
          </cell>
          <cell r="I142">
            <v>4.3600000000000003</v>
          </cell>
          <cell r="J142">
            <v>3.95</v>
          </cell>
          <cell r="K142">
            <v>0.41000000000000014</v>
          </cell>
          <cell r="M142">
            <v>3.95</v>
          </cell>
          <cell r="N142" t="str">
            <v/>
          </cell>
          <cell r="X142" t="str">
            <v/>
          </cell>
          <cell r="AA142" t="str">
            <v/>
          </cell>
          <cell r="AE142">
            <v>0.38</v>
          </cell>
          <cell r="AF142" t="str">
            <v/>
          </cell>
          <cell r="AI142">
            <v>-1</v>
          </cell>
          <cell r="AJ142" t="str">
            <v/>
          </cell>
          <cell r="AM142" t="e">
            <v>#VALUE!</v>
          </cell>
          <cell r="AN142" t="e">
            <v>#VALUE!</v>
          </cell>
          <cell r="BG142" t="str">
            <v/>
          </cell>
          <cell r="BK142" t="str">
            <v/>
          </cell>
          <cell r="BL142" t="str">
            <v/>
          </cell>
          <cell r="BO142" t="e">
            <v>#VALUE!</v>
          </cell>
          <cell r="BP142" t="e">
            <v>#VALUE!</v>
          </cell>
          <cell r="BQ142" t="e">
            <v>#VALUE!</v>
          </cell>
          <cell r="BU142" t="e">
            <v>#VALUE!</v>
          </cell>
          <cell r="BW142">
            <v>0</v>
          </cell>
          <cell r="BX142">
            <v>0</v>
          </cell>
          <cell r="BY142">
            <v>0</v>
          </cell>
          <cell r="BZ142">
            <v>0</v>
          </cell>
          <cell r="CA142" t="e">
            <v>#VALUE!</v>
          </cell>
          <cell r="CB142">
            <v>0</v>
          </cell>
        </row>
        <row r="143">
          <cell r="A143">
            <v>34469</v>
          </cell>
          <cell r="D143" t="str">
            <v>94M14,16</v>
          </cell>
          <cell r="E143" t="str">
            <v>92-A</v>
          </cell>
          <cell r="F143" t="str">
            <v>S</v>
          </cell>
          <cell r="G143" t="str">
            <v>8/6?</v>
          </cell>
          <cell r="H143">
            <v>4.55</v>
          </cell>
          <cell r="I143">
            <v>0</v>
          </cell>
          <cell r="J143">
            <v>0</v>
          </cell>
          <cell r="K143" t="str">
            <v/>
          </cell>
          <cell r="M143">
            <v>4.55</v>
          </cell>
          <cell r="N143" t="str">
            <v/>
          </cell>
          <cell r="U143">
            <v>1.8199999999999998</v>
          </cell>
          <cell r="V143">
            <v>5</v>
          </cell>
          <cell r="X143" t="e">
            <v>#VALUE!</v>
          </cell>
          <cell r="AA143">
            <v>5</v>
          </cell>
          <cell r="AE143">
            <v>0.39</v>
          </cell>
          <cell r="AF143">
            <v>0.39</v>
          </cell>
          <cell r="AI143">
            <v>-1</v>
          </cell>
          <cell r="AJ143" t="str">
            <v/>
          </cell>
          <cell r="AM143" t="e">
            <v>#VALUE!</v>
          </cell>
          <cell r="AN143" t="e">
            <v>#VALUE!</v>
          </cell>
          <cell r="BG143" t="str">
            <v/>
          </cell>
          <cell r="BK143" t="str">
            <v/>
          </cell>
          <cell r="BL143" t="str">
            <v/>
          </cell>
          <cell r="BO143" t="e">
            <v>#VALUE!</v>
          </cell>
          <cell r="BP143" t="e">
            <v>#VALUE!</v>
          </cell>
          <cell r="BQ143" t="e">
            <v>#VALUE!</v>
          </cell>
          <cell r="BU143" t="e">
            <v>#VALUE!</v>
          </cell>
          <cell r="BW143">
            <v>0</v>
          </cell>
          <cell r="BX143">
            <v>0</v>
          </cell>
          <cell r="BY143">
            <v>0</v>
          </cell>
          <cell r="BZ143">
            <v>0</v>
          </cell>
          <cell r="CA143" t="e">
            <v>#VALUE!</v>
          </cell>
          <cell r="CB143">
            <v>0</v>
          </cell>
        </row>
        <row r="144">
          <cell r="K144" t="str">
            <v/>
          </cell>
          <cell r="N144" t="str">
            <v/>
          </cell>
          <cell r="X144" t="str">
            <v/>
          </cell>
          <cell r="AA144" t="str">
            <v/>
          </cell>
          <cell r="AF144" t="str">
            <v/>
          </cell>
          <cell r="AJ144" t="str">
            <v/>
          </cell>
          <cell r="AM144" t="str">
            <v/>
          </cell>
          <cell r="AN144" t="str">
            <v/>
          </cell>
          <cell r="BG144" t="str">
            <v/>
          </cell>
          <cell r="BK144" t="str">
            <v/>
          </cell>
          <cell r="BL144" t="str">
            <v/>
          </cell>
          <cell r="BP144" t="str">
            <v/>
          </cell>
          <cell r="BQ144" t="str">
            <v/>
          </cell>
          <cell r="BU144" t="str">
            <v/>
          </cell>
        </row>
        <row r="145">
          <cell r="A145">
            <v>34225</v>
          </cell>
          <cell r="D145" t="str">
            <v>93M37</v>
          </cell>
          <cell r="E145" t="str">
            <v>93-A</v>
          </cell>
          <cell r="F145" t="str">
            <v>I</v>
          </cell>
          <cell r="G145" t="str">
            <v>0/12</v>
          </cell>
          <cell r="H145">
            <v>9.1300000000000008</v>
          </cell>
          <cell r="I145">
            <v>6.83</v>
          </cell>
          <cell r="J145">
            <v>2.2599999999999998</v>
          </cell>
          <cell r="K145">
            <v>4.57</v>
          </cell>
          <cell r="M145">
            <v>4.5600000000000005</v>
          </cell>
          <cell r="N145" t="str">
            <v/>
          </cell>
          <cell r="X145" t="str">
            <v/>
          </cell>
          <cell r="AA145" t="str">
            <v/>
          </cell>
          <cell r="AF145" t="str">
            <v/>
          </cell>
          <cell r="AJ145" t="str">
            <v/>
          </cell>
          <cell r="AM145" t="str">
            <v/>
          </cell>
          <cell r="AN145" t="str">
            <v/>
          </cell>
          <cell r="BG145" t="str">
            <v/>
          </cell>
          <cell r="BK145" t="str">
            <v/>
          </cell>
          <cell r="BL145" t="str">
            <v/>
          </cell>
          <cell r="BP145">
            <v>4.5600000000000005</v>
          </cell>
          <cell r="BQ145">
            <v>4.5600000000000005</v>
          </cell>
          <cell r="BU145" t="str">
            <v/>
          </cell>
          <cell r="BW145">
            <v>0</v>
          </cell>
          <cell r="BX145">
            <v>0</v>
          </cell>
          <cell r="BY145">
            <v>0</v>
          </cell>
          <cell r="BZ145">
            <v>0</v>
          </cell>
          <cell r="CA145">
            <v>0</v>
          </cell>
          <cell r="CB145">
            <v>0</v>
          </cell>
        </row>
        <row r="146">
          <cell r="D146" t="str">
            <v>bn 1993</v>
          </cell>
          <cell r="F146" t="str">
            <v>I</v>
          </cell>
          <cell r="M146">
            <v>8.8800000000000008</v>
          </cell>
          <cell r="BP146">
            <v>8.8800000000000008</v>
          </cell>
          <cell r="BQ146">
            <v>8.8800000000000008</v>
          </cell>
          <cell r="BU146" t="str">
            <v/>
          </cell>
          <cell r="BW146">
            <v>0</v>
          </cell>
          <cell r="BX146">
            <v>0</v>
          </cell>
          <cell r="BY146">
            <v>0</v>
          </cell>
          <cell r="BZ146">
            <v>0</v>
          </cell>
          <cell r="CA146">
            <v>0</v>
          </cell>
          <cell r="CB146">
            <v>0</v>
          </cell>
        </row>
        <row r="147">
          <cell r="D147" t="str">
            <v>1993 HY end</v>
          </cell>
        </row>
        <row r="148">
          <cell r="A148">
            <v>34370</v>
          </cell>
          <cell r="D148" t="str">
            <v>94M4</v>
          </cell>
          <cell r="E148" t="str">
            <v>93-A</v>
          </cell>
          <cell r="F148" t="str">
            <v>S</v>
          </cell>
          <cell r="I148" t="str">
            <v>not observed or surveyed</v>
          </cell>
          <cell r="N148" t="str">
            <v/>
          </cell>
          <cell r="X148" t="str">
            <v/>
          </cell>
          <cell r="AA148" t="str">
            <v/>
          </cell>
          <cell r="AF148" t="str">
            <v/>
          </cell>
          <cell r="AI148">
            <v>-1</v>
          </cell>
          <cell r="AJ148" t="str">
            <v/>
          </cell>
          <cell r="AM148" t="str">
            <v/>
          </cell>
          <cell r="AN148" t="str">
            <v/>
          </cell>
          <cell r="BG148" t="str">
            <v/>
          </cell>
          <cell r="BK148" t="str">
            <v/>
          </cell>
          <cell r="BL148" t="str">
            <v/>
          </cell>
          <cell r="BU148" t="e">
            <v>#VALUE!</v>
          </cell>
          <cell r="BW148">
            <v>0</v>
          </cell>
          <cell r="BX148">
            <v>0</v>
          </cell>
          <cell r="BY148">
            <v>0</v>
          </cell>
          <cell r="BZ148">
            <v>0</v>
          </cell>
          <cell r="CA148" t="e">
            <v>#VALUE!</v>
          </cell>
          <cell r="CB148">
            <v>0</v>
          </cell>
        </row>
        <row r="149">
          <cell r="A149">
            <v>34468</v>
          </cell>
          <cell r="D149" t="str">
            <v>94M14,16</v>
          </cell>
          <cell r="E149" t="str">
            <v>93-A</v>
          </cell>
          <cell r="F149" t="str">
            <v>S</v>
          </cell>
          <cell r="G149" t="str">
            <v>9/9 or 12/12?</v>
          </cell>
          <cell r="H149">
            <v>10.7</v>
          </cell>
          <cell r="I149">
            <v>6.82</v>
          </cell>
          <cell r="J149">
            <v>6.82</v>
          </cell>
          <cell r="K149" t="str">
            <v/>
          </cell>
          <cell r="M149">
            <v>10.7</v>
          </cell>
          <cell r="U149">
            <v>1.8199999999999998</v>
          </cell>
          <cell r="V149">
            <v>5</v>
          </cell>
          <cell r="X149">
            <v>1.82</v>
          </cell>
          <cell r="AA149">
            <v>5</v>
          </cell>
          <cell r="AE149">
            <v>0.39</v>
          </cell>
          <cell r="AF149">
            <v>0.39</v>
          </cell>
          <cell r="AI149">
            <v>-1</v>
          </cell>
          <cell r="AJ149">
            <v>-1</v>
          </cell>
          <cell r="AM149">
            <v>8.8800000000000008</v>
          </cell>
          <cell r="AN149">
            <v>8.8800000000000008</v>
          </cell>
          <cell r="BG149" t="str">
            <v/>
          </cell>
          <cell r="BK149" t="str">
            <v/>
          </cell>
          <cell r="BL149" t="str">
            <v/>
          </cell>
          <cell r="BO149">
            <v>8.8800000000000008</v>
          </cell>
          <cell r="BP149">
            <v>8.8800000000000008</v>
          </cell>
          <cell r="BQ149">
            <v>8.8800000000000008</v>
          </cell>
          <cell r="BU149">
            <v>0.71</v>
          </cell>
          <cell r="BW149">
            <v>0</v>
          </cell>
          <cell r="BX149">
            <v>0</v>
          </cell>
          <cell r="BY149">
            <v>0</v>
          </cell>
          <cell r="BZ149">
            <v>0</v>
          </cell>
          <cell r="CA149">
            <v>0.71</v>
          </cell>
          <cell r="CB149">
            <v>0</v>
          </cell>
        </row>
        <row r="150">
          <cell r="A150">
            <v>34586</v>
          </cell>
          <cell r="D150" t="str">
            <v>94M27</v>
          </cell>
          <cell r="E150" t="str">
            <v>93-A</v>
          </cell>
          <cell r="F150" t="str">
            <v>I</v>
          </cell>
          <cell r="I150">
            <v>6.83</v>
          </cell>
          <cell r="J150">
            <v>2.2599999999999998</v>
          </cell>
          <cell r="K150">
            <v>4.57</v>
          </cell>
          <cell r="M150">
            <v>2.2599999999999998</v>
          </cell>
          <cell r="N150" t="str">
            <v/>
          </cell>
          <cell r="X150" t="str">
            <v/>
          </cell>
          <cell r="AA150" t="str">
            <v/>
          </cell>
          <cell r="AF150" t="str">
            <v/>
          </cell>
          <cell r="AJ150" t="str">
            <v/>
          </cell>
          <cell r="AM150" t="str">
            <v/>
          </cell>
          <cell r="AN150" t="str">
            <v/>
          </cell>
          <cell r="BG150" t="str">
            <v/>
          </cell>
          <cell r="BK150" t="str">
            <v/>
          </cell>
          <cell r="BL150" t="str">
            <v/>
          </cell>
          <cell r="BO150">
            <v>8.8800000000000008</v>
          </cell>
          <cell r="BP150">
            <v>2.2599999999999998</v>
          </cell>
          <cell r="BQ150">
            <v>2.2599999999999998</v>
          </cell>
          <cell r="BU150" t="str">
            <v/>
          </cell>
          <cell r="BW150">
            <v>0</v>
          </cell>
          <cell r="BX150">
            <v>0</v>
          </cell>
          <cell r="BY150">
            <v>0</v>
          </cell>
          <cell r="BZ150">
            <v>-5.96</v>
          </cell>
          <cell r="CA150">
            <v>-5.96</v>
          </cell>
          <cell r="CB150">
            <v>-5.96</v>
          </cell>
        </row>
        <row r="151">
          <cell r="D151" t="str">
            <v>bn 1994</v>
          </cell>
          <cell r="F151" t="str">
            <v>I</v>
          </cell>
          <cell r="M151">
            <v>0.77333333333333343</v>
          </cell>
          <cell r="BO151">
            <v>7.49</v>
          </cell>
          <cell r="BP151">
            <v>0.77333333333333343</v>
          </cell>
          <cell r="BQ151">
            <v>0.77333333333333343</v>
          </cell>
          <cell r="BU151" t="str">
            <v/>
          </cell>
          <cell r="BW151">
            <v>0</v>
          </cell>
          <cell r="BX151">
            <v>0</v>
          </cell>
          <cell r="BY151">
            <v>0</v>
          </cell>
          <cell r="BZ151">
            <v>-6.05</v>
          </cell>
          <cell r="CA151">
            <v>-6.05</v>
          </cell>
          <cell r="CB151">
            <v>-6.05</v>
          </cell>
        </row>
        <row r="152">
          <cell r="D152" t="str">
            <v>1994 HY end</v>
          </cell>
        </row>
        <row r="153">
          <cell r="A153">
            <v>34730</v>
          </cell>
          <cell r="D153" t="str">
            <v>95M3</v>
          </cell>
          <cell r="E153" t="str">
            <v>93-A</v>
          </cell>
          <cell r="F153" t="str">
            <v>S</v>
          </cell>
          <cell r="I153">
            <v>6.82</v>
          </cell>
          <cell r="J153">
            <v>6.82</v>
          </cell>
          <cell r="K153" t="str">
            <v/>
          </cell>
          <cell r="M153">
            <v>6.82</v>
          </cell>
          <cell r="N153">
            <v>3.33</v>
          </cell>
          <cell r="U153">
            <v>1.32</v>
          </cell>
          <cell r="V153">
            <v>1</v>
          </cell>
          <cell r="X153">
            <v>2.33</v>
          </cell>
          <cell r="AA153">
            <v>2</v>
          </cell>
          <cell r="AE153">
            <v>0.38</v>
          </cell>
          <cell r="AF153">
            <v>0.38</v>
          </cell>
          <cell r="AI153">
            <v>-1</v>
          </cell>
          <cell r="AJ153">
            <v>-1</v>
          </cell>
          <cell r="AM153">
            <v>4.49</v>
          </cell>
          <cell r="AN153">
            <v>4.49</v>
          </cell>
          <cell r="BG153" t="str">
            <v/>
          </cell>
          <cell r="BK153" t="str">
            <v/>
          </cell>
          <cell r="BL153" t="str">
            <v/>
          </cell>
          <cell r="BO153">
            <v>3.49</v>
          </cell>
          <cell r="BP153">
            <v>4.49</v>
          </cell>
          <cell r="BQ153">
            <v>4.49</v>
          </cell>
          <cell r="BU153">
            <v>0.89</v>
          </cell>
          <cell r="BW153">
            <v>0</v>
          </cell>
          <cell r="BX153">
            <v>0</v>
          </cell>
          <cell r="BY153">
            <v>0</v>
          </cell>
          <cell r="BZ153">
            <v>0.9</v>
          </cell>
          <cell r="CA153">
            <v>1.79</v>
          </cell>
          <cell r="CB153">
            <v>0.9</v>
          </cell>
        </row>
        <row r="154">
          <cell r="A154">
            <v>34833</v>
          </cell>
          <cell r="D154" t="str">
            <v>95M9,12</v>
          </cell>
          <cell r="E154" t="str">
            <v>93-A</v>
          </cell>
          <cell r="F154" t="str">
            <v>S</v>
          </cell>
          <cell r="I154">
            <v>1.5</v>
          </cell>
          <cell r="J154">
            <v>1.29</v>
          </cell>
          <cell r="K154">
            <v>0.20999999999999996</v>
          </cell>
          <cell r="M154">
            <v>1.29</v>
          </cell>
          <cell r="N154">
            <v>-2.2000000000000002</v>
          </cell>
          <cell r="U154">
            <v>1.952</v>
          </cell>
          <cell r="V154">
            <v>5</v>
          </cell>
          <cell r="X154">
            <v>1.26</v>
          </cell>
          <cell r="AA154">
            <v>6</v>
          </cell>
          <cell r="AE154">
            <v>0.4</v>
          </cell>
          <cell r="AF154">
            <v>0.4</v>
          </cell>
          <cell r="AJ154" t="e">
            <v>#DIV/0!</v>
          </cell>
          <cell r="AM154">
            <v>0.03</v>
          </cell>
          <cell r="AN154">
            <v>0.03</v>
          </cell>
          <cell r="BG154" t="str">
            <v/>
          </cell>
          <cell r="BK154" t="str">
            <v/>
          </cell>
          <cell r="BL154" t="str">
            <v/>
          </cell>
          <cell r="BO154">
            <v>3.49</v>
          </cell>
          <cell r="BP154">
            <v>0.03</v>
          </cell>
          <cell r="BQ154">
            <v>0.03</v>
          </cell>
          <cell r="BU154">
            <v>0.5</v>
          </cell>
          <cell r="BW154">
            <v>0</v>
          </cell>
          <cell r="BX154">
            <v>0</v>
          </cell>
          <cell r="BY154">
            <v>0</v>
          </cell>
          <cell r="BZ154">
            <v>-3.11</v>
          </cell>
          <cell r="CA154">
            <v>-2.61</v>
          </cell>
          <cell r="CB154">
            <v>-3.11</v>
          </cell>
        </row>
        <row r="155">
          <cell r="A155">
            <v>34957</v>
          </cell>
          <cell r="D155" t="str">
            <v>95M31</v>
          </cell>
          <cell r="E155" t="str">
            <v>93-A</v>
          </cell>
          <cell r="F155" t="str">
            <v>I</v>
          </cell>
          <cell r="G155" t="str">
            <v>6/0</v>
          </cell>
          <cell r="H155">
            <v>0.71</v>
          </cell>
          <cell r="K155" t="str">
            <v/>
          </cell>
          <cell r="M155">
            <v>0.71</v>
          </cell>
          <cell r="N155" t="str">
            <v/>
          </cell>
          <cell r="X155" t="str">
            <v/>
          </cell>
          <cell r="AA155" t="str">
            <v/>
          </cell>
          <cell r="AF155" t="str">
            <v/>
          </cell>
          <cell r="AJ155" t="str">
            <v/>
          </cell>
          <cell r="AM155" t="str">
            <v/>
          </cell>
          <cell r="AN155" t="str">
            <v/>
          </cell>
          <cell r="BG155" t="str">
            <v/>
          </cell>
          <cell r="BK155" t="str">
            <v/>
          </cell>
          <cell r="BL155" t="str">
            <v/>
          </cell>
          <cell r="BO155">
            <v>3.49</v>
          </cell>
          <cell r="BP155">
            <v>0.71</v>
          </cell>
          <cell r="BQ155">
            <v>0.71</v>
          </cell>
          <cell r="BU155" t="str">
            <v/>
          </cell>
          <cell r="BW155">
            <v>0</v>
          </cell>
          <cell r="BX155">
            <v>0</v>
          </cell>
          <cell r="BY155">
            <v>0</v>
          </cell>
          <cell r="BZ155">
            <v>-2.5</v>
          </cell>
          <cell r="CA155">
            <v>-2.5</v>
          </cell>
          <cell r="CB155">
            <v>-2.5</v>
          </cell>
        </row>
        <row r="156">
          <cell r="D156" t="str">
            <v>bn 1995</v>
          </cell>
        </row>
        <row r="157">
          <cell r="D157" t="str">
            <v>1995 HY end</v>
          </cell>
        </row>
        <row r="158">
          <cell r="K158" t="str">
            <v/>
          </cell>
          <cell r="N158" t="str">
            <v/>
          </cell>
          <cell r="X158" t="str">
            <v/>
          </cell>
          <cell r="AA158" t="str">
            <v/>
          </cell>
          <cell r="AF158" t="str">
            <v/>
          </cell>
          <cell r="AJ158" t="str">
            <v/>
          </cell>
          <cell r="AM158" t="str">
            <v/>
          </cell>
          <cell r="AN158" t="str">
            <v/>
          </cell>
          <cell r="BG158" t="str">
            <v/>
          </cell>
          <cell r="BK158" t="str">
            <v/>
          </cell>
          <cell r="BL158" t="str">
            <v/>
          </cell>
          <cell r="BP158" t="str">
            <v/>
          </cell>
          <cell r="BQ158" t="str">
            <v/>
          </cell>
          <cell r="BU158" t="str">
            <v/>
          </cell>
        </row>
        <row r="159">
          <cell r="A159">
            <v>34584</v>
          </cell>
          <cell r="D159" t="str">
            <v>94M25</v>
          </cell>
          <cell r="E159" t="str">
            <v>94-A</v>
          </cell>
          <cell r="F159" t="str">
            <v>I</v>
          </cell>
          <cell r="K159" t="str">
            <v/>
          </cell>
          <cell r="M159" t="str">
            <v/>
          </cell>
          <cell r="N159" t="str">
            <v/>
          </cell>
          <cell r="X159" t="str">
            <v/>
          </cell>
          <cell r="AA159" t="str">
            <v/>
          </cell>
          <cell r="AF159" t="str">
            <v/>
          </cell>
          <cell r="AJ159" t="str">
            <v/>
          </cell>
          <cell r="AM159" t="str">
            <v/>
          </cell>
          <cell r="AN159" t="str">
            <v/>
          </cell>
          <cell r="BG159" t="str">
            <v/>
          </cell>
          <cell r="BK159" t="str">
            <v/>
          </cell>
          <cell r="BL159" t="str">
            <v/>
          </cell>
          <cell r="BP159" t="str">
            <v/>
          </cell>
          <cell r="BQ159" t="str">
            <v/>
          </cell>
          <cell r="BU159" t="str">
            <v/>
          </cell>
          <cell r="BW159">
            <v>0</v>
          </cell>
          <cell r="BX159">
            <v>0</v>
          </cell>
          <cell r="BY159">
            <v>0</v>
          </cell>
          <cell r="BZ159">
            <v>0</v>
          </cell>
          <cell r="CA159">
            <v>0</v>
          </cell>
          <cell r="CB159">
            <v>0</v>
          </cell>
        </row>
        <row r="160">
          <cell r="A160">
            <v>34586</v>
          </cell>
          <cell r="D160" t="str">
            <v>94M27</v>
          </cell>
          <cell r="E160" t="str">
            <v>94-A</v>
          </cell>
          <cell r="F160" t="str">
            <v>I</v>
          </cell>
          <cell r="I160">
            <v>3.15</v>
          </cell>
          <cell r="J160">
            <v>3.17</v>
          </cell>
          <cell r="K160">
            <v>-2.0000000000000018E-2</v>
          </cell>
          <cell r="M160">
            <v>3.17</v>
          </cell>
          <cell r="N160" t="str">
            <v/>
          </cell>
          <cell r="X160" t="str">
            <v/>
          </cell>
          <cell r="AA160" t="str">
            <v/>
          </cell>
          <cell r="AF160" t="str">
            <v/>
          </cell>
          <cell r="AJ160" t="str">
            <v/>
          </cell>
          <cell r="AM160" t="str">
            <v/>
          </cell>
          <cell r="AN160" t="str">
            <v/>
          </cell>
          <cell r="BG160" t="str">
            <v/>
          </cell>
          <cell r="BK160" t="str">
            <v/>
          </cell>
          <cell r="BL160" t="str">
            <v/>
          </cell>
          <cell r="BO160">
            <v>15.58</v>
          </cell>
          <cell r="BP160">
            <v>3.17</v>
          </cell>
          <cell r="BQ160">
            <v>3.17</v>
          </cell>
          <cell r="BU160" t="str">
            <v/>
          </cell>
          <cell r="BW160">
            <v>0</v>
          </cell>
          <cell r="BX160">
            <v>0</v>
          </cell>
          <cell r="BY160">
            <v>0</v>
          </cell>
          <cell r="BZ160">
            <v>-11.17</v>
          </cell>
          <cell r="CA160">
            <v>-11.17</v>
          </cell>
          <cell r="CB160">
            <v>-11.17</v>
          </cell>
        </row>
        <row r="161">
          <cell r="D161" t="str">
            <v>bn 1994</v>
          </cell>
          <cell r="F161" t="str">
            <v>I</v>
          </cell>
          <cell r="M161" t="e">
            <v>#VALUE!</v>
          </cell>
          <cell r="BP161" t="e">
            <v>#VALUE!</v>
          </cell>
          <cell r="BQ161" t="e">
            <v>#VALUE!</v>
          </cell>
          <cell r="BU161" t="str">
            <v/>
          </cell>
          <cell r="BW161">
            <v>0</v>
          </cell>
          <cell r="BX161">
            <v>0</v>
          </cell>
          <cell r="BY161">
            <v>0</v>
          </cell>
          <cell r="BZ161">
            <v>0</v>
          </cell>
          <cell r="CA161">
            <v>0</v>
          </cell>
          <cell r="CB161">
            <v>0</v>
          </cell>
        </row>
        <row r="162">
          <cell r="D162" t="str">
            <v>1994 HY end</v>
          </cell>
        </row>
        <row r="163">
          <cell r="A163">
            <v>34730</v>
          </cell>
          <cell r="D163" t="str">
            <v>95M3</v>
          </cell>
          <cell r="E163" t="str">
            <v>94-A</v>
          </cell>
          <cell r="F163" t="str">
            <v>S</v>
          </cell>
          <cell r="I163">
            <v>1.96</v>
          </cell>
          <cell r="J163">
            <v>1.98</v>
          </cell>
          <cell r="K163">
            <v>-2.0000000000000018E-2</v>
          </cell>
          <cell r="M163">
            <v>1.98</v>
          </cell>
          <cell r="N163">
            <v>-7.4599999999999991</v>
          </cell>
          <cell r="U163">
            <v>1.32</v>
          </cell>
          <cell r="V163">
            <v>1</v>
          </cell>
          <cell r="X163">
            <v>-3.07</v>
          </cell>
          <cell r="AA163">
            <v>2</v>
          </cell>
          <cell r="AE163">
            <v>0.38</v>
          </cell>
          <cell r="AF163">
            <v>0.38</v>
          </cell>
          <cell r="AI163">
            <v>-1</v>
          </cell>
          <cell r="AJ163">
            <v>-1</v>
          </cell>
          <cell r="AM163">
            <v>5.05</v>
          </cell>
          <cell r="AN163">
            <v>5.05</v>
          </cell>
          <cell r="BG163" t="str">
            <v/>
          </cell>
          <cell r="BK163" t="str">
            <v/>
          </cell>
          <cell r="BL163" t="str">
            <v/>
          </cell>
          <cell r="BO163">
            <v>9.44</v>
          </cell>
          <cell r="BP163">
            <v>5.05</v>
          </cell>
          <cell r="BQ163">
            <v>5.05</v>
          </cell>
          <cell r="BU163">
            <v>-1.17</v>
          </cell>
          <cell r="BW163">
            <v>0</v>
          </cell>
          <cell r="BX163">
            <v>0</v>
          </cell>
          <cell r="BY163">
            <v>0</v>
          </cell>
          <cell r="BZ163">
            <v>-3.95</v>
          </cell>
          <cell r="CA163">
            <v>-5.12</v>
          </cell>
          <cell r="CB163">
            <v>-3.95</v>
          </cell>
        </row>
        <row r="164">
          <cell r="A164">
            <v>34831</v>
          </cell>
          <cell r="D164" t="str">
            <v>95M9,12</v>
          </cell>
          <cell r="E164" t="str">
            <v>94-A</v>
          </cell>
          <cell r="F164" t="str">
            <v>S</v>
          </cell>
          <cell r="G164" t="str">
            <v>12/12</v>
          </cell>
          <cell r="H164">
            <v>11.43</v>
          </cell>
          <cell r="I164" t="str">
            <v>No Data</v>
          </cell>
          <cell r="J164" t="str">
            <v>No Data</v>
          </cell>
          <cell r="K164" t="e">
            <v>#VALUE!</v>
          </cell>
          <cell r="M164" t="e">
            <v>#VALUE!</v>
          </cell>
          <cell r="N164" t="e">
            <v>#VALUE!</v>
          </cell>
          <cell r="U164">
            <v>1.952</v>
          </cell>
          <cell r="V164">
            <v>5</v>
          </cell>
          <cell r="X164" t="e">
            <v>#VALUE!</v>
          </cell>
          <cell r="AA164">
            <v>5</v>
          </cell>
          <cell r="AE164">
            <v>0.4</v>
          </cell>
          <cell r="AF164">
            <v>0.4</v>
          </cell>
          <cell r="AJ164" t="str">
            <v/>
          </cell>
          <cell r="AM164" t="str">
            <v/>
          </cell>
          <cell r="AN164" t="str">
            <v/>
          </cell>
          <cell r="BG164" t="str">
            <v/>
          </cell>
          <cell r="BK164" t="str">
            <v/>
          </cell>
          <cell r="BL164" t="str">
            <v/>
          </cell>
          <cell r="BO164">
            <v>9.44</v>
          </cell>
          <cell r="BP164" t="str">
            <v/>
          </cell>
          <cell r="BQ164" t="str">
            <v/>
          </cell>
          <cell r="BU164" t="e">
            <v>#VALUE!</v>
          </cell>
          <cell r="BW164">
            <v>0</v>
          </cell>
          <cell r="BX164">
            <v>0</v>
          </cell>
          <cell r="BY164">
            <v>0</v>
          </cell>
          <cell r="BZ164" t="e">
            <v>#VALUE!</v>
          </cell>
          <cell r="CA164" t="e">
            <v>#VALUE!</v>
          </cell>
          <cell r="CB164" t="e">
            <v>#VALUE!</v>
          </cell>
        </row>
        <row r="165">
          <cell r="A165">
            <v>34956</v>
          </cell>
          <cell r="D165" t="str">
            <v>95M26</v>
          </cell>
          <cell r="E165" t="str">
            <v>94-A</v>
          </cell>
          <cell r="F165" t="str">
            <v>I</v>
          </cell>
          <cell r="G165" t="str">
            <v>6/9</v>
          </cell>
          <cell r="H165">
            <v>5.09</v>
          </cell>
          <cell r="I165">
            <v>0</v>
          </cell>
          <cell r="J165">
            <v>0</v>
          </cell>
          <cell r="K165" t="str">
            <v/>
          </cell>
          <cell r="M165">
            <v>5.09</v>
          </cell>
          <cell r="N165" t="str">
            <v/>
          </cell>
          <cell r="X165" t="str">
            <v/>
          </cell>
          <cell r="AA165" t="str">
            <v/>
          </cell>
          <cell r="AF165" t="str">
            <v/>
          </cell>
          <cell r="AJ165" t="str">
            <v/>
          </cell>
          <cell r="AM165" t="str">
            <v/>
          </cell>
          <cell r="AN165" t="str">
            <v/>
          </cell>
          <cell r="BG165" t="str">
            <v/>
          </cell>
          <cell r="BK165" t="str">
            <v/>
          </cell>
          <cell r="BL165" t="str">
            <v/>
          </cell>
          <cell r="BO165">
            <v>9.44</v>
          </cell>
          <cell r="BP165">
            <v>5.09</v>
          </cell>
          <cell r="BQ165">
            <v>5.09</v>
          </cell>
          <cell r="BU165" t="str">
            <v/>
          </cell>
          <cell r="BW165">
            <v>0</v>
          </cell>
          <cell r="BX165">
            <v>0</v>
          </cell>
          <cell r="BY165">
            <v>0</v>
          </cell>
          <cell r="BZ165">
            <v>-3.92</v>
          </cell>
          <cell r="CA165">
            <v>-3.92</v>
          </cell>
          <cell r="CB165">
            <v>-3.92</v>
          </cell>
        </row>
        <row r="166">
          <cell r="F166" t="str">
            <v>I</v>
          </cell>
          <cell r="M166">
            <v>4.1499999999999995</v>
          </cell>
          <cell r="BO166">
            <v>9.44</v>
          </cell>
          <cell r="BP166">
            <v>4.1499999999999995</v>
          </cell>
          <cell r="BQ166">
            <v>4.1499999999999995</v>
          </cell>
          <cell r="BU166" t="str">
            <v/>
          </cell>
          <cell r="BW166">
            <v>0</v>
          </cell>
          <cell r="BX166">
            <v>0</v>
          </cell>
          <cell r="BY166">
            <v>0</v>
          </cell>
          <cell r="BZ166">
            <v>-4.76</v>
          </cell>
          <cell r="CA166">
            <v>-4.76</v>
          </cell>
          <cell r="CB166">
            <v>-4.76</v>
          </cell>
        </row>
        <row r="167">
          <cell r="M167">
            <v>4.16</v>
          </cell>
          <cell r="N167" t="str">
            <v/>
          </cell>
          <cell r="X167" t="str">
            <v/>
          </cell>
        </row>
        <row r="168">
          <cell r="F168" t="str">
            <v>S</v>
          </cell>
          <cell r="G168" t="str">
            <v>9/9</v>
          </cell>
          <cell r="H168">
            <v>5.0999999999999996</v>
          </cell>
          <cell r="I168">
            <v>4.8499999999999996</v>
          </cell>
          <cell r="J168">
            <v>4.8499999999999996</v>
          </cell>
          <cell r="K168" t="str">
            <v/>
          </cell>
          <cell r="M168">
            <v>5.0999999999999996</v>
          </cell>
          <cell r="N168">
            <v>0.94999999999999929</v>
          </cell>
          <cell r="S168">
            <v>0.9</v>
          </cell>
          <cell r="T168">
            <v>4</v>
          </cell>
          <cell r="U168">
            <v>0.96</v>
          </cell>
          <cell r="V168">
            <v>20</v>
          </cell>
          <cell r="X168">
            <v>0.95</v>
          </cell>
          <cell r="AA168">
            <v>25</v>
          </cell>
          <cell r="AD168">
            <v>0.35199999999999998</v>
          </cell>
          <cell r="AF168">
            <v>0.35199999999999998</v>
          </cell>
          <cell r="AJ168" t="e">
            <v>#DIV/0!</v>
          </cell>
          <cell r="AM168">
            <v>4.1500000000000004</v>
          </cell>
          <cell r="AN168">
            <v>4.1500000000000004</v>
          </cell>
          <cell r="BG168" t="str">
            <v/>
          </cell>
          <cell r="BK168" t="str">
            <v/>
          </cell>
          <cell r="BL168" t="str">
            <v/>
          </cell>
          <cell r="BO168">
            <v>4.1500000000000004</v>
          </cell>
          <cell r="BP168">
            <v>4.1500000000000004</v>
          </cell>
          <cell r="BQ168">
            <v>4.1500000000000004</v>
          </cell>
          <cell r="BU168">
            <v>0.33</v>
          </cell>
          <cell r="BW168">
            <v>0</v>
          </cell>
          <cell r="BX168">
            <v>0</v>
          </cell>
          <cell r="BY168">
            <v>0</v>
          </cell>
          <cell r="BZ168">
            <v>0</v>
          </cell>
          <cell r="CA168">
            <v>0.33</v>
          </cell>
          <cell r="CB168">
            <v>0</v>
          </cell>
        </row>
        <row r="169">
          <cell r="F169" t="str">
            <v>I</v>
          </cell>
          <cell r="G169" t="str">
            <v>9/3</v>
          </cell>
          <cell r="H169">
            <v>4.1500000000000004</v>
          </cell>
          <cell r="I169">
            <v>2.61</v>
          </cell>
          <cell r="J169">
            <v>2.64</v>
          </cell>
          <cell r="K169">
            <v>-3.0000000000000249E-2</v>
          </cell>
          <cell r="M169">
            <v>4.1800000000000006</v>
          </cell>
        </row>
        <row r="170">
          <cell r="K170" t="str">
            <v/>
          </cell>
          <cell r="N170" t="str">
            <v/>
          </cell>
          <cell r="X170" t="str">
            <v/>
          </cell>
          <cell r="AA170" t="str">
            <v/>
          </cell>
          <cell r="AF170" t="str">
            <v/>
          </cell>
          <cell r="AJ170" t="str">
            <v/>
          </cell>
          <cell r="AM170" t="str">
            <v/>
          </cell>
          <cell r="AN170" t="str">
            <v/>
          </cell>
          <cell r="BG170" t="str">
            <v/>
          </cell>
          <cell r="BK170" t="str">
            <v/>
          </cell>
          <cell r="BL170" t="str">
            <v/>
          </cell>
          <cell r="BP170" t="str">
            <v/>
          </cell>
          <cell r="BQ170" t="str">
            <v/>
          </cell>
          <cell r="BU170" t="str">
            <v/>
          </cell>
        </row>
        <row r="171">
          <cell r="F171" t="str">
            <v>I</v>
          </cell>
          <cell r="G171" t="str">
            <v>0/12</v>
          </cell>
          <cell r="H171">
            <v>9.1999999999999993</v>
          </cell>
          <cell r="I171">
            <v>7.98</v>
          </cell>
          <cell r="J171">
            <v>7.96</v>
          </cell>
          <cell r="K171">
            <v>2.0000000000000462E-2</v>
          </cell>
          <cell r="M171">
            <v>9.18</v>
          </cell>
          <cell r="N171" t="str">
            <v/>
          </cell>
          <cell r="X171" t="str">
            <v/>
          </cell>
          <cell r="AA171" t="str">
            <v/>
          </cell>
          <cell r="AF171" t="str">
            <v/>
          </cell>
          <cell r="AJ171" t="str">
            <v/>
          </cell>
          <cell r="AM171" t="str">
            <v/>
          </cell>
          <cell r="AN171" t="str">
            <v/>
          </cell>
          <cell r="BG171" t="str">
            <v/>
          </cell>
          <cell r="BK171" t="str">
            <v/>
          </cell>
          <cell r="BL171" t="str">
            <v/>
          </cell>
          <cell r="BO171">
            <v>9.0499999999999989</v>
          </cell>
          <cell r="BP171">
            <v>9.18</v>
          </cell>
          <cell r="BQ171">
            <v>9.18</v>
          </cell>
          <cell r="BU171" t="str">
            <v/>
          </cell>
          <cell r="BW171">
            <v>0</v>
          </cell>
          <cell r="BX171">
            <v>0</v>
          </cell>
          <cell r="BY171">
            <v>0</v>
          </cell>
          <cell r="BZ171">
            <v>0.12</v>
          </cell>
          <cell r="CA171">
            <v>0.12</v>
          </cell>
          <cell r="CB171">
            <v>0.12</v>
          </cell>
        </row>
        <row r="172">
          <cell r="F172" t="str">
            <v>S</v>
          </cell>
          <cell r="G172" t="str">
            <v>12/12</v>
          </cell>
          <cell r="H172">
            <v>9.41</v>
          </cell>
          <cell r="I172">
            <v>9.4600000000000009</v>
          </cell>
          <cell r="J172">
            <v>9.41</v>
          </cell>
          <cell r="K172">
            <v>5.0000000000000711E-2</v>
          </cell>
          <cell r="M172">
            <v>9.36</v>
          </cell>
          <cell r="N172">
            <v>0.3100000000000005</v>
          </cell>
          <cell r="S172">
            <v>0.9</v>
          </cell>
          <cell r="T172">
            <v>4</v>
          </cell>
          <cell r="U172">
            <v>0.96</v>
          </cell>
          <cell r="V172">
            <v>20</v>
          </cell>
          <cell r="X172">
            <v>0.92</v>
          </cell>
          <cell r="AA172">
            <v>25</v>
          </cell>
          <cell r="AD172">
            <v>0.35199999999999998</v>
          </cell>
          <cell r="AF172">
            <v>0.35199999999999998</v>
          </cell>
          <cell r="AJ172" t="e">
            <v>#DIV/0!</v>
          </cell>
          <cell r="AM172">
            <v>8.44</v>
          </cell>
          <cell r="AN172">
            <v>8.44</v>
          </cell>
          <cell r="BG172" t="str">
            <v/>
          </cell>
          <cell r="BK172" t="str">
            <v/>
          </cell>
          <cell r="BL172" t="str">
            <v/>
          </cell>
          <cell r="BO172">
            <v>9.0499999999999989</v>
          </cell>
          <cell r="BP172">
            <v>8.44</v>
          </cell>
          <cell r="BQ172">
            <v>8.44</v>
          </cell>
          <cell r="BU172">
            <v>0.32</v>
          </cell>
          <cell r="BW172">
            <v>0</v>
          </cell>
          <cell r="BX172">
            <v>0</v>
          </cell>
          <cell r="BY172">
            <v>0</v>
          </cell>
          <cell r="BZ172">
            <v>-0.55000000000000004</v>
          </cell>
          <cell r="CA172">
            <v>-0.23000000000000004</v>
          </cell>
          <cell r="CB172">
            <v>-0.55000000000000004</v>
          </cell>
        </row>
        <row r="173">
          <cell r="F173" t="str">
            <v>I</v>
          </cell>
          <cell r="G173" t="str">
            <v>12/9</v>
          </cell>
          <cell r="H173">
            <v>8.2799999999999994</v>
          </cell>
          <cell r="I173">
            <v>7.89</v>
          </cell>
          <cell r="J173">
            <v>7.77</v>
          </cell>
          <cell r="K173">
            <v>0.12000000000000011</v>
          </cell>
          <cell r="M173">
            <v>8.16</v>
          </cell>
          <cell r="N173" t="str">
            <v/>
          </cell>
          <cell r="X173" t="str">
            <v/>
          </cell>
          <cell r="AA173" t="str">
            <v/>
          </cell>
          <cell r="AF173" t="str">
            <v/>
          </cell>
          <cell r="AJ173" t="str">
            <v/>
          </cell>
          <cell r="AM173" t="str">
            <v/>
          </cell>
          <cell r="AN173" t="str">
            <v/>
          </cell>
          <cell r="BG173" t="str">
            <v/>
          </cell>
          <cell r="BK173" t="str">
            <v/>
          </cell>
          <cell r="BL173" t="str">
            <v/>
          </cell>
          <cell r="BO173">
            <v>9.0499999999999989</v>
          </cell>
          <cell r="BP173">
            <v>8.16</v>
          </cell>
          <cell r="BQ173">
            <v>8.16</v>
          </cell>
          <cell r="BU173" t="str">
            <v/>
          </cell>
          <cell r="BW173">
            <v>0</v>
          </cell>
          <cell r="BX173">
            <v>0</v>
          </cell>
          <cell r="BY173">
            <v>0</v>
          </cell>
          <cell r="BZ173">
            <v>-0.8</v>
          </cell>
          <cell r="CA173">
            <v>-0.8</v>
          </cell>
          <cell r="CB173">
            <v>-0.8</v>
          </cell>
        </row>
        <row r="174">
          <cell r="F174" t="str">
            <v>I</v>
          </cell>
          <cell r="G174" t="str">
            <v>6/6</v>
          </cell>
          <cell r="H174">
            <v>2.5</v>
          </cell>
          <cell r="I174">
            <v>2.0499999999999998</v>
          </cell>
          <cell r="J174">
            <v>1.36</v>
          </cell>
          <cell r="K174">
            <v>0.68999999999999972</v>
          </cell>
          <cell r="M174">
            <v>1.8100000000000003</v>
          </cell>
          <cell r="N174" t="str">
            <v/>
          </cell>
          <cell r="X174" t="str">
            <v/>
          </cell>
          <cell r="AA174" t="str">
            <v/>
          </cell>
          <cell r="AF174" t="str">
            <v/>
          </cell>
          <cell r="AJ174" t="str">
            <v/>
          </cell>
          <cell r="AM174" t="str">
            <v/>
          </cell>
          <cell r="AN174" t="str">
            <v/>
          </cell>
          <cell r="BG174" t="str">
            <v/>
          </cell>
          <cell r="BK174" t="str">
            <v/>
          </cell>
          <cell r="BL174" t="str">
            <v/>
          </cell>
          <cell r="BO174">
            <v>9.0499999999999989</v>
          </cell>
          <cell r="BP174">
            <v>1.8100000000000003</v>
          </cell>
          <cell r="BQ174">
            <v>1.8100000000000003</v>
          </cell>
          <cell r="BU174" t="str">
            <v/>
          </cell>
          <cell r="BW174">
            <v>0</v>
          </cell>
          <cell r="BX174">
            <v>0</v>
          </cell>
          <cell r="BY174">
            <v>0</v>
          </cell>
          <cell r="BZ174">
            <v>-6.52</v>
          </cell>
          <cell r="CA174">
            <v>-6.52</v>
          </cell>
          <cell r="CB174">
            <v>-6.52</v>
          </cell>
        </row>
        <row r="175">
          <cell r="F175" t="str">
            <v>I</v>
          </cell>
          <cell r="M175">
            <v>2.44</v>
          </cell>
          <cell r="BO175">
            <v>9.0499999999999989</v>
          </cell>
          <cell r="BP175">
            <v>2.44</v>
          </cell>
          <cell r="BQ175">
            <v>2.44</v>
          </cell>
          <cell r="BU175" t="str">
            <v/>
          </cell>
          <cell r="BW175">
            <v>0</v>
          </cell>
          <cell r="BX175">
            <v>0</v>
          </cell>
          <cell r="BY175">
            <v>0</v>
          </cell>
          <cell r="BZ175">
            <v>-5.95</v>
          </cell>
          <cell r="CA175">
            <v>-5.95</v>
          </cell>
          <cell r="CB175">
            <v>-5.95</v>
          </cell>
        </row>
        <row r="176">
          <cell r="N176" t="str">
            <v/>
          </cell>
          <cell r="X176" t="str">
            <v/>
          </cell>
        </row>
        <row r="177">
          <cell r="F177" t="str">
            <v>S</v>
          </cell>
          <cell r="G177" t="str">
            <v>6/6</v>
          </cell>
          <cell r="H177">
            <v>3.37</v>
          </cell>
          <cell r="I177">
            <v>0</v>
          </cell>
          <cell r="J177">
            <v>0</v>
          </cell>
          <cell r="K177" t="str">
            <v/>
          </cell>
          <cell r="M177">
            <v>3.37</v>
          </cell>
          <cell r="N177">
            <v>0.93000000000000016</v>
          </cell>
          <cell r="U177">
            <v>0.93</v>
          </cell>
          <cell r="V177">
            <v>3</v>
          </cell>
          <cell r="X177">
            <v>0.93</v>
          </cell>
          <cell r="AA177">
            <v>4</v>
          </cell>
          <cell r="AF177" t="e">
            <v>#DIV/0!</v>
          </cell>
          <cell r="AJ177" t="e">
            <v>#DIV/0!</v>
          </cell>
          <cell r="AM177">
            <v>2.44</v>
          </cell>
          <cell r="AN177">
            <v>2.44</v>
          </cell>
          <cell r="BG177" t="str">
            <v/>
          </cell>
          <cell r="BK177" t="str">
            <v/>
          </cell>
          <cell r="BL177" t="str">
            <v/>
          </cell>
          <cell r="BO177">
            <v>2.44</v>
          </cell>
          <cell r="BP177">
            <v>2.44</v>
          </cell>
          <cell r="BQ177">
            <v>2.44</v>
          </cell>
          <cell r="BU177" t="e">
            <v>#DIV/0!</v>
          </cell>
          <cell r="BW177">
            <v>0</v>
          </cell>
          <cell r="BX177">
            <v>0</v>
          </cell>
          <cell r="BY177">
            <v>0</v>
          </cell>
          <cell r="BZ177">
            <v>0</v>
          </cell>
          <cell r="CA177" t="e">
            <v>#DIV/0!</v>
          </cell>
          <cell r="CB177">
            <v>0</v>
          </cell>
        </row>
        <row r="178">
          <cell r="F178" t="str">
            <v>S</v>
          </cell>
          <cell r="G178" t="str">
            <v>-</v>
          </cell>
          <cell r="H178">
            <v>3.96</v>
          </cell>
          <cell r="AJ178" t="str">
            <v/>
          </cell>
          <cell r="BO178">
            <v>2.44</v>
          </cell>
          <cell r="BP178" t="str">
            <v/>
          </cell>
          <cell r="BQ178" t="str">
            <v/>
          </cell>
        </row>
        <row r="179">
          <cell r="AJ179" t="str">
            <v/>
          </cell>
          <cell r="BP179" t="str">
            <v/>
          </cell>
          <cell r="BQ179" t="str">
            <v/>
          </cell>
        </row>
        <row r="180">
          <cell r="K180" t="str">
            <v/>
          </cell>
          <cell r="N180" t="str">
            <v/>
          </cell>
          <cell r="X180" t="str">
            <v/>
          </cell>
          <cell r="AA180" t="str">
            <v/>
          </cell>
          <cell r="AF180" t="str">
            <v/>
          </cell>
          <cell r="AJ180" t="str">
            <v/>
          </cell>
          <cell r="AM180" t="str">
            <v/>
          </cell>
          <cell r="AN180" t="str">
            <v/>
          </cell>
          <cell r="BG180" t="str">
            <v/>
          </cell>
          <cell r="BK180" t="str">
            <v/>
          </cell>
          <cell r="BL180" t="str">
            <v/>
          </cell>
          <cell r="BP180" t="str">
            <v/>
          </cell>
          <cell r="BQ180" t="str">
            <v/>
          </cell>
          <cell r="BU180" t="str">
            <v/>
          </cell>
        </row>
        <row r="181">
          <cell r="F181" t="str">
            <v>I</v>
          </cell>
          <cell r="G181" t="str">
            <v>0/9</v>
          </cell>
          <cell r="H181">
            <v>5.56</v>
          </cell>
          <cell r="I181">
            <v>0</v>
          </cell>
          <cell r="J181">
            <v>0</v>
          </cell>
          <cell r="K181" t="str">
            <v/>
          </cell>
          <cell r="M181">
            <v>5.56</v>
          </cell>
          <cell r="N181" t="str">
            <v/>
          </cell>
          <cell r="X181" t="str">
            <v/>
          </cell>
          <cell r="AA181" t="str">
            <v/>
          </cell>
          <cell r="AF181" t="str">
            <v/>
          </cell>
          <cell r="AJ181" t="str">
            <v/>
          </cell>
          <cell r="AM181" t="str">
            <v/>
          </cell>
          <cell r="AN181" t="str">
            <v/>
          </cell>
          <cell r="BG181" t="str">
            <v/>
          </cell>
          <cell r="BK181" t="str">
            <v/>
          </cell>
          <cell r="BL181" t="str">
            <v/>
          </cell>
          <cell r="BO181">
            <v>5.56</v>
          </cell>
          <cell r="BP181">
            <v>5.56</v>
          </cell>
          <cell r="BQ181">
            <v>5.56</v>
          </cell>
          <cell r="BU181" t="str">
            <v/>
          </cell>
          <cell r="BW181">
            <v>0</v>
          </cell>
          <cell r="BX181">
            <v>0</v>
          </cell>
          <cell r="BY181">
            <v>0</v>
          </cell>
          <cell r="BZ181">
            <v>0</v>
          </cell>
          <cell r="CA181">
            <v>0</v>
          </cell>
          <cell r="CB181">
            <v>0</v>
          </cell>
        </row>
        <row r="182">
          <cell r="F182" t="str">
            <v>I</v>
          </cell>
          <cell r="M182" t="e">
            <v>#VALUE!</v>
          </cell>
          <cell r="BP182" t="e">
            <v>#VALUE!</v>
          </cell>
          <cell r="BQ182" t="e">
            <v>#VALUE!</v>
          </cell>
          <cell r="BU182" t="str">
            <v/>
          </cell>
          <cell r="BW182">
            <v>0</v>
          </cell>
          <cell r="BX182">
            <v>0</v>
          </cell>
          <cell r="BY182">
            <v>0</v>
          </cell>
          <cell r="BZ182">
            <v>0</v>
          </cell>
          <cell r="CA182">
            <v>0</v>
          </cell>
          <cell r="CB182">
            <v>0</v>
          </cell>
        </row>
        <row r="183">
          <cell r="N183" t="str">
            <v/>
          </cell>
          <cell r="X183" t="str">
            <v/>
          </cell>
        </row>
        <row r="184">
          <cell r="F184" t="str">
            <v>S</v>
          </cell>
          <cell r="G184" t="str">
            <v>9/9</v>
          </cell>
          <cell r="H184">
            <v>6.46</v>
          </cell>
          <cell r="I184">
            <v>8.1</v>
          </cell>
          <cell r="J184">
            <v>8.1</v>
          </cell>
          <cell r="K184" t="str">
            <v/>
          </cell>
          <cell r="M184">
            <v>6.46</v>
          </cell>
          <cell r="N184" t="str">
            <v/>
          </cell>
          <cell r="U184">
            <v>0.93</v>
          </cell>
          <cell r="V184">
            <v>3</v>
          </cell>
          <cell r="X184" t="e">
            <v>#VALUE!</v>
          </cell>
          <cell r="AA184">
            <v>3</v>
          </cell>
          <cell r="AF184" t="e">
            <v>#DIV/0!</v>
          </cell>
          <cell r="AJ184" t="str">
            <v/>
          </cell>
          <cell r="AM184" t="e">
            <v>#VALUE!</v>
          </cell>
          <cell r="AN184" t="e">
            <v>#VALUE!</v>
          </cell>
          <cell r="BG184" t="str">
            <v/>
          </cell>
          <cell r="BK184" t="str">
            <v/>
          </cell>
          <cell r="BL184" t="str">
            <v/>
          </cell>
          <cell r="BO184" t="e">
            <v>#VALUE!</v>
          </cell>
          <cell r="BP184" t="e">
            <v>#VALUE!</v>
          </cell>
          <cell r="BQ184" t="e">
            <v>#VALUE!</v>
          </cell>
          <cell r="BU184" t="e">
            <v>#VALUE!</v>
          </cell>
          <cell r="BW184">
            <v>0</v>
          </cell>
          <cell r="BX184">
            <v>0</v>
          </cell>
          <cell r="BY184">
            <v>0</v>
          </cell>
          <cell r="BZ184">
            <v>0</v>
          </cell>
          <cell r="CA184" t="e">
            <v>#VALUE!</v>
          </cell>
          <cell r="CB184">
            <v>0</v>
          </cell>
        </row>
        <row r="185">
          <cell r="F185" t="str">
            <v>S</v>
          </cell>
          <cell r="G185" t="str">
            <v>-</v>
          </cell>
          <cell r="H185">
            <v>7.03</v>
          </cell>
          <cell r="K185" t="str">
            <v/>
          </cell>
          <cell r="M185">
            <v>7.03</v>
          </cell>
          <cell r="N185" t="str">
            <v/>
          </cell>
          <cell r="X185" t="str">
            <v/>
          </cell>
          <cell r="AA185" t="str">
            <v/>
          </cell>
          <cell r="AE185">
            <v>0.4</v>
          </cell>
          <cell r="AF185" t="str">
            <v/>
          </cell>
          <cell r="AJ185" t="str">
            <v/>
          </cell>
          <cell r="AM185" t="e">
            <v>#VALUE!</v>
          </cell>
          <cell r="AN185" t="e">
            <v>#VALUE!</v>
          </cell>
          <cell r="BG185" t="str">
            <v/>
          </cell>
          <cell r="BK185" t="str">
            <v/>
          </cell>
          <cell r="BL185" t="str">
            <v/>
          </cell>
          <cell r="BO185" t="e">
            <v>#VALUE!</v>
          </cell>
          <cell r="BP185" t="e">
            <v>#VALUE!</v>
          </cell>
          <cell r="BQ185" t="e">
            <v>#VALUE!</v>
          </cell>
          <cell r="BU185" t="e">
            <v>#VALUE!</v>
          </cell>
          <cell r="BW185">
            <v>0</v>
          </cell>
          <cell r="BX185">
            <v>0</v>
          </cell>
          <cell r="BY185">
            <v>0</v>
          </cell>
          <cell r="BZ185">
            <v>0</v>
          </cell>
          <cell r="CA185" t="e">
            <v>#VALUE!</v>
          </cell>
          <cell r="CB185">
            <v>0</v>
          </cell>
        </row>
        <row r="186">
          <cell r="F186" t="str">
            <v>I</v>
          </cell>
          <cell r="G186" t="str">
            <v>3/0</v>
          </cell>
          <cell r="H186">
            <v>0.45</v>
          </cell>
          <cell r="BO186" t="e">
            <v>#VALUE!</v>
          </cell>
        </row>
        <row r="187">
          <cell r="F187" t="str">
            <v>I</v>
          </cell>
          <cell r="M187">
            <v>0.15</v>
          </cell>
          <cell r="BO187" t="e">
            <v>#VALUE!</v>
          </cell>
          <cell r="BP187">
            <v>0.15</v>
          </cell>
          <cell r="BQ187">
            <v>0.15</v>
          </cell>
          <cell r="BU187" t="str">
            <v/>
          </cell>
          <cell r="BW187">
            <v>0</v>
          </cell>
          <cell r="BX187">
            <v>0</v>
          </cell>
          <cell r="BY187">
            <v>0</v>
          </cell>
          <cell r="BZ187">
            <v>0</v>
          </cell>
          <cell r="CA187">
            <v>0</v>
          </cell>
          <cell r="CB187">
            <v>0</v>
          </cell>
        </row>
        <row r="188">
          <cell r="N188" t="str">
            <v/>
          </cell>
          <cell r="X188" t="str">
            <v/>
          </cell>
        </row>
        <row r="191">
          <cell r="F191" t="str">
            <v>S</v>
          </cell>
          <cell r="G191" t="str">
            <v>0/12</v>
          </cell>
          <cell r="H191">
            <v>9.61</v>
          </cell>
          <cell r="I191">
            <v>3.49</v>
          </cell>
          <cell r="J191">
            <v>3</v>
          </cell>
          <cell r="K191">
            <v>0.49000000000000021</v>
          </cell>
          <cell r="M191">
            <v>9.1199999999999992</v>
          </cell>
          <cell r="N191">
            <v>0.92999999999999972</v>
          </cell>
          <cell r="U191">
            <v>0.93</v>
          </cell>
          <cell r="V191">
            <v>3</v>
          </cell>
          <cell r="X191">
            <v>0.93</v>
          </cell>
          <cell r="AA191">
            <v>4</v>
          </cell>
          <cell r="AF191" t="e">
            <v>#DIV/0!</v>
          </cell>
          <cell r="AJ191" t="e">
            <v>#DIV/0!</v>
          </cell>
          <cell r="AM191">
            <v>8.19</v>
          </cell>
          <cell r="AN191">
            <v>8.19</v>
          </cell>
          <cell r="BG191" t="str">
            <v/>
          </cell>
          <cell r="BK191" t="str">
            <v/>
          </cell>
          <cell r="BL191" t="str">
            <v/>
          </cell>
          <cell r="BO191">
            <v>8.19</v>
          </cell>
          <cell r="BP191">
            <v>8.19</v>
          </cell>
          <cell r="BQ191">
            <v>8.19</v>
          </cell>
          <cell r="BU191" t="e">
            <v>#DIV/0!</v>
          </cell>
          <cell r="BW191">
            <v>0</v>
          </cell>
          <cell r="BX191">
            <v>0</v>
          </cell>
          <cell r="BY191">
            <v>0</v>
          </cell>
          <cell r="BZ191">
            <v>0</v>
          </cell>
          <cell r="CA191" t="e">
            <v>#DIV/0!</v>
          </cell>
          <cell r="CB191">
            <v>0</v>
          </cell>
        </row>
        <row r="192">
          <cell r="F192" t="str">
            <v>S</v>
          </cell>
          <cell r="G192" t="str">
            <v>12/9</v>
          </cell>
          <cell r="H192">
            <v>10.26</v>
          </cell>
          <cell r="K192" t="str">
            <v/>
          </cell>
          <cell r="M192">
            <v>10.26</v>
          </cell>
          <cell r="N192">
            <v>1.08</v>
          </cell>
          <cell r="X192">
            <v>1.08</v>
          </cell>
          <cell r="AA192">
            <v>1</v>
          </cell>
          <cell r="AF192" t="e">
            <v>#DIV/0!</v>
          </cell>
          <cell r="AJ192" t="e">
            <v>#DIV/0!</v>
          </cell>
          <cell r="AM192">
            <v>9.18</v>
          </cell>
          <cell r="AN192">
            <v>9.18</v>
          </cell>
          <cell r="BG192" t="str">
            <v/>
          </cell>
          <cell r="BK192" t="str">
            <v/>
          </cell>
          <cell r="BL192" t="str">
            <v/>
          </cell>
          <cell r="BO192">
            <v>9.18</v>
          </cell>
          <cell r="BP192">
            <v>9.18</v>
          </cell>
          <cell r="BQ192">
            <v>9.18</v>
          </cell>
          <cell r="BU192" t="e">
            <v>#DIV/0!</v>
          </cell>
          <cell r="BW192">
            <v>0</v>
          </cell>
          <cell r="BX192">
            <v>0</v>
          </cell>
          <cell r="BY192">
            <v>0</v>
          </cell>
          <cell r="BZ192">
            <v>0</v>
          </cell>
          <cell r="CA192" t="e">
            <v>#DIV/0!</v>
          </cell>
          <cell r="CB192">
            <v>0</v>
          </cell>
        </row>
        <row r="193">
          <cell r="F193" t="str">
            <v>I</v>
          </cell>
          <cell r="G193" t="str">
            <v>9/6</v>
          </cell>
          <cell r="H193">
            <v>3.5300000000000002</v>
          </cell>
        </row>
        <row r="194">
          <cell r="F194" t="str">
            <v>I</v>
          </cell>
          <cell r="M194">
            <v>0</v>
          </cell>
          <cell r="BO194">
            <v>0</v>
          </cell>
          <cell r="BP194">
            <v>0</v>
          </cell>
          <cell r="BQ194">
            <v>0</v>
          </cell>
          <cell r="BU194" t="str">
            <v/>
          </cell>
          <cell r="BW194">
            <v>0</v>
          </cell>
          <cell r="BX194">
            <v>0</v>
          </cell>
          <cell r="BY194">
            <v>0</v>
          </cell>
          <cell r="BZ194">
            <v>0</v>
          </cell>
          <cell r="CA194">
            <v>0</v>
          </cell>
          <cell r="CB194">
            <v>0</v>
          </cell>
        </row>
        <row r="195">
          <cell r="N195" t="str">
            <v/>
          </cell>
          <cell r="X195" t="str">
            <v/>
          </cell>
        </row>
        <row r="198">
          <cell r="F198" t="str">
            <v>S</v>
          </cell>
          <cell r="G198" t="str">
            <v>6/3</v>
          </cell>
          <cell r="H198">
            <v>5.4370000000000003</v>
          </cell>
          <cell r="I198">
            <v>5.47</v>
          </cell>
          <cell r="J198">
            <v>4.96</v>
          </cell>
          <cell r="K198">
            <v>0.50999999999999979</v>
          </cell>
          <cell r="M198">
            <v>4.9270000000000005</v>
          </cell>
          <cell r="N198" t="str">
            <v/>
          </cell>
          <cell r="U198">
            <v>2.9292857142857147</v>
          </cell>
          <cell r="V198">
            <v>14</v>
          </cell>
          <cell r="X198" t="e">
            <v>#VALUE!</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ke_Summary"/>
      <sheetName val="Stake_Sheet"/>
      <sheetName val="Pit_Sheet"/>
      <sheetName val="PitCore_Sheet"/>
      <sheetName val="FirnCore_Sheet"/>
    </sheetNames>
    <sheetDataSet>
      <sheetData sheetId="0" refreshError="1"/>
      <sheetData sheetId="1" refreshError="1"/>
      <sheetData sheetId="2"/>
      <sheetData sheetId="3">
        <row r="2">
          <cell r="B2"/>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 Template"/>
      <sheetName val="Core Template"/>
      <sheetName val="SNOWPIT"/>
      <sheetName val="70.09.29"/>
      <sheetName val="76.10.20"/>
      <sheetName val="77.06.08"/>
      <sheetName val="96.01.13"/>
      <sheetName val="96.09.20"/>
      <sheetName val="97.05.19"/>
      <sheetName val="98.05.27"/>
      <sheetName val="99.05.14"/>
      <sheetName val="99.05.15"/>
      <sheetName val="99.09.24"/>
      <sheetName val="00.05.12"/>
      <sheetName val="00.05.12redone"/>
      <sheetName val="00.09.20"/>
      <sheetName val="01.05.17"/>
      <sheetName val="02.05.16"/>
      <sheetName val="02.10.02 core"/>
      <sheetName val="02.10.04 pit"/>
      <sheetName val="03.05.29"/>
      <sheetName val="03.09.14"/>
      <sheetName val="04.05.13 Pit"/>
      <sheetName val="04.05.13core"/>
      <sheetName val="2005.05.14Pit"/>
      <sheetName val="2005.05.14Core"/>
      <sheetName val="2006.05.13Pit"/>
      <sheetName val="2006.05.13Core"/>
      <sheetName val="2006.09.24Pit"/>
      <sheetName val="2007.05.10 Core"/>
      <sheetName val="2007.09.17Core"/>
      <sheetName val="2008.5.18 Core"/>
      <sheetName val="2008.5.18 Core (2)"/>
      <sheetName val="2008.9.28 Core"/>
      <sheetName val="2009.04.28 Pit"/>
      <sheetName val="2009.04.28 Core"/>
      <sheetName val="2010.05.05 Pit"/>
      <sheetName val="2010.05.05 Core"/>
      <sheetName val="2010.09.13 Core"/>
      <sheetName val="2011.04.27 Pit "/>
      <sheetName val="2011.04.27 Core"/>
    </sheetNames>
    <sheetDataSet>
      <sheetData sheetId="0"/>
      <sheetData sheetId="1"/>
      <sheetData sheetId="2">
        <row r="1">
          <cell r="Q1">
            <v>41.05</v>
          </cell>
        </row>
        <row r="9">
          <cell r="P9">
            <v>0</v>
          </cell>
          <cell r="Q9">
            <v>0</v>
          </cell>
        </row>
        <row r="10">
          <cell r="P10">
            <v>10</v>
          </cell>
          <cell r="Q10">
            <v>0</v>
          </cell>
        </row>
        <row r="11">
          <cell r="P11">
            <v>20</v>
          </cell>
          <cell r="Q11">
            <v>0</v>
          </cell>
        </row>
        <row r="12">
          <cell r="P12">
            <v>40</v>
          </cell>
          <cell r="Q12">
            <v>0</v>
          </cell>
        </row>
        <row r="13">
          <cell r="P13">
            <v>60</v>
          </cell>
          <cell r="Q13">
            <v>0</v>
          </cell>
        </row>
        <row r="14">
          <cell r="P14">
            <v>100</v>
          </cell>
          <cell r="Q14">
            <v>0</v>
          </cell>
        </row>
        <row r="15">
          <cell r="P15">
            <v>150</v>
          </cell>
          <cell r="Q15">
            <v>0</v>
          </cell>
        </row>
        <row r="16">
          <cell r="P16">
            <v>200</v>
          </cell>
          <cell r="Q16">
            <v>0</v>
          </cell>
        </row>
        <row r="17">
          <cell r="P17">
            <v>250</v>
          </cell>
          <cell r="Q17">
            <v>0</v>
          </cell>
        </row>
        <row r="18">
          <cell r="P18">
            <v>300</v>
          </cell>
          <cell r="Q18">
            <v>0</v>
          </cell>
        </row>
        <row r="19">
          <cell r="P19">
            <v>350</v>
          </cell>
          <cell r="Q19">
            <v>0</v>
          </cell>
        </row>
        <row r="20">
          <cell r="P20">
            <v>400</v>
          </cell>
          <cell r="Q20">
            <v>0</v>
          </cell>
        </row>
      </sheetData>
      <sheetData sheetId="3"/>
      <sheetData sheetId="4"/>
      <sheetData sheetId="5"/>
      <sheetData sheetId="6"/>
      <sheetData sheetId="7"/>
      <sheetData sheetId="8"/>
      <sheetData sheetId="9">
        <row r="3">
          <cell r="K3">
            <v>45.6</v>
          </cell>
        </row>
      </sheetData>
      <sheetData sheetId="10">
        <row r="3">
          <cell r="M3">
            <v>45.6</v>
          </cell>
        </row>
      </sheetData>
      <sheetData sheetId="11"/>
      <sheetData sheetId="12"/>
      <sheetData sheetId="13">
        <row r="3">
          <cell r="M3">
            <v>45.6</v>
          </cell>
        </row>
      </sheetData>
      <sheetData sheetId="14"/>
      <sheetData sheetId="15"/>
      <sheetData sheetId="16"/>
      <sheetData sheetId="17"/>
      <sheetData sheetId="18"/>
      <sheetData sheetId="19"/>
      <sheetData sheetId="20">
        <row r="35">
          <cell r="K35">
            <v>0.57713054921597162</v>
          </cell>
        </row>
      </sheetData>
      <sheetData sheetId="21"/>
      <sheetData sheetId="22"/>
      <sheetData sheetId="23">
        <row r="45">
          <cell r="G45">
            <v>0.54024015122222246</v>
          </cell>
        </row>
      </sheetData>
      <sheetData sheetId="24"/>
      <sheetData sheetId="25">
        <row r="33">
          <cell r="H33">
            <v>0.59710988796244679</v>
          </cell>
        </row>
      </sheetData>
      <sheetData sheetId="26"/>
      <sheetData sheetId="27">
        <row r="47">
          <cell r="M47">
            <v>-2.7</v>
          </cell>
        </row>
      </sheetData>
      <sheetData sheetId="28">
        <row r="13">
          <cell r="L13">
            <v>0.60899999999999999</v>
          </cell>
        </row>
      </sheetData>
      <sheetData sheetId="29">
        <row r="64">
          <cell r="I64">
            <v>0.48714429343263665</v>
          </cell>
        </row>
      </sheetData>
      <sheetData sheetId="30">
        <row r="32">
          <cell r="I32">
            <v>0.66464019559897736</v>
          </cell>
        </row>
      </sheetData>
      <sheetData sheetId="31">
        <row r="91">
          <cell r="I91">
            <v>0.55362323186368045</v>
          </cell>
        </row>
      </sheetData>
      <sheetData sheetId="32"/>
      <sheetData sheetId="33">
        <row r="12">
          <cell r="G12">
            <v>31</v>
          </cell>
        </row>
      </sheetData>
      <sheetData sheetId="34">
        <row r="28">
          <cell r="L28">
            <v>0.42199999999999999</v>
          </cell>
        </row>
      </sheetData>
      <sheetData sheetId="35"/>
      <sheetData sheetId="36">
        <row r="20">
          <cell r="Q20">
            <v>-1.7</v>
          </cell>
        </row>
      </sheetData>
      <sheetData sheetId="37">
        <row r="22">
          <cell r="R22">
            <v>0.41078164602432693</v>
          </cell>
        </row>
      </sheetData>
      <sheetData sheetId="38"/>
      <sheetData sheetId="39"/>
      <sheetData sheetId="4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owpit Template"/>
      <sheetName val="Core Density Template"/>
      <sheetName val="SCD May 97, 1998"/>
      <sheetName val="Sipri Core 5-13-99"/>
      <sheetName val="Sipri 5-13-99"/>
      <sheetName val="Sipri 5-10-2000"/>
      <sheetName val="2001.05.16"/>
      <sheetName val="2002.05.14"/>
      <sheetName val="2004.05.12"/>
      <sheetName val="2005.05.12 Pit"/>
      <sheetName val="2006.5.12 Pit"/>
      <sheetName val="2006.5.12 Core"/>
      <sheetName val="2007.05.10 Core"/>
      <sheetName val="2008.5.18.Core"/>
      <sheetName val="2008.09.28 Pit"/>
      <sheetName val="2009.04.27 Pit"/>
      <sheetName val="2010.5.04.Core"/>
      <sheetName val="2010.05.04 Core 2"/>
      <sheetName val="2011.04.28 Pit"/>
    </sheetNames>
    <sheetDataSet>
      <sheetData sheetId="0"/>
      <sheetData sheetId="1"/>
      <sheetData sheetId="2">
        <row r="4">
          <cell r="K4">
            <v>41.05</v>
          </cell>
        </row>
      </sheetData>
      <sheetData sheetId="3"/>
      <sheetData sheetId="4"/>
      <sheetData sheetId="5">
        <row r="28">
          <cell r="K28">
            <v>0.48334576705493021</v>
          </cell>
        </row>
      </sheetData>
      <sheetData sheetId="6">
        <row r="68">
          <cell r="K68">
            <v>0.53855464348355564</v>
          </cell>
        </row>
      </sheetData>
      <sheetData sheetId="7">
        <row r="19">
          <cell r="L19">
            <v>0.55000000000000004</v>
          </cell>
        </row>
      </sheetData>
      <sheetData sheetId="8">
        <row r="9">
          <cell r="X9">
            <v>2.52</v>
          </cell>
        </row>
      </sheetData>
      <sheetData sheetId="9">
        <row r="19">
          <cell r="L19">
            <v>0.63100000000000001</v>
          </cell>
        </row>
      </sheetData>
      <sheetData sheetId="10">
        <row r="9">
          <cell r="P9">
            <v>0</v>
          </cell>
        </row>
        <row r="10">
          <cell r="P10">
            <v>20</v>
          </cell>
          <cell r="Q10">
            <v>0</v>
          </cell>
        </row>
        <row r="11">
          <cell r="P11">
            <v>40</v>
          </cell>
          <cell r="Q11">
            <v>-1.2</v>
          </cell>
        </row>
        <row r="12">
          <cell r="P12">
            <v>60</v>
          </cell>
          <cell r="Q12">
            <v>-2.6</v>
          </cell>
        </row>
        <row r="13">
          <cell r="P13">
            <v>120</v>
          </cell>
          <cell r="Q13">
            <v>-3.5</v>
          </cell>
        </row>
        <row r="14">
          <cell r="P14">
            <v>160</v>
          </cell>
          <cell r="Q14">
            <v>-4</v>
          </cell>
        </row>
        <row r="15">
          <cell r="P15">
            <v>200</v>
          </cell>
          <cell r="Q15">
            <v>-4</v>
          </cell>
        </row>
        <row r="16">
          <cell r="P16">
            <v>230</v>
          </cell>
          <cell r="Q16">
            <v>-4</v>
          </cell>
        </row>
        <row r="17">
          <cell r="P17">
            <v>243</v>
          </cell>
          <cell r="Q17">
            <v>-2.4</v>
          </cell>
        </row>
        <row r="18">
          <cell r="P18">
            <v>298</v>
          </cell>
          <cell r="Q18">
            <v>-2.4</v>
          </cell>
        </row>
        <row r="19">
          <cell r="P19">
            <v>330</v>
          </cell>
          <cell r="Q19">
            <v>-2.7</v>
          </cell>
        </row>
        <row r="20">
          <cell r="P20">
            <v>380</v>
          </cell>
          <cell r="Q20">
            <v>-2</v>
          </cell>
        </row>
        <row r="21">
          <cell r="P21">
            <v>416</v>
          </cell>
          <cell r="Q21">
            <v>-0.9</v>
          </cell>
        </row>
        <row r="22">
          <cell r="P22">
            <v>440</v>
          </cell>
          <cell r="Q22">
            <v>-0.6</v>
          </cell>
        </row>
        <row r="23">
          <cell r="P23">
            <v>477</v>
          </cell>
          <cell r="Q23">
            <v>-0.6</v>
          </cell>
        </row>
      </sheetData>
      <sheetData sheetId="11">
        <row r="31">
          <cell r="M31">
            <v>0.49883238314309786</v>
          </cell>
        </row>
      </sheetData>
      <sheetData sheetId="12">
        <row r="37">
          <cell r="T37">
            <v>0.12153188881934174</v>
          </cell>
        </row>
      </sheetData>
      <sheetData sheetId="13">
        <row r="60">
          <cell r="O60">
            <v>-1.1000000000000001</v>
          </cell>
        </row>
      </sheetData>
      <sheetData sheetId="14">
        <row r="9">
          <cell r="P9">
            <v>0</v>
          </cell>
        </row>
        <row r="10">
          <cell r="P10">
            <v>20</v>
          </cell>
          <cell r="Q10">
            <v>0</v>
          </cell>
        </row>
      </sheetData>
      <sheetData sheetId="15">
        <row r="17">
          <cell r="L17">
            <v>0.40899999999999997</v>
          </cell>
        </row>
      </sheetData>
      <sheetData sheetId="16"/>
      <sheetData sheetId="17">
        <row r="37">
          <cell r="U37">
            <v>0.47323391440778073</v>
          </cell>
        </row>
      </sheetData>
      <sheetData sheetId="18"/>
    </sheetDataSet>
  </externalBook>
</externalLink>
</file>

<file path=xl/persons/person.xml><?xml version="1.0" encoding="utf-8"?>
<personList xmlns="http://schemas.microsoft.com/office/spreadsheetml/2018/threadedcomments" xmlns:x="http://schemas.openxmlformats.org/spreadsheetml/2006/main">
  <person displayName="Otto, Daniel R" id="{36731DFA-CEA5-4825-8513-57B2AD324658}" userId="S::dotto@usgs.gov::025c054c-a2a2-44f4-8321-f8b55e414e5e" providerId="AD"/>
  <person displayName="Sass, Louis" id="{18DE5DDD-DBD1-4AB4-B515-3E27AD5F4F64}" userId="S::lsass@usgs.gov::532b36c5-14fd-4389-948c-e9e662e1f233" providerId="AD"/>
  <person displayName="Baker, Emily H" id="{438B0EB9-342D-4ED0-A9DB-E379AE49FA78}" userId="S::ehbaker@usgs.gov::571f2d89-d821-443e-b68c-9dc70dd3957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1" dT="2024-05-22T21:39:42.81" personId="{438B0EB9-342D-4ED0-A9DB-E379AE49FA78}" id="{FA3C1CA9-52F3-4E20-9716-62B95AFE8BFB}">
    <text xml:space="preserve">CHOICE not to use this stake-calculated winter ablation. The stake was leaning, indicating it possible could have some float. </text>
  </threadedComment>
  <threadedComment ref="C24" dT="2024-05-22T21:04:54.26" personId="{438B0EB9-342D-4ED0-A9DB-E379AE49FA78}" id="{A541F1BA-F187-4CA8-ACF8-76C73BF712CF}">
    <text>Significant stake lean in Spring 2024; better to have NAN winter ablation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K8" dT="2021-06-01T18:13:33.17" personId="{36731DFA-CEA5-4825-8513-57B2AD324658}" id="{66F4ECC1-2E6F-412F-9CFA-7C15BF7136ED}">
    <text>Mean density 2015-2020</text>
  </threadedComment>
  <threadedComment ref="R14" dT="2024-04-25T21:27:44.67" personId="{18DE5DDD-DBD1-4AB4-B515-3E27AD5F4F64}" id="{E69B41B0-FEB6-4B8A-86D1-502F86AEC2D1}">
    <text xml:space="preserve">I didn't average this number as it is suspect given how old the stake is </text>
  </threadedComment>
</ThreadedComments>
</file>

<file path=xl/threadedComments/threadedComment3.xml><?xml version="1.0" encoding="utf-8"?>
<ThreadedComments xmlns="http://schemas.microsoft.com/office/spreadsheetml/2018/threadedcomments" xmlns:x="http://schemas.openxmlformats.org/spreadsheetml/2006/main">
  <threadedComment ref="K9" dT="2021-06-01T18:14:33.05" personId="{36731DFA-CEA5-4825-8513-57B2AD324658}" id="{EE181FB6-59DE-46BF-9E14-8C5CE822952F}">
    <text>Mean density 2011-2020</text>
  </threadedComment>
  <threadedComment ref="I24" dT="2024-05-13T21:31:24.73" personId="{18DE5DDD-DBD1-4AB4-B515-3E27AD5F4F64}" id="{21897E21-D9AF-4557-ACCC-B3A3C6F2A09E}">
    <text>Using the stake measurement here rather than the pit. It appears the pit was not deep enough to get the 22 summer surface and the full 23 accumulation.</text>
  </threadedComment>
  <threadedComment ref="C42" dT="2024-04-25T22:36:25.89" personId="{18DE5DDD-DBD1-4AB4-B515-3E27AD5F4F64}" id="{EC01AD4E-BD66-46C1-A504-041A9FCAB2EC}">
    <text>I didn't average the 20D stake as it is so far down glacier</text>
  </threadedComment>
</ThreadedComments>
</file>

<file path=xl/threadedComments/threadedComment4.xml><?xml version="1.0" encoding="utf-8"?>
<ThreadedComments xmlns="http://schemas.microsoft.com/office/spreadsheetml/2018/threadedcomments" xmlns:x="http://schemas.openxmlformats.org/spreadsheetml/2006/main">
  <threadedComment ref="C33" dT="2024-04-25T23:56:48.40" personId="{18DE5DDD-DBD1-4AB4-B515-3E27AD5F4F64}" id="{F188812B-1C16-448D-922B-D8EE027C3177}">
    <text>This was entered in the notes as 438, Tape is confusing because it has 20 cm cut off. Suspect it is actually 458, and 20 cm was subtracted twice</text>
  </threadedComment>
  <threadedComment ref="C33" dT="2024-05-22T21:40:59.26" personId="{438B0EB9-342D-4ED0-A9DB-E379AE49FA78}" id="{E09DA566-411B-41F3-A49E-9D08C898DF94}" parentId="{F188812B-1C16-448D-922B-D8EE027C3177}">
    <text>Agreed - based on the 80cm of core measured, that interpretation must be correct. Easy mistake to make in field, where tape measurer was missing first 20 cm (necessitating subtraction for correct SBD measurements).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2.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3.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4.bin"/><Relationship Id="rId4"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zoomScale="130" zoomScaleNormal="130" workbookViewId="0">
      <selection activeCell="F4" sqref="F4"/>
    </sheetView>
  </sheetViews>
  <sheetFormatPr defaultColWidth="8.85546875" defaultRowHeight="12.75"/>
  <cols>
    <col min="1" max="1" width="9.140625" style="11" bestFit="1" customWidth="1"/>
    <col min="2" max="2" width="9.7109375" style="11" bestFit="1" customWidth="1"/>
    <col min="3" max="4" width="11.28515625" style="11" bestFit="1" customWidth="1"/>
    <col min="5" max="5" width="9.140625" style="1023" bestFit="1" customWidth="1"/>
    <col min="6" max="7" width="8.85546875" style="11"/>
    <col min="8" max="8" width="13.5703125" style="11" customWidth="1"/>
    <col min="9" max="9" width="21.5703125" style="11" customWidth="1"/>
    <col min="10" max="16384" width="8.85546875" style="11"/>
  </cols>
  <sheetData>
    <row r="1" spans="1:9">
      <c r="A1" s="375" t="s">
        <v>70</v>
      </c>
      <c r="B1" s="376" t="s">
        <v>71</v>
      </c>
      <c r="C1" s="376" t="s">
        <v>72</v>
      </c>
      <c r="D1" s="376" t="s">
        <v>73</v>
      </c>
      <c r="E1" s="1020" t="s">
        <v>74</v>
      </c>
      <c r="F1" s="376" t="s">
        <v>1</v>
      </c>
      <c r="G1" s="376" t="s">
        <v>2</v>
      </c>
      <c r="H1" s="376" t="s">
        <v>75</v>
      </c>
      <c r="I1" s="377" t="s">
        <v>76</v>
      </c>
    </row>
    <row r="2" spans="1:9">
      <c r="A2" s="378">
        <v>2024</v>
      </c>
      <c r="B2" s="20" t="s">
        <v>5</v>
      </c>
      <c r="C2" s="97">
        <f>AU!G19</f>
        <v>45400</v>
      </c>
      <c r="D2" s="97">
        <f>AU!I19</f>
        <v>45524</v>
      </c>
      <c r="E2" s="1021">
        <f>AU!V15</f>
        <v>1431.41</v>
      </c>
      <c r="F2" s="44">
        <f>AU!C20</f>
        <v>0.59045999999999998</v>
      </c>
      <c r="G2" s="98">
        <f>AU!C22</f>
        <v>-2.4975000000000005</v>
      </c>
      <c r="H2" s="44" t="str">
        <f>AU!C24</f>
        <v>nan</v>
      </c>
      <c r="I2" s="102">
        <f>AU!C25</f>
        <v>0</v>
      </c>
    </row>
    <row r="3" spans="1:9">
      <c r="A3" s="378">
        <v>2024</v>
      </c>
      <c r="B3" s="20" t="s">
        <v>6</v>
      </c>
      <c r="C3" s="97">
        <f>AB!G25</f>
        <v>45400</v>
      </c>
      <c r="D3" s="97">
        <f>AB!I25</f>
        <v>45524</v>
      </c>
      <c r="E3" s="1021">
        <f>AB!V21</f>
        <v>1528.376</v>
      </c>
      <c r="F3" s="44">
        <f>AB!C26</f>
        <v>0.63740624999999995</v>
      </c>
      <c r="G3" s="44">
        <f>AB!C28</f>
        <v>-2.3220000000000001</v>
      </c>
      <c r="H3" s="98">
        <f>AB!C30</f>
        <v>-0.45675000000000104</v>
      </c>
      <c r="I3" s="102">
        <f>AB!C31</f>
        <v>0</v>
      </c>
    </row>
    <row r="4" spans="1:9">
      <c r="A4" s="378">
        <v>2024</v>
      </c>
      <c r="B4" s="20" t="s">
        <v>7</v>
      </c>
      <c r="C4" s="97">
        <f>B!G30</f>
        <v>45399</v>
      </c>
      <c r="D4" s="97">
        <f>B!I30</f>
        <v>45525</v>
      </c>
      <c r="E4" s="1021">
        <f>B!V26</f>
        <v>1674.2539999999999</v>
      </c>
      <c r="F4" s="44">
        <f>B!C31</f>
        <v>1.0222</v>
      </c>
      <c r="G4" s="44">
        <f>B!C33</f>
        <v>-0.77400000000000035</v>
      </c>
      <c r="H4" s="98">
        <f>B!C35</f>
        <v>-0.55800000000000016</v>
      </c>
      <c r="I4" s="102">
        <f>B!C36</f>
        <v>0</v>
      </c>
    </row>
    <row r="5" spans="1:9">
      <c r="A5" s="378">
        <v>2024</v>
      </c>
      <c r="B5" s="20" t="s">
        <v>8</v>
      </c>
      <c r="C5" s="97">
        <f>D!G37</f>
        <v>45399</v>
      </c>
      <c r="D5" s="97">
        <f>D!I37</f>
        <v>45525</v>
      </c>
      <c r="E5" s="1021">
        <f>D!V31</f>
        <v>1850.153</v>
      </c>
      <c r="F5" s="44">
        <f>D!C38</f>
        <v>1.4791999999999998</v>
      </c>
      <c r="G5" s="98">
        <f>D!C40</f>
        <v>0</v>
      </c>
      <c r="H5" s="44">
        <f>D!C42</f>
        <v>-0.29580000000000006</v>
      </c>
      <c r="I5" s="102">
        <f>D!C43</f>
        <v>0</v>
      </c>
    </row>
    <row r="6" spans="1:9">
      <c r="A6" s="378">
        <v>2024</v>
      </c>
      <c r="B6" s="20" t="s">
        <v>9</v>
      </c>
      <c r="C6" s="101">
        <f>T!G25</f>
        <v>45401</v>
      </c>
      <c r="D6" s="97">
        <f>T!I25</f>
        <v>45524</v>
      </c>
      <c r="E6" s="1021">
        <f>T!V18</f>
        <v>1868.3910000000001</v>
      </c>
      <c r="F6" s="98">
        <f>T!C26</f>
        <v>1.6547999999999998</v>
      </c>
      <c r="G6" s="98">
        <f>T!C28</f>
        <v>0.58300000000000007</v>
      </c>
      <c r="H6" s="44">
        <f>T!C30</f>
        <v>-0.27930000000000033</v>
      </c>
      <c r="I6" s="102">
        <f>T!C31</f>
        <v>3.6000000000000004E-2</v>
      </c>
    </row>
    <row r="7" spans="1:9">
      <c r="A7" s="378">
        <v>2024</v>
      </c>
      <c r="B7" s="20" t="s">
        <v>10</v>
      </c>
      <c r="C7" s="101">
        <f>V!G18</f>
        <v>45401</v>
      </c>
      <c r="D7" s="97">
        <f>V!I18</f>
        <v>45525</v>
      </c>
      <c r="E7" s="1021">
        <f>V!V10</f>
        <v>1875.867</v>
      </c>
      <c r="F7" s="98">
        <f>V!C19</f>
        <v>1.3458999999999999</v>
      </c>
      <c r="G7" s="98">
        <f>V!C21</f>
        <v>-3.6000000000000032E-2</v>
      </c>
      <c r="H7" s="98">
        <f>V!C23</f>
        <v>-0.45980000000000054</v>
      </c>
      <c r="I7" s="102">
        <f>V!C24</f>
        <v>0</v>
      </c>
    </row>
    <row r="8" spans="1:9">
      <c r="A8" s="378">
        <v>2024</v>
      </c>
      <c r="B8" s="361" t="s">
        <v>89</v>
      </c>
      <c r="C8" s="101">
        <f>Z!G21</f>
        <v>45401</v>
      </c>
      <c r="D8" s="97">
        <f>Z!I21</f>
        <v>45524</v>
      </c>
      <c r="E8" s="1021">
        <f>Z!V14</f>
        <v>2076.1239999999998</v>
      </c>
      <c r="F8" s="44">
        <f>Z!C22</f>
        <v>2.0270522834703928</v>
      </c>
      <c r="G8" s="44">
        <f>Z!C24</f>
        <v>1.1495341614906833</v>
      </c>
      <c r="H8" s="98" t="str">
        <f>Z!C26</f>
        <v>nan</v>
      </c>
      <c r="I8" s="102">
        <f>Z!C27</f>
        <v>3.3750000000000002E-2</v>
      </c>
    </row>
    <row r="9" spans="1:9">
      <c r="A9" s="62"/>
      <c r="B9" s="20"/>
      <c r="C9" s="20"/>
      <c r="D9" s="20"/>
      <c r="E9" s="1021"/>
      <c r="F9" s="20"/>
      <c r="G9" s="20"/>
      <c r="H9" s="20"/>
      <c r="I9" s="63"/>
    </row>
    <row r="10" spans="1:9">
      <c r="A10" s="62"/>
      <c r="B10" s="20"/>
      <c r="C10" s="20"/>
      <c r="D10" s="20"/>
      <c r="E10" s="1021"/>
      <c r="F10" s="20"/>
      <c r="G10" s="20"/>
      <c r="H10" s="20"/>
      <c r="I10" s="63"/>
    </row>
    <row r="11" spans="1:9">
      <c r="A11" s="62"/>
      <c r="B11" s="20"/>
      <c r="C11" s="20"/>
      <c r="D11" s="20"/>
      <c r="E11" s="1021"/>
      <c r="F11" s="20"/>
      <c r="G11" s="20"/>
      <c r="H11" s="20"/>
      <c r="I11" s="63"/>
    </row>
    <row r="12" spans="1:9">
      <c r="A12" s="62"/>
      <c r="B12" s="20"/>
      <c r="C12" s="20"/>
      <c r="D12" s="20"/>
      <c r="E12" s="1021"/>
      <c r="F12" s="20"/>
      <c r="G12" s="20"/>
      <c r="H12" s="20"/>
      <c r="I12" s="63"/>
    </row>
    <row r="13" spans="1:9">
      <c r="A13" s="62"/>
      <c r="B13" s="20"/>
      <c r="C13" s="20"/>
      <c r="D13" s="20"/>
      <c r="E13" s="1021"/>
      <c r="F13" s="20"/>
      <c r="G13" s="20"/>
      <c r="H13" s="20"/>
      <c r="I13" s="63"/>
    </row>
    <row r="14" spans="1:9">
      <c r="A14" s="62"/>
      <c r="B14" s="20"/>
      <c r="C14" s="20"/>
      <c r="D14" s="20"/>
      <c r="E14" s="1021"/>
      <c r="F14" s="20"/>
      <c r="G14" s="20"/>
      <c r="H14" s="20"/>
      <c r="I14" s="63"/>
    </row>
    <row r="15" spans="1:9" ht="13.5" thickBot="1">
      <c r="A15" s="379"/>
      <c r="B15" s="99"/>
      <c r="C15" s="99"/>
      <c r="D15" s="99"/>
      <c r="E15" s="1022"/>
      <c r="F15" s="99"/>
      <c r="G15" s="99"/>
      <c r="H15" s="99"/>
      <c r="I15" s="100"/>
    </row>
  </sheetData>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7EFA3-5FC3-43A9-83DD-F4EA5B1E24ED}">
  <dimension ref="A1:Q157"/>
  <sheetViews>
    <sheetView workbookViewId="0">
      <selection activeCell="N7" sqref="N7"/>
    </sheetView>
  </sheetViews>
  <sheetFormatPr defaultColWidth="7.85546875" defaultRowHeight="11.25"/>
  <cols>
    <col min="1" max="1" width="15.7109375" style="542" bestFit="1" customWidth="1"/>
    <col min="2" max="2" width="9.5703125" style="542" bestFit="1" customWidth="1"/>
    <col min="3" max="3" width="5.140625" style="605" customWidth="1"/>
    <col min="4" max="6" width="7.7109375" style="605" customWidth="1"/>
    <col min="7" max="7" width="6.28515625" style="601" customWidth="1"/>
    <col min="8" max="8" width="6.85546875" style="606" customWidth="1"/>
    <col min="9" max="9" width="9.7109375" style="601" customWidth="1"/>
    <col min="10" max="10" width="8.7109375" style="601" bestFit="1" customWidth="1"/>
    <col min="11" max="11" width="12.5703125" style="596" customWidth="1"/>
    <col min="12" max="12" width="17.28515625" style="602" bestFit="1" customWidth="1"/>
    <col min="13" max="13" width="12.85546875" style="542" customWidth="1"/>
    <col min="14" max="14" width="11.28515625" style="542" customWidth="1"/>
    <col min="15" max="15" width="14.5703125" style="484" customWidth="1"/>
    <col min="16" max="16" width="2.42578125" style="484" customWidth="1"/>
    <col min="17" max="17" width="14" style="542" bestFit="1" customWidth="1"/>
    <col min="18" max="18" width="5.42578125" style="542" customWidth="1"/>
    <col min="19" max="27" width="5.28515625" style="542" customWidth="1"/>
    <col min="28" max="28" width="17" style="542" customWidth="1"/>
    <col min="29" max="16384" width="7.85546875" style="542"/>
  </cols>
  <sheetData>
    <row r="1" spans="1:15" s="430" customFormat="1" ht="12.75">
      <c r="A1" s="420" t="s">
        <v>105</v>
      </c>
      <c r="B1" s="421" t="s">
        <v>152</v>
      </c>
      <c r="C1" s="422"/>
      <c r="D1" s="421"/>
      <c r="E1" s="423"/>
      <c r="F1" s="423"/>
      <c r="G1" s="424"/>
      <c r="H1" s="425" t="s">
        <v>106</v>
      </c>
      <c r="I1" s="426">
        <v>278</v>
      </c>
      <c r="J1" s="427"/>
      <c r="K1" s="421"/>
      <c r="L1" s="421"/>
      <c r="M1" s="428"/>
      <c r="N1" s="429"/>
    </row>
    <row r="2" spans="1:15" s="430" customFormat="1" ht="12.75">
      <c r="A2" s="431" t="s">
        <v>107</v>
      </c>
      <c r="B2" s="430" t="s">
        <v>7</v>
      </c>
      <c r="C2" s="433"/>
      <c r="D2" s="432"/>
      <c r="E2" s="434"/>
      <c r="F2" s="434"/>
      <c r="G2" s="435"/>
      <c r="H2" s="436" t="s">
        <v>108</v>
      </c>
      <c r="I2" s="437">
        <v>278</v>
      </c>
      <c r="J2" s="438"/>
      <c r="K2" s="432"/>
      <c r="L2" s="432"/>
      <c r="M2" s="439"/>
      <c r="N2" s="440"/>
    </row>
    <row r="3" spans="1:15" s="446" customFormat="1" ht="11.25" customHeight="1">
      <c r="A3" s="441" t="s">
        <v>109</v>
      </c>
      <c r="B3" s="607">
        <v>45399</v>
      </c>
      <c r="C3" s="433"/>
      <c r="D3" s="434"/>
      <c r="E3" s="434"/>
      <c r="F3" s="434"/>
      <c r="G3" s="435"/>
      <c r="H3" s="442" t="s">
        <v>110</v>
      </c>
      <c r="I3" s="443">
        <f>M41/100</f>
        <v>2.6990909090909092</v>
      </c>
      <c r="J3" s="438"/>
      <c r="K3" s="432"/>
      <c r="L3" s="432"/>
      <c r="M3" s="444"/>
      <c r="N3" s="445"/>
    </row>
    <row r="4" spans="1:15" s="430" customFormat="1" ht="12.75">
      <c r="A4" s="441" t="s">
        <v>111</v>
      </c>
      <c r="B4" s="432" t="s">
        <v>153</v>
      </c>
      <c r="C4" s="433"/>
      <c r="D4" s="434"/>
      <c r="E4" s="434"/>
      <c r="F4" s="434"/>
      <c r="G4" s="435"/>
      <c r="H4" s="442" t="s">
        <v>112</v>
      </c>
      <c r="I4" s="443">
        <f>J39</f>
        <v>0.3815332826906177</v>
      </c>
      <c r="J4" s="438"/>
      <c r="K4" s="432"/>
      <c r="L4" s="432"/>
      <c r="M4" s="439"/>
      <c r="N4" s="429"/>
    </row>
    <row r="5" spans="1:15" s="451" customFormat="1" ht="12.75">
      <c r="A5" s="431" t="s">
        <v>113</v>
      </c>
      <c r="B5" s="447" t="s">
        <v>114</v>
      </c>
      <c r="C5" s="433"/>
      <c r="D5" s="434"/>
      <c r="E5" s="434"/>
      <c r="F5" s="434"/>
      <c r="G5" s="435"/>
      <c r="H5" s="442"/>
      <c r="I5" s="448"/>
      <c r="J5" s="438"/>
      <c r="K5" s="432"/>
      <c r="L5" s="432"/>
      <c r="M5" s="449"/>
      <c r="N5" s="450"/>
    </row>
    <row r="6" spans="1:15" s="450" customFormat="1" ht="13.5" thickBot="1">
      <c r="A6" s="452"/>
      <c r="B6" s="453"/>
      <c r="C6" s="454"/>
      <c r="D6" s="455"/>
      <c r="E6" s="455"/>
      <c r="F6" s="455"/>
      <c r="G6" s="456"/>
      <c r="H6" s="457"/>
      <c r="I6" s="458"/>
      <c r="J6" s="456"/>
      <c r="K6" s="459"/>
      <c r="L6" s="453"/>
      <c r="M6" s="460"/>
    </row>
    <row r="7" spans="1:15" s="451" customFormat="1" ht="13.15" customHeight="1">
      <c r="A7" s="461" t="s">
        <v>115</v>
      </c>
      <c r="B7" s="462"/>
      <c r="C7" s="463"/>
      <c r="D7" s="464"/>
      <c r="E7" s="465" t="s">
        <v>116</v>
      </c>
      <c r="F7" s="462"/>
      <c r="G7" s="466" t="s">
        <v>117</v>
      </c>
      <c r="H7" s="467"/>
      <c r="I7" s="468" t="s">
        <v>118</v>
      </c>
      <c r="J7" s="468"/>
      <c r="K7" s="469"/>
      <c r="L7" s="1068" t="s">
        <v>119</v>
      </c>
      <c r="M7" s="1069"/>
      <c r="N7" s="450"/>
      <c r="O7" s="450"/>
    </row>
    <row r="8" spans="1:15" s="480" customFormat="1" ht="11.25" customHeight="1">
      <c r="A8" s="470"/>
      <c r="B8" s="471"/>
      <c r="C8" s="472"/>
      <c r="D8" s="473"/>
      <c r="E8" s="474"/>
      <c r="F8" s="473"/>
      <c r="G8" s="475"/>
      <c r="H8" s="476"/>
      <c r="I8" s="477"/>
      <c r="J8" s="477"/>
      <c r="K8" s="478"/>
      <c r="L8" s="449"/>
      <c r="M8" s="449"/>
      <c r="N8" s="479"/>
    </row>
    <row r="9" spans="1:15" s="481" customFormat="1">
      <c r="C9" s="482"/>
      <c r="D9" s="483"/>
      <c r="E9" s="474" t="s">
        <v>120</v>
      </c>
      <c r="F9" s="473"/>
      <c r="G9" s="475"/>
      <c r="H9" s="476"/>
      <c r="I9" s="484"/>
      <c r="J9" s="484"/>
      <c r="K9" s="478"/>
      <c r="L9" s="485"/>
      <c r="M9" s="486"/>
      <c r="N9" s="487"/>
      <c r="O9" s="488"/>
    </row>
    <row r="10" spans="1:15" s="481" customFormat="1">
      <c r="A10" s="489" t="s">
        <v>121</v>
      </c>
      <c r="B10" s="490" t="s">
        <v>122</v>
      </c>
      <c r="C10" s="491" t="s">
        <v>123</v>
      </c>
      <c r="D10" s="492" t="s">
        <v>124</v>
      </c>
      <c r="E10" s="493" t="s">
        <v>125</v>
      </c>
      <c r="F10" s="492" t="s">
        <v>126</v>
      </c>
      <c r="G10" s="475" t="s">
        <v>127</v>
      </c>
      <c r="H10" s="476" t="s">
        <v>128</v>
      </c>
      <c r="I10" s="477" t="s">
        <v>128</v>
      </c>
      <c r="J10" s="477" t="s">
        <v>127</v>
      </c>
      <c r="K10" s="494" t="s">
        <v>129</v>
      </c>
      <c r="L10" s="485" t="s">
        <v>130</v>
      </c>
      <c r="M10" s="485" t="s">
        <v>131</v>
      </c>
      <c r="N10" s="495"/>
    </row>
    <row r="11" spans="1:15" s="481" customFormat="1" ht="12" thickBot="1">
      <c r="A11" s="496" t="s">
        <v>132</v>
      </c>
      <c r="B11" s="497" t="s">
        <v>132</v>
      </c>
      <c r="C11" s="498" t="s">
        <v>133</v>
      </c>
      <c r="D11" s="499" t="s">
        <v>134</v>
      </c>
      <c r="E11" s="500" t="s">
        <v>133</v>
      </c>
      <c r="F11" s="499" t="s">
        <v>133</v>
      </c>
      <c r="G11" s="501" t="s">
        <v>135</v>
      </c>
      <c r="H11" s="502" t="s">
        <v>136</v>
      </c>
      <c r="I11" s="503" t="s">
        <v>136</v>
      </c>
      <c r="J11" s="503" t="s">
        <v>135</v>
      </c>
      <c r="K11" s="504"/>
      <c r="L11" s="505"/>
      <c r="M11" s="506" t="s">
        <v>133</v>
      </c>
      <c r="N11" s="495"/>
    </row>
    <row r="12" spans="1:15" s="481" customFormat="1">
      <c r="A12" s="507"/>
      <c r="B12" s="508"/>
      <c r="C12" s="509">
        <v>0</v>
      </c>
      <c r="D12" s="510"/>
      <c r="E12" s="511"/>
      <c r="F12" s="512"/>
      <c r="G12" s="513"/>
      <c r="H12" s="514"/>
      <c r="I12" s="515"/>
      <c r="J12" s="516"/>
      <c r="K12" s="517"/>
      <c r="L12" s="518" t="s">
        <v>137</v>
      </c>
      <c r="M12" s="519">
        <v>278</v>
      </c>
      <c r="N12" s="520"/>
    </row>
    <row r="13" spans="1:15" s="481" customFormat="1">
      <c r="A13" s="507">
        <v>155</v>
      </c>
      <c r="B13" s="508">
        <v>0</v>
      </c>
      <c r="C13" s="509">
        <v>10</v>
      </c>
      <c r="D13" s="510">
        <v>966</v>
      </c>
      <c r="E13" s="521">
        <f>C12</f>
        <v>0</v>
      </c>
      <c r="F13" s="522">
        <f>(C13+C14-10)/2</f>
        <v>10</v>
      </c>
      <c r="G13" s="523">
        <f t="shared" ref="G13:G39" si="0">(A13-B13)/966</f>
        <v>0.16045548654244307</v>
      </c>
      <c r="H13" s="524">
        <f>(G13*(F13-E13))/100</f>
        <v>1.6045548654244304E-2</v>
      </c>
      <c r="I13" s="525">
        <f>SUM(H$13:H13)</f>
        <v>1.6045548654244304E-2</v>
      </c>
      <c r="J13" s="526">
        <f t="shared" ref="J13:J39" si="1">I13/F13*100</f>
        <v>0.16045548654244304</v>
      </c>
      <c r="K13" s="517"/>
      <c r="L13" s="527" t="s">
        <v>150</v>
      </c>
      <c r="M13" s="528">
        <v>264</v>
      </c>
      <c r="N13" s="1011">
        <f>AVERAGE(M13:M16)</f>
        <v>265.25</v>
      </c>
    </row>
    <row r="14" spans="1:15" s="481" customFormat="1">
      <c r="A14" s="507">
        <v>235</v>
      </c>
      <c r="B14" s="508">
        <v>0</v>
      </c>
      <c r="C14" s="509">
        <v>20</v>
      </c>
      <c r="D14" s="510">
        <v>966</v>
      </c>
      <c r="E14" s="521">
        <f>(C13+C14-10)/2</f>
        <v>10</v>
      </c>
      <c r="F14" s="522">
        <f t="shared" ref="F14:F38" si="2">(C14+C15-10)/2</f>
        <v>20</v>
      </c>
      <c r="G14" s="523">
        <f t="shared" si="0"/>
        <v>0.2432712215320911</v>
      </c>
      <c r="H14" s="524">
        <f t="shared" ref="H14:H39" si="3">(G14*(F14-E14))/100</f>
        <v>2.4327122153209108E-2</v>
      </c>
      <c r="I14" s="525">
        <f>SUM(H$13:H14)</f>
        <v>4.0372670807453409E-2</v>
      </c>
      <c r="J14" s="526">
        <f t="shared" si="1"/>
        <v>0.20186335403726705</v>
      </c>
      <c r="K14" s="517"/>
      <c r="L14" s="527" t="s">
        <v>150</v>
      </c>
      <c r="M14" s="528">
        <v>265</v>
      </c>
      <c r="N14" s="1011"/>
    </row>
    <row r="15" spans="1:15" s="481" customFormat="1">
      <c r="A15" s="507">
        <v>260</v>
      </c>
      <c r="B15" s="508">
        <v>0</v>
      </c>
      <c r="C15" s="509">
        <v>30</v>
      </c>
      <c r="D15" s="510">
        <v>966</v>
      </c>
      <c r="E15" s="521">
        <f>(C14+C15-10)/2</f>
        <v>20</v>
      </c>
      <c r="F15" s="522">
        <f t="shared" si="2"/>
        <v>30</v>
      </c>
      <c r="G15" s="523">
        <f t="shared" si="0"/>
        <v>0.2691511387163561</v>
      </c>
      <c r="H15" s="524">
        <f t="shared" si="3"/>
        <v>2.6915113871635608E-2</v>
      </c>
      <c r="I15" s="525">
        <f>SUM(H$13:H15)</f>
        <v>6.7287784679089024E-2</v>
      </c>
      <c r="J15" s="526">
        <f t="shared" si="1"/>
        <v>0.2242926155969634</v>
      </c>
      <c r="K15" s="517"/>
      <c r="L15" s="527" t="s">
        <v>150</v>
      </c>
      <c r="M15" s="528">
        <v>270</v>
      </c>
      <c r="N15" s="1011"/>
    </row>
    <row r="16" spans="1:15" s="481" customFormat="1">
      <c r="A16" s="530">
        <v>335</v>
      </c>
      <c r="B16" s="508">
        <v>0</v>
      </c>
      <c r="C16" s="509">
        <v>40</v>
      </c>
      <c r="D16" s="510">
        <v>966</v>
      </c>
      <c r="E16" s="521">
        <f t="shared" ref="E16:E39" si="4">(C15+C16-10)/2</f>
        <v>30</v>
      </c>
      <c r="F16" s="522">
        <f t="shared" si="2"/>
        <v>40</v>
      </c>
      <c r="G16" s="523">
        <f t="shared" si="0"/>
        <v>0.34679089026915116</v>
      </c>
      <c r="H16" s="524">
        <f t="shared" si="3"/>
        <v>3.4679089026915119E-2</v>
      </c>
      <c r="I16" s="525">
        <f>SUM(H$13:H16)</f>
        <v>0.10196687370600414</v>
      </c>
      <c r="J16" s="526">
        <f t="shared" si="1"/>
        <v>0.25491718426501037</v>
      </c>
      <c r="K16" s="517"/>
      <c r="L16" s="527" t="s">
        <v>150</v>
      </c>
      <c r="M16" s="529">
        <v>262</v>
      </c>
      <c r="N16" s="1011">
        <f>AVERAGE(M17:M20)</f>
        <v>268</v>
      </c>
    </row>
    <row r="17" spans="1:16" s="481" customFormat="1">
      <c r="A17" s="530">
        <v>290</v>
      </c>
      <c r="B17" s="508">
        <v>0</v>
      </c>
      <c r="C17" s="509">
        <v>50</v>
      </c>
      <c r="D17" s="510">
        <v>966</v>
      </c>
      <c r="E17" s="521">
        <f t="shared" si="4"/>
        <v>40</v>
      </c>
      <c r="F17" s="522">
        <f t="shared" si="2"/>
        <v>50</v>
      </c>
      <c r="G17" s="523">
        <f t="shared" si="0"/>
        <v>0.30020703933747411</v>
      </c>
      <c r="H17" s="524">
        <f t="shared" si="3"/>
        <v>3.0020703933747409E-2</v>
      </c>
      <c r="I17" s="525">
        <f>SUM(H$13:H17)</f>
        <v>0.13198757763975155</v>
      </c>
      <c r="J17" s="526">
        <f t="shared" si="1"/>
        <v>0.2639751552795031</v>
      </c>
      <c r="K17" s="531" t="s">
        <v>139</v>
      </c>
      <c r="L17" s="527" t="s">
        <v>149</v>
      </c>
      <c r="M17" s="528">
        <v>274</v>
      </c>
      <c r="N17" s="1012"/>
    </row>
    <row r="18" spans="1:16" s="481" customFormat="1">
      <c r="A18" s="530">
        <v>275</v>
      </c>
      <c r="B18" s="508">
        <v>0</v>
      </c>
      <c r="C18" s="509">
        <v>60</v>
      </c>
      <c r="D18" s="510">
        <v>966</v>
      </c>
      <c r="E18" s="521">
        <f t="shared" si="4"/>
        <v>50</v>
      </c>
      <c r="F18" s="522">
        <f t="shared" si="2"/>
        <v>60</v>
      </c>
      <c r="G18" s="523">
        <f t="shared" si="0"/>
        <v>0.28467908902691513</v>
      </c>
      <c r="H18" s="524">
        <f t="shared" si="3"/>
        <v>2.8467908902691512E-2</v>
      </c>
      <c r="I18" s="525">
        <f>SUM(H$13:H18)</f>
        <v>0.16045548654244307</v>
      </c>
      <c r="J18" s="526">
        <f t="shared" si="1"/>
        <v>0.2674258109040718</v>
      </c>
      <c r="K18" s="532"/>
      <c r="L18" s="527" t="s">
        <v>149</v>
      </c>
      <c r="M18" s="528">
        <v>265</v>
      </c>
      <c r="N18" s="1012"/>
    </row>
    <row r="19" spans="1:16" s="481" customFormat="1" ht="10.15" customHeight="1">
      <c r="A19" s="530">
        <v>290</v>
      </c>
      <c r="B19" s="508">
        <v>0</v>
      </c>
      <c r="C19" s="509">
        <v>70</v>
      </c>
      <c r="D19" s="510">
        <v>966</v>
      </c>
      <c r="E19" s="521">
        <f t="shared" si="4"/>
        <v>60</v>
      </c>
      <c r="F19" s="522">
        <f t="shared" si="2"/>
        <v>70</v>
      </c>
      <c r="G19" s="523">
        <f t="shared" si="0"/>
        <v>0.30020703933747411</v>
      </c>
      <c r="H19" s="524">
        <f t="shared" si="3"/>
        <v>3.0020703933747409E-2</v>
      </c>
      <c r="I19" s="525">
        <f>SUM(H$13:H19)</f>
        <v>0.19047619047619047</v>
      </c>
      <c r="J19" s="526">
        <f t="shared" si="1"/>
        <v>0.27210884353741494</v>
      </c>
      <c r="K19" s="532"/>
      <c r="L19" s="527" t="s">
        <v>149</v>
      </c>
      <c r="M19" s="528">
        <v>265</v>
      </c>
      <c r="N19" s="1013"/>
    </row>
    <row r="20" spans="1:16" s="481" customFormat="1">
      <c r="A20" s="530">
        <v>400</v>
      </c>
      <c r="B20" s="508">
        <v>0</v>
      </c>
      <c r="C20" s="509">
        <v>80</v>
      </c>
      <c r="D20" s="510">
        <v>966</v>
      </c>
      <c r="E20" s="521">
        <f t="shared" si="4"/>
        <v>70</v>
      </c>
      <c r="F20" s="522">
        <f t="shared" si="2"/>
        <v>80</v>
      </c>
      <c r="G20" s="523">
        <f t="shared" si="0"/>
        <v>0.41407867494824019</v>
      </c>
      <c r="H20" s="524">
        <f t="shared" si="3"/>
        <v>4.1407867494824016E-2</v>
      </c>
      <c r="I20" s="525">
        <f>SUM(H$13:H20)</f>
        <v>0.23188405797101447</v>
      </c>
      <c r="J20" s="526">
        <f t="shared" si="1"/>
        <v>0.28985507246376807</v>
      </c>
      <c r="K20" s="517"/>
      <c r="L20" s="527" t="s">
        <v>149</v>
      </c>
      <c r="M20" s="528">
        <v>268</v>
      </c>
      <c r="N20" s="1014"/>
    </row>
    <row r="21" spans="1:16" s="536" customFormat="1">
      <c r="A21" s="530">
        <v>380</v>
      </c>
      <c r="B21" s="508">
        <v>0</v>
      </c>
      <c r="C21" s="509">
        <v>90</v>
      </c>
      <c r="D21" s="510">
        <v>966</v>
      </c>
      <c r="E21" s="521">
        <f t="shared" si="4"/>
        <v>80</v>
      </c>
      <c r="F21" s="522">
        <f t="shared" si="2"/>
        <v>90</v>
      </c>
      <c r="G21" s="523">
        <f t="shared" si="0"/>
        <v>0.39337474120082816</v>
      </c>
      <c r="H21" s="524">
        <f t="shared" si="3"/>
        <v>3.9337474120082816E-2</v>
      </c>
      <c r="I21" s="525">
        <f>SUM(H$13:H21)</f>
        <v>0.27122153209109728</v>
      </c>
      <c r="J21" s="526">
        <f t="shared" si="1"/>
        <v>0.30135725787899698</v>
      </c>
      <c r="K21" s="535"/>
      <c r="L21" s="527" t="s">
        <v>147</v>
      </c>
      <c r="M21" s="528">
        <v>275</v>
      </c>
      <c r="N21" s="1014"/>
    </row>
    <row r="22" spans="1:16" s="536" customFormat="1">
      <c r="A22" s="530">
        <v>375</v>
      </c>
      <c r="B22" s="508">
        <v>0</v>
      </c>
      <c r="C22" s="509">
        <v>100</v>
      </c>
      <c r="D22" s="510">
        <v>966</v>
      </c>
      <c r="E22" s="521">
        <f t="shared" si="4"/>
        <v>90</v>
      </c>
      <c r="F22" s="522">
        <f t="shared" si="2"/>
        <v>100</v>
      </c>
      <c r="G22" s="523">
        <f t="shared" si="0"/>
        <v>0.38819875776397517</v>
      </c>
      <c r="H22" s="524">
        <f t="shared" si="3"/>
        <v>3.8819875776397519E-2</v>
      </c>
      <c r="I22" s="525">
        <f>SUM(H$13:H22)</f>
        <v>0.31004140786749479</v>
      </c>
      <c r="J22" s="526">
        <f t="shared" si="1"/>
        <v>0.31004140786749479</v>
      </c>
      <c r="K22" s="517"/>
      <c r="L22" s="527" t="s">
        <v>147</v>
      </c>
      <c r="M22" s="528">
        <v>275</v>
      </c>
      <c r="N22" s="1014"/>
    </row>
    <row r="23" spans="1:16" s="536" customFormat="1">
      <c r="A23" s="530">
        <v>360</v>
      </c>
      <c r="B23" s="508">
        <v>0</v>
      </c>
      <c r="C23" s="509">
        <v>110</v>
      </c>
      <c r="D23" s="510">
        <v>966</v>
      </c>
      <c r="E23" s="521">
        <f t="shared" si="4"/>
        <v>100</v>
      </c>
      <c r="F23" s="522">
        <f t="shared" si="2"/>
        <v>110</v>
      </c>
      <c r="G23" s="523">
        <f t="shared" si="0"/>
        <v>0.37267080745341613</v>
      </c>
      <c r="H23" s="524">
        <f t="shared" si="3"/>
        <v>3.7267080745341616E-2</v>
      </c>
      <c r="I23" s="525">
        <f>SUM(H$13:H23)</f>
        <v>0.34730848861283642</v>
      </c>
      <c r="J23" s="526">
        <f t="shared" si="1"/>
        <v>0.31573498964803315</v>
      </c>
      <c r="K23" s="538"/>
      <c r="L23" s="527" t="s">
        <v>147</v>
      </c>
      <c r="M23" s="537">
        <v>276</v>
      </c>
      <c r="N23" s="1015"/>
    </row>
    <row r="24" spans="1:16" s="536" customFormat="1">
      <c r="A24" s="530">
        <v>360</v>
      </c>
      <c r="B24" s="508">
        <v>0</v>
      </c>
      <c r="C24" s="509">
        <v>120</v>
      </c>
      <c r="D24" s="510">
        <v>966</v>
      </c>
      <c r="E24" s="521">
        <f t="shared" si="4"/>
        <v>110</v>
      </c>
      <c r="F24" s="522">
        <f t="shared" si="2"/>
        <v>120</v>
      </c>
      <c r="G24" s="523">
        <f t="shared" si="0"/>
        <v>0.37267080745341613</v>
      </c>
      <c r="H24" s="524">
        <f t="shared" si="3"/>
        <v>3.7267080745341616E-2</v>
      </c>
      <c r="I24" s="525">
        <f>SUM(H$13:H24)</f>
        <v>0.38457556935817805</v>
      </c>
      <c r="J24" s="526">
        <f t="shared" si="1"/>
        <v>0.32047964113181504</v>
      </c>
      <c r="K24" s="541"/>
      <c r="L24" s="527" t="s">
        <v>147</v>
      </c>
      <c r="M24" s="539">
        <v>265</v>
      </c>
      <c r="N24" s="1015"/>
    </row>
    <row r="25" spans="1:16" s="536" customFormat="1">
      <c r="A25" s="530">
        <v>405</v>
      </c>
      <c r="B25" s="508">
        <v>0</v>
      </c>
      <c r="C25" s="509">
        <v>130</v>
      </c>
      <c r="D25" s="510">
        <v>966</v>
      </c>
      <c r="E25" s="521">
        <f t="shared" si="4"/>
        <v>120</v>
      </c>
      <c r="F25" s="522">
        <f t="shared" si="2"/>
        <v>130</v>
      </c>
      <c r="G25" s="523">
        <f t="shared" si="0"/>
        <v>0.41925465838509318</v>
      </c>
      <c r="H25" s="524">
        <f t="shared" si="3"/>
        <v>4.192546583850932E-2</v>
      </c>
      <c r="I25" s="525">
        <f>SUM(H$13:H25)</f>
        <v>0.42650103519668736</v>
      </c>
      <c r="J25" s="526">
        <f t="shared" si="1"/>
        <v>0.3280777193820672</v>
      </c>
      <c r="K25" s="541"/>
      <c r="L25" s="527" t="s">
        <v>147</v>
      </c>
      <c r="M25" s="539">
        <v>283</v>
      </c>
      <c r="N25" s="1015"/>
    </row>
    <row r="26" spans="1:16" s="536" customFormat="1">
      <c r="A26" s="530">
        <v>435</v>
      </c>
      <c r="B26" s="508">
        <v>0</v>
      </c>
      <c r="C26" s="509">
        <v>140</v>
      </c>
      <c r="D26" s="510">
        <v>966</v>
      </c>
      <c r="E26" s="521">
        <f t="shared" si="4"/>
        <v>130</v>
      </c>
      <c r="F26" s="522">
        <f t="shared" si="2"/>
        <v>140</v>
      </c>
      <c r="G26" s="523">
        <f t="shared" si="0"/>
        <v>0.4503105590062112</v>
      </c>
      <c r="H26" s="524">
        <f t="shared" si="3"/>
        <v>4.503105590062112E-2</v>
      </c>
      <c r="I26" s="525">
        <f>SUM(H$13:H26)</f>
        <v>0.47153209109730848</v>
      </c>
      <c r="J26" s="526">
        <f t="shared" si="1"/>
        <v>0.33680863649807752</v>
      </c>
      <c r="K26" s="541"/>
      <c r="L26" s="527" t="s">
        <v>147</v>
      </c>
      <c r="M26" s="539">
        <v>268</v>
      </c>
      <c r="N26" s="1015"/>
    </row>
    <row r="27" spans="1:16" s="536" customFormat="1">
      <c r="A27" s="530">
        <v>380</v>
      </c>
      <c r="B27" s="508">
        <v>0</v>
      </c>
      <c r="C27" s="509">
        <v>150</v>
      </c>
      <c r="D27" s="510">
        <v>966</v>
      </c>
      <c r="E27" s="521">
        <f t="shared" si="4"/>
        <v>140</v>
      </c>
      <c r="F27" s="522">
        <f t="shared" si="2"/>
        <v>150</v>
      </c>
      <c r="G27" s="523">
        <f t="shared" si="0"/>
        <v>0.39337474120082816</v>
      </c>
      <c r="H27" s="524">
        <f t="shared" si="3"/>
        <v>3.9337474120082816E-2</v>
      </c>
      <c r="I27" s="525">
        <f>SUM(H$13:H27)</f>
        <v>0.51086956521739135</v>
      </c>
      <c r="J27" s="526">
        <f t="shared" si="1"/>
        <v>0.34057971014492755</v>
      </c>
      <c r="K27" s="541"/>
      <c r="L27" s="527" t="s">
        <v>147</v>
      </c>
      <c r="M27" s="528">
        <v>276</v>
      </c>
      <c r="N27" s="1015"/>
    </row>
    <row r="28" spans="1:16" s="536" customFormat="1">
      <c r="A28" s="530">
        <v>410</v>
      </c>
      <c r="B28" s="508">
        <v>0</v>
      </c>
      <c r="C28" s="509">
        <v>160</v>
      </c>
      <c r="D28" s="510">
        <v>966</v>
      </c>
      <c r="E28" s="521">
        <f t="shared" si="4"/>
        <v>150</v>
      </c>
      <c r="F28" s="522">
        <f t="shared" si="2"/>
        <v>160</v>
      </c>
      <c r="G28" s="523">
        <f t="shared" si="0"/>
        <v>0.42443064182194618</v>
      </c>
      <c r="H28" s="524">
        <f t="shared" si="3"/>
        <v>4.2443064182194616E-2</v>
      </c>
      <c r="I28" s="525">
        <f>SUM(H$13:H28)</f>
        <v>0.55331262939958592</v>
      </c>
      <c r="J28" s="526">
        <f t="shared" si="1"/>
        <v>0.34582039337474119</v>
      </c>
      <c r="K28" s="541"/>
      <c r="L28" s="527" t="s">
        <v>147</v>
      </c>
      <c r="M28" s="528">
        <v>254</v>
      </c>
      <c r="N28" s="1015"/>
    </row>
    <row r="29" spans="1:16">
      <c r="A29" s="530">
        <v>410</v>
      </c>
      <c r="B29" s="508">
        <v>0</v>
      </c>
      <c r="C29" s="509">
        <v>170</v>
      </c>
      <c r="D29" s="510">
        <v>966</v>
      </c>
      <c r="E29" s="521">
        <f t="shared" si="4"/>
        <v>160</v>
      </c>
      <c r="F29" s="522">
        <f t="shared" si="2"/>
        <v>170</v>
      </c>
      <c r="G29" s="523">
        <f t="shared" si="0"/>
        <v>0.42443064182194618</v>
      </c>
      <c r="H29" s="524">
        <f t="shared" si="3"/>
        <v>4.2443064182194616E-2</v>
      </c>
      <c r="I29" s="525">
        <f>SUM(H$13:H29)</f>
        <v>0.59575569358178049</v>
      </c>
      <c r="J29" s="526">
        <f t="shared" si="1"/>
        <v>0.35044452563634143</v>
      </c>
      <c r="K29" s="541"/>
      <c r="L29" s="527" t="s">
        <v>147</v>
      </c>
      <c r="M29" s="528">
        <v>247</v>
      </c>
      <c r="N29" s="1015"/>
      <c r="O29" s="536"/>
      <c r="P29" s="536"/>
    </row>
    <row r="30" spans="1:16">
      <c r="A30" s="530">
        <v>450</v>
      </c>
      <c r="B30" s="508">
        <v>0</v>
      </c>
      <c r="C30" s="509">
        <v>180</v>
      </c>
      <c r="D30" s="510">
        <v>966</v>
      </c>
      <c r="E30" s="521">
        <f t="shared" si="4"/>
        <v>170</v>
      </c>
      <c r="F30" s="522">
        <f t="shared" si="2"/>
        <v>180</v>
      </c>
      <c r="G30" s="523">
        <f t="shared" si="0"/>
        <v>0.46583850931677018</v>
      </c>
      <c r="H30" s="524">
        <f t="shared" si="3"/>
        <v>4.6583850931677023E-2</v>
      </c>
      <c r="I30" s="525">
        <f>SUM(H$13:H30)</f>
        <v>0.64233954451345754</v>
      </c>
      <c r="J30" s="526">
        <f t="shared" si="1"/>
        <v>0.35685530250747644</v>
      </c>
      <c r="K30" s="541"/>
      <c r="L30" s="527" t="s">
        <v>147</v>
      </c>
      <c r="M30" s="528">
        <v>272</v>
      </c>
      <c r="N30" s="1015"/>
      <c r="O30" s="536"/>
      <c r="P30" s="536"/>
    </row>
    <row r="31" spans="1:16">
      <c r="A31" s="530">
        <v>460</v>
      </c>
      <c r="B31" s="508">
        <v>0</v>
      </c>
      <c r="C31" s="509">
        <v>190</v>
      </c>
      <c r="D31" s="510">
        <v>966</v>
      </c>
      <c r="E31" s="521">
        <f t="shared" si="4"/>
        <v>180</v>
      </c>
      <c r="F31" s="522">
        <f t="shared" si="2"/>
        <v>190</v>
      </c>
      <c r="G31" s="523">
        <f t="shared" si="0"/>
        <v>0.47619047619047616</v>
      </c>
      <c r="H31" s="524">
        <f t="shared" si="3"/>
        <v>4.7619047619047616E-2</v>
      </c>
      <c r="I31" s="525">
        <f>SUM(H$13:H31)</f>
        <v>0.6899585921325051</v>
      </c>
      <c r="J31" s="526">
        <f t="shared" si="1"/>
        <v>0.3631361011223711</v>
      </c>
      <c r="K31" s="541"/>
      <c r="L31" s="527" t="s">
        <v>146</v>
      </c>
      <c r="M31" s="528">
        <v>268</v>
      </c>
      <c r="N31" s="1015">
        <f>AVERAGE(M31:M34)</f>
        <v>273.75</v>
      </c>
      <c r="O31" s="536"/>
      <c r="P31" s="536"/>
    </row>
    <row r="32" spans="1:16">
      <c r="A32" s="530">
        <v>400</v>
      </c>
      <c r="B32" s="508">
        <v>0</v>
      </c>
      <c r="C32" s="509">
        <v>200</v>
      </c>
      <c r="D32" s="510">
        <v>966</v>
      </c>
      <c r="E32" s="521">
        <f t="shared" si="4"/>
        <v>190</v>
      </c>
      <c r="F32" s="522">
        <f t="shared" si="2"/>
        <v>200</v>
      </c>
      <c r="G32" s="523">
        <f t="shared" si="0"/>
        <v>0.41407867494824019</v>
      </c>
      <c r="H32" s="524">
        <f t="shared" si="3"/>
        <v>4.1407867494824016E-2</v>
      </c>
      <c r="I32" s="525">
        <f>SUM(H$13:H32)</f>
        <v>0.73136645962732916</v>
      </c>
      <c r="J32" s="526">
        <f t="shared" si="1"/>
        <v>0.36568322981366458</v>
      </c>
      <c r="K32" s="543"/>
      <c r="L32" s="527" t="s">
        <v>146</v>
      </c>
      <c r="M32" s="528">
        <v>267</v>
      </c>
      <c r="N32" s="540"/>
      <c r="O32" s="536"/>
      <c r="P32" s="536"/>
    </row>
    <row r="33" spans="1:17">
      <c r="A33" s="530">
        <v>410</v>
      </c>
      <c r="B33" s="508">
        <v>0</v>
      </c>
      <c r="C33" s="509">
        <v>210</v>
      </c>
      <c r="D33" s="510">
        <v>966</v>
      </c>
      <c r="E33" s="521">
        <f t="shared" si="4"/>
        <v>200</v>
      </c>
      <c r="F33" s="522">
        <f t="shared" si="2"/>
        <v>210</v>
      </c>
      <c r="G33" s="523">
        <f t="shared" si="0"/>
        <v>0.42443064182194618</v>
      </c>
      <c r="H33" s="524">
        <f t="shared" si="3"/>
        <v>4.2443064182194616E-2</v>
      </c>
      <c r="I33" s="525">
        <f>SUM(H$13:H33)</f>
        <v>0.77380952380952372</v>
      </c>
      <c r="J33" s="526">
        <f t="shared" si="1"/>
        <v>0.36848072562358275</v>
      </c>
      <c r="K33" s="543"/>
      <c r="L33" s="527" t="s">
        <v>146</v>
      </c>
      <c r="M33" s="528">
        <v>278</v>
      </c>
      <c r="N33" s="540"/>
      <c r="O33" s="536"/>
      <c r="P33" s="536"/>
    </row>
    <row r="34" spans="1:17">
      <c r="A34" s="530">
        <v>400</v>
      </c>
      <c r="B34" s="508">
        <v>0</v>
      </c>
      <c r="C34" s="509">
        <v>220</v>
      </c>
      <c r="D34" s="510">
        <v>966</v>
      </c>
      <c r="E34" s="521">
        <f t="shared" si="4"/>
        <v>210</v>
      </c>
      <c r="F34" s="522">
        <f t="shared" si="2"/>
        <v>220</v>
      </c>
      <c r="G34" s="523">
        <f t="shared" si="0"/>
        <v>0.41407867494824019</v>
      </c>
      <c r="H34" s="524">
        <f t="shared" si="3"/>
        <v>4.1407867494824016E-2</v>
      </c>
      <c r="I34" s="525">
        <f>SUM(H$13:H34)</f>
        <v>0.81521739130434778</v>
      </c>
      <c r="J34" s="526">
        <f t="shared" si="1"/>
        <v>0.37055335968379444</v>
      </c>
      <c r="K34" s="543"/>
      <c r="L34" s="527" t="s">
        <v>146</v>
      </c>
      <c r="M34" s="528">
        <v>282</v>
      </c>
      <c r="N34" s="544"/>
      <c r="O34" s="542"/>
      <c r="P34" s="542"/>
    </row>
    <row r="35" spans="1:17">
      <c r="A35" s="530">
        <v>415</v>
      </c>
      <c r="B35" s="508">
        <v>0</v>
      </c>
      <c r="C35" s="509">
        <v>230</v>
      </c>
      <c r="D35" s="510">
        <v>966</v>
      </c>
      <c r="E35" s="521">
        <f t="shared" si="4"/>
        <v>220</v>
      </c>
      <c r="F35" s="522">
        <f t="shared" si="2"/>
        <v>230</v>
      </c>
      <c r="G35" s="523">
        <f t="shared" si="0"/>
        <v>0.42960662525879917</v>
      </c>
      <c r="H35" s="524">
        <f t="shared" si="3"/>
        <v>4.296066252587992E-2</v>
      </c>
      <c r="I35" s="525">
        <f>SUM(H$13:H35)</f>
        <v>0.85817805383022772</v>
      </c>
      <c r="J35" s="526">
        <f t="shared" si="1"/>
        <v>0.37312089296966422</v>
      </c>
      <c r="K35" s="543"/>
      <c r="L35" s="527"/>
      <c r="M35" s="528"/>
      <c r="N35" s="545"/>
      <c r="O35" s="546"/>
      <c r="P35" s="547"/>
      <c r="Q35" s="546"/>
    </row>
    <row r="36" spans="1:17">
      <c r="A36" s="530">
        <v>400</v>
      </c>
      <c r="B36" s="508">
        <v>0</v>
      </c>
      <c r="C36" s="509">
        <v>240</v>
      </c>
      <c r="D36" s="510">
        <v>966</v>
      </c>
      <c r="E36" s="521">
        <f t="shared" si="4"/>
        <v>230</v>
      </c>
      <c r="F36" s="522">
        <f t="shared" si="2"/>
        <v>240</v>
      </c>
      <c r="G36" s="523">
        <f t="shared" si="0"/>
        <v>0.41407867494824019</v>
      </c>
      <c r="H36" s="524">
        <f t="shared" si="3"/>
        <v>4.1407867494824016E-2</v>
      </c>
      <c r="I36" s="525">
        <f>SUM(H$13:H36)</f>
        <v>0.89958592132505177</v>
      </c>
      <c r="J36" s="526">
        <f t="shared" si="1"/>
        <v>0.37482746721877158</v>
      </c>
      <c r="K36" s="543"/>
      <c r="L36" s="527"/>
      <c r="M36" s="528"/>
      <c r="N36" s="545"/>
      <c r="O36" s="546"/>
      <c r="P36" s="548"/>
      <c r="Q36" s="546"/>
    </row>
    <row r="37" spans="1:17">
      <c r="A37" s="530">
        <v>410</v>
      </c>
      <c r="B37" s="508">
        <v>0</v>
      </c>
      <c r="C37" s="509">
        <v>250</v>
      </c>
      <c r="D37" s="510">
        <v>966</v>
      </c>
      <c r="E37" s="521">
        <f t="shared" si="4"/>
        <v>240</v>
      </c>
      <c r="F37" s="522">
        <f t="shared" si="2"/>
        <v>250</v>
      </c>
      <c r="G37" s="523">
        <f t="shared" si="0"/>
        <v>0.42443064182194618</v>
      </c>
      <c r="H37" s="524">
        <f t="shared" si="3"/>
        <v>4.2443064182194616E-2</v>
      </c>
      <c r="I37" s="525">
        <f>SUM(H$13:H37)</f>
        <v>0.94202898550724634</v>
      </c>
      <c r="J37" s="526">
        <f t="shared" si="1"/>
        <v>0.37681159420289856</v>
      </c>
      <c r="K37" s="543"/>
      <c r="L37" s="527"/>
      <c r="M37" s="528"/>
      <c r="N37" s="549"/>
      <c r="O37" s="546"/>
      <c r="P37" s="546"/>
      <c r="Q37" s="546"/>
    </row>
    <row r="38" spans="1:17">
      <c r="A38" s="530">
        <v>390</v>
      </c>
      <c r="B38" s="508">
        <v>0</v>
      </c>
      <c r="C38" s="509">
        <v>260</v>
      </c>
      <c r="D38" s="510">
        <v>966</v>
      </c>
      <c r="E38" s="521">
        <f t="shared" si="4"/>
        <v>250</v>
      </c>
      <c r="F38" s="522">
        <f t="shared" si="2"/>
        <v>260</v>
      </c>
      <c r="G38" s="523">
        <f t="shared" si="0"/>
        <v>0.40372670807453415</v>
      </c>
      <c r="H38" s="524">
        <f t="shared" si="3"/>
        <v>4.0372670807453409E-2</v>
      </c>
      <c r="I38" s="525">
        <f>SUM(H$13:H38)</f>
        <v>0.98240165631469978</v>
      </c>
      <c r="J38" s="526">
        <f t="shared" si="1"/>
        <v>0.37784679089026918</v>
      </c>
      <c r="K38" s="543"/>
      <c r="L38" s="527"/>
      <c r="M38" s="528"/>
      <c r="N38" s="550"/>
      <c r="O38" s="551"/>
      <c r="P38" s="542"/>
    </row>
    <row r="39" spans="1:17">
      <c r="A39" s="530">
        <v>420</v>
      </c>
      <c r="B39" s="508">
        <v>0</v>
      </c>
      <c r="C39" s="509">
        <v>270</v>
      </c>
      <c r="D39" s="510">
        <v>966</v>
      </c>
      <c r="E39" s="521">
        <f t="shared" si="4"/>
        <v>260</v>
      </c>
      <c r="F39" s="522">
        <v>278</v>
      </c>
      <c r="G39" s="523">
        <f t="shared" si="0"/>
        <v>0.43478260869565216</v>
      </c>
      <c r="H39" s="524">
        <f t="shared" si="3"/>
        <v>7.8260869565217397E-2</v>
      </c>
      <c r="I39" s="525">
        <f>SUM(H$13:H39)</f>
        <v>1.0606625258799172</v>
      </c>
      <c r="J39" s="526">
        <f t="shared" si="1"/>
        <v>0.3815332826906177</v>
      </c>
      <c r="K39" s="543" t="s">
        <v>151</v>
      </c>
      <c r="L39" s="527"/>
      <c r="M39" s="528"/>
      <c r="N39" s="551"/>
      <c r="O39" s="551"/>
      <c r="P39" s="542"/>
    </row>
    <row r="40" spans="1:17" ht="12" thickBot="1">
      <c r="A40" s="530"/>
      <c r="B40" s="508"/>
      <c r="C40" s="509"/>
      <c r="D40" s="510"/>
      <c r="E40" s="521"/>
      <c r="F40" s="522"/>
      <c r="G40" s="523"/>
      <c r="H40" s="524"/>
      <c r="I40" s="525"/>
      <c r="J40" s="526"/>
      <c r="K40" s="543"/>
      <c r="L40" s="527"/>
      <c r="M40" s="552"/>
      <c r="O40" s="542"/>
      <c r="P40" s="542"/>
    </row>
    <row r="41" spans="1:17">
      <c r="A41" s="555" t="s">
        <v>142</v>
      </c>
      <c r="B41" s="556"/>
      <c r="C41" s="557"/>
      <c r="D41" s="558"/>
      <c r="E41" s="559"/>
      <c r="F41" s="560"/>
      <c r="G41" s="561"/>
      <c r="H41" s="562"/>
      <c r="I41" s="563"/>
      <c r="J41" s="564"/>
      <c r="K41" s="565"/>
      <c r="L41" s="553" t="s">
        <v>140</v>
      </c>
      <c r="M41" s="554">
        <f>AVERAGE(M12,M21:M30)</f>
        <v>269.90909090909093</v>
      </c>
      <c r="O41" s="542"/>
      <c r="P41" s="542"/>
    </row>
    <row r="42" spans="1:17">
      <c r="A42" s="566"/>
      <c r="B42" s="567"/>
      <c r="C42" s="568"/>
      <c r="D42" s="569"/>
      <c r="E42" s="570"/>
      <c r="F42" s="571"/>
      <c r="G42" s="572"/>
      <c r="H42" s="573"/>
      <c r="I42" s="574"/>
      <c r="J42" s="575"/>
      <c r="K42" s="576"/>
      <c r="L42" s="429" t="s">
        <v>141</v>
      </c>
      <c r="M42" s="552">
        <f>STDEV(M12:M40)</f>
        <v>8.4789905432434036</v>
      </c>
      <c r="O42" s="542"/>
      <c r="P42" s="542"/>
    </row>
    <row r="43" spans="1:17" ht="12" thickBot="1">
      <c r="A43" s="577"/>
      <c r="B43" s="578"/>
      <c r="C43" s="579"/>
      <c r="D43" s="580"/>
      <c r="E43" s="581"/>
      <c r="F43" s="582"/>
      <c r="G43" s="583"/>
      <c r="H43" s="584"/>
      <c r="I43" s="585"/>
      <c r="J43" s="586"/>
      <c r="K43" s="587"/>
      <c r="L43" s="429" t="s">
        <v>143</v>
      </c>
      <c r="M43" s="552">
        <f>M42/SQRT(COUNT(M12:M39))</f>
        <v>1.7679917449198765</v>
      </c>
      <c r="O43" s="542"/>
      <c r="P43" s="542"/>
    </row>
    <row r="44" spans="1:17">
      <c r="A44" s="590"/>
      <c r="B44" s="590"/>
      <c r="C44" s="591"/>
      <c r="D44" s="592"/>
      <c r="E44" s="592"/>
      <c r="F44" s="592"/>
      <c r="G44" s="593"/>
      <c r="H44" s="594"/>
      <c r="I44" s="595"/>
      <c r="J44" s="596"/>
      <c r="K44" s="597"/>
      <c r="L44" s="429" t="s">
        <v>144</v>
      </c>
      <c r="M44" s="552">
        <f>MAX(M12:M39)</f>
        <v>283</v>
      </c>
      <c r="O44" s="542"/>
      <c r="P44" s="542"/>
    </row>
    <row r="45" spans="1:17" ht="12" thickBot="1">
      <c r="A45" s="484"/>
      <c r="B45" s="484"/>
      <c r="C45" s="599"/>
      <c r="D45" s="599"/>
      <c r="E45" s="599"/>
      <c r="F45" s="599"/>
      <c r="G45" s="595"/>
      <c r="H45" s="594"/>
      <c r="I45" s="595"/>
      <c r="J45" s="596"/>
      <c r="K45" s="600"/>
      <c r="L45" s="588" t="s">
        <v>145</v>
      </c>
      <c r="M45" s="589">
        <f>MIN(M12:M39)</f>
        <v>247</v>
      </c>
      <c r="O45" s="542"/>
      <c r="P45" s="542"/>
    </row>
    <row r="46" spans="1:17">
      <c r="A46" s="601"/>
      <c r="B46" s="601"/>
      <c r="C46" s="601"/>
      <c r="D46" s="601"/>
      <c r="E46" s="596"/>
      <c r="F46" s="602"/>
      <c r="G46" s="484"/>
      <c r="H46" s="542"/>
      <c r="I46" s="484"/>
      <c r="J46" s="542"/>
      <c r="K46" s="542"/>
      <c r="L46" s="598"/>
      <c r="M46" s="484"/>
      <c r="O46" s="542"/>
      <c r="P46" s="542"/>
    </row>
    <row r="47" spans="1:17">
      <c r="A47" s="603"/>
      <c r="B47" s="603"/>
      <c r="C47" s="601"/>
      <c r="D47" s="601"/>
      <c r="E47" s="596"/>
      <c r="F47" s="602"/>
      <c r="G47" s="542"/>
      <c r="H47" s="542"/>
      <c r="I47" s="484"/>
      <c r="J47" s="542"/>
      <c r="K47" s="542"/>
      <c r="L47" s="598"/>
      <c r="M47" s="484"/>
      <c r="O47" s="542"/>
      <c r="P47" s="542"/>
    </row>
    <row r="48" spans="1:17">
      <c r="A48" s="477"/>
      <c r="B48" s="477"/>
      <c r="C48" s="601"/>
      <c r="D48" s="601"/>
      <c r="E48" s="596"/>
      <c r="F48" s="602"/>
      <c r="G48" s="542"/>
      <c r="H48" s="542"/>
      <c r="I48" s="484"/>
      <c r="J48" s="542"/>
      <c r="K48" s="542"/>
      <c r="L48" s="484"/>
      <c r="M48" s="484"/>
      <c r="O48" s="542"/>
      <c r="P48" s="542"/>
    </row>
    <row r="49" spans="1:17">
      <c r="A49" s="601"/>
      <c r="B49" s="601"/>
      <c r="C49" s="601"/>
      <c r="D49" s="601"/>
      <c r="E49" s="596"/>
      <c r="F49" s="602"/>
      <c r="G49" s="542"/>
      <c r="H49" s="542"/>
      <c r="I49" s="484"/>
      <c r="J49" s="542"/>
      <c r="K49" s="542"/>
      <c r="L49" s="484"/>
      <c r="M49" s="484"/>
      <c r="O49" s="542"/>
      <c r="P49" s="542"/>
    </row>
    <row r="50" spans="1:17">
      <c r="A50" s="601"/>
      <c r="B50" s="601"/>
      <c r="C50" s="601"/>
      <c r="D50" s="601"/>
      <c r="E50" s="596"/>
      <c r="F50" s="602"/>
      <c r="G50" s="542"/>
      <c r="H50" s="542"/>
      <c r="I50" s="484"/>
      <c r="J50" s="595"/>
      <c r="K50" s="542"/>
      <c r="L50" s="484"/>
      <c r="M50" s="484"/>
      <c r="O50" s="542"/>
      <c r="P50" s="542"/>
    </row>
    <row r="51" spans="1:17">
      <c r="A51" s="601"/>
      <c r="B51" s="601"/>
      <c r="C51" s="601"/>
      <c r="D51" s="601"/>
      <c r="E51" s="596"/>
      <c r="F51" s="602"/>
      <c r="G51" s="542"/>
      <c r="H51" s="542"/>
      <c r="I51" s="484"/>
      <c r="J51" s="595"/>
      <c r="K51" s="542"/>
      <c r="L51" s="484"/>
      <c r="M51" s="484"/>
      <c r="O51" s="542"/>
      <c r="P51" s="542"/>
    </row>
    <row r="52" spans="1:17">
      <c r="A52" s="601"/>
      <c r="B52" s="601"/>
      <c r="C52" s="601"/>
      <c r="D52" s="601"/>
      <c r="E52" s="596"/>
      <c r="F52" s="602"/>
      <c r="G52" s="542"/>
      <c r="H52" s="542"/>
      <c r="I52" s="484"/>
      <c r="J52" s="542"/>
      <c r="K52" s="542"/>
      <c r="L52" s="484"/>
      <c r="M52" s="484"/>
      <c r="O52" s="542"/>
      <c r="P52" s="542"/>
    </row>
    <row r="53" spans="1:17">
      <c r="A53" s="601"/>
      <c r="B53" s="601"/>
      <c r="C53" s="601"/>
      <c r="D53" s="601"/>
      <c r="E53" s="596"/>
      <c r="F53" s="602"/>
      <c r="G53" s="542"/>
      <c r="H53" s="542"/>
      <c r="I53" s="484"/>
      <c r="J53" s="542"/>
      <c r="K53" s="542"/>
      <c r="L53" s="484"/>
      <c r="M53" s="484"/>
      <c r="O53" s="542"/>
      <c r="P53" s="542"/>
    </row>
    <row r="54" spans="1:17">
      <c r="A54" s="601"/>
      <c r="B54" s="601"/>
      <c r="C54" s="601"/>
      <c r="D54" s="601"/>
      <c r="E54" s="596"/>
      <c r="F54" s="602"/>
      <c r="G54" s="542"/>
      <c r="H54" s="542"/>
      <c r="I54" s="484"/>
      <c r="J54" s="542"/>
      <c r="K54" s="542"/>
      <c r="L54" s="484"/>
      <c r="M54" s="484"/>
      <c r="N54" s="484"/>
      <c r="P54" s="542"/>
    </row>
    <row r="55" spans="1:17">
      <c r="A55" s="601"/>
      <c r="B55" s="601"/>
      <c r="C55" s="601"/>
      <c r="D55" s="601"/>
      <c r="E55" s="596"/>
      <c r="F55" s="602"/>
      <c r="G55" s="542"/>
      <c r="H55" s="542"/>
      <c r="I55" s="484"/>
      <c r="J55" s="542"/>
      <c r="K55" s="542"/>
      <c r="L55" s="484"/>
      <c r="M55" s="484"/>
      <c r="N55" s="550"/>
      <c r="Q55" s="484"/>
    </row>
    <row r="56" spans="1:17">
      <c r="A56" s="601"/>
      <c r="B56" s="601"/>
      <c r="C56" s="601"/>
      <c r="D56" s="601"/>
      <c r="E56" s="596"/>
      <c r="F56" s="602"/>
      <c r="G56" s="542"/>
      <c r="H56" s="542"/>
      <c r="I56" s="484"/>
      <c r="J56" s="542"/>
      <c r="K56" s="542"/>
      <c r="L56" s="484"/>
      <c r="M56" s="484"/>
      <c r="N56" s="550"/>
      <c r="O56" s="542"/>
      <c r="P56" s="542"/>
    </row>
    <row r="57" spans="1:17">
      <c r="A57" s="601"/>
      <c r="B57" s="601"/>
      <c r="C57" s="601"/>
      <c r="D57" s="601"/>
      <c r="E57" s="596"/>
      <c r="F57" s="602"/>
      <c r="G57" s="542"/>
      <c r="H57" s="542"/>
      <c r="I57" s="484"/>
      <c r="J57" s="542"/>
      <c r="K57" s="542"/>
      <c r="L57" s="484"/>
      <c r="M57" s="484"/>
      <c r="N57" s="484"/>
      <c r="O57" s="542"/>
      <c r="P57" s="542"/>
    </row>
    <row r="58" spans="1:17">
      <c r="A58" s="601"/>
      <c r="B58" s="601"/>
      <c r="C58" s="601"/>
      <c r="D58" s="601"/>
      <c r="E58" s="596"/>
      <c r="F58" s="602"/>
      <c r="G58" s="542"/>
      <c r="H58" s="542"/>
      <c r="I58" s="484"/>
      <c r="J58" s="542"/>
      <c r="K58" s="542"/>
      <c r="L58" s="484"/>
      <c r="M58" s="484"/>
      <c r="O58" s="542"/>
      <c r="P58" s="542"/>
    </row>
    <row r="59" spans="1:17">
      <c r="A59" s="601"/>
      <c r="B59" s="601"/>
      <c r="C59" s="601"/>
      <c r="D59" s="601"/>
      <c r="E59" s="596"/>
      <c r="F59" s="602"/>
      <c r="G59" s="542"/>
      <c r="H59" s="542"/>
      <c r="I59" s="484"/>
      <c r="J59" s="542"/>
      <c r="K59" s="542"/>
      <c r="L59" s="484"/>
      <c r="O59" s="542"/>
      <c r="P59" s="542"/>
    </row>
    <row r="60" spans="1:17">
      <c r="A60" s="601"/>
      <c r="B60" s="601"/>
      <c r="C60" s="601"/>
      <c r="D60" s="601"/>
      <c r="E60" s="596"/>
      <c r="F60" s="602"/>
      <c r="G60" s="542"/>
      <c r="H60" s="542"/>
      <c r="I60" s="484"/>
      <c r="J60" s="542"/>
      <c r="K60" s="542"/>
      <c r="L60" s="484"/>
      <c r="O60" s="542"/>
      <c r="P60" s="542"/>
    </row>
    <row r="61" spans="1:17">
      <c r="A61" s="601"/>
      <c r="B61" s="601"/>
      <c r="C61" s="601"/>
      <c r="D61" s="601"/>
      <c r="E61" s="596"/>
      <c r="F61" s="602"/>
      <c r="G61" s="542"/>
      <c r="H61" s="542"/>
      <c r="I61" s="484"/>
      <c r="J61" s="542"/>
      <c r="K61" s="542"/>
      <c r="L61" s="542"/>
      <c r="O61" s="542"/>
      <c r="P61" s="542"/>
    </row>
    <row r="62" spans="1:17">
      <c r="A62" s="601"/>
      <c r="B62" s="601"/>
      <c r="C62" s="601"/>
      <c r="D62" s="601"/>
      <c r="E62" s="596"/>
      <c r="F62" s="602"/>
      <c r="G62" s="542"/>
      <c r="H62" s="542"/>
      <c r="I62" s="484"/>
      <c r="J62" s="542"/>
      <c r="K62" s="542"/>
      <c r="L62" s="542"/>
      <c r="O62" s="542"/>
      <c r="P62" s="542"/>
    </row>
    <row r="63" spans="1:17">
      <c r="A63" s="601"/>
      <c r="B63" s="601"/>
      <c r="C63" s="601"/>
      <c r="D63" s="601"/>
      <c r="E63" s="596"/>
      <c r="F63" s="602"/>
      <c r="G63" s="542"/>
      <c r="H63" s="542"/>
      <c r="I63" s="484"/>
      <c r="J63" s="542"/>
      <c r="K63" s="542"/>
      <c r="L63" s="542"/>
      <c r="O63" s="542"/>
      <c r="P63" s="542"/>
    </row>
    <row r="64" spans="1:17">
      <c r="A64" s="601"/>
      <c r="B64" s="601"/>
      <c r="C64" s="601"/>
      <c r="D64" s="601"/>
      <c r="E64" s="596"/>
      <c r="F64" s="602"/>
      <c r="G64" s="542"/>
      <c r="H64" s="542"/>
      <c r="I64" s="484"/>
      <c r="J64" s="542"/>
      <c r="K64" s="542"/>
      <c r="L64" s="542"/>
      <c r="O64" s="542"/>
      <c r="P64" s="542"/>
    </row>
    <row r="65" spans="1:16">
      <c r="A65" s="601"/>
      <c r="B65" s="601"/>
      <c r="C65" s="601"/>
      <c r="D65" s="601"/>
      <c r="E65" s="596"/>
      <c r="F65" s="602"/>
      <c r="G65" s="542"/>
      <c r="H65" s="542"/>
      <c r="I65" s="484"/>
      <c r="J65" s="542"/>
      <c r="K65" s="542"/>
      <c r="L65" s="542"/>
      <c r="O65" s="542"/>
      <c r="P65" s="542"/>
    </row>
    <row r="66" spans="1:16">
      <c r="A66" s="601"/>
      <c r="B66" s="601"/>
      <c r="C66" s="601"/>
      <c r="D66" s="601"/>
      <c r="E66" s="596"/>
      <c r="F66" s="602"/>
      <c r="G66" s="542"/>
      <c r="H66" s="542"/>
      <c r="I66" s="484"/>
      <c r="J66" s="542"/>
      <c r="K66" s="542"/>
      <c r="L66" s="542"/>
      <c r="O66" s="542"/>
      <c r="P66" s="542"/>
    </row>
    <row r="67" spans="1:16">
      <c r="A67" s="601"/>
      <c r="B67" s="601"/>
      <c r="C67" s="601"/>
      <c r="D67" s="601"/>
      <c r="E67" s="596"/>
      <c r="F67" s="602"/>
      <c r="G67" s="542"/>
      <c r="H67" s="542"/>
      <c r="I67" s="484"/>
      <c r="J67" s="542"/>
      <c r="K67" s="542"/>
      <c r="L67" s="542"/>
      <c r="O67" s="542"/>
      <c r="P67" s="542"/>
    </row>
    <row r="68" spans="1:16">
      <c r="A68" s="601"/>
      <c r="B68" s="601"/>
      <c r="C68" s="601"/>
      <c r="D68" s="601"/>
      <c r="E68" s="596"/>
      <c r="F68" s="602"/>
      <c r="G68" s="542"/>
      <c r="H68" s="542"/>
      <c r="I68" s="484"/>
      <c r="J68" s="542"/>
      <c r="K68" s="542"/>
      <c r="L68" s="542"/>
      <c r="O68" s="542"/>
      <c r="P68" s="542"/>
    </row>
    <row r="69" spans="1:16">
      <c r="A69" s="601"/>
      <c r="B69" s="601"/>
      <c r="C69" s="601"/>
      <c r="D69" s="601"/>
      <c r="E69" s="596"/>
      <c r="F69" s="602"/>
      <c r="G69" s="542"/>
      <c r="H69" s="542"/>
      <c r="I69" s="484"/>
      <c r="J69" s="542"/>
      <c r="K69" s="542"/>
      <c r="L69" s="542"/>
      <c r="O69" s="542"/>
      <c r="P69" s="542"/>
    </row>
    <row r="70" spans="1:16">
      <c r="A70" s="601"/>
      <c r="B70" s="601"/>
      <c r="C70" s="601"/>
      <c r="D70" s="601"/>
      <c r="E70" s="596"/>
      <c r="F70" s="602"/>
      <c r="G70" s="604"/>
      <c r="H70" s="542"/>
      <c r="I70" s="484"/>
      <c r="J70" s="542"/>
      <c r="K70" s="542"/>
      <c r="L70" s="542"/>
      <c r="O70" s="542"/>
      <c r="P70" s="542"/>
    </row>
    <row r="71" spans="1:16">
      <c r="A71" s="601"/>
      <c r="B71" s="601"/>
      <c r="C71" s="601"/>
      <c r="D71" s="601"/>
      <c r="E71" s="596"/>
      <c r="F71" s="602"/>
      <c r="G71" s="604"/>
      <c r="H71" s="542"/>
      <c r="I71" s="484"/>
      <c r="J71" s="542"/>
      <c r="K71" s="542"/>
      <c r="L71" s="542"/>
      <c r="O71" s="542"/>
      <c r="P71" s="542"/>
    </row>
    <row r="72" spans="1:16">
      <c r="A72" s="601"/>
      <c r="B72" s="601"/>
      <c r="C72" s="601"/>
      <c r="D72" s="601"/>
      <c r="E72" s="596"/>
      <c r="F72" s="602"/>
      <c r="G72" s="604"/>
      <c r="H72" s="542"/>
      <c r="I72" s="484"/>
      <c r="J72" s="542"/>
      <c r="K72" s="542"/>
      <c r="L72" s="542"/>
      <c r="O72" s="542"/>
      <c r="P72" s="542"/>
    </row>
    <row r="73" spans="1:16">
      <c r="A73" s="601"/>
      <c r="B73" s="601"/>
      <c r="C73" s="601"/>
      <c r="D73" s="601"/>
      <c r="E73" s="596"/>
      <c r="F73" s="602"/>
      <c r="G73" s="604"/>
      <c r="H73" s="542"/>
      <c r="I73" s="484"/>
      <c r="J73" s="542"/>
      <c r="K73" s="542"/>
      <c r="L73" s="542"/>
      <c r="O73" s="542"/>
      <c r="P73" s="542"/>
    </row>
    <row r="74" spans="1:16">
      <c r="A74" s="601"/>
      <c r="B74" s="601"/>
      <c r="C74" s="601"/>
      <c r="D74" s="601"/>
      <c r="E74" s="596"/>
      <c r="F74" s="602"/>
      <c r="G74" s="542"/>
      <c r="H74" s="542"/>
      <c r="I74" s="484"/>
      <c r="J74" s="542"/>
      <c r="K74" s="542"/>
      <c r="L74" s="542"/>
      <c r="O74" s="542"/>
      <c r="P74" s="542"/>
    </row>
    <row r="75" spans="1:16">
      <c r="A75" s="601"/>
      <c r="B75" s="601"/>
      <c r="C75" s="601"/>
      <c r="D75" s="601"/>
      <c r="E75" s="596"/>
      <c r="F75" s="602"/>
      <c r="G75" s="542"/>
      <c r="H75" s="542"/>
      <c r="I75" s="484"/>
      <c r="J75" s="542"/>
      <c r="K75" s="542"/>
      <c r="L75" s="542"/>
      <c r="O75" s="542"/>
      <c r="P75" s="542"/>
    </row>
    <row r="76" spans="1:16">
      <c r="A76" s="601"/>
      <c r="B76" s="601"/>
      <c r="C76" s="601"/>
      <c r="D76" s="601"/>
      <c r="E76" s="596"/>
      <c r="F76" s="602"/>
      <c r="G76" s="542"/>
      <c r="H76" s="542"/>
      <c r="I76" s="484"/>
      <c r="J76" s="542"/>
      <c r="K76" s="542"/>
      <c r="L76" s="542"/>
      <c r="O76" s="542"/>
      <c r="P76" s="542"/>
    </row>
    <row r="77" spans="1:16">
      <c r="A77" s="601"/>
      <c r="B77" s="601"/>
      <c r="C77" s="601"/>
      <c r="D77" s="601"/>
      <c r="E77" s="596"/>
      <c r="F77" s="602"/>
      <c r="G77" s="542"/>
      <c r="H77" s="542"/>
      <c r="I77" s="484"/>
      <c r="J77" s="542"/>
      <c r="K77" s="542"/>
      <c r="L77" s="542"/>
      <c r="O77" s="542"/>
      <c r="P77" s="542"/>
    </row>
    <row r="78" spans="1:16">
      <c r="A78" s="601"/>
      <c r="B78" s="601"/>
      <c r="C78" s="601"/>
      <c r="D78" s="601"/>
      <c r="E78" s="596"/>
      <c r="F78" s="602"/>
      <c r="G78" s="542"/>
      <c r="H78" s="542"/>
      <c r="I78" s="484"/>
      <c r="J78" s="542"/>
      <c r="K78" s="542"/>
      <c r="L78" s="542"/>
      <c r="O78" s="542"/>
      <c r="P78" s="542"/>
    </row>
    <row r="79" spans="1:16">
      <c r="A79" s="601"/>
      <c r="B79" s="601"/>
      <c r="C79" s="601"/>
      <c r="D79" s="601"/>
      <c r="E79" s="596"/>
      <c r="F79" s="602"/>
      <c r="G79" s="542"/>
      <c r="H79" s="542"/>
      <c r="I79" s="484"/>
      <c r="J79" s="542"/>
      <c r="K79" s="542"/>
      <c r="L79" s="542"/>
      <c r="O79" s="542"/>
      <c r="P79" s="542"/>
    </row>
    <row r="80" spans="1:16">
      <c r="A80" s="601"/>
      <c r="B80" s="601"/>
      <c r="C80" s="601"/>
      <c r="D80" s="601"/>
      <c r="E80" s="596"/>
      <c r="F80" s="602"/>
      <c r="G80" s="542"/>
      <c r="H80" s="542"/>
      <c r="I80" s="484"/>
      <c r="J80" s="542"/>
      <c r="K80" s="542"/>
      <c r="L80" s="542"/>
      <c r="O80" s="542"/>
      <c r="P80" s="542"/>
    </row>
    <row r="81" spans="1:17">
      <c r="A81" s="601"/>
      <c r="B81" s="601"/>
      <c r="C81" s="601"/>
      <c r="D81" s="601"/>
      <c r="E81" s="596"/>
      <c r="F81" s="602"/>
      <c r="G81" s="542"/>
      <c r="H81" s="542"/>
      <c r="I81" s="484"/>
      <c r="J81" s="542"/>
      <c r="K81" s="542"/>
      <c r="L81" s="542"/>
      <c r="O81" s="542"/>
      <c r="P81" s="542"/>
    </row>
    <row r="82" spans="1:17">
      <c r="A82" s="601"/>
      <c r="B82" s="601"/>
      <c r="C82" s="601"/>
      <c r="D82" s="601"/>
      <c r="E82" s="596"/>
      <c r="F82" s="602"/>
      <c r="G82" s="542"/>
      <c r="H82" s="542"/>
      <c r="I82" s="484"/>
      <c r="J82" s="542"/>
      <c r="K82" s="542"/>
      <c r="L82" s="542"/>
      <c r="O82" s="542"/>
      <c r="P82" s="542"/>
    </row>
    <row r="83" spans="1:17">
      <c r="A83" s="601"/>
      <c r="B83" s="601"/>
      <c r="C83" s="601"/>
      <c r="D83" s="601"/>
      <c r="E83" s="596"/>
      <c r="F83" s="602"/>
      <c r="G83" s="542"/>
      <c r="H83" s="542"/>
      <c r="I83" s="484"/>
      <c r="J83" s="542"/>
      <c r="K83" s="542"/>
      <c r="L83" s="542"/>
      <c r="O83" s="542"/>
      <c r="P83" s="542"/>
    </row>
    <row r="84" spans="1:17">
      <c r="A84" s="601"/>
      <c r="B84" s="601"/>
      <c r="C84" s="601"/>
      <c r="D84" s="601"/>
      <c r="E84" s="596"/>
      <c r="F84" s="602"/>
      <c r="G84" s="542"/>
      <c r="H84" s="542"/>
      <c r="I84" s="484"/>
      <c r="J84" s="542"/>
      <c r="K84" s="542"/>
      <c r="L84" s="542"/>
      <c r="O84" s="542"/>
      <c r="P84" s="542"/>
    </row>
    <row r="85" spans="1:17">
      <c r="A85" s="601"/>
      <c r="B85" s="601"/>
      <c r="C85" s="601"/>
      <c r="D85" s="601"/>
      <c r="E85" s="596"/>
      <c r="F85" s="602"/>
      <c r="G85" s="542"/>
      <c r="H85" s="542"/>
      <c r="I85" s="484"/>
      <c r="J85" s="542"/>
      <c r="K85" s="542"/>
      <c r="L85" s="542"/>
      <c r="O85" s="542"/>
      <c r="P85" s="542"/>
    </row>
    <row r="86" spans="1:17">
      <c r="A86" s="601"/>
      <c r="B86" s="601"/>
      <c r="C86" s="601"/>
      <c r="D86" s="601"/>
      <c r="E86" s="596"/>
      <c r="F86" s="602"/>
      <c r="G86" s="542"/>
      <c r="H86" s="542"/>
      <c r="I86" s="484"/>
      <c r="J86" s="542"/>
      <c r="K86" s="542"/>
      <c r="L86" s="542"/>
      <c r="O86" s="542"/>
      <c r="P86" s="542"/>
    </row>
    <row r="87" spans="1:17">
      <c r="A87" s="601"/>
      <c r="B87" s="601"/>
      <c r="C87" s="601"/>
      <c r="D87" s="601"/>
      <c r="E87" s="596"/>
      <c r="F87" s="602"/>
      <c r="G87" s="542"/>
      <c r="H87" s="542"/>
      <c r="I87" s="484"/>
      <c r="J87" s="542"/>
      <c r="K87" s="542"/>
      <c r="L87" s="542"/>
      <c r="O87" s="542"/>
      <c r="P87" s="542"/>
    </row>
    <row r="88" spans="1:17">
      <c r="A88" s="601"/>
      <c r="B88" s="601"/>
      <c r="C88" s="601"/>
      <c r="D88" s="601"/>
      <c r="E88" s="596"/>
      <c r="F88" s="602"/>
      <c r="G88" s="542"/>
      <c r="H88" s="542"/>
      <c r="I88" s="484"/>
      <c r="J88" s="542"/>
      <c r="K88" s="542"/>
      <c r="L88" s="542"/>
      <c r="O88" s="542"/>
      <c r="P88" s="542"/>
    </row>
    <row r="89" spans="1:17">
      <c r="A89" s="601"/>
      <c r="B89" s="601"/>
      <c r="C89" s="601"/>
      <c r="D89" s="601"/>
      <c r="E89" s="596"/>
      <c r="F89" s="602"/>
      <c r="G89" s="542"/>
      <c r="H89" s="542"/>
      <c r="I89" s="484"/>
      <c r="J89" s="542"/>
      <c r="K89" s="542"/>
      <c r="L89" s="542"/>
      <c r="O89" s="542"/>
      <c r="P89" s="542"/>
    </row>
    <row r="90" spans="1:17" s="601" customFormat="1">
      <c r="E90" s="596"/>
      <c r="F90" s="602"/>
      <c r="G90" s="542"/>
      <c r="H90" s="542"/>
      <c r="I90" s="484"/>
      <c r="J90" s="542"/>
      <c r="K90" s="542"/>
      <c r="L90" s="542"/>
      <c r="M90" s="542"/>
      <c r="N90" s="542"/>
      <c r="O90" s="542"/>
      <c r="P90" s="542"/>
      <c r="Q90" s="542"/>
    </row>
    <row r="91" spans="1:17" s="601" customFormat="1">
      <c r="E91" s="596"/>
      <c r="F91" s="602"/>
      <c r="G91" s="542"/>
      <c r="H91" s="542"/>
      <c r="I91" s="484"/>
      <c r="J91" s="542"/>
      <c r="K91" s="542"/>
      <c r="L91" s="542"/>
      <c r="M91" s="542"/>
      <c r="N91" s="542"/>
      <c r="O91" s="542"/>
      <c r="P91" s="542"/>
      <c r="Q91" s="542"/>
    </row>
    <row r="92" spans="1:17" s="601" customFormat="1">
      <c r="E92" s="596"/>
      <c r="F92" s="602"/>
      <c r="G92" s="542"/>
      <c r="H92" s="542"/>
      <c r="I92" s="484"/>
      <c r="J92" s="542"/>
      <c r="K92" s="542"/>
      <c r="L92" s="542"/>
      <c r="M92" s="542"/>
      <c r="N92" s="542"/>
      <c r="O92" s="542"/>
      <c r="P92" s="542"/>
      <c r="Q92" s="542"/>
    </row>
    <row r="93" spans="1:17" s="601" customFormat="1">
      <c r="E93" s="596"/>
      <c r="F93" s="602"/>
      <c r="G93" s="542"/>
      <c r="H93" s="542"/>
      <c r="I93" s="484"/>
      <c r="J93" s="542"/>
      <c r="K93" s="542"/>
      <c r="L93" s="542"/>
      <c r="M93" s="542"/>
      <c r="N93" s="542"/>
      <c r="O93" s="542"/>
      <c r="P93" s="542"/>
      <c r="Q93" s="542"/>
    </row>
    <row r="94" spans="1:17" s="601" customFormat="1">
      <c r="E94" s="596"/>
      <c r="F94" s="602"/>
      <c r="G94" s="542"/>
      <c r="H94" s="542"/>
      <c r="I94" s="484"/>
      <c r="J94" s="542"/>
      <c r="K94" s="542"/>
      <c r="L94" s="542"/>
      <c r="M94" s="542"/>
      <c r="N94" s="542"/>
      <c r="O94" s="542"/>
      <c r="P94" s="542"/>
      <c r="Q94" s="542"/>
    </row>
    <row r="95" spans="1:17" s="601" customFormat="1">
      <c r="E95" s="596"/>
      <c r="F95" s="602"/>
      <c r="G95" s="542"/>
      <c r="H95" s="542"/>
      <c r="I95" s="484"/>
      <c r="J95" s="542"/>
      <c r="K95" s="542"/>
      <c r="L95" s="542"/>
      <c r="M95" s="542"/>
    </row>
    <row r="96" spans="1:17" s="601" customFormat="1">
      <c r="E96" s="596"/>
      <c r="F96" s="602"/>
      <c r="G96" s="542"/>
      <c r="H96" s="542"/>
      <c r="I96" s="484"/>
      <c r="J96" s="542"/>
      <c r="K96" s="542"/>
      <c r="L96" s="542"/>
      <c r="M96" s="542"/>
    </row>
    <row r="97" spans="5:13" s="601" customFormat="1">
      <c r="E97" s="596"/>
      <c r="F97" s="602"/>
      <c r="G97" s="542"/>
      <c r="H97" s="542"/>
      <c r="I97" s="484"/>
      <c r="J97" s="542"/>
      <c r="K97" s="542"/>
      <c r="L97" s="542"/>
      <c r="M97" s="542"/>
    </row>
    <row r="98" spans="5:13" s="601" customFormat="1">
      <c r="E98" s="596"/>
      <c r="F98" s="602"/>
      <c r="G98" s="542"/>
      <c r="H98" s="542"/>
      <c r="I98" s="484"/>
      <c r="J98" s="542"/>
      <c r="K98" s="542"/>
      <c r="L98" s="542"/>
    </row>
    <row r="99" spans="5:13" s="601" customFormat="1">
      <c r="E99" s="596"/>
      <c r="F99" s="602"/>
      <c r="G99" s="542"/>
      <c r="H99" s="542"/>
      <c r="I99" s="484"/>
      <c r="J99" s="542"/>
      <c r="K99" s="542"/>
      <c r="L99" s="542"/>
    </row>
    <row r="100" spans="5:13" s="601" customFormat="1">
      <c r="E100" s="596"/>
      <c r="F100" s="602"/>
      <c r="G100" s="542"/>
      <c r="H100" s="542"/>
      <c r="I100" s="484"/>
      <c r="J100" s="542"/>
      <c r="K100" s="542"/>
      <c r="L100" s="542"/>
    </row>
    <row r="101" spans="5:13" s="601" customFormat="1">
      <c r="E101" s="596"/>
      <c r="F101" s="602"/>
      <c r="G101" s="542"/>
      <c r="H101" s="542"/>
      <c r="I101" s="484"/>
      <c r="J101" s="542"/>
      <c r="K101" s="542"/>
      <c r="L101" s="542"/>
    </row>
    <row r="102" spans="5:13" s="601" customFormat="1">
      <c r="E102" s="596"/>
      <c r="F102" s="602"/>
      <c r="G102" s="542"/>
      <c r="H102" s="542"/>
      <c r="I102" s="484"/>
      <c r="J102" s="542"/>
      <c r="K102" s="542"/>
      <c r="L102" s="542"/>
    </row>
    <row r="103" spans="5:13" s="601" customFormat="1">
      <c r="E103" s="596"/>
      <c r="F103" s="602"/>
      <c r="G103" s="542"/>
      <c r="H103" s="542"/>
      <c r="I103" s="484"/>
      <c r="J103" s="542"/>
      <c r="K103" s="542"/>
      <c r="L103" s="542"/>
    </row>
    <row r="104" spans="5:13" s="601" customFormat="1">
      <c r="E104" s="596"/>
      <c r="F104" s="602"/>
      <c r="G104" s="542"/>
      <c r="H104" s="542"/>
      <c r="I104" s="484"/>
      <c r="J104" s="542"/>
      <c r="K104" s="542"/>
      <c r="L104" s="542"/>
    </row>
    <row r="105" spans="5:13" s="601" customFormat="1">
      <c r="E105" s="596"/>
      <c r="F105" s="602"/>
      <c r="G105" s="542"/>
      <c r="H105" s="542"/>
      <c r="I105" s="484"/>
      <c r="J105" s="542"/>
      <c r="K105" s="542"/>
      <c r="L105" s="542"/>
    </row>
    <row r="106" spans="5:13" s="601" customFormat="1">
      <c r="E106" s="596"/>
      <c r="F106" s="602"/>
      <c r="G106" s="542"/>
      <c r="H106" s="542"/>
      <c r="I106" s="484"/>
      <c r="J106" s="542"/>
      <c r="K106" s="542"/>
      <c r="L106" s="542"/>
    </row>
    <row r="107" spans="5:13" s="601" customFormat="1">
      <c r="E107" s="596"/>
      <c r="F107" s="602"/>
      <c r="G107" s="542"/>
      <c r="H107" s="542"/>
      <c r="I107" s="484"/>
      <c r="J107" s="542"/>
      <c r="K107" s="542"/>
      <c r="L107" s="542"/>
    </row>
    <row r="108" spans="5:13" s="601" customFormat="1">
      <c r="E108" s="596"/>
      <c r="F108" s="602"/>
      <c r="G108" s="542"/>
      <c r="H108" s="542"/>
      <c r="I108" s="484"/>
      <c r="J108" s="542"/>
      <c r="K108" s="542"/>
      <c r="L108" s="542"/>
    </row>
    <row r="109" spans="5:13" s="601" customFormat="1">
      <c r="E109" s="596"/>
      <c r="F109" s="602"/>
      <c r="G109" s="542"/>
      <c r="H109" s="542"/>
      <c r="I109" s="484"/>
      <c r="J109" s="542"/>
      <c r="K109" s="542"/>
      <c r="L109" s="542"/>
    </row>
    <row r="110" spans="5:13" s="601" customFormat="1">
      <c r="E110" s="596"/>
      <c r="F110" s="602"/>
      <c r="G110" s="542"/>
      <c r="H110" s="542"/>
      <c r="I110" s="484"/>
      <c r="J110" s="542"/>
      <c r="K110" s="542"/>
      <c r="L110" s="542"/>
    </row>
    <row r="111" spans="5:13" s="601" customFormat="1">
      <c r="E111" s="596"/>
      <c r="F111" s="602"/>
      <c r="G111" s="542"/>
      <c r="H111" s="542"/>
      <c r="I111" s="484"/>
      <c r="J111" s="542"/>
      <c r="K111" s="542"/>
      <c r="L111" s="542"/>
    </row>
    <row r="112" spans="5:13" s="601" customFormat="1">
      <c r="E112" s="596"/>
      <c r="F112" s="602"/>
      <c r="G112" s="542"/>
      <c r="H112" s="542"/>
      <c r="I112" s="484"/>
      <c r="J112" s="542"/>
      <c r="K112" s="542"/>
      <c r="L112" s="542"/>
    </row>
    <row r="113" spans="5:12" s="601" customFormat="1">
      <c r="E113" s="596"/>
      <c r="F113" s="602"/>
      <c r="G113" s="542"/>
      <c r="H113" s="542"/>
      <c r="I113" s="484"/>
      <c r="J113" s="542"/>
      <c r="K113" s="542"/>
      <c r="L113" s="542"/>
    </row>
    <row r="114" spans="5:12" s="601" customFormat="1">
      <c r="E114" s="596"/>
      <c r="F114" s="602"/>
      <c r="G114" s="542"/>
      <c r="H114" s="542"/>
      <c r="I114" s="484"/>
      <c r="J114" s="542"/>
      <c r="K114" s="542"/>
      <c r="L114" s="542"/>
    </row>
    <row r="115" spans="5:12" s="601" customFormat="1">
      <c r="E115" s="596"/>
      <c r="F115" s="602"/>
      <c r="G115" s="542"/>
      <c r="H115" s="542"/>
      <c r="I115" s="484"/>
      <c r="J115" s="542"/>
      <c r="K115" s="542"/>
      <c r="L115" s="542"/>
    </row>
    <row r="116" spans="5:12" s="601" customFormat="1">
      <c r="E116" s="596"/>
      <c r="F116" s="602"/>
      <c r="G116" s="542"/>
      <c r="H116" s="542"/>
      <c r="I116" s="484"/>
      <c r="J116" s="542"/>
      <c r="K116" s="542"/>
      <c r="L116" s="542"/>
    </row>
    <row r="117" spans="5:12" s="601" customFormat="1">
      <c r="E117" s="596"/>
      <c r="F117" s="602"/>
      <c r="G117" s="542"/>
      <c r="H117" s="542"/>
      <c r="I117" s="484"/>
      <c r="J117" s="542"/>
      <c r="K117" s="542"/>
      <c r="L117" s="542"/>
    </row>
    <row r="118" spans="5:12" s="601" customFormat="1">
      <c r="E118" s="596"/>
      <c r="F118" s="602"/>
      <c r="G118" s="542"/>
      <c r="H118" s="542"/>
      <c r="I118" s="484"/>
      <c r="J118" s="542"/>
      <c r="K118" s="542"/>
      <c r="L118" s="542"/>
    </row>
    <row r="119" spans="5:12" s="601" customFormat="1">
      <c r="E119" s="596"/>
      <c r="F119" s="602"/>
      <c r="G119" s="542"/>
      <c r="H119" s="542"/>
      <c r="I119" s="484"/>
      <c r="J119" s="542"/>
      <c r="K119" s="542"/>
      <c r="L119" s="542"/>
    </row>
    <row r="120" spans="5:12" s="601" customFormat="1">
      <c r="E120" s="596"/>
      <c r="F120" s="602"/>
      <c r="G120" s="542"/>
      <c r="H120" s="542"/>
      <c r="I120" s="484"/>
      <c r="J120" s="542"/>
      <c r="K120" s="542"/>
      <c r="L120" s="542"/>
    </row>
    <row r="121" spans="5:12" s="601" customFormat="1">
      <c r="E121" s="596"/>
      <c r="F121" s="602"/>
      <c r="G121" s="542"/>
      <c r="H121" s="542"/>
      <c r="I121" s="484"/>
      <c r="J121" s="542"/>
      <c r="K121" s="542"/>
      <c r="L121" s="542"/>
    </row>
    <row r="122" spans="5:12" s="601" customFormat="1">
      <c r="E122" s="596"/>
      <c r="F122" s="602"/>
      <c r="G122" s="542"/>
      <c r="H122" s="542"/>
      <c r="I122" s="484"/>
      <c r="J122" s="542"/>
      <c r="K122" s="542"/>
      <c r="L122" s="542"/>
    </row>
    <row r="123" spans="5:12" s="601" customFormat="1">
      <c r="E123" s="596"/>
      <c r="F123" s="602"/>
      <c r="G123" s="542"/>
      <c r="H123" s="542"/>
      <c r="I123" s="484"/>
      <c r="J123" s="542"/>
      <c r="K123" s="542"/>
      <c r="L123" s="542"/>
    </row>
    <row r="124" spans="5:12" s="601" customFormat="1">
      <c r="E124" s="596"/>
      <c r="F124" s="602"/>
      <c r="G124" s="542"/>
      <c r="H124" s="542"/>
      <c r="I124" s="484"/>
      <c r="J124" s="542"/>
      <c r="K124" s="542"/>
      <c r="L124" s="542"/>
    </row>
    <row r="125" spans="5:12" s="601" customFormat="1">
      <c r="E125" s="596"/>
      <c r="F125" s="602"/>
      <c r="G125" s="542"/>
      <c r="H125" s="542"/>
      <c r="I125" s="484"/>
      <c r="J125" s="542"/>
      <c r="K125" s="542"/>
      <c r="L125" s="542"/>
    </row>
    <row r="126" spans="5:12" s="601" customFormat="1">
      <c r="E126" s="596"/>
      <c r="F126" s="602"/>
      <c r="G126" s="542"/>
      <c r="H126" s="542"/>
      <c r="I126" s="484"/>
      <c r="J126" s="542"/>
      <c r="K126" s="542"/>
      <c r="L126" s="542"/>
    </row>
    <row r="127" spans="5:12" s="601" customFormat="1">
      <c r="E127" s="596"/>
      <c r="F127" s="602"/>
      <c r="G127" s="542"/>
      <c r="H127" s="542"/>
      <c r="I127" s="484"/>
      <c r="J127" s="542"/>
      <c r="K127" s="542"/>
      <c r="L127" s="542"/>
    </row>
    <row r="128" spans="5:12" s="601" customFormat="1">
      <c r="E128" s="596"/>
      <c r="F128" s="602"/>
      <c r="G128" s="542"/>
      <c r="H128" s="542"/>
      <c r="I128" s="484"/>
      <c r="J128" s="542"/>
      <c r="K128" s="542"/>
      <c r="L128" s="542"/>
    </row>
    <row r="129" spans="1:12" s="601" customFormat="1">
      <c r="E129" s="596"/>
      <c r="F129" s="602"/>
      <c r="G129" s="542"/>
      <c r="H129" s="542"/>
      <c r="I129" s="484"/>
      <c r="J129" s="542"/>
      <c r="K129" s="542"/>
      <c r="L129" s="542"/>
    </row>
    <row r="130" spans="1:12" s="601" customFormat="1">
      <c r="E130" s="596"/>
      <c r="F130" s="602"/>
      <c r="G130" s="542"/>
      <c r="H130" s="542"/>
      <c r="I130" s="484"/>
      <c r="J130" s="542"/>
      <c r="K130" s="542"/>
      <c r="L130" s="542"/>
    </row>
    <row r="131" spans="1:12" s="601" customFormat="1">
      <c r="E131" s="596"/>
      <c r="F131" s="602"/>
      <c r="G131" s="542"/>
      <c r="H131" s="542"/>
      <c r="I131" s="484"/>
      <c r="J131" s="542"/>
      <c r="K131" s="542"/>
      <c r="L131" s="542"/>
    </row>
    <row r="132" spans="1:12" s="601" customFormat="1">
      <c r="E132" s="596"/>
      <c r="F132" s="602"/>
      <c r="G132" s="542"/>
      <c r="H132" s="542"/>
      <c r="I132" s="484"/>
      <c r="J132" s="542"/>
      <c r="K132" s="542"/>
      <c r="L132" s="542"/>
    </row>
    <row r="133" spans="1:12" s="601" customFormat="1">
      <c r="E133" s="596"/>
      <c r="F133" s="602"/>
      <c r="G133" s="542"/>
      <c r="H133" s="542"/>
      <c r="I133" s="484"/>
      <c r="J133" s="542"/>
      <c r="K133" s="542"/>
      <c r="L133" s="542"/>
    </row>
    <row r="134" spans="1:12" s="601" customFormat="1">
      <c r="E134" s="596"/>
      <c r="F134" s="602"/>
      <c r="G134" s="542"/>
      <c r="H134" s="542"/>
      <c r="I134" s="484"/>
      <c r="J134" s="542"/>
      <c r="K134" s="542"/>
      <c r="L134" s="542"/>
    </row>
    <row r="135" spans="1:12" s="601" customFormat="1">
      <c r="E135" s="596"/>
      <c r="F135" s="602"/>
      <c r="G135" s="542"/>
      <c r="H135" s="542"/>
      <c r="I135" s="484"/>
      <c r="J135" s="542"/>
      <c r="K135" s="542"/>
      <c r="L135" s="542"/>
    </row>
    <row r="136" spans="1:12" s="601" customFormat="1">
      <c r="E136" s="596"/>
      <c r="F136" s="602"/>
      <c r="G136" s="542"/>
      <c r="H136" s="542"/>
      <c r="I136" s="484"/>
      <c r="J136" s="542"/>
      <c r="K136" s="542"/>
      <c r="L136" s="542"/>
    </row>
    <row r="137" spans="1:12" s="601" customFormat="1">
      <c r="E137" s="596"/>
      <c r="F137" s="602"/>
      <c r="G137" s="542"/>
      <c r="H137" s="542"/>
      <c r="I137" s="484"/>
      <c r="J137" s="542"/>
      <c r="K137" s="542"/>
      <c r="L137" s="542"/>
    </row>
    <row r="138" spans="1:12" s="601" customFormat="1">
      <c r="E138" s="596"/>
      <c r="F138" s="602"/>
      <c r="G138" s="542"/>
      <c r="H138" s="542"/>
      <c r="I138" s="484"/>
      <c r="J138" s="542"/>
      <c r="K138" s="542"/>
      <c r="L138" s="542"/>
    </row>
    <row r="139" spans="1:12" s="601" customFormat="1">
      <c r="E139" s="596"/>
      <c r="F139" s="602"/>
      <c r="G139" s="542"/>
      <c r="H139" s="542"/>
      <c r="I139" s="484"/>
      <c r="J139" s="542"/>
      <c r="K139" s="542"/>
      <c r="L139" s="542"/>
    </row>
    <row r="140" spans="1:12" s="601" customFormat="1">
      <c r="E140" s="596"/>
      <c r="F140" s="602"/>
      <c r="G140" s="542"/>
      <c r="H140" s="542"/>
      <c r="I140" s="484"/>
      <c r="J140" s="542"/>
      <c r="K140" s="542"/>
      <c r="L140" s="542"/>
    </row>
    <row r="141" spans="1:12" s="601" customFormat="1">
      <c r="E141" s="596"/>
      <c r="F141" s="602"/>
      <c r="G141" s="542"/>
      <c r="H141" s="542"/>
      <c r="I141" s="484"/>
      <c r="J141" s="542"/>
      <c r="K141" s="542"/>
      <c r="L141" s="542"/>
    </row>
    <row r="142" spans="1:12" s="601" customFormat="1">
      <c r="A142" s="542"/>
      <c r="B142" s="542"/>
      <c r="C142" s="605"/>
      <c r="D142" s="605"/>
      <c r="E142" s="605"/>
      <c r="F142" s="605"/>
      <c r="H142" s="606"/>
      <c r="J142" s="542"/>
      <c r="K142" s="542"/>
      <c r="L142" s="542"/>
    </row>
    <row r="143" spans="1:12" s="601" customFormat="1">
      <c r="A143" s="542"/>
      <c r="B143" s="542"/>
      <c r="C143" s="605"/>
      <c r="D143" s="605"/>
      <c r="E143" s="605"/>
      <c r="F143" s="605"/>
      <c r="H143" s="606"/>
      <c r="J143" s="542"/>
      <c r="K143" s="542"/>
      <c r="L143" s="542"/>
    </row>
    <row r="144" spans="1:12" s="601" customFormat="1">
      <c r="A144" s="542"/>
      <c r="B144" s="542"/>
      <c r="C144" s="605"/>
      <c r="D144" s="605"/>
      <c r="E144" s="605"/>
      <c r="F144" s="605"/>
      <c r="H144" s="606"/>
      <c r="J144" s="542"/>
      <c r="K144" s="542"/>
      <c r="L144" s="542"/>
    </row>
    <row r="145" spans="1:17" s="601" customFormat="1">
      <c r="A145" s="542"/>
      <c r="B145" s="542"/>
      <c r="C145" s="605"/>
      <c r="D145" s="605"/>
      <c r="E145" s="605"/>
      <c r="F145" s="605"/>
      <c r="H145" s="606"/>
      <c r="J145" s="542"/>
      <c r="K145" s="542"/>
      <c r="L145" s="542"/>
    </row>
    <row r="146" spans="1:17" s="601" customFormat="1">
      <c r="A146" s="542"/>
      <c r="B146" s="542"/>
      <c r="C146" s="605"/>
      <c r="D146" s="605"/>
      <c r="E146" s="605"/>
      <c r="F146" s="605"/>
      <c r="H146" s="606"/>
      <c r="J146" s="542"/>
      <c r="K146" s="542"/>
      <c r="L146" s="542"/>
    </row>
    <row r="147" spans="1:17">
      <c r="J147" s="542"/>
      <c r="K147" s="542"/>
      <c r="L147" s="542"/>
      <c r="M147" s="601"/>
      <c r="N147" s="601"/>
      <c r="O147" s="601"/>
      <c r="P147" s="601"/>
      <c r="Q147" s="601"/>
    </row>
    <row r="148" spans="1:17">
      <c r="K148" s="542"/>
      <c r="L148" s="542"/>
      <c r="M148" s="601"/>
      <c r="N148" s="601"/>
      <c r="O148" s="601"/>
      <c r="P148" s="601"/>
      <c r="Q148" s="601"/>
    </row>
    <row r="149" spans="1:17">
      <c r="K149" s="542"/>
      <c r="L149" s="542"/>
      <c r="M149" s="601"/>
      <c r="N149" s="601"/>
      <c r="O149" s="601"/>
      <c r="P149" s="601"/>
      <c r="Q149" s="601"/>
    </row>
    <row r="150" spans="1:17">
      <c r="K150" s="542"/>
      <c r="L150" s="542"/>
      <c r="M150" s="601"/>
      <c r="N150" s="601"/>
      <c r="O150" s="601"/>
      <c r="P150" s="601"/>
      <c r="Q150" s="601"/>
    </row>
    <row r="151" spans="1:17">
      <c r="L151" s="542"/>
      <c r="M151" s="601"/>
      <c r="N151" s="601"/>
      <c r="O151" s="601"/>
      <c r="P151" s="601"/>
      <c r="Q151" s="601"/>
    </row>
    <row r="152" spans="1:17">
      <c r="L152" s="542"/>
      <c r="M152" s="601"/>
    </row>
    <row r="153" spans="1:17">
      <c r="L153" s="542"/>
      <c r="M153" s="601"/>
    </row>
    <row r="154" spans="1:17">
      <c r="L154" s="542"/>
      <c r="M154" s="601"/>
    </row>
    <row r="155" spans="1:17">
      <c r="L155" s="542"/>
    </row>
    <row r="156" spans="1:17">
      <c r="L156" s="542"/>
    </row>
    <row r="157" spans="1:17">
      <c r="L157" s="542"/>
    </row>
  </sheetData>
  <mergeCells count="1">
    <mergeCell ref="L7:M7"/>
  </mergeCells>
  <dataValidations count="1">
    <dataValidation type="list" allowBlank="1" showInputMessage="1" showErrorMessage="1" sqref="B5" xr:uid="{81965448-33D8-45CD-9734-4E86A2AC57E8}">
      <formula1>$AB$5:$AB$8</formula1>
    </dataValidation>
  </dataValidations>
  <pageMargins left="0.7" right="0.7" top="0.75" bottom="0.75" header="0.3" footer="0.3"/>
  <pageSetup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ABD4E-AD01-4911-8F48-5C6A0ABC39CB}">
  <dimension ref="A1:Z146"/>
  <sheetViews>
    <sheetView workbookViewId="0">
      <selection activeCell="V14" sqref="V14"/>
    </sheetView>
  </sheetViews>
  <sheetFormatPr defaultColWidth="7.85546875" defaultRowHeight="11.25"/>
  <cols>
    <col min="1" max="1" width="15.7109375" style="542" bestFit="1" customWidth="1"/>
    <col min="2" max="2" width="9.5703125" style="542" bestFit="1" customWidth="1"/>
    <col min="3" max="3" width="5.140625" style="605" customWidth="1"/>
    <col min="4" max="6" width="7.7109375" style="605" customWidth="1"/>
    <col min="7" max="7" width="12" style="601" bestFit="1" customWidth="1"/>
    <col min="8" max="8" width="9.28515625" style="606" customWidth="1"/>
    <col min="9" max="10" width="8.42578125" style="601" bestFit="1" customWidth="1"/>
    <col min="11" max="11" width="8.42578125" style="596" bestFit="1" customWidth="1"/>
    <col min="12" max="12" width="13.7109375" style="602" bestFit="1" customWidth="1"/>
    <col min="13" max="13" width="6.28515625" style="542" bestFit="1" customWidth="1"/>
    <col min="14" max="14" width="5.7109375" style="542" bestFit="1" customWidth="1"/>
    <col min="15" max="15" width="5.85546875" style="484" bestFit="1" customWidth="1"/>
    <col min="16" max="16" width="5.85546875" style="642" bestFit="1" customWidth="1"/>
    <col min="17" max="17" width="14" style="604" bestFit="1" customWidth="1"/>
    <col min="18" max="18" width="6" style="604" bestFit="1" customWidth="1"/>
    <col min="19" max="19" width="8.7109375" style="604" bestFit="1" customWidth="1"/>
    <col min="20" max="21" width="17.28515625" style="542" bestFit="1" customWidth="1"/>
    <col min="22" max="22" width="9.28515625" style="542" bestFit="1" customWidth="1"/>
    <col min="23" max="27" width="5.28515625" style="542" customWidth="1"/>
    <col min="28" max="28" width="17" style="542" customWidth="1"/>
    <col min="29" max="16384" width="7.85546875" style="542"/>
  </cols>
  <sheetData>
    <row r="1" spans="1:24" s="430" customFormat="1" ht="12.75">
      <c r="A1" s="611" t="s">
        <v>105</v>
      </c>
      <c r="B1" s="612" t="s">
        <v>152</v>
      </c>
      <c r="C1" s="422"/>
      <c r="D1" s="612"/>
      <c r="E1" s="423"/>
      <c r="F1" s="423"/>
      <c r="G1" s="424"/>
      <c r="H1" s="425" t="s">
        <v>154</v>
      </c>
      <c r="I1" s="426">
        <v>459</v>
      </c>
      <c r="J1" s="427"/>
      <c r="K1" s="612"/>
      <c r="L1" s="612"/>
      <c r="N1" s="429"/>
      <c r="P1" s="613"/>
      <c r="Q1" s="613"/>
      <c r="R1" s="613"/>
      <c r="S1" s="613"/>
    </row>
    <row r="2" spans="1:24" s="430" customFormat="1" ht="12.75">
      <c r="A2" s="614" t="s">
        <v>107</v>
      </c>
      <c r="B2" s="612" t="s">
        <v>8</v>
      </c>
      <c r="C2" s="433"/>
      <c r="D2" s="612"/>
      <c r="E2" s="434"/>
      <c r="F2" s="434"/>
      <c r="G2" s="435"/>
      <c r="H2" s="436" t="s">
        <v>155</v>
      </c>
      <c r="I2" s="615">
        <v>354</v>
      </c>
      <c r="J2" s="438"/>
      <c r="K2" s="612"/>
      <c r="L2" s="612"/>
      <c r="N2" s="440"/>
      <c r="P2" s="613"/>
      <c r="Q2" s="613"/>
      <c r="R2" s="613"/>
      <c r="S2" s="613"/>
    </row>
    <row r="3" spans="1:24" s="446" customFormat="1" ht="11.25" customHeight="1">
      <c r="A3" s="442" t="s">
        <v>109</v>
      </c>
      <c r="B3" s="607">
        <v>45399</v>
      </c>
      <c r="C3" s="433"/>
      <c r="D3" s="434"/>
      <c r="E3" s="434"/>
      <c r="F3" s="434"/>
      <c r="G3" s="435"/>
      <c r="H3" s="442" t="s">
        <v>156</v>
      </c>
      <c r="I3" s="616">
        <f>V29/100</f>
        <v>3.4433333333333334</v>
      </c>
      <c r="J3" s="438"/>
      <c r="K3" s="612"/>
      <c r="L3" s="612"/>
      <c r="N3" s="445"/>
      <c r="P3" s="617"/>
      <c r="Q3" s="617"/>
      <c r="R3" s="617"/>
      <c r="S3" s="617"/>
    </row>
    <row r="4" spans="1:24" s="430" customFormat="1" ht="12.75">
      <c r="A4" s="442" t="s">
        <v>111</v>
      </c>
      <c r="B4" s="432" t="s">
        <v>103</v>
      </c>
      <c r="C4" s="433"/>
      <c r="D4" s="434"/>
      <c r="E4" s="434"/>
      <c r="F4" s="434"/>
      <c r="G4" s="435"/>
      <c r="H4" s="442" t="s">
        <v>157</v>
      </c>
      <c r="I4" s="618">
        <f>S27</f>
        <v>0.43096483723904022</v>
      </c>
      <c r="J4" s="438"/>
      <c r="K4" s="612"/>
      <c r="L4" s="612"/>
      <c r="M4" s="429"/>
      <c r="N4" s="429"/>
      <c r="P4" s="613"/>
      <c r="Q4" s="613"/>
      <c r="R4" s="613"/>
      <c r="S4" s="613"/>
    </row>
    <row r="5" spans="1:24" s="451" customFormat="1" ht="12.75">
      <c r="A5" s="614" t="s">
        <v>113</v>
      </c>
      <c r="B5" s="447" t="s">
        <v>114</v>
      </c>
      <c r="C5" s="433"/>
      <c r="D5" s="434"/>
      <c r="E5" s="434"/>
      <c r="F5" s="434"/>
      <c r="G5" s="435"/>
      <c r="H5" s="442"/>
      <c r="I5" s="448"/>
      <c r="J5" s="438"/>
      <c r="K5" s="612"/>
      <c r="L5" s="612"/>
      <c r="M5" s="450"/>
      <c r="N5" s="450"/>
      <c r="P5" s="619"/>
      <c r="Q5" s="619"/>
      <c r="R5" s="619"/>
      <c r="S5" s="619"/>
    </row>
    <row r="6" spans="1:24" s="450" customFormat="1" ht="13.5" thickBot="1">
      <c r="A6" s="620"/>
      <c r="B6" s="621"/>
      <c r="C6" s="622"/>
      <c r="D6" s="623"/>
      <c r="E6" s="623"/>
      <c r="F6" s="623"/>
      <c r="G6" s="624"/>
      <c r="H6" s="625"/>
      <c r="I6" s="626"/>
      <c r="J6" s="624"/>
      <c r="K6" s="621"/>
      <c r="L6" s="621"/>
      <c r="M6" s="471"/>
      <c r="P6" s="627"/>
      <c r="Q6" s="627"/>
      <c r="R6" s="627"/>
      <c r="S6" s="627"/>
    </row>
    <row r="7" spans="1:24" s="451" customFormat="1" ht="13.15" customHeight="1">
      <c r="A7" s="1070" t="s">
        <v>115</v>
      </c>
      <c r="B7" s="1071"/>
      <c r="C7" s="1071"/>
      <c r="D7" s="1071"/>
      <c r="E7" s="1071"/>
      <c r="F7" s="1071"/>
      <c r="G7" s="1071"/>
      <c r="H7" s="1071"/>
      <c r="I7" s="1071"/>
      <c r="J7" s="1071"/>
      <c r="K7" s="1071"/>
      <c r="L7" s="1071"/>
      <c r="M7" s="1072" t="s">
        <v>116</v>
      </c>
      <c r="N7" s="1073"/>
      <c r="O7" s="1074"/>
      <c r="P7" s="628" t="s">
        <v>117</v>
      </c>
      <c r="Q7" s="467"/>
      <c r="R7" s="628" t="s">
        <v>118</v>
      </c>
      <c r="S7" s="628"/>
      <c r="T7" s="469"/>
      <c r="U7" s="1068" t="s">
        <v>119</v>
      </c>
      <c r="V7" s="1069"/>
      <c r="W7" s="450"/>
      <c r="X7" s="450"/>
    </row>
    <row r="8" spans="1:24" s="480" customFormat="1">
      <c r="A8" s="470"/>
      <c r="B8" s="471"/>
      <c r="C8" s="472"/>
      <c r="D8" s="629"/>
      <c r="E8" s="630"/>
      <c r="F8" s="631"/>
      <c r="G8" s="632"/>
      <c r="H8" s="633"/>
      <c r="I8" s="633"/>
      <c r="J8" s="633"/>
      <c r="K8" s="633"/>
      <c r="L8" s="634"/>
      <c r="M8" s="635"/>
      <c r="N8" s="636"/>
      <c r="O8" s="473"/>
      <c r="P8" s="637"/>
      <c r="Q8" s="476"/>
      <c r="R8" s="637"/>
      <c r="S8" s="637"/>
      <c r="T8" s="478"/>
      <c r="U8" s="449"/>
      <c r="V8" s="449"/>
      <c r="W8" s="479"/>
    </row>
    <row r="9" spans="1:24" s="481" customFormat="1" ht="13.15" customHeight="1">
      <c r="A9" s="638"/>
      <c r="B9" s="450"/>
      <c r="C9" s="482"/>
      <c r="D9" s="1075" t="s">
        <v>158</v>
      </c>
      <c r="E9" s="1076"/>
      <c r="F9" s="1077"/>
      <c r="G9" s="639"/>
      <c r="H9" s="1078" t="s">
        <v>159</v>
      </c>
      <c r="I9" s="1079"/>
      <c r="J9" s="1079"/>
      <c r="K9" s="1080"/>
      <c r="L9" s="640"/>
      <c r="M9" s="641"/>
      <c r="N9" s="636" t="s">
        <v>120</v>
      </c>
      <c r="O9" s="473"/>
      <c r="P9" s="637"/>
      <c r="Q9" s="476"/>
      <c r="R9" s="642"/>
      <c r="S9" s="642"/>
      <c r="T9" s="478"/>
      <c r="U9" s="485"/>
      <c r="V9" s="486"/>
      <c r="W9" s="487"/>
      <c r="X9" s="488"/>
    </row>
    <row r="10" spans="1:24" s="481" customFormat="1">
      <c r="A10" s="489" t="s">
        <v>121</v>
      </c>
      <c r="B10" s="490" t="s">
        <v>122</v>
      </c>
      <c r="C10" s="491" t="s">
        <v>123</v>
      </c>
      <c r="D10" s="643" t="s">
        <v>160</v>
      </c>
      <c r="E10" s="644" t="s">
        <v>161</v>
      </c>
      <c r="F10" s="645" t="s">
        <v>162</v>
      </c>
      <c r="G10" s="639" t="s">
        <v>163</v>
      </c>
      <c r="H10" s="646" t="s">
        <v>164</v>
      </c>
      <c r="I10" s="646" t="s">
        <v>165</v>
      </c>
      <c r="J10" s="646" t="s">
        <v>166</v>
      </c>
      <c r="K10" s="646" t="s">
        <v>167</v>
      </c>
      <c r="L10" s="640" t="s">
        <v>168</v>
      </c>
      <c r="M10" s="493" t="s">
        <v>124</v>
      </c>
      <c r="N10" s="647" t="s">
        <v>125</v>
      </c>
      <c r="O10" s="492" t="s">
        <v>126</v>
      </c>
      <c r="P10" s="477" t="s">
        <v>127</v>
      </c>
      <c r="Q10" s="476" t="s">
        <v>128</v>
      </c>
      <c r="R10" s="477" t="s">
        <v>128</v>
      </c>
      <c r="S10" s="477" t="s">
        <v>127</v>
      </c>
      <c r="T10" s="494" t="s">
        <v>129</v>
      </c>
      <c r="U10" s="485" t="s">
        <v>130</v>
      </c>
      <c r="V10" s="485" t="s">
        <v>131</v>
      </c>
      <c r="W10" s="495"/>
    </row>
    <row r="11" spans="1:24" s="481" customFormat="1" ht="12" thickBot="1">
      <c r="A11" s="496" t="s">
        <v>132</v>
      </c>
      <c r="B11" s="497" t="s">
        <v>132</v>
      </c>
      <c r="C11" s="498" t="s">
        <v>133</v>
      </c>
      <c r="D11" s="648" t="s">
        <v>169</v>
      </c>
      <c r="E11" s="649" t="s">
        <v>169</v>
      </c>
      <c r="F11" s="650" t="s">
        <v>169</v>
      </c>
      <c r="G11" s="651" t="s">
        <v>169</v>
      </c>
      <c r="H11" s="652" t="s">
        <v>169</v>
      </c>
      <c r="I11" s="652" t="s">
        <v>169</v>
      </c>
      <c r="J11" s="652" t="s">
        <v>169</v>
      </c>
      <c r="K11" s="652" t="s">
        <v>169</v>
      </c>
      <c r="L11" s="653" t="s">
        <v>169</v>
      </c>
      <c r="M11" s="500" t="s">
        <v>134</v>
      </c>
      <c r="N11" s="654" t="s">
        <v>133</v>
      </c>
      <c r="O11" s="499" t="s">
        <v>133</v>
      </c>
      <c r="P11" s="503" t="s">
        <v>135</v>
      </c>
      <c r="Q11" s="502" t="s">
        <v>136</v>
      </c>
      <c r="R11" s="655" t="s">
        <v>38</v>
      </c>
      <c r="S11" s="655" t="s">
        <v>170</v>
      </c>
      <c r="T11" s="504"/>
      <c r="U11" s="505"/>
      <c r="V11" s="506" t="s">
        <v>169</v>
      </c>
      <c r="W11" s="495"/>
    </row>
    <row r="12" spans="1:24" s="481" customFormat="1">
      <c r="A12" s="656" t="s">
        <v>171</v>
      </c>
      <c r="B12" s="657"/>
      <c r="C12" s="658">
        <v>0</v>
      </c>
      <c r="D12" s="659" t="s">
        <v>172</v>
      </c>
      <c r="E12" s="660" t="s">
        <v>172</v>
      </c>
      <c r="F12" s="661" t="s">
        <v>172</v>
      </c>
      <c r="G12" s="662" t="s">
        <v>172</v>
      </c>
      <c r="H12" s="660" t="s">
        <v>172</v>
      </c>
      <c r="I12" s="660" t="s">
        <v>172</v>
      </c>
      <c r="J12" s="660" t="s">
        <v>172</v>
      </c>
      <c r="K12" s="660" t="s">
        <v>172</v>
      </c>
      <c r="L12" s="663" t="s">
        <v>172</v>
      </c>
      <c r="M12" s="509"/>
      <c r="N12" s="664"/>
      <c r="O12" s="665"/>
      <c r="P12" s="666"/>
      <c r="Q12" s="667"/>
      <c r="R12" s="668"/>
      <c r="S12" s="669"/>
      <c r="T12" s="670"/>
      <c r="U12" s="518" t="s">
        <v>200</v>
      </c>
      <c r="V12" s="519">
        <f>354</f>
        <v>354</v>
      </c>
      <c r="W12" s="520"/>
    </row>
    <row r="13" spans="1:24" s="481" customFormat="1">
      <c r="A13" s="507">
        <v>185</v>
      </c>
      <c r="B13" s="508">
        <v>0</v>
      </c>
      <c r="C13" s="509">
        <v>10</v>
      </c>
      <c r="D13" s="671" t="s">
        <v>172</v>
      </c>
      <c r="E13" s="672" t="s">
        <v>172</v>
      </c>
      <c r="F13" s="673" t="s">
        <v>172</v>
      </c>
      <c r="G13" s="674" t="s">
        <v>172</v>
      </c>
      <c r="H13" s="672" t="s">
        <v>172</v>
      </c>
      <c r="I13" s="672" t="s">
        <v>172</v>
      </c>
      <c r="J13" s="672" t="s">
        <v>172</v>
      </c>
      <c r="K13" s="672" t="s">
        <v>172</v>
      </c>
      <c r="L13" s="675" t="s">
        <v>172</v>
      </c>
      <c r="M13" s="509">
        <v>966</v>
      </c>
      <c r="N13" s="676">
        <f>C12</f>
        <v>0</v>
      </c>
      <c r="O13" s="677">
        <f t="shared" ref="O13:O18" si="0">(C13+C14-10)/2</f>
        <v>10</v>
      </c>
      <c r="P13" s="523">
        <f>(A13-B13)/M13</f>
        <v>0.19151138716356109</v>
      </c>
      <c r="Q13" s="514">
        <f>(P13*(O13-N13))/100</f>
        <v>1.9151138716356108E-2</v>
      </c>
      <c r="R13" s="678">
        <f>SUM(Q$13:Q13)</f>
        <v>1.9151138716356108E-2</v>
      </c>
      <c r="S13" s="526">
        <f>R13/O13*100</f>
        <v>0.19151138716356109</v>
      </c>
      <c r="T13" s="517"/>
      <c r="U13" s="527" t="s">
        <v>199</v>
      </c>
      <c r="V13" s="528">
        <f>325</f>
        <v>325</v>
      </c>
      <c r="W13" s="495"/>
    </row>
    <row r="14" spans="1:24" s="481" customFormat="1">
      <c r="A14" s="507">
        <v>210</v>
      </c>
      <c r="B14" s="508">
        <v>0</v>
      </c>
      <c r="C14" s="509">
        <v>20</v>
      </c>
      <c r="D14" s="671" t="s">
        <v>172</v>
      </c>
      <c r="E14" s="672" t="s">
        <v>172</v>
      </c>
      <c r="F14" s="673" t="s">
        <v>172</v>
      </c>
      <c r="G14" s="674" t="s">
        <v>172</v>
      </c>
      <c r="H14" s="672" t="s">
        <v>172</v>
      </c>
      <c r="I14" s="672" t="s">
        <v>172</v>
      </c>
      <c r="J14" s="672" t="s">
        <v>172</v>
      </c>
      <c r="K14" s="672" t="s">
        <v>172</v>
      </c>
      <c r="L14" s="675" t="s">
        <v>172</v>
      </c>
      <c r="M14" s="509">
        <v>966</v>
      </c>
      <c r="N14" s="676">
        <f t="shared" ref="N14:N18" si="1">(C13+C14-10)/2</f>
        <v>10</v>
      </c>
      <c r="O14" s="677">
        <f t="shared" si="0"/>
        <v>20</v>
      </c>
      <c r="P14" s="523">
        <f t="shared" ref="P14:P19" si="2">(A14-B14)/M14</f>
        <v>0.21739130434782608</v>
      </c>
      <c r="Q14" s="514">
        <f t="shared" ref="Q14:Q19" si="3">(P14*(O14-N14))/100</f>
        <v>2.1739130434782608E-2</v>
      </c>
      <c r="R14" s="678">
        <f>SUM(Q$13:Q14)</f>
        <v>4.089026915113872E-2</v>
      </c>
      <c r="S14" s="526">
        <f t="shared" ref="S14:S19" si="4">R14/O14*100</f>
        <v>0.2044513457556936</v>
      </c>
      <c r="T14" s="517"/>
      <c r="U14" s="527" t="s">
        <v>137</v>
      </c>
      <c r="V14" s="528">
        <v>354</v>
      </c>
      <c r="W14" s="495"/>
    </row>
    <row r="15" spans="1:24" s="481" customFormat="1">
      <c r="A15" s="507">
        <v>215</v>
      </c>
      <c r="B15" s="508">
        <v>0</v>
      </c>
      <c r="C15" s="509">
        <v>30</v>
      </c>
      <c r="D15" s="671" t="s">
        <v>172</v>
      </c>
      <c r="E15" s="672" t="s">
        <v>172</v>
      </c>
      <c r="F15" s="673" t="s">
        <v>172</v>
      </c>
      <c r="G15" s="674" t="s">
        <v>172</v>
      </c>
      <c r="H15" s="672" t="s">
        <v>172</v>
      </c>
      <c r="I15" s="672" t="s">
        <v>172</v>
      </c>
      <c r="J15" s="672" t="s">
        <v>172</v>
      </c>
      <c r="K15" s="672" t="s">
        <v>172</v>
      </c>
      <c r="L15" s="675" t="s">
        <v>172</v>
      </c>
      <c r="M15" s="509">
        <v>966</v>
      </c>
      <c r="N15" s="676">
        <f t="shared" si="1"/>
        <v>20</v>
      </c>
      <c r="O15" s="677">
        <f t="shared" si="0"/>
        <v>30</v>
      </c>
      <c r="P15" s="523">
        <f t="shared" si="2"/>
        <v>0.2225672877846791</v>
      </c>
      <c r="Q15" s="514">
        <f t="shared" si="3"/>
        <v>2.2256728778467912E-2</v>
      </c>
      <c r="R15" s="678">
        <f>SUM(Q$13:Q15)</f>
        <v>6.3146997929606624E-2</v>
      </c>
      <c r="S15" s="526">
        <f t="shared" si="4"/>
        <v>0.21048999309868874</v>
      </c>
      <c r="T15" s="517"/>
      <c r="U15" s="527"/>
      <c r="V15" s="529"/>
      <c r="W15" s="495"/>
    </row>
    <row r="16" spans="1:24" s="481" customFormat="1">
      <c r="A16" s="530">
        <v>280</v>
      </c>
      <c r="B16" s="508">
        <v>0</v>
      </c>
      <c r="C16" s="509">
        <v>40</v>
      </c>
      <c r="D16" s="671" t="s">
        <v>172</v>
      </c>
      <c r="E16" s="672" t="s">
        <v>172</v>
      </c>
      <c r="F16" s="673" t="s">
        <v>172</v>
      </c>
      <c r="G16" s="674" t="s">
        <v>172</v>
      </c>
      <c r="H16" s="672" t="s">
        <v>172</v>
      </c>
      <c r="I16" s="672" t="s">
        <v>172</v>
      </c>
      <c r="J16" s="672" t="s">
        <v>172</v>
      </c>
      <c r="K16" s="672" t="s">
        <v>172</v>
      </c>
      <c r="L16" s="675" t="s">
        <v>172</v>
      </c>
      <c r="M16" s="509">
        <v>966</v>
      </c>
      <c r="N16" s="676">
        <f t="shared" si="1"/>
        <v>30</v>
      </c>
      <c r="O16" s="677">
        <f t="shared" si="0"/>
        <v>40</v>
      </c>
      <c r="P16" s="523">
        <f t="shared" si="2"/>
        <v>0.28985507246376813</v>
      </c>
      <c r="Q16" s="514">
        <f t="shared" si="3"/>
        <v>2.8985507246376812E-2</v>
      </c>
      <c r="R16" s="678">
        <f>SUM(Q$13:Q16)</f>
        <v>9.213250517598344E-2</v>
      </c>
      <c r="S16" s="526">
        <f t="shared" si="4"/>
        <v>0.23033126293995859</v>
      </c>
      <c r="T16" s="517"/>
      <c r="U16" s="527"/>
      <c r="V16" s="528"/>
      <c r="W16" s="495"/>
    </row>
    <row r="17" spans="1:25" s="481" customFormat="1">
      <c r="A17" s="530">
        <v>295</v>
      </c>
      <c r="B17" s="508">
        <v>0</v>
      </c>
      <c r="C17" s="509">
        <v>50</v>
      </c>
      <c r="D17" s="671" t="s">
        <v>172</v>
      </c>
      <c r="E17" s="672" t="s">
        <v>172</v>
      </c>
      <c r="F17" s="673" t="s">
        <v>172</v>
      </c>
      <c r="G17" s="674" t="s">
        <v>172</v>
      </c>
      <c r="H17" s="672" t="s">
        <v>172</v>
      </c>
      <c r="I17" s="672" t="s">
        <v>172</v>
      </c>
      <c r="J17" s="672" t="s">
        <v>172</v>
      </c>
      <c r="K17" s="672" t="s">
        <v>172</v>
      </c>
      <c r="L17" s="675" t="s">
        <v>172</v>
      </c>
      <c r="M17" s="509">
        <v>966</v>
      </c>
      <c r="N17" s="676">
        <f t="shared" si="1"/>
        <v>40</v>
      </c>
      <c r="O17" s="677">
        <f t="shared" si="0"/>
        <v>50</v>
      </c>
      <c r="P17" s="523">
        <f t="shared" si="2"/>
        <v>0.30538302277432711</v>
      </c>
      <c r="Q17" s="514">
        <f t="shared" si="3"/>
        <v>3.0538302277432709E-2</v>
      </c>
      <c r="R17" s="678">
        <f>SUM(Q$13:Q17)</f>
        <v>0.12267080745341614</v>
      </c>
      <c r="S17" s="526">
        <f t="shared" si="4"/>
        <v>0.24534161490683226</v>
      </c>
      <c r="T17" s="517" t="s">
        <v>139</v>
      </c>
      <c r="U17" s="527"/>
      <c r="V17" s="528"/>
      <c r="W17" s="487"/>
    </row>
    <row r="18" spans="1:25" s="481" customFormat="1">
      <c r="A18" s="530">
        <v>300</v>
      </c>
      <c r="B18" s="508">
        <v>0</v>
      </c>
      <c r="C18" s="509">
        <v>60</v>
      </c>
      <c r="D18" s="671" t="s">
        <v>172</v>
      </c>
      <c r="E18" s="672" t="s">
        <v>172</v>
      </c>
      <c r="F18" s="673" t="s">
        <v>172</v>
      </c>
      <c r="G18" s="674" t="s">
        <v>172</v>
      </c>
      <c r="H18" s="672" t="s">
        <v>172</v>
      </c>
      <c r="I18" s="672" t="s">
        <v>172</v>
      </c>
      <c r="J18" s="672" t="s">
        <v>172</v>
      </c>
      <c r="K18" s="672" t="s">
        <v>172</v>
      </c>
      <c r="L18" s="675" t="s">
        <v>172</v>
      </c>
      <c r="M18" s="509">
        <v>966</v>
      </c>
      <c r="N18" s="676">
        <f t="shared" si="1"/>
        <v>50</v>
      </c>
      <c r="O18" s="677">
        <f t="shared" si="0"/>
        <v>60</v>
      </c>
      <c r="P18" s="523">
        <f t="shared" si="2"/>
        <v>0.3105590062111801</v>
      </c>
      <c r="Q18" s="514">
        <f t="shared" si="3"/>
        <v>3.1055900621118009E-2</v>
      </c>
      <c r="R18" s="678">
        <f>SUM(Q$13:Q18)</f>
        <v>0.15372670807453415</v>
      </c>
      <c r="S18" s="526">
        <f t="shared" si="4"/>
        <v>0.25621118012422361</v>
      </c>
      <c r="T18" s="532"/>
      <c r="U18" s="527"/>
      <c r="V18" s="528"/>
      <c r="W18" s="487"/>
    </row>
    <row r="19" spans="1:25" s="481" customFormat="1" ht="10.15" customHeight="1">
      <c r="A19" s="530">
        <v>265</v>
      </c>
      <c r="B19" s="508">
        <v>0</v>
      </c>
      <c r="C19" s="509">
        <v>70</v>
      </c>
      <c r="D19" s="671" t="s">
        <v>172</v>
      </c>
      <c r="E19" s="672" t="s">
        <v>172</v>
      </c>
      <c r="F19" s="673" t="s">
        <v>172</v>
      </c>
      <c r="G19" s="674" t="s">
        <v>172</v>
      </c>
      <c r="H19" s="672" t="s">
        <v>172</v>
      </c>
      <c r="I19" s="672" t="s">
        <v>172</v>
      </c>
      <c r="J19" s="672" t="s">
        <v>172</v>
      </c>
      <c r="K19" s="672" t="s">
        <v>172</v>
      </c>
      <c r="L19" s="675" t="s">
        <v>172</v>
      </c>
      <c r="M19" s="509">
        <v>966</v>
      </c>
      <c r="N19" s="676">
        <f>(C18+C19-10)/2</f>
        <v>60</v>
      </c>
      <c r="O19" s="677">
        <f>(C19+C22-D22)/2</f>
        <v>76</v>
      </c>
      <c r="P19" s="523">
        <f t="shared" si="2"/>
        <v>0.27432712215320909</v>
      </c>
      <c r="Q19" s="514">
        <f t="shared" si="3"/>
        <v>4.3892339544513458E-2</v>
      </c>
      <c r="R19" s="678">
        <f>SUM(Q$13:Q19)</f>
        <v>0.19761904761904761</v>
      </c>
      <c r="S19" s="526">
        <f t="shared" si="4"/>
        <v>0.2600250626566416</v>
      </c>
      <c r="T19" s="532"/>
      <c r="U19" s="527"/>
      <c r="V19" s="528"/>
      <c r="W19" s="533"/>
    </row>
    <row r="20" spans="1:25" s="481" customFormat="1" ht="12" thickBot="1">
      <c r="A20" s="679"/>
      <c r="B20" s="680"/>
      <c r="C20" s="681"/>
      <c r="D20" s="682"/>
      <c r="E20" s="681"/>
      <c r="F20" s="683"/>
      <c r="G20" s="684"/>
      <c r="H20" s="681"/>
      <c r="I20" s="681"/>
      <c r="J20" s="681"/>
      <c r="K20" s="681"/>
      <c r="L20" s="685"/>
      <c r="M20" s="681"/>
      <c r="N20" s="686"/>
      <c r="O20" s="687"/>
      <c r="P20" s="688"/>
      <c r="Q20" s="689"/>
      <c r="R20" s="690"/>
      <c r="S20" s="691"/>
      <c r="T20" s="972"/>
      <c r="U20" s="527"/>
      <c r="V20" s="528"/>
      <c r="W20" s="534"/>
    </row>
    <row r="21" spans="1:25" s="536" customFormat="1">
      <c r="A21" s="693" t="s">
        <v>173</v>
      </c>
      <c r="B21" s="508"/>
      <c r="C21" s="509"/>
      <c r="D21" s="694"/>
      <c r="E21" s="509"/>
      <c r="F21" s="695"/>
      <c r="G21" s="696"/>
      <c r="H21" s="509"/>
      <c r="I21" s="509"/>
      <c r="J21" s="509"/>
      <c r="K21" s="509"/>
      <c r="L21" s="697"/>
      <c r="M21" s="509"/>
      <c r="N21" s="676"/>
      <c r="O21" s="677"/>
      <c r="P21" s="523"/>
      <c r="Q21" s="514"/>
      <c r="R21" s="678"/>
      <c r="S21" s="526"/>
      <c r="T21" s="535"/>
      <c r="U21" s="527"/>
      <c r="V21" s="528"/>
      <c r="W21" s="534"/>
    </row>
    <row r="22" spans="1:25" s="536" customFormat="1">
      <c r="A22" s="530">
        <v>920</v>
      </c>
      <c r="B22" s="508">
        <v>0</v>
      </c>
      <c r="C22" s="747">
        <v>164</v>
      </c>
      <c r="D22" s="698">
        <v>82</v>
      </c>
      <c r="E22" s="699"/>
      <c r="F22" s="700"/>
      <c r="G22" s="701">
        <f t="shared" ref="G22:G31" si="5">AVERAGE(D22:F22)</f>
        <v>82</v>
      </c>
      <c r="H22" s="699">
        <v>5.7</v>
      </c>
      <c r="I22" s="699"/>
      <c r="J22" s="699"/>
      <c r="K22" s="699"/>
      <c r="L22" s="702">
        <v>5.7</v>
      </c>
      <c r="M22" s="509">
        <f>G22*    PI()* (L22/2)^2</f>
        <v>2092.4420789602136</v>
      </c>
      <c r="N22" s="676">
        <f>(C19+C22-D22)/2</f>
        <v>76</v>
      </c>
      <c r="O22" s="677">
        <f>(C22+C23-G23)/2</f>
        <v>158</v>
      </c>
      <c r="P22" s="523">
        <f>(A22-B22)/M22</f>
        <v>0.43967764233510864</v>
      </c>
      <c r="Q22" s="514">
        <f t="shared" ref="Q22:Q31" si="6">(P22*(O22-N22))/100</f>
        <v>0.36053566671478909</v>
      </c>
      <c r="R22" s="678">
        <f>SUM(Q$13:Q22)</f>
        <v>0.55815471433383668</v>
      </c>
      <c r="S22" s="526">
        <f t="shared" ref="S22:S31" si="7">R22/O22*100</f>
        <v>0.35326247742647893</v>
      </c>
      <c r="T22" s="543"/>
      <c r="U22" s="527"/>
      <c r="V22" s="537"/>
      <c r="W22" s="534"/>
    </row>
    <row r="23" spans="1:25" s="536" customFormat="1">
      <c r="A23" s="530">
        <v>620</v>
      </c>
      <c r="B23" s="508">
        <v>0</v>
      </c>
      <c r="C23" s="509">
        <f>C24-D24</f>
        <v>204</v>
      </c>
      <c r="D23" s="698">
        <v>52</v>
      </c>
      <c r="E23" s="699"/>
      <c r="F23" s="700"/>
      <c r="G23" s="701">
        <f t="shared" si="5"/>
        <v>52</v>
      </c>
      <c r="H23" s="699">
        <v>5.7</v>
      </c>
      <c r="I23" s="699"/>
      <c r="J23" s="699"/>
      <c r="K23" s="699"/>
      <c r="L23" s="702">
        <f t="shared" ref="L23:L31" si="8">AVERAGE(H23:K23)</f>
        <v>5.7</v>
      </c>
      <c r="M23" s="509">
        <f t="shared" ref="M23:M31" si="9">G23*    PI()* (L23/2)^2</f>
        <v>1326.9144890967211</v>
      </c>
      <c r="N23" s="676">
        <f>(C22+C23-G23)/2</f>
        <v>158</v>
      </c>
      <c r="O23" s="677">
        <f>(C23+C24-G24)/2</f>
        <v>204</v>
      </c>
      <c r="P23" s="523">
        <f>(A23-B23)/M23</f>
        <v>0.46724940084274497</v>
      </c>
      <c r="Q23" s="514">
        <f t="shared" si="6"/>
        <v>0.21493472438766267</v>
      </c>
      <c r="R23" s="678">
        <f>SUM(Q$13:Q23)</f>
        <v>0.77308943872149938</v>
      </c>
      <c r="S23" s="526">
        <f t="shared" si="7"/>
        <v>0.37896541113798987</v>
      </c>
      <c r="T23" s="543"/>
      <c r="U23" s="527"/>
      <c r="V23" s="539"/>
      <c r="W23" s="540"/>
    </row>
    <row r="24" spans="1:25" s="536" customFormat="1">
      <c r="A24" s="530">
        <v>420</v>
      </c>
      <c r="B24" s="508">
        <v>0</v>
      </c>
      <c r="C24" s="747">
        <v>241</v>
      </c>
      <c r="D24" s="698">
        <v>37</v>
      </c>
      <c r="E24" s="699"/>
      <c r="F24" s="700"/>
      <c r="G24" s="701">
        <f t="shared" si="5"/>
        <v>37</v>
      </c>
      <c r="H24" s="699">
        <v>5.7</v>
      </c>
      <c r="I24" s="699"/>
      <c r="J24" s="699"/>
      <c r="K24" s="699"/>
      <c r="L24" s="702">
        <f t="shared" si="8"/>
        <v>5.7</v>
      </c>
      <c r="M24" s="509">
        <f t="shared" si="9"/>
        <v>944.15069416497454</v>
      </c>
      <c r="N24" s="676">
        <f t="shared" ref="N24:N31" si="10">(C23+C24-G24)/2</f>
        <v>204</v>
      </c>
      <c r="O24" s="677">
        <f t="shared" ref="O24:O30" si="11">(C24+C25-G25)/2</f>
        <v>235</v>
      </c>
      <c r="P24" s="523">
        <f t="shared" ref="P24:P31" si="12">(A24-B24)/M24</f>
        <v>0.4448442421275306</v>
      </c>
      <c r="Q24" s="514">
        <f t="shared" si="6"/>
        <v>0.1379017150595345</v>
      </c>
      <c r="R24" s="678">
        <f>SUM(Q$13:Q24)</f>
        <v>0.9109911537810339</v>
      </c>
      <c r="S24" s="526">
        <f t="shared" si="7"/>
        <v>0.38765581011958888</v>
      </c>
      <c r="T24" s="973"/>
      <c r="U24" s="527"/>
      <c r="V24" s="539"/>
      <c r="W24" s="540"/>
    </row>
    <row r="25" spans="1:25" s="536" customFormat="1">
      <c r="A25" s="530">
        <v>660</v>
      </c>
      <c r="B25" s="508">
        <v>0</v>
      </c>
      <c r="C25" s="509">
        <f>C26-D26</f>
        <v>278</v>
      </c>
      <c r="D25" s="698">
        <v>49</v>
      </c>
      <c r="E25" s="699"/>
      <c r="F25" s="700"/>
      <c r="G25" s="701">
        <f t="shared" si="5"/>
        <v>49</v>
      </c>
      <c r="H25" s="699">
        <v>5.7</v>
      </c>
      <c r="I25" s="699"/>
      <c r="J25" s="699"/>
      <c r="K25" s="699"/>
      <c r="L25" s="702">
        <f t="shared" si="8"/>
        <v>5.7</v>
      </c>
      <c r="M25" s="509">
        <f t="shared" si="9"/>
        <v>1250.3617301103716</v>
      </c>
      <c r="N25" s="676">
        <f t="shared" si="10"/>
        <v>235</v>
      </c>
      <c r="O25" s="677">
        <f t="shared" si="11"/>
        <v>278</v>
      </c>
      <c r="P25" s="523">
        <f t="shared" si="12"/>
        <v>0.52784724940497074</v>
      </c>
      <c r="Q25" s="514">
        <f t="shared" si="6"/>
        <v>0.22697431724413744</v>
      </c>
      <c r="R25" s="678">
        <f>SUM(Q$13:Q25)</f>
        <v>1.1379654710251714</v>
      </c>
      <c r="S25" s="526">
        <f t="shared" si="7"/>
        <v>0.40934009749106881</v>
      </c>
      <c r="T25" s="543"/>
      <c r="U25" s="527"/>
      <c r="V25" s="539"/>
      <c r="W25" s="540"/>
    </row>
    <row r="26" spans="1:25" s="536" customFormat="1">
      <c r="A26" s="530">
        <v>415</v>
      </c>
      <c r="B26" s="508">
        <v>0</v>
      </c>
      <c r="C26" s="747">
        <v>313</v>
      </c>
      <c r="D26" s="698">
        <v>35</v>
      </c>
      <c r="E26" s="699"/>
      <c r="F26" s="700"/>
      <c r="G26" s="701">
        <f t="shared" si="5"/>
        <v>35</v>
      </c>
      <c r="H26" s="699">
        <v>5.7</v>
      </c>
      <c r="I26" s="699"/>
      <c r="J26" s="699"/>
      <c r="K26" s="699"/>
      <c r="L26" s="702">
        <f t="shared" si="8"/>
        <v>5.7</v>
      </c>
      <c r="M26" s="509">
        <f t="shared" si="9"/>
        <v>893.11552150740829</v>
      </c>
      <c r="N26" s="676">
        <f t="shared" si="10"/>
        <v>278</v>
      </c>
      <c r="O26" s="677">
        <f t="shared" si="11"/>
        <v>312</v>
      </c>
      <c r="P26" s="523">
        <f t="shared" si="12"/>
        <v>0.46466553318831511</v>
      </c>
      <c r="Q26" s="514">
        <f t="shared" si="6"/>
        <v>0.15798628128402714</v>
      </c>
      <c r="R26" s="678">
        <f>SUM(Q$13:Q26)</f>
        <v>1.2959517523091986</v>
      </c>
      <c r="S26" s="526">
        <f t="shared" si="7"/>
        <v>0.41536915138115343</v>
      </c>
      <c r="T26" s="543" t="s">
        <v>176</v>
      </c>
      <c r="U26" s="527"/>
      <c r="V26" s="528"/>
      <c r="W26" s="540"/>
    </row>
    <row r="27" spans="1:25" s="536" customFormat="1">
      <c r="A27" s="530">
        <v>600</v>
      </c>
      <c r="B27" s="508">
        <v>0</v>
      </c>
      <c r="C27" s="509">
        <f>C28-D28</f>
        <v>354</v>
      </c>
      <c r="D27" s="698">
        <v>43</v>
      </c>
      <c r="E27" s="699"/>
      <c r="F27" s="700"/>
      <c r="G27" s="701">
        <f t="shared" si="5"/>
        <v>43</v>
      </c>
      <c r="H27" s="699">
        <v>5.7</v>
      </c>
      <c r="I27" s="699"/>
      <c r="J27" s="699"/>
      <c r="K27" s="699"/>
      <c r="L27" s="702">
        <f t="shared" si="8"/>
        <v>5.7</v>
      </c>
      <c r="M27" s="509">
        <f t="shared" si="9"/>
        <v>1097.2562121376732</v>
      </c>
      <c r="N27" s="676">
        <f t="shared" si="10"/>
        <v>312</v>
      </c>
      <c r="O27" s="677">
        <f t="shared" si="11"/>
        <v>354</v>
      </c>
      <c r="P27" s="523">
        <f t="shared" si="12"/>
        <v>0.54681850361191464</v>
      </c>
      <c r="Q27" s="514">
        <f t="shared" si="6"/>
        <v>0.22966377151700412</v>
      </c>
      <c r="R27" s="678">
        <f>SUM(Q$13:Q27)</f>
        <v>1.5256155238262026</v>
      </c>
      <c r="S27" s="526">
        <f t="shared" si="7"/>
        <v>0.43096483723904022</v>
      </c>
      <c r="T27" s="543" t="s">
        <v>175</v>
      </c>
      <c r="U27" s="527"/>
      <c r="V27" s="528"/>
      <c r="W27" s="540"/>
    </row>
    <row r="28" spans="1:25" s="536" customFormat="1" ht="12" thickBot="1">
      <c r="A28" s="530">
        <v>590</v>
      </c>
      <c r="B28" s="508">
        <v>0</v>
      </c>
      <c r="C28" s="747">
        <v>389</v>
      </c>
      <c r="D28" s="698">
        <v>35</v>
      </c>
      <c r="E28" s="699"/>
      <c r="F28" s="700"/>
      <c r="G28" s="701">
        <f t="shared" si="5"/>
        <v>35</v>
      </c>
      <c r="H28" s="699">
        <v>5.7</v>
      </c>
      <c r="I28" s="699"/>
      <c r="J28" s="699"/>
      <c r="K28" s="699"/>
      <c r="L28" s="702">
        <f t="shared" si="8"/>
        <v>5.7</v>
      </c>
      <c r="M28" s="509">
        <f t="shared" si="9"/>
        <v>893.11552150740829</v>
      </c>
      <c r="N28" s="676">
        <f t="shared" si="10"/>
        <v>354</v>
      </c>
      <c r="O28" s="677">
        <f t="shared" si="11"/>
        <v>388.5</v>
      </c>
      <c r="P28" s="523">
        <f t="shared" si="12"/>
        <v>0.66060883031591788</v>
      </c>
      <c r="Q28" s="514">
        <f t="shared" si="6"/>
        <v>0.22791004645899168</v>
      </c>
      <c r="R28" s="678">
        <f>SUM(Q$13:Q28)</f>
        <v>1.7535255702851942</v>
      </c>
      <c r="S28" s="526">
        <f t="shared" si="7"/>
        <v>0.45135793314934214</v>
      </c>
      <c r="T28" s="543"/>
      <c r="U28" s="527"/>
      <c r="V28" s="528"/>
      <c r="W28" s="540"/>
    </row>
    <row r="29" spans="1:25">
      <c r="A29" s="530">
        <v>495</v>
      </c>
      <c r="B29" s="508">
        <v>0</v>
      </c>
      <c r="C29" s="509">
        <f>C30-D30</f>
        <v>421</v>
      </c>
      <c r="D29" s="698">
        <v>33</v>
      </c>
      <c r="E29" s="699"/>
      <c r="F29" s="700"/>
      <c r="G29" s="701">
        <f t="shared" si="5"/>
        <v>33</v>
      </c>
      <c r="H29" s="699">
        <v>5.7</v>
      </c>
      <c r="I29" s="699"/>
      <c r="J29" s="699"/>
      <c r="K29" s="699"/>
      <c r="L29" s="702">
        <f t="shared" si="8"/>
        <v>5.7</v>
      </c>
      <c r="M29" s="509">
        <f t="shared" si="9"/>
        <v>842.08034884984215</v>
      </c>
      <c r="N29" s="676">
        <f t="shared" si="10"/>
        <v>388.5</v>
      </c>
      <c r="O29" s="677">
        <f t="shared" si="11"/>
        <v>421</v>
      </c>
      <c r="P29" s="523">
        <f t="shared" si="12"/>
        <v>0.58782989138280828</v>
      </c>
      <c r="Q29" s="514">
        <f t="shared" si="6"/>
        <v>0.1910447146994127</v>
      </c>
      <c r="R29" s="678">
        <f>SUM(Q$13:Q29)</f>
        <v>1.9445702849846069</v>
      </c>
      <c r="S29" s="526">
        <f t="shared" si="7"/>
        <v>0.46189317933126056</v>
      </c>
      <c r="T29" s="543"/>
      <c r="U29" s="553" t="s">
        <v>140</v>
      </c>
      <c r="V29" s="554">
        <f>AVERAGE(V12:V28)</f>
        <v>344.33333333333331</v>
      </c>
      <c r="W29" s="540"/>
      <c r="X29" s="536"/>
      <c r="Y29" s="536"/>
    </row>
    <row r="30" spans="1:25">
      <c r="A30" s="530">
        <v>490</v>
      </c>
      <c r="B30" s="508">
        <v>0</v>
      </c>
      <c r="C30" s="509">
        <f>C31-D31</f>
        <v>453</v>
      </c>
      <c r="D30" s="698">
        <v>32</v>
      </c>
      <c r="E30" s="699"/>
      <c r="F30" s="700"/>
      <c r="G30" s="701">
        <f t="shared" si="5"/>
        <v>32</v>
      </c>
      <c r="H30" s="699">
        <v>5.7</v>
      </c>
      <c r="I30" s="699"/>
      <c r="J30" s="699"/>
      <c r="K30" s="699"/>
      <c r="L30" s="702">
        <f t="shared" si="8"/>
        <v>5.7</v>
      </c>
      <c r="M30" s="509">
        <f t="shared" si="9"/>
        <v>816.56276252105908</v>
      </c>
      <c r="N30" s="676">
        <f t="shared" si="10"/>
        <v>421</v>
      </c>
      <c r="O30" s="677">
        <f t="shared" si="11"/>
        <v>453</v>
      </c>
      <c r="P30" s="523">
        <f t="shared" si="12"/>
        <v>0.60007634745328342</v>
      </c>
      <c r="Q30" s="514">
        <f t="shared" si="6"/>
        <v>0.19202443118505069</v>
      </c>
      <c r="R30" s="678">
        <f>SUM(Q$13:Q30)</f>
        <v>2.1365947161696575</v>
      </c>
      <c r="S30" s="526">
        <f t="shared" si="7"/>
        <v>0.47165446273060868</v>
      </c>
      <c r="T30" s="543" t="s">
        <v>189</v>
      </c>
      <c r="U30" s="429" t="s">
        <v>141</v>
      </c>
      <c r="V30" s="552">
        <f>STDEV(V12:V28)</f>
        <v>16.743157806499145</v>
      </c>
      <c r="W30" s="540"/>
      <c r="X30" s="536"/>
      <c r="Y30" s="536"/>
    </row>
    <row r="31" spans="1:25">
      <c r="A31" s="530">
        <v>120</v>
      </c>
      <c r="B31" s="508">
        <v>0</v>
      </c>
      <c r="C31" s="747">
        <v>459</v>
      </c>
      <c r="D31" s="698">
        <v>6</v>
      </c>
      <c r="E31" s="699"/>
      <c r="F31" s="700"/>
      <c r="G31" s="701">
        <f t="shared" si="5"/>
        <v>6</v>
      </c>
      <c r="H31" s="699">
        <v>5.7</v>
      </c>
      <c r="I31" s="699"/>
      <c r="J31" s="699"/>
      <c r="K31" s="699"/>
      <c r="L31" s="702">
        <f t="shared" si="8"/>
        <v>5.7</v>
      </c>
      <c r="M31" s="509">
        <f t="shared" si="9"/>
        <v>153.10551797269858</v>
      </c>
      <c r="N31" s="676">
        <f t="shared" si="10"/>
        <v>453</v>
      </c>
      <c r="O31" s="677">
        <f>C31</f>
        <v>459</v>
      </c>
      <c r="P31" s="523">
        <f t="shared" si="12"/>
        <v>0.783773188510411</v>
      </c>
      <c r="Q31" s="514">
        <f t="shared" si="6"/>
        <v>4.7026391310624666E-2</v>
      </c>
      <c r="R31" s="678">
        <f>SUM(Q$13:Q31)</f>
        <v>2.183621107480282</v>
      </c>
      <c r="S31" s="526">
        <f t="shared" si="7"/>
        <v>0.47573444607413551</v>
      </c>
      <c r="T31" s="974"/>
      <c r="U31" s="429" t="s">
        <v>143</v>
      </c>
      <c r="V31" s="552">
        <f>V30/SQRT(COUNT(V12:V28))</f>
        <v>9.6666666666666661</v>
      </c>
      <c r="W31" s="540"/>
      <c r="X31" s="536"/>
      <c r="Y31" s="536"/>
    </row>
    <row r="32" spans="1:25">
      <c r="A32" s="566"/>
      <c r="B32" s="567"/>
      <c r="C32" s="568"/>
      <c r="D32" s="568"/>
      <c r="E32" s="568"/>
      <c r="F32" s="568"/>
      <c r="G32" s="709"/>
      <c r="H32" s="568"/>
      <c r="I32" s="568"/>
      <c r="J32" s="568"/>
      <c r="K32" s="568"/>
      <c r="L32" s="710"/>
      <c r="M32" s="568"/>
      <c r="N32" s="711"/>
      <c r="O32" s="712"/>
      <c r="P32" s="713"/>
      <c r="Q32" s="573"/>
      <c r="R32" s="714"/>
      <c r="S32" s="715"/>
      <c r="T32" s="576"/>
      <c r="U32" s="429" t="s">
        <v>144</v>
      </c>
      <c r="V32" s="552">
        <f>MAX(V12:V28)</f>
        <v>354</v>
      </c>
      <c r="W32" s="540"/>
      <c r="X32" s="536"/>
      <c r="Y32" s="536"/>
    </row>
    <row r="33" spans="1:26" ht="12" thickBot="1">
      <c r="A33" s="577"/>
      <c r="B33" s="578"/>
      <c r="C33" s="579"/>
      <c r="D33" s="579"/>
      <c r="E33" s="579"/>
      <c r="F33" s="579"/>
      <c r="G33" s="716"/>
      <c r="H33" s="579"/>
      <c r="I33" s="579"/>
      <c r="J33" s="579"/>
      <c r="K33" s="579"/>
      <c r="L33" s="717"/>
      <c r="M33" s="579"/>
      <c r="N33" s="718"/>
      <c r="O33" s="719"/>
      <c r="P33" s="720"/>
      <c r="Q33" s="584"/>
      <c r="R33" s="721"/>
      <c r="S33" s="722"/>
      <c r="T33" s="587"/>
      <c r="U33" s="588" t="s">
        <v>145</v>
      </c>
      <c r="V33" s="589">
        <f>MIN(V12:V28)</f>
        <v>325</v>
      </c>
      <c r="W33" s="540"/>
      <c r="X33" s="536"/>
      <c r="Y33" s="536"/>
    </row>
    <row r="34" spans="1:26">
      <c r="A34" s="590"/>
      <c r="B34" s="590"/>
      <c r="C34" s="591"/>
      <c r="D34" s="592"/>
      <c r="E34" s="592"/>
      <c r="F34" s="592"/>
      <c r="G34" s="593"/>
      <c r="H34" s="594"/>
      <c r="I34" s="595"/>
      <c r="J34" s="596"/>
      <c r="K34" s="597"/>
      <c r="L34" s="598"/>
      <c r="M34" s="484"/>
      <c r="O34" s="542"/>
      <c r="P34" s="604"/>
      <c r="W34" s="544"/>
    </row>
    <row r="35" spans="1:26">
      <c r="A35" s="484"/>
      <c r="B35" s="484"/>
      <c r="C35" s="599"/>
      <c r="D35" s="599"/>
      <c r="E35" s="599"/>
      <c r="F35" s="599"/>
      <c r="G35" s="595"/>
      <c r="H35" s="594"/>
      <c r="I35" s="595"/>
      <c r="J35" s="596"/>
      <c r="K35" s="600"/>
      <c r="L35" s="598"/>
      <c r="M35" s="484"/>
      <c r="O35" s="542"/>
      <c r="P35" s="604"/>
      <c r="W35" s="545"/>
      <c r="X35" s="546"/>
      <c r="Y35" s="547"/>
      <c r="Z35" s="546"/>
    </row>
    <row r="36" spans="1:26">
      <c r="A36" s="601"/>
      <c r="B36" s="601"/>
      <c r="C36" s="601"/>
      <c r="D36" s="601"/>
      <c r="E36" s="596"/>
      <c r="F36" s="602"/>
      <c r="G36" s="484"/>
      <c r="H36" s="542"/>
      <c r="I36" s="484"/>
      <c r="J36" s="542"/>
      <c r="K36" s="542"/>
      <c r="L36" s="484"/>
      <c r="M36" s="484"/>
      <c r="O36" s="542"/>
      <c r="P36" s="604"/>
      <c r="T36" s="975" t="s">
        <v>190</v>
      </c>
      <c r="U36" s="975"/>
      <c r="W36" s="545"/>
      <c r="X36" s="546"/>
      <c r="Y36" s="548"/>
      <c r="Z36" s="546"/>
    </row>
    <row r="37" spans="1:26">
      <c r="A37" s="603"/>
      <c r="B37" s="603"/>
      <c r="C37" s="601"/>
      <c r="D37" s="601"/>
      <c r="E37" s="596"/>
      <c r="F37" s="602"/>
      <c r="G37" s="542"/>
      <c r="H37" s="542"/>
      <c r="I37" s="484"/>
      <c r="J37" s="542"/>
      <c r="K37" s="542"/>
      <c r="L37" s="484"/>
      <c r="M37" s="484"/>
      <c r="O37" s="542"/>
      <c r="P37" s="604"/>
      <c r="T37" s="975" t="s">
        <v>191</v>
      </c>
      <c r="U37" s="975"/>
      <c r="W37" s="549"/>
      <c r="X37" s="546"/>
      <c r="Y37" s="546"/>
      <c r="Z37" s="546"/>
    </row>
    <row r="38" spans="1:26">
      <c r="A38" s="477"/>
      <c r="B38" s="477"/>
      <c r="C38" s="601"/>
      <c r="D38" s="601"/>
      <c r="E38" s="596"/>
      <c r="F38" s="602"/>
      <c r="G38" s="542"/>
      <c r="H38" s="542"/>
      <c r="I38" s="484"/>
      <c r="J38" s="542"/>
      <c r="K38" s="542"/>
      <c r="L38" s="484"/>
      <c r="M38" s="484"/>
      <c r="O38" s="542"/>
      <c r="P38" s="604"/>
      <c r="T38" s="975" t="s">
        <v>192</v>
      </c>
      <c r="U38" s="975"/>
      <c r="W38" s="550"/>
      <c r="X38" s="551"/>
    </row>
    <row r="39" spans="1:26">
      <c r="A39" s="601"/>
      <c r="B39" s="601"/>
      <c r="C39" s="601"/>
      <c r="D39" s="601"/>
      <c r="E39" s="596"/>
      <c r="F39" s="602"/>
      <c r="G39" s="542"/>
      <c r="H39" s="542"/>
      <c r="I39" s="484"/>
      <c r="J39" s="542"/>
      <c r="K39" s="542"/>
      <c r="L39" s="484"/>
      <c r="M39" s="484"/>
      <c r="O39" s="542"/>
      <c r="P39" s="604"/>
      <c r="T39" s="975" t="s">
        <v>193</v>
      </c>
      <c r="U39" s="975"/>
      <c r="W39" s="551"/>
      <c r="X39" s="551"/>
    </row>
    <row r="40" spans="1:26">
      <c r="A40" s="601"/>
      <c r="B40" s="601"/>
      <c r="C40" s="601"/>
      <c r="D40" s="601"/>
      <c r="E40" s="596"/>
      <c r="F40" s="602"/>
      <c r="G40" s="542"/>
      <c r="H40" s="542"/>
      <c r="I40" s="484"/>
      <c r="J40" s="595"/>
      <c r="K40" s="542"/>
      <c r="L40" s="484"/>
      <c r="M40" s="484"/>
      <c r="O40" s="542"/>
      <c r="P40" s="604"/>
      <c r="T40" s="975" t="s">
        <v>194</v>
      </c>
      <c r="U40" s="975"/>
    </row>
    <row r="41" spans="1:26">
      <c r="A41" s="601"/>
      <c r="B41" s="601"/>
      <c r="C41" s="601"/>
      <c r="D41" s="601"/>
      <c r="E41" s="596"/>
      <c r="F41" s="602"/>
      <c r="G41" s="542"/>
      <c r="H41" s="542"/>
      <c r="I41" s="484"/>
      <c r="J41" s="595"/>
      <c r="K41" s="542"/>
      <c r="L41" s="484"/>
      <c r="M41" s="484"/>
      <c r="O41" s="542"/>
      <c r="P41" s="604"/>
      <c r="T41" s="975" t="s">
        <v>195</v>
      </c>
      <c r="U41" s="975"/>
    </row>
    <row r="42" spans="1:26">
      <c r="A42" s="601"/>
      <c r="B42" s="601"/>
      <c r="C42" s="601"/>
      <c r="D42" s="601"/>
      <c r="E42" s="596"/>
      <c r="F42" s="602"/>
      <c r="G42" s="542"/>
      <c r="H42" s="542"/>
      <c r="I42" s="484"/>
      <c r="J42" s="542"/>
      <c r="K42" s="542"/>
      <c r="L42" s="484"/>
      <c r="M42" s="484"/>
      <c r="O42" s="542"/>
      <c r="P42" s="604"/>
      <c r="T42" s="975" t="s">
        <v>196</v>
      </c>
      <c r="U42" s="975"/>
    </row>
    <row r="43" spans="1:26">
      <c r="A43" s="601"/>
      <c r="B43" s="601"/>
      <c r="C43" s="601"/>
      <c r="D43" s="601"/>
      <c r="E43" s="596"/>
      <c r="F43" s="602"/>
      <c r="G43" s="542"/>
      <c r="H43" s="542"/>
      <c r="I43" s="484"/>
      <c r="J43" s="542"/>
      <c r="K43" s="542"/>
      <c r="L43" s="484"/>
      <c r="M43" s="484"/>
      <c r="O43" s="542"/>
      <c r="P43" s="604"/>
    </row>
    <row r="44" spans="1:26">
      <c r="A44" s="601"/>
      <c r="B44" s="601"/>
      <c r="C44" s="601"/>
      <c r="D44" s="601"/>
      <c r="E44" s="596"/>
      <c r="F44" s="602"/>
      <c r="G44" s="542"/>
      <c r="H44" s="542"/>
      <c r="I44" s="484"/>
      <c r="J44" s="542"/>
      <c r="K44" s="542"/>
      <c r="L44" s="484"/>
      <c r="M44" s="484"/>
      <c r="O44" s="542"/>
      <c r="P44" s="604"/>
    </row>
    <row r="45" spans="1:26">
      <c r="A45" s="601"/>
      <c r="B45" s="601"/>
      <c r="C45" s="601"/>
      <c r="D45" s="601"/>
      <c r="E45" s="596"/>
      <c r="F45" s="602"/>
      <c r="G45" s="542"/>
      <c r="H45" s="542"/>
      <c r="I45" s="484"/>
      <c r="J45" s="542"/>
      <c r="K45" s="542"/>
      <c r="L45" s="484"/>
      <c r="M45" s="484"/>
      <c r="O45" s="542"/>
      <c r="P45" s="604"/>
    </row>
    <row r="46" spans="1:26">
      <c r="A46" s="601"/>
      <c r="B46" s="601"/>
      <c r="C46" s="601"/>
      <c r="D46" s="601"/>
      <c r="E46" s="596"/>
      <c r="F46" s="602"/>
      <c r="G46" s="542"/>
      <c r="H46" s="542"/>
      <c r="I46" s="484"/>
      <c r="J46" s="542"/>
      <c r="K46" s="542"/>
      <c r="L46" s="484"/>
      <c r="M46" s="484"/>
      <c r="O46" s="542"/>
      <c r="P46" s="604"/>
    </row>
    <row r="47" spans="1:26">
      <c r="A47" s="601"/>
      <c r="B47" s="601"/>
      <c r="C47" s="601"/>
      <c r="D47" s="601"/>
      <c r="E47" s="596"/>
      <c r="F47" s="602"/>
      <c r="G47" s="542"/>
      <c r="H47" s="542"/>
      <c r="I47" s="484"/>
      <c r="J47" s="542"/>
      <c r="K47" s="542"/>
      <c r="L47" s="484"/>
      <c r="O47" s="542"/>
      <c r="P47" s="604"/>
    </row>
    <row r="48" spans="1:26">
      <c r="A48" s="601"/>
      <c r="B48" s="601"/>
      <c r="C48" s="601"/>
      <c r="D48" s="601"/>
      <c r="E48" s="596"/>
      <c r="F48" s="602"/>
      <c r="G48" s="542"/>
      <c r="H48" s="542"/>
      <c r="I48" s="484"/>
      <c r="J48" s="542"/>
      <c r="K48" s="542"/>
      <c r="L48" s="484"/>
      <c r="O48" s="542"/>
      <c r="P48" s="604"/>
    </row>
    <row r="49" spans="1:26">
      <c r="A49" s="601"/>
      <c r="B49" s="601"/>
      <c r="C49" s="601"/>
      <c r="D49" s="601"/>
      <c r="E49" s="596"/>
      <c r="F49" s="602"/>
      <c r="G49" s="542"/>
      <c r="H49" s="542"/>
      <c r="I49" s="484"/>
      <c r="J49" s="542"/>
      <c r="K49" s="542"/>
      <c r="L49" s="542"/>
      <c r="O49" s="542"/>
      <c r="P49" s="604"/>
    </row>
    <row r="50" spans="1:26">
      <c r="A50" s="601"/>
      <c r="B50" s="601"/>
      <c r="C50" s="601"/>
      <c r="D50" s="601"/>
      <c r="E50" s="596"/>
      <c r="F50" s="602"/>
      <c r="G50" s="542"/>
      <c r="H50" s="542"/>
      <c r="I50" s="484"/>
      <c r="J50" s="542"/>
      <c r="K50" s="542"/>
      <c r="L50" s="542"/>
      <c r="O50" s="542"/>
      <c r="P50" s="604"/>
    </row>
    <row r="51" spans="1:26">
      <c r="A51" s="601"/>
      <c r="B51" s="601"/>
      <c r="C51" s="601"/>
      <c r="D51" s="601"/>
      <c r="E51" s="596"/>
      <c r="F51" s="602"/>
      <c r="G51" s="542"/>
      <c r="H51" s="542"/>
      <c r="I51" s="484"/>
      <c r="J51" s="542"/>
      <c r="K51" s="542"/>
      <c r="L51" s="542"/>
      <c r="O51" s="542"/>
      <c r="P51" s="604"/>
    </row>
    <row r="52" spans="1:26">
      <c r="A52" s="601"/>
      <c r="B52" s="601"/>
      <c r="C52" s="601"/>
      <c r="D52" s="601"/>
      <c r="E52" s="596"/>
      <c r="F52" s="602"/>
      <c r="G52" s="542"/>
      <c r="H52" s="542"/>
      <c r="I52" s="484"/>
      <c r="J52" s="542"/>
      <c r="K52" s="542"/>
      <c r="L52" s="542"/>
      <c r="O52" s="542"/>
      <c r="P52" s="604"/>
    </row>
    <row r="53" spans="1:26">
      <c r="A53" s="601"/>
      <c r="B53" s="601"/>
      <c r="C53" s="601"/>
      <c r="D53" s="601"/>
      <c r="E53" s="596"/>
      <c r="F53" s="602"/>
      <c r="G53" s="542"/>
      <c r="H53" s="542"/>
      <c r="I53" s="484"/>
      <c r="J53" s="542"/>
      <c r="K53" s="542"/>
      <c r="L53" s="542"/>
      <c r="O53" s="542"/>
      <c r="P53" s="604"/>
    </row>
    <row r="54" spans="1:26">
      <c r="A54" s="601"/>
      <c r="B54" s="601"/>
      <c r="C54" s="601"/>
      <c r="D54" s="601"/>
      <c r="E54" s="596"/>
      <c r="F54" s="602"/>
      <c r="G54" s="542"/>
      <c r="H54" s="542"/>
      <c r="I54" s="484"/>
      <c r="J54" s="542"/>
      <c r="K54" s="542"/>
      <c r="L54" s="542"/>
      <c r="O54" s="542"/>
      <c r="P54" s="604"/>
      <c r="W54" s="484"/>
      <c r="X54" s="484"/>
    </row>
    <row r="55" spans="1:26">
      <c r="A55" s="601"/>
      <c r="B55" s="601"/>
      <c r="C55" s="601"/>
      <c r="D55" s="601"/>
      <c r="E55" s="596"/>
      <c r="F55" s="602"/>
      <c r="G55" s="542"/>
      <c r="H55" s="542"/>
      <c r="I55" s="484"/>
      <c r="J55" s="542"/>
      <c r="K55" s="542"/>
      <c r="L55" s="542"/>
      <c r="O55" s="542"/>
      <c r="P55" s="604"/>
      <c r="W55" s="550"/>
      <c r="X55" s="484"/>
      <c r="Y55" s="484"/>
      <c r="Z55" s="484"/>
    </row>
    <row r="56" spans="1:26">
      <c r="A56" s="601"/>
      <c r="B56" s="601"/>
      <c r="C56" s="601"/>
      <c r="D56" s="601"/>
      <c r="E56" s="596"/>
      <c r="F56" s="602"/>
      <c r="G56" s="542"/>
      <c r="H56" s="542"/>
      <c r="I56" s="484"/>
      <c r="J56" s="542"/>
      <c r="K56" s="542"/>
      <c r="L56" s="542"/>
      <c r="O56" s="542"/>
      <c r="P56" s="604"/>
      <c r="W56" s="550"/>
    </row>
    <row r="57" spans="1:26">
      <c r="A57" s="601"/>
      <c r="B57" s="601"/>
      <c r="C57" s="601"/>
      <c r="D57" s="601"/>
      <c r="E57" s="596"/>
      <c r="F57" s="602"/>
      <c r="G57" s="542"/>
      <c r="H57" s="542"/>
      <c r="I57" s="484"/>
      <c r="J57" s="542"/>
      <c r="K57" s="542"/>
      <c r="L57" s="542"/>
      <c r="O57" s="542"/>
      <c r="P57" s="604"/>
      <c r="W57" s="484"/>
    </row>
    <row r="58" spans="1:26">
      <c r="A58" s="601"/>
      <c r="B58" s="601"/>
      <c r="C58" s="601"/>
      <c r="D58" s="601"/>
      <c r="E58" s="596"/>
      <c r="F58" s="602"/>
      <c r="G58" s="542"/>
      <c r="H58" s="542"/>
      <c r="I58" s="484"/>
      <c r="J58" s="542"/>
      <c r="K58" s="542"/>
      <c r="L58" s="542"/>
      <c r="O58" s="542"/>
      <c r="P58" s="604"/>
    </row>
    <row r="59" spans="1:26">
      <c r="A59" s="601"/>
      <c r="B59" s="601"/>
      <c r="C59" s="601"/>
      <c r="D59" s="601"/>
      <c r="E59" s="596"/>
      <c r="F59" s="602"/>
      <c r="G59" s="542"/>
      <c r="H59" s="542"/>
      <c r="I59" s="484"/>
      <c r="J59" s="542"/>
      <c r="K59" s="542"/>
      <c r="L59" s="542"/>
      <c r="O59" s="542"/>
      <c r="P59" s="604"/>
    </row>
    <row r="60" spans="1:26">
      <c r="A60" s="601"/>
      <c r="B60" s="601"/>
      <c r="C60" s="601"/>
      <c r="D60" s="601"/>
      <c r="E60" s="596"/>
      <c r="F60" s="602"/>
      <c r="G60" s="604"/>
      <c r="H60" s="542"/>
      <c r="I60" s="484"/>
      <c r="J60" s="542"/>
      <c r="K60" s="542"/>
      <c r="L60" s="542"/>
      <c r="O60" s="542"/>
      <c r="P60" s="604"/>
    </row>
    <row r="61" spans="1:26">
      <c r="A61" s="601"/>
      <c r="B61" s="601"/>
      <c r="C61" s="601"/>
      <c r="D61" s="601"/>
      <c r="E61" s="596"/>
      <c r="F61" s="602"/>
      <c r="G61" s="604"/>
      <c r="H61" s="542"/>
      <c r="I61" s="484"/>
      <c r="J61" s="542"/>
      <c r="K61" s="542"/>
      <c r="L61" s="542"/>
      <c r="O61" s="542"/>
      <c r="P61" s="604"/>
    </row>
    <row r="62" spans="1:26">
      <c r="A62" s="601"/>
      <c r="B62" s="601"/>
      <c r="C62" s="601"/>
      <c r="D62" s="601"/>
      <c r="E62" s="596"/>
      <c r="F62" s="602"/>
      <c r="G62" s="604"/>
      <c r="H62" s="542"/>
      <c r="I62" s="484"/>
      <c r="J62" s="542"/>
      <c r="K62" s="542"/>
      <c r="L62" s="542"/>
      <c r="O62" s="542"/>
      <c r="P62" s="604"/>
    </row>
    <row r="63" spans="1:26">
      <c r="A63" s="601"/>
      <c r="B63" s="601"/>
      <c r="C63" s="601"/>
      <c r="D63" s="601"/>
      <c r="E63" s="596"/>
      <c r="F63" s="602"/>
      <c r="G63" s="604"/>
      <c r="H63" s="542"/>
      <c r="I63" s="484"/>
      <c r="J63" s="542"/>
      <c r="K63" s="542"/>
      <c r="L63" s="542"/>
      <c r="O63" s="542"/>
      <c r="P63" s="604"/>
    </row>
    <row r="64" spans="1:26">
      <c r="A64" s="601"/>
      <c r="B64" s="601"/>
      <c r="C64" s="601"/>
      <c r="D64" s="601"/>
      <c r="E64" s="596"/>
      <c r="F64" s="602"/>
      <c r="G64" s="542"/>
      <c r="H64" s="542"/>
      <c r="I64" s="484"/>
      <c r="J64" s="542"/>
      <c r="K64" s="542"/>
      <c r="L64" s="542"/>
      <c r="O64" s="542"/>
      <c r="P64" s="604"/>
    </row>
    <row r="65" spans="1:22">
      <c r="A65" s="601"/>
      <c r="B65" s="601"/>
      <c r="C65" s="601"/>
      <c r="D65" s="601"/>
      <c r="E65" s="596"/>
      <c r="F65" s="602"/>
      <c r="G65" s="542"/>
      <c r="H65" s="542"/>
      <c r="I65" s="484"/>
      <c r="J65" s="542"/>
      <c r="K65" s="542"/>
      <c r="L65" s="542"/>
      <c r="O65" s="542"/>
      <c r="P65" s="604"/>
    </row>
    <row r="66" spans="1:22">
      <c r="A66" s="601"/>
      <c r="B66" s="601"/>
      <c r="C66" s="601"/>
      <c r="D66" s="601"/>
      <c r="E66" s="596"/>
      <c r="F66" s="602"/>
      <c r="G66" s="542"/>
      <c r="H66" s="542"/>
      <c r="I66" s="484"/>
      <c r="J66" s="542"/>
      <c r="K66" s="542"/>
      <c r="L66" s="542"/>
      <c r="O66" s="542"/>
      <c r="P66" s="604"/>
      <c r="R66" s="606"/>
      <c r="S66" s="606"/>
      <c r="T66" s="601"/>
      <c r="U66" s="601"/>
      <c r="V66" s="601"/>
    </row>
    <row r="67" spans="1:22">
      <c r="A67" s="601"/>
      <c r="B67" s="601"/>
      <c r="C67" s="601"/>
      <c r="D67" s="601"/>
      <c r="E67" s="596"/>
      <c r="F67" s="602"/>
      <c r="G67" s="542"/>
      <c r="H67" s="542"/>
      <c r="I67" s="484"/>
      <c r="J67" s="542"/>
      <c r="K67" s="542"/>
      <c r="L67" s="542"/>
      <c r="O67" s="542"/>
      <c r="P67" s="604"/>
      <c r="R67" s="606"/>
      <c r="S67" s="606"/>
      <c r="T67" s="601"/>
      <c r="U67" s="601"/>
      <c r="V67" s="601"/>
    </row>
    <row r="68" spans="1:22">
      <c r="A68" s="601"/>
      <c r="B68" s="601"/>
      <c r="C68" s="601"/>
      <c r="D68" s="601"/>
      <c r="E68" s="596"/>
      <c r="F68" s="602"/>
      <c r="G68" s="542"/>
      <c r="H68" s="542"/>
      <c r="I68" s="484"/>
      <c r="J68" s="542"/>
      <c r="K68" s="542"/>
      <c r="L68" s="542"/>
      <c r="O68" s="542"/>
      <c r="P68" s="604"/>
      <c r="R68" s="606"/>
      <c r="S68" s="606"/>
      <c r="T68" s="601"/>
      <c r="U68" s="601"/>
      <c r="V68" s="601"/>
    </row>
    <row r="69" spans="1:22">
      <c r="A69" s="601"/>
      <c r="B69" s="601"/>
      <c r="C69" s="601"/>
      <c r="D69" s="601"/>
      <c r="E69" s="596"/>
      <c r="F69" s="602"/>
      <c r="G69" s="542"/>
      <c r="H69" s="542"/>
      <c r="I69" s="484"/>
      <c r="J69" s="542"/>
      <c r="K69" s="542"/>
      <c r="L69" s="542"/>
      <c r="O69" s="542"/>
      <c r="P69" s="604"/>
      <c r="R69" s="606"/>
      <c r="S69" s="606"/>
      <c r="T69" s="601"/>
      <c r="U69" s="601"/>
      <c r="V69" s="601"/>
    </row>
    <row r="70" spans="1:22">
      <c r="A70" s="601"/>
      <c r="B70" s="601"/>
      <c r="C70" s="601"/>
      <c r="D70" s="601"/>
      <c r="E70" s="596"/>
      <c r="F70" s="602"/>
      <c r="G70" s="542"/>
      <c r="H70" s="542"/>
      <c r="I70" s="484"/>
      <c r="J70" s="542"/>
      <c r="K70" s="542"/>
      <c r="L70" s="542"/>
      <c r="O70" s="542"/>
      <c r="P70" s="604"/>
      <c r="R70" s="606"/>
      <c r="S70" s="606"/>
      <c r="T70" s="601"/>
      <c r="U70" s="601"/>
      <c r="V70" s="601"/>
    </row>
    <row r="71" spans="1:22">
      <c r="A71" s="601"/>
      <c r="B71" s="601"/>
      <c r="C71" s="601"/>
      <c r="D71" s="601"/>
      <c r="E71" s="596"/>
      <c r="F71" s="602"/>
      <c r="G71" s="542"/>
      <c r="H71" s="542"/>
      <c r="I71" s="484"/>
      <c r="J71" s="542"/>
      <c r="K71" s="542"/>
      <c r="L71" s="542"/>
      <c r="N71" s="601"/>
      <c r="O71" s="601"/>
      <c r="P71" s="606"/>
      <c r="Q71" s="606"/>
      <c r="R71" s="606"/>
      <c r="S71" s="606"/>
      <c r="T71" s="601"/>
      <c r="U71" s="601"/>
      <c r="V71" s="601"/>
    </row>
    <row r="72" spans="1:22">
      <c r="A72" s="601"/>
      <c r="B72" s="601"/>
      <c r="C72" s="601"/>
      <c r="D72" s="601"/>
      <c r="E72" s="596"/>
      <c r="F72" s="602"/>
      <c r="G72" s="542"/>
      <c r="H72" s="542"/>
      <c r="I72" s="484"/>
      <c r="J72" s="542"/>
      <c r="K72" s="542"/>
      <c r="L72" s="542"/>
      <c r="N72" s="601"/>
      <c r="O72" s="601"/>
      <c r="P72" s="606"/>
      <c r="Q72" s="606"/>
      <c r="R72" s="606"/>
      <c r="S72" s="606"/>
      <c r="T72" s="601"/>
      <c r="U72" s="601"/>
      <c r="V72" s="601"/>
    </row>
    <row r="73" spans="1:22">
      <c r="A73" s="601"/>
      <c r="B73" s="601"/>
      <c r="C73" s="601"/>
      <c r="D73" s="601"/>
      <c r="E73" s="596"/>
      <c r="F73" s="602"/>
      <c r="G73" s="542"/>
      <c r="H73" s="542"/>
      <c r="I73" s="484"/>
      <c r="J73" s="542"/>
      <c r="K73" s="542"/>
      <c r="L73" s="542"/>
      <c r="N73" s="601"/>
      <c r="O73" s="601"/>
      <c r="P73" s="606"/>
      <c r="Q73" s="606"/>
      <c r="R73" s="606"/>
      <c r="S73" s="606"/>
      <c r="T73" s="601"/>
      <c r="U73" s="601"/>
      <c r="V73" s="601"/>
    </row>
    <row r="74" spans="1:22">
      <c r="A74" s="601"/>
      <c r="B74" s="601"/>
      <c r="C74" s="601"/>
      <c r="D74" s="601"/>
      <c r="E74" s="596"/>
      <c r="F74" s="602"/>
      <c r="G74" s="542"/>
      <c r="H74" s="542"/>
      <c r="I74" s="484"/>
      <c r="J74" s="542"/>
      <c r="K74" s="542"/>
      <c r="L74" s="542"/>
      <c r="N74" s="601"/>
      <c r="O74" s="601"/>
      <c r="P74" s="606"/>
      <c r="Q74" s="606"/>
      <c r="R74" s="606"/>
      <c r="S74" s="606"/>
      <c r="T74" s="601"/>
      <c r="U74" s="601"/>
      <c r="V74" s="601"/>
    </row>
    <row r="75" spans="1:22">
      <c r="A75" s="601"/>
      <c r="B75" s="601"/>
      <c r="C75" s="601"/>
      <c r="D75" s="601"/>
      <c r="E75" s="596"/>
      <c r="F75" s="602"/>
      <c r="G75" s="542"/>
      <c r="H75" s="542"/>
      <c r="I75" s="484"/>
      <c r="J75" s="542"/>
      <c r="K75" s="542"/>
      <c r="L75" s="542"/>
      <c r="N75" s="601"/>
      <c r="O75" s="601"/>
      <c r="P75" s="606"/>
      <c r="Q75" s="606"/>
      <c r="R75" s="606"/>
      <c r="S75" s="606"/>
      <c r="T75" s="601"/>
      <c r="U75" s="601"/>
      <c r="V75" s="601"/>
    </row>
    <row r="76" spans="1:22">
      <c r="A76" s="601"/>
      <c r="B76" s="601"/>
      <c r="C76" s="601"/>
      <c r="D76" s="601"/>
      <c r="E76" s="596"/>
      <c r="F76" s="602"/>
      <c r="G76" s="542"/>
      <c r="H76" s="542"/>
      <c r="I76" s="484"/>
      <c r="J76" s="542"/>
      <c r="K76" s="542"/>
      <c r="L76" s="542"/>
      <c r="N76" s="601"/>
      <c r="O76" s="601"/>
      <c r="P76" s="606"/>
      <c r="Q76" s="606"/>
      <c r="R76" s="606"/>
      <c r="S76" s="606"/>
      <c r="T76" s="601"/>
      <c r="U76" s="601"/>
      <c r="V76" s="601"/>
    </row>
    <row r="77" spans="1:22">
      <c r="A77" s="601"/>
      <c r="B77" s="601"/>
      <c r="C77" s="601"/>
      <c r="D77" s="601"/>
      <c r="E77" s="596"/>
      <c r="F77" s="602"/>
      <c r="G77" s="542"/>
      <c r="H77" s="542"/>
      <c r="I77" s="484"/>
      <c r="J77" s="542"/>
      <c r="K77" s="542"/>
      <c r="L77" s="542"/>
      <c r="N77" s="601"/>
      <c r="O77" s="601"/>
      <c r="P77" s="606"/>
      <c r="Q77" s="606"/>
      <c r="R77" s="606"/>
      <c r="S77" s="606"/>
      <c r="T77" s="601"/>
      <c r="U77" s="601"/>
      <c r="V77" s="601"/>
    </row>
    <row r="78" spans="1:22">
      <c r="A78" s="601"/>
      <c r="B78" s="601"/>
      <c r="C78" s="601"/>
      <c r="D78" s="601"/>
      <c r="E78" s="596"/>
      <c r="F78" s="602"/>
      <c r="G78" s="542"/>
      <c r="H78" s="542"/>
      <c r="I78" s="484"/>
      <c r="J78" s="542"/>
      <c r="K78" s="542"/>
      <c r="L78" s="542"/>
      <c r="N78" s="601"/>
      <c r="O78" s="601"/>
      <c r="P78" s="606"/>
      <c r="Q78" s="606"/>
      <c r="R78" s="606"/>
      <c r="S78" s="606"/>
      <c r="T78" s="601"/>
      <c r="U78" s="601"/>
      <c r="V78" s="601"/>
    </row>
    <row r="79" spans="1:22">
      <c r="A79" s="601"/>
      <c r="B79" s="601"/>
      <c r="C79" s="601"/>
      <c r="D79" s="601"/>
      <c r="E79" s="596"/>
      <c r="F79" s="602"/>
      <c r="G79" s="542"/>
      <c r="H79" s="542"/>
      <c r="I79" s="484"/>
      <c r="J79" s="542"/>
      <c r="K79" s="542"/>
      <c r="L79" s="542"/>
      <c r="N79" s="601"/>
      <c r="O79" s="601"/>
      <c r="P79" s="606"/>
      <c r="Q79" s="606"/>
      <c r="R79" s="606"/>
      <c r="S79" s="606"/>
      <c r="T79" s="601"/>
      <c r="U79" s="601"/>
      <c r="V79" s="601"/>
    </row>
    <row r="80" spans="1:22">
      <c r="A80" s="601"/>
      <c r="B80" s="601"/>
      <c r="C80" s="601"/>
      <c r="D80" s="601"/>
      <c r="E80" s="596"/>
      <c r="F80" s="602"/>
      <c r="G80" s="542"/>
      <c r="H80" s="542"/>
      <c r="I80" s="484"/>
      <c r="J80" s="542"/>
      <c r="K80" s="542"/>
      <c r="L80" s="542"/>
      <c r="N80" s="601"/>
      <c r="O80" s="601"/>
      <c r="P80" s="606"/>
      <c r="Q80" s="606"/>
      <c r="R80" s="606"/>
      <c r="S80" s="606"/>
      <c r="T80" s="601"/>
      <c r="U80" s="601"/>
      <c r="V80" s="601"/>
    </row>
    <row r="81" spans="1:22">
      <c r="A81" s="601"/>
      <c r="B81" s="601"/>
      <c r="C81" s="601"/>
      <c r="D81" s="601"/>
      <c r="E81" s="596"/>
      <c r="F81" s="602"/>
      <c r="G81" s="542"/>
      <c r="H81" s="542"/>
      <c r="I81" s="484"/>
      <c r="J81" s="542"/>
      <c r="K81" s="542"/>
      <c r="L81" s="542"/>
      <c r="N81" s="601"/>
      <c r="O81" s="601"/>
      <c r="P81" s="606"/>
      <c r="Q81" s="606"/>
      <c r="R81" s="606"/>
      <c r="S81" s="606"/>
      <c r="T81" s="601"/>
      <c r="U81" s="601"/>
      <c r="V81" s="601"/>
    </row>
    <row r="82" spans="1:22">
      <c r="A82" s="601"/>
      <c r="B82" s="601"/>
      <c r="C82" s="601"/>
      <c r="D82" s="601"/>
      <c r="E82" s="596"/>
      <c r="F82" s="602"/>
      <c r="G82" s="542"/>
      <c r="H82" s="542"/>
      <c r="I82" s="484"/>
      <c r="J82" s="542"/>
      <c r="K82" s="542"/>
      <c r="L82" s="542"/>
      <c r="N82" s="601"/>
      <c r="O82" s="601"/>
      <c r="P82" s="606"/>
      <c r="Q82" s="606"/>
      <c r="R82" s="606"/>
      <c r="S82" s="606"/>
      <c r="T82" s="601"/>
      <c r="U82" s="601"/>
      <c r="V82" s="601"/>
    </row>
    <row r="83" spans="1:22">
      <c r="A83" s="601"/>
      <c r="B83" s="601"/>
      <c r="C83" s="601"/>
      <c r="D83" s="601"/>
      <c r="E83" s="596"/>
      <c r="F83" s="602"/>
      <c r="G83" s="542"/>
      <c r="H83" s="542"/>
      <c r="I83" s="484"/>
      <c r="J83" s="542"/>
      <c r="K83" s="542"/>
      <c r="L83" s="542"/>
      <c r="N83" s="601"/>
      <c r="O83" s="601"/>
      <c r="P83" s="606"/>
      <c r="Q83" s="606"/>
      <c r="R83" s="606"/>
      <c r="S83" s="606"/>
      <c r="T83" s="601"/>
      <c r="U83" s="601"/>
      <c r="V83" s="601"/>
    </row>
    <row r="84" spans="1:22">
      <c r="A84" s="601"/>
      <c r="B84" s="601"/>
      <c r="C84" s="601"/>
      <c r="D84" s="601"/>
      <c r="E84" s="596"/>
      <c r="F84" s="602"/>
      <c r="G84" s="542"/>
      <c r="H84" s="542"/>
      <c r="I84" s="484"/>
      <c r="J84" s="542"/>
      <c r="K84" s="542"/>
      <c r="L84" s="542"/>
      <c r="N84" s="601"/>
      <c r="O84" s="601"/>
      <c r="P84" s="606"/>
      <c r="Q84" s="606"/>
      <c r="R84" s="606"/>
      <c r="S84" s="606"/>
      <c r="T84" s="601"/>
      <c r="U84" s="601"/>
      <c r="V84" s="601"/>
    </row>
    <row r="85" spans="1:22">
      <c r="A85" s="601"/>
      <c r="B85" s="601"/>
      <c r="C85" s="601"/>
      <c r="D85" s="601"/>
      <c r="E85" s="596"/>
      <c r="F85" s="602"/>
      <c r="G85" s="542"/>
      <c r="H85" s="542"/>
      <c r="I85" s="484"/>
      <c r="J85" s="542"/>
      <c r="K85" s="542"/>
      <c r="L85" s="542"/>
      <c r="N85" s="601"/>
      <c r="O85" s="601"/>
      <c r="P85" s="606"/>
      <c r="Q85" s="606"/>
      <c r="R85" s="606"/>
      <c r="S85" s="606"/>
      <c r="T85" s="601"/>
      <c r="U85" s="601"/>
      <c r="V85" s="601"/>
    </row>
    <row r="86" spans="1:22">
      <c r="A86" s="601"/>
      <c r="B86" s="601"/>
      <c r="C86" s="601"/>
      <c r="D86" s="601"/>
      <c r="E86" s="596"/>
      <c r="F86" s="602"/>
      <c r="G86" s="542"/>
      <c r="H86" s="542"/>
      <c r="I86" s="484"/>
      <c r="J86" s="542"/>
      <c r="K86" s="542"/>
      <c r="L86" s="542"/>
      <c r="M86" s="601"/>
      <c r="N86" s="601"/>
      <c r="O86" s="601"/>
      <c r="P86" s="606"/>
      <c r="Q86" s="606"/>
      <c r="R86" s="606"/>
      <c r="S86" s="606"/>
      <c r="T86" s="601"/>
      <c r="U86" s="601"/>
      <c r="V86" s="601"/>
    </row>
    <row r="87" spans="1:22">
      <c r="A87" s="601"/>
      <c r="B87" s="601"/>
      <c r="C87" s="601"/>
      <c r="D87" s="601"/>
      <c r="E87" s="596"/>
      <c r="F87" s="602"/>
      <c r="G87" s="542"/>
      <c r="H87" s="542"/>
      <c r="I87" s="484"/>
      <c r="J87" s="542"/>
      <c r="K87" s="542"/>
      <c r="L87" s="542"/>
      <c r="M87" s="601"/>
      <c r="N87" s="601"/>
      <c r="O87" s="601"/>
      <c r="P87" s="606"/>
      <c r="Q87" s="606"/>
      <c r="R87" s="606"/>
      <c r="S87" s="606"/>
      <c r="T87" s="601"/>
      <c r="U87" s="601"/>
      <c r="V87" s="601"/>
    </row>
    <row r="88" spans="1:22">
      <c r="A88" s="601"/>
      <c r="B88" s="601"/>
      <c r="C88" s="601"/>
      <c r="D88" s="601"/>
      <c r="E88" s="596"/>
      <c r="F88" s="602"/>
      <c r="G88" s="542"/>
      <c r="H88" s="542"/>
      <c r="I88" s="484"/>
      <c r="J88" s="542"/>
      <c r="K88" s="542"/>
      <c r="L88" s="542"/>
      <c r="M88" s="601"/>
      <c r="N88" s="601"/>
      <c r="O88" s="601"/>
      <c r="P88" s="606"/>
      <c r="Q88" s="606"/>
      <c r="R88" s="606"/>
      <c r="S88" s="606"/>
      <c r="T88" s="601"/>
      <c r="U88" s="601"/>
      <c r="V88" s="601"/>
    </row>
    <row r="89" spans="1:22">
      <c r="A89" s="601"/>
      <c r="B89" s="601"/>
      <c r="C89" s="601"/>
      <c r="D89" s="601"/>
      <c r="E89" s="596"/>
      <c r="F89" s="602"/>
      <c r="G89" s="542"/>
      <c r="H89" s="542"/>
      <c r="I89" s="484"/>
      <c r="J89" s="542"/>
      <c r="K89" s="542"/>
      <c r="L89" s="542"/>
      <c r="M89" s="601"/>
      <c r="N89" s="601"/>
      <c r="O89" s="601"/>
      <c r="P89" s="606"/>
      <c r="Q89" s="606"/>
      <c r="R89" s="606"/>
      <c r="S89" s="606"/>
      <c r="T89" s="601"/>
      <c r="U89" s="601"/>
      <c r="V89" s="601"/>
    </row>
    <row r="90" spans="1:22" s="601" customFormat="1">
      <c r="E90" s="596"/>
      <c r="F90" s="602"/>
      <c r="G90" s="542"/>
      <c r="H90" s="542"/>
      <c r="I90" s="484"/>
      <c r="J90" s="542"/>
      <c r="K90" s="542"/>
      <c r="L90" s="542"/>
      <c r="P90" s="606"/>
      <c r="Q90" s="606"/>
      <c r="R90" s="606"/>
      <c r="S90" s="606"/>
    </row>
    <row r="91" spans="1:22" s="601" customFormat="1">
      <c r="E91" s="596"/>
      <c r="F91" s="602"/>
      <c r="G91" s="542"/>
      <c r="H91" s="542"/>
      <c r="I91" s="484"/>
      <c r="J91" s="542"/>
      <c r="K91" s="542"/>
      <c r="L91" s="542"/>
      <c r="P91" s="606"/>
      <c r="Q91" s="606"/>
      <c r="R91" s="606"/>
      <c r="S91" s="606"/>
    </row>
    <row r="92" spans="1:22" s="601" customFormat="1">
      <c r="E92" s="596"/>
      <c r="F92" s="602"/>
      <c r="G92" s="542"/>
      <c r="H92" s="542"/>
      <c r="I92" s="484"/>
      <c r="J92" s="542"/>
      <c r="K92" s="542"/>
      <c r="L92" s="542"/>
      <c r="P92" s="606"/>
      <c r="Q92" s="606"/>
      <c r="R92" s="606"/>
      <c r="S92" s="606"/>
    </row>
    <row r="93" spans="1:22" s="601" customFormat="1">
      <c r="E93" s="596"/>
      <c r="F93" s="602"/>
      <c r="G93" s="542"/>
      <c r="H93" s="542"/>
      <c r="I93" s="484"/>
      <c r="J93" s="542"/>
      <c r="K93" s="542"/>
      <c r="L93" s="542"/>
      <c r="P93" s="606"/>
      <c r="Q93" s="606"/>
      <c r="R93" s="606"/>
      <c r="S93" s="606"/>
    </row>
    <row r="94" spans="1:22" s="601" customFormat="1">
      <c r="E94" s="596"/>
      <c r="F94" s="602"/>
      <c r="G94" s="542"/>
      <c r="H94" s="542"/>
      <c r="I94" s="484"/>
      <c r="J94" s="542"/>
      <c r="K94" s="542"/>
      <c r="L94" s="542"/>
      <c r="P94" s="606"/>
      <c r="Q94" s="606"/>
      <c r="R94" s="606"/>
      <c r="S94" s="606"/>
    </row>
    <row r="95" spans="1:22" s="601" customFormat="1">
      <c r="E95" s="596"/>
      <c r="F95" s="602"/>
      <c r="G95" s="542"/>
      <c r="H95" s="542"/>
      <c r="I95" s="484"/>
      <c r="J95" s="542"/>
      <c r="K95" s="542"/>
      <c r="L95" s="542"/>
      <c r="P95" s="606"/>
      <c r="Q95" s="606"/>
      <c r="R95" s="606"/>
      <c r="S95" s="606"/>
    </row>
    <row r="96" spans="1:22" s="601" customFormat="1">
      <c r="E96" s="596"/>
      <c r="F96" s="602"/>
      <c r="G96" s="542"/>
      <c r="H96" s="542"/>
      <c r="I96" s="484"/>
      <c r="J96" s="542"/>
      <c r="K96" s="542"/>
      <c r="L96" s="542"/>
      <c r="P96" s="606"/>
      <c r="Q96" s="606"/>
      <c r="R96" s="606"/>
      <c r="S96" s="606"/>
    </row>
    <row r="97" spans="5:19" s="601" customFormat="1">
      <c r="E97" s="596"/>
      <c r="F97" s="602"/>
      <c r="G97" s="542"/>
      <c r="H97" s="542"/>
      <c r="I97" s="484"/>
      <c r="J97" s="542"/>
      <c r="K97" s="542"/>
      <c r="L97" s="542"/>
      <c r="P97" s="606"/>
      <c r="Q97" s="606"/>
      <c r="R97" s="606"/>
      <c r="S97" s="606"/>
    </row>
    <row r="98" spans="5:19" s="601" customFormat="1">
      <c r="E98" s="596"/>
      <c r="F98" s="602"/>
      <c r="G98" s="542"/>
      <c r="H98" s="542"/>
      <c r="I98" s="484"/>
      <c r="J98" s="542"/>
      <c r="K98" s="542"/>
      <c r="L98" s="542"/>
      <c r="P98" s="606"/>
      <c r="Q98" s="606"/>
      <c r="R98" s="606"/>
      <c r="S98" s="606"/>
    </row>
    <row r="99" spans="5:19" s="601" customFormat="1">
      <c r="E99" s="596"/>
      <c r="F99" s="602"/>
      <c r="G99" s="542"/>
      <c r="H99" s="542"/>
      <c r="I99" s="484"/>
      <c r="J99" s="542"/>
      <c r="K99" s="542"/>
      <c r="L99" s="542"/>
      <c r="P99" s="606"/>
      <c r="Q99" s="606"/>
      <c r="R99" s="606"/>
      <c r="S99" s="606"/>
    </row>
    <row r="100" spans="5:19" s="601" customFormat="1">
      <c r="E100" s="596"/>
      <c r="F100" s="602"/>
      <c r="G100" s="542"/>
      <c r="H100" s="542"/>
      <c r="I100" s="484"/>
      <c r="J100" s="542"/>
      <c r="K100" s="542"/>
      <c r="L100" s="542"/>
      <c r="P100" s="606"/>
      <c r="Q100" s="606"/>
      <c r="R100" s="606"/>
      <c r="S100" s="606"/>
    </row>
    <row r="101" spans="5:19" s="601" customFormat="1">
      <c r="E101" s="596"/>
      <c r="F101" s="602"/>
      <c r="G101" s="542"/>
      <c r="H101" s="542"/>
      <c r="I101" s="484"/>
      <c r="J101" s="542"/>
      <c r="K101" s="542"/>
      <c r="L101" s="542"/>
      <c r="P101" s="606"/>
      <c r="Q101" s="606"/>
      <c r="R101" s="606"/>
      <c r="S101" s="606"/>
    </row>
    <row r="102" spans="5:19" s="601" customFormat="1">
      <c r="E102" s="596"/>
      <c r="F102" s="602"/>
      <c r="G102" s="542"/>
      <c r="H102" s="542"/>
      <c r="I102" s="484"/>
      <c r="J102" s="542"/>
      <c r="K102" s="542"/>
      <c r="L102" s="542"/>
      <c r="P102" s="606"/>
      <c r="Q102" s="606"/>
      <c r="R102" s="606"/>
      <c r="S102" s="606"/>
    </row>
    <row r="103" spans="5:19" s="601" customFormat="1">
      <c r="E103" s="596"/>
      <c r="F103" s="602"/>
      <c r="G103" s="542"/>
      <c r="H103" s="542"/>
      <c r="I103" s="484"/>
      <c r="J103" s="542"/>
      <c r="K103" s="542"/>
      <c r="L103" s="542"/>
      <c r="P103" s="606"/>
      <c r="Q103" s="606"/>
      <c r="R103" s="606"/>
      <c r="S103" s="606"/>
    </row>
    <row r="104" spans="5:19" s="601" customFormat="1">
      <c r="E104" s="596"/>
      <c r="F104" s="602"/>
      <c r="G104" s="542"/>
      <c r="H104" s="542"/>
      <c r="I104" s="484"/>
      <c r="J104" s="542"/>
      <c r="K104" s="542"/>
      <c r="L104" s="542"/>
      <c r="P104" s="606"/>
      <c r="Q104" s="606"/>
      <c r="R104" s="606"/>
      <c r="S104" s="606"/>
    </row>
    <row r="105" spans="5:19" s="601" customFormat="1">
      <c r="E105" s="596"/>
      <c r="F105" s="602"/>
      <c r="G105" s="542"/>
      <c r="H105" s="542"/>
      <c r="I105" s="484"/>
      <c r="J105" s="542"/>
      <c r="K105" s="542"/>
      <c r="L105" s="542"/>
      <c r="P105" s="606"/>
      <c r="Q105" s="606"/>
      <c r="R105" s="606"/>
      <c r="S105" s="606"/>
    </row>
    <row r="106" spans="5:19" s="601" customFormat="1">
      <c r="E106" s="596"/>
      <c r="F106" s="602"/>
      <c r="G106" s="542"/>
      <c r="H106" s="542"/>
      <c r="I106" s="484"/>
      <c r="J106" s="542"/>
      <c r="K106" s="542"/>
      <c r="L106" s="542"/>
      <c r="P106" s="606"/>
      <c r="Q106" s="606"/>
      <c r="R106" s="606"/>
      <c r="S106" s="606"/>
    </row>
    <row r="107" spans="5:19" s="601" customFormat="1">
      <c r="E107" s="596"/>
      <c r="F107" s="602"/>
      <c r="G107" s="542"/>
      <c r="H107" s="542"/>
      <c r="I107" s="484"/>
      <c r="J107" s="542"/>
      <c r="K107" s="542"/>
      <c r="L107" s="542"/>
      <c r="P107" s="606"/>
      <c r="Q107" s="606"/>
      <c r="R107" s="606"/>
      <c r="S107" s="606"/>
    </row>
    <row r="108" spans="5:19" s="601" customFormat="1">
      <c r="E108" s="596"/>
      <c r="F108" s="602"/>
      <c r="G108" s="542"/>
      <c r="H108" s="542"/>
      <c r="I108" s="484"/>
      <c r="J108" s="542"/>
      <c r="K108" s="542"/>
      <c r="L108" s="542"/>
      <c r="P108" s="606"/>
      <c r="Q108" s="606"/>
      <c r="R108" s="606"/>
      <c r="S108" s="606"/>
    </row>
    <row r="109" spans="5:19" s="601" customFormat="1">
      <c r="E109" s="596"/>
      <c r="F109" s="602"/>
      <c r="G109" s="542"/>
      <c r="H109" s="542"/>
      <c r="I109" s="484"/>
      <c r="J109" s="542"/>
      <c r="K109" s="542"/>
      <c r="L109" s="542"/>
      <c r="P109" s="606"/>
      <c r="Q109" s="606"/>
      <c r="R109" s="606"/>
      <c r="S109" s="606"/>
    </row>
    <row r="110" spans="5:19" s="601" customFormat="1">
      <c r="E110" s="596"/>
      <c r="F110" s="602"/>
      <c r="G110" s="542"/>
      <c r="H110" s="542"/>
      <c r="I110" s="484"/>
      <c r="J110" s="542"/>
      <c r="K110" s="542"/>
      <c r="L110" s="542"/>
      <c r="P110" s="606"/>
      <c r="Q110" s="606"/>
      <c r="R110" s="606"/>
      <c r="S110" s="606"/>
    </row>
    <row r="111" spans="5:19" s="601" customFormat="1">
      <c r="E111" s="596"/>
      <c r="F111" s="602"/>
      <c r="G111" s="542"/>
      <c r="H111" s="542"/>
      <c r="I111" s="484"/>
      <c r="J111" s="542"/>
      <c r="K111" s="542"/>
      <c r="L111" s="542"/>
      <c r="P111" s="606"/>
      <c r="Q111" s="606"/>
      <c r="R111" s="606"/>
      <c r="S111" s="606"/>
    </row>
    <row r="112" spans="5:19" s="601" customFormat="1">
      <c r="E112" s="596"/>
      <c r="F112" s="602"/>
      <c r="G112" s="542"/>
      <c r="H112" s="542"/>
      <c r="I112" s="484"/>
      <c r="J112" s="542"/>
      <c r="K112" s="542"/>
      <c r="L112" s="542"/>
      <c r="P112" s="606"/>
      <c r="Q112" s="606"/>
      <c r="R112" s="606"/>
      <c r="S112" s="606"/>
    </row>
    <row r="113" spans="5:22" s="601" customFormat="1">
      <c r="E113" s="596"/>
      <c r="F113" s="602"/>
      <c r="G113" s="542"/>
      <c r="H113" s="542"/>
      <c r="I113" s="484"/>
      <c r="J113" s="542"/>
      <c r="K113" s="542"/>
      <c r="L113" s="542"/>
      <c r="P113" s="606"/>
      <c r="Q113" s="606"/>
      <c r="R113" s="606"/>
      <c r="S113" s="606"/>
    </row>
    <row r="114" spans="5:22" s="601" customFormat="1">
      <c r="E114" s="596"/>
      <c r="F114" s="602"/>
      <c r="G114" s="542"/>
      <c r="H114" s="542"/>
      <c r="I114" s="484"/>
      <c r="J114" s="542"/>
      <c r="K114" s="542"/>
      <c r="L114" s="542"/>
      <c r="P114" s="606"/>
      <c r="Q114" s="606"/>
      <c r="R114" s="606"/>
      <c r="S114" s="606"/>
    </row>
    <row r="115" spans="5:22" s="601" customFormat="1">
      <c r="E115" s="596"/>
      <c r="F115" s="602"/>
      <c r="G115" s="542"/>
      <c r="H115" s="542"/>
      <c r="I115" s="484"/>
      <c r="J115" s="542"/>
      <c r="K115" s="542"/>
      <c r="L115" s="542"/>
      <c r="P115" s="606"/>
      <c r="Q115" s="606"/>
      <c r="R115" s="606"/>
      <c r="S115" s="606"/>
    </row>
    <row r="116" spans="5:22" s="601" customFormat="1">
      <c r="E116" s="596"/>
      <c r="F116" s="602"/>
      <c r="G116" s="542"/>
      <c r="H116" s="542"/>
      <c r="I116" s="484"/>
      <c r="J116" s="542"/>
      <c r="K116" s="542"/>
      <c r="L116" s="542"/>
      <c r="P116" s="606"/>
      <c r="Q116" s="606"/>
      <c r="R116" s="606"/>
      <c r="S116" s="606"/>
    </row>
    <row r="117" spans="5:22" s="601" customFormat="1">
      <c r="E117" s="596"/>
      <c r="F117" s="602"/>
      <c r="G117" s="542"/>
      <c r="H117" s="542"/>
      <c r="I117" s="484"/>
      <c r="J117" s="542"/>
      <c r="K117" s="542"/>
      <c r="L117" s="542"/>
      <c r="P117" s="606"/>
      <c r="Q117" s="606"/>
      <c r="R117" s="606"/>
      <c r="S117" s="606"/>
    </row>
    <row r="118" spans="5:22" s="601" customFormat="1">
      <c r="E118" s="596"/>
      <c r="F118" s="602"/>
      <c r="G118" s="542"/>
      <c r="H118" s="542"/>
      <c r="I118" s="484"/>
      <c r="J118" s="542"/>
      <c r="K118" s="542"/>
      <c r="L118" s="542"/>
      <c r="P118" s="606"/>
      <c r="Q118" s="606"/>
      <c r="R118" s="606"/>
      <c r="S118" s="606"/>
    </row>
    <row r="119" spans="5:22" s="601" customFormat="1">
      <c r="E119" s="596"/>
      <c r="F119" s="602"/>
      <c r="G119" s="542"/>
      <c r="H119" s="542"/>
      <c r="I119" s="484"/>
      <c r="J119" s="542"/>
      <c r="K119" s="542"/>
      <c r="L119" s="542"/>
      <c r="P119" s="606"/>
      <c r="Q119" s="606"/>
      <c r="R119" s="606"/>
      <c r="S119" s="606"/>
    </row>
    <row r="120" spans="5:22" s="601" customFormat="1">
      <c r="E120" s="596"/>
      <c r="F120" s="602"/>
      <c r="G120" s="542"/>
      <c r="H120" s="542"/>
      <c r="I120" s="484"/>
      <c r="J120" s="542"/>
      <c r="K120" s="542"/>
      <c r="L120" s="542"/>
      <c r="P120" s="606"/>
      <c r="Q120" s="606"/>
      <c r="R120" s="606"/>
      <c r="S120" s="606"/>
    </row>
    <row r="121" spans="5:22" s="601" customFormat="1">
      <c r="E121" s="596"/>
      <c r="F121" s="602"/>
      <c r="G121" s="542"/>
      <c r="H121" s="542"/>
      <c r="I121" s="484"/>
      <c r="J121" s="542"/>
      <c r="K121" s="542"/>
      <c r="L121" s="542"/>
      <c r="P121" s="606"/>
      <c r="Q121" s="606"/>
      <c r="R121" s="606"/>
      <c r="S121" s="606"/>
    </row>
    <row r="122" spans="5:22" s="601" customFormat="1">
      <c r="E122" s="596"/>
      <c r="F122" s="602"/>
      <c r="G122" s="542"/>
      <c r="H122" s="542"/>
      <c r="I122" s="484"/>
      <c r="J122" s="542"/>
      <c r="K122" s="542"/>
      <c r="L122" s="542"/>
      <c r="P122" s="606"/>
      <c r="Q122" s="606"/>
      <c r="R122" s="606"/>
      <c r="S122" s="606"/>
    </row>
    <row r="123" spans="5:22" s="601" customFormat="1">
      <c r="E123" s="596"/>
      <c r="F123" s="602"/>
      <c r="G123" s="542"/>
      <c r="H123" s="542"/>
      <c r="I123" s="484"/>
      <c r="J123" s="542"/>
      <c r="K123" s="542"/>
      <c r="L123" s="542"/>
      <c r="P123" s="606"/>
      <c r="Q123" s="606"/>
      <c r="R123" s="604"/>
      <c r="S123" s="604"/>
      <c r="T123" s="542"/>
      <c r="U123" s="542"/>
      <c r="V123" s="542"/>
    </row>
    <row r="124" spans="5:22" s="601" customFormat="1">
      <c r="E124" s="596"/>
      <c r="F124" s="602"/>
      <c r="G124" s="542"/>
      <c r="H124" s="542"/>
      <c r="I124" s="484"/>
      <c r="J124" s="542"/>
      <c r="K124" s="542"/>
      <c r="L124" s="542"/>
      <c r="P124" s="606"/>
      <c r="Q124" s="606"/>
      <c r="R124" s="604"/>
      <c r="S124" s="604"/>
      <c r="T124" s="542"/>
      <c r="U124" s="542"/>
      <c r="V124" s="542"/>
    </row>
    <row r="125" spans="5:22" s="601" customFormat="1">
      <c r="E125" s="596"/>
      <c r="F125" s="602"/>
      <c r="G125" s="542"/>
      <c r="H125" s="542"/>
      <c r="I125" s="484"/>
      <c r="J125" s="542"/>
      <c r="K125" s="542"/>
      <c r="L125" s="542"/>
      <c r="P125" s="606"/>
      <c r="Q125" s="606"/>
      <c r="R125" s="604"/>
      <c r="S125" s="604"/>
      <c r="T125" s="542"/>
      <c r="U125" s="542"/>
      <c r="V125" s="542"/>
    </row>
    <row r="126" spans="5:22" s="601" customFormat="1">
      <c r="E126" s="596"/>
      <c r="F126" s="602"/>
      <c r="G126" s="542"/>
      <c r="H126" s="542"/>
      <c r="I126" s="484"/>
      <c r="J126" s="542"/>
      <c r="K126" s="542"/>
      <c r="L126" s="542"/>
      <c r="P126" s="606"/>
      <c r="Q126" s="606"/>
      <c r="R126" s="604"/>
      <c r="S126" s="604"/>
      <c r="T126" s="542"/>
      <c r="U126" s="542"/>
      <c r="V126" s="542"/>
    </row>
    <row r="127" spans="5:22" s="601" customFormat="1">
      <c r="E127" s="596"/>
      <c r="F127" s="602"/>
      <c r="G127" s="542"/>
      <c r="H127" s="542"/>
      <c r="I127" s="484"/>
      <c r="J127" s="542"/>
      <c r="K127" s="542"/>
      <c r="L127" s="542"/>
      <c r="P127" s="606"/>
      <c r="Q127" s="606"/>
      <c r="R127" s="604"/>
      <c r="S127" s="604"/>
      <c r="T127" s="542"/>
      <c r="U127" s="542"/>
      <c r="V127" s="542"/>
    </row>
    <row r="128" spans="5:22" s="601" customFormat="1">
      <c r="E128" s="596"/>
      <c r="F128" s="602"/>
      <c r="G128" s="542"/>
      <c r="H128" s="542"/>
      <c r="I128" s="484"/>
      <c r="J128" s="542"/>
      <c r="K128" s="542"/>
      <c r="L128" s="542"/>
      <c r="N128" s="542"/>
      <c r="O128" s="484"/>
      <c r="P128" s="642"/>
      <c r="Q128" s="604"/>
      <c r="R128" s="604"/>
      <c r="S128" s="604"/>
      <c r="T128" s="542"/>
      <c r="U128" s="542"/>
      <c r="V128" s="542"/>
    </row>
    <row r="129" spans="1:22" s="601" customFormat="1">
      <c r="E129" s="596"/>
      <c r="F129" s="602"/>
      <c r="G129" s="542"/>
      <c r="H129" s="542"/>
      <c r="I129" s="484"/>
      <c r="J129" s="542"/>
      <c r="K129" s="542"/>
      <c r="L129" s="542"/>
      <c r="N129" s="542"/>
      <c r="O129" s="484"/>
      <c r="P129" s="642"/>
      <c r="Q129" s="604"/>
      <c r="R129" s="604"/>
      <c r="S129" s="604"/>
      <c r="T129" s="542"/>
      <c r="U129" s="542"/>
      <c r="V129" s="542"/>
    </row>
    <row r="130" spans="1:22" s="601" customFormat="1">
      <c r="E130" s="596"/>
      <c r="F130" s="602"/>
      <c r="G130" s="542"/>
      <c r="H130" s="542"/>
      <c r="I130" s="484"/>
      <c r="J130" s="542"/>
      <c r="K130" s="542"/>
      <c r="L130" s="542"/>
      <c r="N130" s="542"/>
      <c r="O130" s="484"/>
      <c r="P130" s="642"/>
      <c r="Q130" s="604"/>
      <c r="R130" s="604"/>
      <c r="S130" s="604"/>
      <c r="T130" s="542"/>
      <c r="U130" s="542"/>
      <c r="V130" s="542"/>
    </row>
    <row r="131" spans="1:22" s="601" customFormat="1">
      <c r="E131" s="596"/>
      <c r="F131" s="602"/>
      <c r="G131" s="542"/>
      <c r="H131" s="542"/>
      <c r="I131" s="484"/>
      <c r="J131" s="542"/>
      <c r="K131" s="542"/>
      <c r="L131" s="542"/>
      <c r="N131" s="542"/>
      <c r="O131" s="484"/>
      <c r="P131" s="642"/>
      <c r="Q131" s="604"/>
      <c r="R131" s="604"/>
      <c r="S131" s="604"/>
      <c r="T131" s="542"/>
      <c r="U131" s="542"/>
      <c r="V131" s="542"/>
    </row>
    <row r="132" spans="1:22" s="601" customFormat="1">
      <c r="A132" s="542"/>
      <c r="B132" s="542"/>
      <c r="C132" s="605"/>
      <c r="D132" s="605"/>
      <c r="E132" s="605"/>
      <c r="F132" s="605"/>
      <c r="H132" s="606"/>
      <c r="J132" s="542"/>
      <c r="K132" s="542"/>
      <c r="L132" s="542"/>
      <c r="N132" s="542"/>
      <c r="O132" s="484"/>
      <c r="P132" s="642"/>
      <c r="Q132" s="604"/>
      <c r="R132" s="604"/>
      <c r="S132" s="604"/>
      <c r="T132" s="542"/>
      <c r="U132" s="542"/>
      <c r="V132" s="542"/>
    </row>
    <row r="133" spans="1:22" s="601" customFormat="1">
      <c r="A133" s="542"/>
      <c r="B133" s="542"/>
      <c r="C133" s="605"/>
      <c r="D133" s="605"/>
      <c r="E133" s="605"/>
      <c r="F133" s="605"/>
      <c r="H133" s="606"/>
      <c r="J133" s="542"/>
      <c r="K133" s="542"/>
      <c r="L133" s="542"/>
      <c r="N133" s="542"/>
      <c r="O133" s="484"/>
      <c r="P133" s="642"/>
      <c r="Q133" s="604"/>
      <c r="R133" s="604"/>
      <c r="S133" s="604"/>
      <c r="T133" s="542"/>
      <c r="U133" s="542"/>
      <c r="V133" s="542"/>
    </row>
    <row r="134" spans="1:22" s="601" customFormat="1">
      <c r="A134" s="542"/>
      <c r="B134" s="542"/>
      <c r="C134" s="605"/>
      <c r="D134" s="605"/>
      <c r="E134" s="605"/>
      <c r="F134" s="605"/>
      <c r="H134" s="606"/>
      <c r="J134" s="542"/>
      <c r="K134" s="542"/>
      <c r="L134" s="542"/>
      <c r="N134" s="542"/>
      <c r="O134" s="484"/>
      <c r="P134" s="642"/>
      <c r="Q134" s="604"/>
      <c r="R134" s="604"/>
      <c r="S134" s="604"/>
      <c r="T134" s="542"/>
      <c r="U134" s="542"/>
      <c r="V134" s="542"/>
    </row>
    <row r="135" spans="1:22" s="601" customFormat="1">
      <c r="A135" s="542"/>
      <c r="B135" s="542"/>
      <c r="C135" s="605"/>
      <c r="D135" s="605"/>
      <c r="E135" s="605"/>
      <c r="F135" s="605"/>
      <c r="H135" s="606"/>
      <c r="J135" s="542"/>
      <c r="K135" s="542"/>
      <c r="L135" s="542"/>
      <c r="N135" s="542"/>
      <c r="O135" s="484"/>
      <c r="P135" s="642"/>
      <c r="Q135" s="604"/>
      <c r="R135" s="604"/>
      <c r="S135" s="604"/>
      <c r="T135" s="542"/>
      <c r="U135" s="542"/>
      <c r="V135" s="542"/>
    </row>
    <row r="136" spans="1:22" s="601" customFormat="1">
      <c r="A136" s="542"/>
      <c r="B136" s="542"/>
      <c r="C136" s="605"/>
      <c r="D136" s="605"/>
      <c r="E136" s="605"/>
      <c r="F136" s="605"/>
      <c r="H136" s="606"/>
      <c r="J136" s="542"/>
      <c r="K136" s="542"/>
      <c r="L136" s="542"/>
      <c r="N136" s="542"/>
      <c r="O136" s="484"/>
      <c r="P136" s="642"/>
      <c r="Q136" s="604"/>
      <c r="R136" s="604"/>
      <c r="S136" s="604"/>
      <c r="T136" s="542"/>
      <c r="U136" s="542"/>
      <c r="V136" s="542"/>
    </row>
    <row r="137" spans="1:22" s="601" customFormat="1">
      <c r="A137" s="542"/>
      <c r="B137" s="542"/>
      <c r="C137" s="605"/>
      <c r="D137" s="605"/>
      <c r="E137" s="605"/>
      <c r="F137" s="605"/>
      <c r="H137" s="606"/>
      <c r="J137" s="542"/>
      <c r="K137" s="542"/>
      <c r="L137" s="542"/>
      <c r="N137" s="542"/>
      <c r="O137" s="484"/>
      <c r="P137" s="642"/>
      <c r="Q137" s="604"/>
      <c r="R137" s="604"/>
      <c r="S137" s="604"/>
      <c r="T137" s="542"/>
      <c r="U137" s="542"/>
      <c r="V137" s="542"/>
    </row>
    <row r="138" spans="1:22" s="601" customFormat="1">
      <c r="A138" s="542"/>
      <c r="B138" s="542"/>
      <c r="C138" s="605"/>
      <c r="D138" s="605"/>
      <c r="E138" s="605"/>
      <c r="F138" s="605"/>
      <c r="H138" s="606"/>
      <c r="K138" s="542"/>
      <c r="L138" s="542"/>
      <c r="N138" s="542"/>
      <c r="O138" s="484"/>
      <c r="P138" s="642"/>
      <c r="Q138" s="604"/>
      <c r="R138" s="604"/>
      <c r="S138" s="604"/>
      <c r="T138" s="542"/>
      <c r="U138" s="542"/>
      <c r="V138" s="542"/>
    </row>
    <row r="139" spans="1:22" s="601" customFormat="1">
      <c r="A139" s="542"/>
      <c r="B139" s="542"/>
      <c r="C139" s="605"/>
      <c r="D139" s="605"/>
      <c r="E139" s="605"/>
      <c r="F139" s="605"/>
      <c r="H139" s="606"/>
      <c r="K139" s="542"/>
      <c r="L139" s="542"/>
      <c r="N139" s="542"/>
      <c r="O139" s="484"/>
      <c r="P139" s="642"/>
      <c r="Q139" s="604"/>
      <c r="R139" s="604"/>
      <c r="S139" s="604"/>
      <c r="T139" s="542"/>
      <c r="U139" s="542"/>
      <c r="V139" s="542"/>
    </row>
    <row r="140" spans="1:22" s="601" customFormat="1">
      <c r="A140" s="542"/>
      <c r="B140" s="542"/>
      <c r="C140" s="605"/>
      <c r="D140" s="605"/>
      <c r="E140" s="605"/>
      <c r="F140" s="605"/>
      <c r="H140" s="606"/>
      <c r="K140" s="542"/>
      <c r="L140" s="542"/>
      <c r="N140" s="542"/>
      <c r="O140" s="484"/>
      <c r="P140" s="642"/>
      <c r="Q140" s="604"/>
      <c r="R140" s="604"/>
      <c r="S140" s="604"/>
      <c r="T140" s="542"/>
      <c r="U140" s="542"/>
      <c r="V140" s="542"/>
    </row>
    <row r="141" spans="1:22" s="601" customFormat="1">
      <c r="A141" s="542"/>
      <c r="B141" s="542"/>
      <c r="C141" s="605"/>
      <c r="D141" s="605"/>
      <c r="E141" s="605"/>
      <c r="F141" s="605"/>
      <c r="H141" s="606"/>
      <c r="K141" s="596"/>
      <c r="L141" s="542"/>
      <c r="N141" s="542"/>
      <c r="O141" s="484"/>
      <c r="P141" s="642"/>
      <c r="Q141" s="604"/>
      <c r="R141" s="604"/>
      <c r="S141" s="604"/>
      <c r="T141" s="542"/>
      <c r="U141" s="542"/>
      <c r="V141" s="542"/>
    </row>
    <row r="142" spans="1:22" s="601" customFormat="1">
      <c r="A142" s="542"/>
      <c r="B142" s="542"/>
      <c r="C142" s="605"/>
      <c r="D142" s="605"/>
      <c r="E142" s="605"/>
      <c r="F142" s="605"/>
      <c r="H142" s="606"/>
      <c r="K142" s="596"/>
      <c r="L142" s="542"/>
      <c r="N142" s="542"/>
      <c r="O142" s="484"/>
      <c r="P142" s="642"/>
      <c r="Q142" s="604"/>
      <c r="R142" s="604"/>
      <c r="S142" s="604"/>
      <c r="T142" s="542"/>
      <c r="U142" s="542"/>
      <c r="V142" s="542"/>
    </row>
    <row r="143" spans="1:22" s="601" customFormat="1">
      <c r="A143" s="542"/>
      <c r="B143" s="542"/>
      <c r="C143" s="605"/>
      <c r="D143" s="605"/>
      <c r="E143" s="605"/>
      <c r="F143" s="605"/>
      <c r="H143" s="606"/>
      <c r="K143" s="596"/>
      <c r="L143" s="542"/>
      <c r="M143" s="542"/>
      <c r="N143" s="542"/>
      <c r="O143" s="484"/>
      <c r="P143" s="642"/>
      <c r="Q143" s="604"/>
      <c r="R143" s="604"/>
      <c r="S143" s="604"/>
      <c r="T143" s="542"/>
      <c r="U143" s="542"/>
      <c r="V143" s="542"/>
    </row>
    <row r="144" spans="1:22" s="601" customFormat="1">
      <c r="A144" s="542"/>
      <c r="B144" s="542"/>
      <c r="C144" s="605"/>
      <c r="D144" s="605"/>
      <c r="E144" s="605"/>
      <c r="F144" s="605"/>
      <c r="H144" s="606"/>
      <c r="K144" s="596"/>
      <c r="L144" s="542"/>
      <c r="M144" s="542"/>
      <c r="N144" s="542"/>
      <c r="O144" s="484"/>
      <c r="P144" s="642"/>
      <c r="Q144" s="604"/>
      <c r="R144" s="604"/>
      <c r="S144" s="604"/>
      <c r="T144" s="542"/>
      <c r="U144" s="542"/>
      <c r="V144" s="542"/>
    </row>
    <row r="145" spans="1:22" s="601" customFormat="1">
      <c r="A145" s="542"/>
      <c r="B145" s="542"/>
      <c r="C145" s="605"/>
      <c r="D145" s="605"/>
      <c r="E145" s="605"/>
      <c r="F145" s="605"/>
      <c r="H145" s="606"/>
      <c r="K145" s="596"/>
      <c r="L145" s="542"/>
      <c r="M145" s="542"/>
      <c r="N145" s="542"/>
      <c r="O145" s="484"/>
      <c r="P145" s="642"/>
      <c r="Q145" s="604"/>
      <c r="R145" s="604"/>
      <c r="S145" s="604"/>
      <c r="T145" s="542"/>
      <c r="U145" s="542"/>
      <c r="V145" s="542"/>
    </row>
    <row r="146" spans="1:22" s="601" customFormat="1">
      <c r="A146" s="542"/>
      <c r="B146" s="542"/>
      <c r="C146" s="605"/>
      <c r="D146" s="605"/>
      <c r="E146" s="605"/>
      <c r="F146" s="605"/>
      <c r="H146" s="606"/>
      <c r="K146" s="596"/>
      <c r="L146" s="602"/>
      <c r="M146" s="542"/>
      <c r="N146" s="542"/>
      <c r="O146" s="484"/>
      <c r="P146" s="642"/>
      <c r="Q146" s="604"/>
      <c r="R146" s="604"/>
      <c r="S146" s="604"/>
      <c r="T146" s="542"/>
      <c r="U146" s="542"/>
      <c r="V146" s="542"/>
    </row>
  </sheetData>
  <mergeCells count="5">
    <mergeCell ref="A7:L7"/>
    <mergeCell ref="M7:O7"/>
    <mergeCell ref="U7:V7"/>
    <mergeCell ref="D9:F9"/>
    <mergeCell ref="H9:K9"/>
  </mergeCells>
  <conditionalFormatting sqref="P34:P50 Z9:Z57">
    <cfRule type="aboveAverage" dxfId="5" priority="1" aboveAverage="0" stdDev="1"/>
    <cfRule type="aboveAverage" dxfId="4" priority="2" stdDev="1"/>
  </conditionalFormatting>
  <dataValidations count="1">
    <dataValidation type="list" allowBlank="1" showInputMessage="1" showErrorMessage="1" sqref="B5" xr:uid="{93B3D7FB-6741-44CA-B499-E17295D306D4}">
      <formula1>$AB$5:$AB$8</formula1>
    </dataValidation>
  </dataValidation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C6239-2D78-4AA9-8A20-29ED93DE0F45}">
  <dimension ref="A1:Z150"/>
  <sheetViews>
    <sheetView workbookViewId="0">
      <selection activeCell="H44" sqref="H44"/>
    </sheetView>
  </sheetViews>
  <sheetFormatPr defaultColWidth="7.85546875" defaultRowHeight="11.25"/>
  <cols>
    <col min="1" max="1" width="15.7109375" style="542" bestFit="1" customWidth="1"/>
    <col min="2" max="2" width="9.5703125" style="542" bestFit="1" customWidth="1"/>
    <col min="3" max="3" width="5.140625" style="605" customWidth="1"/>
    <col min="4" max="6" width="7.7109375" style="605" customWidth="1"/>
    <col min="7" max="7" width="12" style="601" bestFit="1" customWidth="1"/>
    <col min="8" max="8" width="9.28515625" style="606" customWidth="1"/>
    <col min="9" max="10" width="8.42578125" style="601" bestFit="1" customWidth="1"/>
    <col min="11" max="11" width="8.42578125" style="596" bestFit="1" customWidth="1"/>
    <col min="12" max="12" width="13.7109375" style="602" bestFit="1" customWidth="1"/>
    <col min="13" max="13" width="6.28515625" style="542" bestFit="1" customWidth="1"/>
    <col min="14" max="14" width="5.7109375" style="542" bestFit="1" customWidth="1"/>
    <col min="15" max="15" width="5.85546875" style="484" bestFit="1" customWidth="1"/>
    <col min="16" max="16" width="5.85546875" style="642" bestFit="1" customWidth="1"/>
    <col min="17" max="17" width="14" style="604" bestFit="1" customWidth="1"/>
    <col min="18" max="18" width="6" style="604" bestFit="1" customWidth="1"/>
    <col min="19" max="19" width="8.7109375" style="604" bestFit="1" customWidth="1"/>
    <col min="20" max="21" width="17.28515625" style="542" bestFit="1" customWidth="1"/>
    <col min="22" max="22" width="9.28515625" style="542" bestFit="1" customWidth="1"/>
    <col min="23" max="27" width="5.28515625" style="542" customWidth="1"/>
    <col min="28" max="28" width="17" style="542" customWidth="1"/>
    <col min="29" max="16384" width="7.85546875" style="542"/>
  </cols>
  <sheetData>
    <row r="1" spans="1:24" s="430" customFormat="1" ht="12.75">
      <c r="A1" s="611" t="s">
        <v>105</v>
      </c>
      <c r="B1" s="612" t="s">
        <v>152</v>
      </c>
      <c r="C1" s="422"/>
      <c r="D1" s="612"/>
      <c r="E1" s="423"/>
      <c r="F1" s="423"/>
      <c r="G1" s="424"/>
      <c r="H1" s="425" t="s">
        <v>154</v>
      </c>
      <c r="I1" s="426">
        <v>458</v>
      </c>
      <c r="J1" s="427"/>
      <c r="K1" s="612"/>
      <c r="L1" s="612"/>
      <c r="N1" s="429"/>
      <c r="P1" s="613"/>
      <c r="Q1" s="613"/>
      <c r="R1" s="613"/>
      <c r="S1" s="613"/>
    </row>
    <row r="2" spans="1:24" s="430" customFormat="1" ht="12.75">
      <c r="A2" s="614" t="s">
        <v>107</v>
      </c>
      <c r="B2" s="612" t="s">
        <v>9</v>
      </c>
      <c r="C2" s="433"/>
      <c r="D2" s="612"/>
      <c r="E2" s="434"/>
      <c r="F2" s="434"/>
      <c r="G2" s="435"/>
      <c r="H2" s="436" t="s">
        <v>155</v>
      </c>
      <c r="I2" s="615">
        <v>394</v>
      </c>
      <c r="J2" s="438"/>
      <c r="K2" s="612"/>
      <c r="L2" s="612"/>
      <c r="N2" s="440"/>
      <c r="P2" s="613"/>
      <c r="Q2" s="613"/>
      <c r="R2" s="613"/>
      <c r="S2" s="613"/>
    </row>
    <row r="3" spans="1:24" s="446" customFormat="1" ht="11.25" customHeight="1">
      <c r="A3" s="442" t="s">
        <v>109</v>
      </c>
      <c r="B3" s="607">
        <v>45401</v>
      </c>
      <c r="C3" s="433"/>
      <c r="D3" s="434"/>
      <c r="E3" s="434"/>
      <c r="F3" s="434"/>
      <c r="G3" s="435"/>
      <c r="H3" s="442" t="s">
        <v>156</v>
      </c>
      <c r="I3" s="616">
        <f>V34/100</f>
        <v>3.94</v>
      </c>
      <c r="J3" s="438"/>
      <c r="K3" s="612"/>
      <c r="L3" s="612"/>
      <c r="N3" s="445"/>
      <c r="P3" s="617"/>
      <c r="Q3" s="617"/>
      <c r="R3" s="617"/>
      <c r="S3" s="617"/>
    </row>
    <row r="4" spans="1:24" s="430" customFormat="1" ht="12.75">
      <c r="A4" s="442" t="s">
        <v>111</v>
      </c>
      <c r="B4" s="432" t="s">
        <v>179</v>
      </c>
      <c r="C4" s="433"/>
      <c r="D4" s="434"/>
      <c r="E4" s="434"/>
      <c r="F4" s="434"/>
      <c r="G4" s="435"/>
      <c r="H4" s="442" t="s">
        <v>157</v>
      </c>
      <c r="I4" s="618">
        <f>S32</f>
        <v>0.4174033907662521</v>
      </c>
      <c r="J4" s="438"/>
      <c r="K4" s="612"/>
      <c r="L4" s="612"/>
      <c r="M4" s="429"/>
      <c r="N4" s="429"/>
      <c r="P4" s="613"/>
      <c r="Q4" s="613"/>
      <c r="R4" s="613"/>
      <c r="S4" s="613"/>
    </row>
    <row r="5" spans="1:24" s="451" customFormat="1" ht="12.75">
      <c r="A5" s="614" t="s">
        <v>113</v>
      </c>
      <c r="B5" s="447" t="s">
        <v>114</v>
      </c>
      <c r="C5" s="433"/>
      <c r="D5" s="434"/>
      <c r="E5" s="434"/>
      <c r="F5" s="434"/>
      <c r="G5" s="435"/>
      <c r="H5" s="442"/>
      <c r="I5" s="448"/>
      <c r="J5" s="438"/>
      <c r="K5" s="612"/>
      <c r="L5" s="612"/>
      <c r="M5" s="450"/>
      <c r="N5" s="450"/>
      <c r="P5" s="619"/>
      <c r="Q5" s="619"/>
      <c r="R5" s="619"/>
      <c r="S5" s="619"/>
    </row>
    <row r="6" spans="1:24" s="450" customFormat="1" ht="13.5" thickBot="1">
      <c r="A6" s="620"/>
      <c r="B6" s="621"/>
      <c r="C6" s="622"/>
      <c r="D6" s="623"/>
      <c r="E6" s="623"/>
      <c r="F6" s="623"/>
      <c r="G6" s="624"/>
      <c r="H6" s="625"/>
      <c r="I6" s="626"/>
      <c r="J6" s="624"/>
      <c r="K6" s="621"/>
      <c r="L6" s="621"/>
      <c r="M6" s="471"/>
      <c r="P6" s="627"/>
      <c r="Q6" s="627"/>
      <c r="R6" s="627"/>
      <c r="S6" s="627"/>
    </row>
    <row r="7" spans="1:24" s="451" customFormat="1" ht="13.15" customHeight="1">
      <c r="A7" s="1070" t="s">
        <v>115</v>
      </c>
      <c r="B7" s="1071"/>
      <c r="C7" s="1071"/>
      <c r="D7" s="1071"/>
      <c r="E7" s="1071"/>
      <c r="F7" s="1071"/>
      <c r="G7" s="1071"/>
      <c r="H7" s="1071"/>
      <c r="I7" s="1071"/>
      <c r="J7" s="1071"/>
      <c r="K7" s="1071"/>
      <c r="L7" s="1071"/>
      <c r="M7" s="1072" t="s">
        <v>116</v>
      </c>
      <c r="N7" s="1073"/>
      <c r="O7" s="1074"/>
      <c r="P7" s="628" t="s">
        <v>117</v>
      </c>
      <c r="Q7" s="467"/>
      <c r="R7" s="628" t="s">
        <v>118</v>
      </c>
      <c r="S7" s="628"/>
      <c r="T7" s="469"/>
      <c r="U7" s="1068" t="s">
        <v>119</v>
      </c>
      <c r="V7" s="1069"/>
      <c r="W7" s="450"/>
      <c r="X7" s="450"/>
    </row>
    <row r="8" spans="1:24" s="480" customFormat="1">
      <c r="A8" s="470"/>
      <c r="B8" s="471"/>
      <c r="C8" s="472"/>
      <c r="D8" s="629"/>
      <c r="E8" s="630"/>
      <c r="F8" s="631"/>
      <c r="G8" s="632"/>
      <c r="H8" s="633"/>
      <c r="I8" s="633"/>
      <c r="J8" s="633"/>
      <c r="K8" s="633"/>
      <c r="L8" s="634"/>
      <c r="M8" s="635"/>
      <c r="N8" s="636"/>
      <c r="O8" s="473"/>
      <c r="P8" s="637"/>
      <c r="Q8" s="476"/>
      <c r="R8" s="637"/>
      <c r="S8" s="637"/>
      <c r="T8" s="478"/>
      <c r="U8" s="449"/>
      <c r="V8" s="449"/>
      <c r="W8" s="479"/>
    </row>
    <row r="9" spans="1:24" s="481" customFormat="1" ht="13.15" customHeight="1">
      <c r="A9" s="638"/>
      <c r="B9" s="450"/>
      <c r="C9" s="482"/>
      <c r="D9" s="1075" t="s">
        <v>158</v>
      </c>
      <c r="E9" s="1076"/>
      <c r="F9" s="1077"/>
      <c r="G9" s="639"/>
      <c r="H9" s="1078" t="s">
        <v>159</v>
      </c>
      <c r="I9" s="1079"/>
      <c r="J9" s="1079"/>
      <c r="K9" s="1080"/>
      <c r="L9" s="640"/>
      <c r="M9" s="641"/>
      <c r="N9" s="636" t="s">
        <v>120</v>
      </c>
      <c r="O9" s="473"/>
      <c r="P9" s="637"/>
      <c r="Q9" s="476"/>
      <c r="R9" s="642"/>
      <c r="S9" s="642"/>
      <c r="T9" s="478"/>
      <c r="U9" s="485"/>
      <c r="V9" s="486"/>
      <c r="W9" s="487"/>
      <c r="X9" s="488"/>
    </row>
    <row r="10" spans="1:24" s="481" customFormat="1">
      <c r="A10" s="489" t="s">
        <v>121</v>
      </c>
      <c r="B10" s="490" t="s">
        <v>122</v>
      </c>
      <c r="C10" s="491" t="s">
        <v>123</v>
      </c>
      <c r="D10" s="643" t="s">
        <v>160</v>
      </c>
      <c r="E10" s="644" t="s">
        <v>161</v>
      </c>
      <c r="F10" s="645" t="s">
        <v>162</v>
      </c>
      <c r="G10" s="639" t="s">
        <v>163</v>
      </c>
      <c r="H10" s="646" t="s">
        <v>164</v>
      </c>
      <c r="I10" s="646" t="s">
        <v>165</v>
      </c>
      <c r="J10" s="646" t="s">
        <v>166</v>
      </c>
      <c r="K10" s="646" t="s">
        <v>167</v>
      </c>
      <c r="L10" s="640" t="s">
        <v>168</v>
      </c>
      <c r="M10" s="493" t="s">
        <v>124</v>
      </c>
      <c r="N10" s="647" t="s">
        <v>125</v>
      </c>
      <c r="O10" s="492" t="s">
        <v>126</v>
      </c>
      <c r="P10" s="477" t="s">
        <v>127</v>
      </c>
      <c r="Q10" s="476" t="s">
        <v>128</v>
      </c>
      <c r="R10" s="477" t="s">
        <v>128</v>
      </c>
      <c r="S10" s="477" t="s">
        <v>127</v>
      </c>
      <c r="T10" s="494" t="s">
        <v>129</v>
      </c>
      <c r="U10" s="485" t="s">
        <v>130</v>
      </c>
      <c r="V10" s="485" t="s">
        <v>131</v>
      </c>
      <c r="W10" s="495"/>
    </row>
    <row r="11" spans="1:24" s="481" customFormat="1" ht="12" thickBot="1">
      <c r="A11" s="496" t="s">
        <v>132</v>
      </c>
      <c r="B11" s="497" t="s">
        <v>132</v>
      </c>
      <c r="C11" s="498" t="s">
        <v>133</v>
      </c>
      <c r="D11" s="648" t="s">
        <v>169</v>
      </c>
      <c r="E11" s="649" t="s">
        <v>169</v>
      </c>
      <c r="F11" s="650" t="s">
        <v>169</v>
      </c>
      <c r="G11" s="651" t="s">
        <v>169</v>
      </c>
      <c r="H11" s="652" t="s">
        <v>169</v>
      </c>
      <c r="I11" s="652" t="s">
        <v>169</v>
      </c>
      <c r="J11" s="652" t="s">
        <v>169</v>
      </c>
      <c r="K11" s="652" t="s">
        <v>169</v>
      </c>
      <c r="L11" s="653" t="s">
        <v>169</v>
      </c>
      <c r="M11" s="500" t="s">
        <v>134</v>
      </c>
      <c r="N11" s="654" t="s">
        <v>133</v>
      </c>
      <c r="O11" s="499" t="s">
        <v>133</v>
      </c>
      <c r="P11" s="503" t="s">
        <v>135</v>
      </c>
      <c r="Q11" s="502" t="s">
        <v>136</v>
      </c>
      <c r="R11" s="655" t="s">
        <v>38</v>
      </c>
      <c r="S11" s="655" t="s">
        <v>170</v>
      </c>
      <c r="T11" s="504"/>
      <c r="U11" s="505"/>
      <c r="V11" s="506" t="s">
        <v>169</v>
      </c>
      <c r="W11" s="495"/>
    </row>
    <row r="12" spans="1:24" s="481" customFormat="1">
      <c r="A12" s="656" t="s">
        <v>171</v>
      </c>
      <c r="B12" s="657"/>
      <c r="C12" s="658">
        <v>0</v>
      </c>
      <c r="D12" s="659" t="s">
        <v>172</v>
      </c>
      <c r="E12" s="660" t="s">
        <v>172</v>
      </c>
      <c r="F12" s="661" t="s">
        <v>172</v>
      </c>
      <c r="G12" s="662" t="s">
        <v>172</v>
      </c>
      <c r="H12" s="660" t="s">
        <v>172</v>
      </c>
      <c r="I12" s="660" t="s">
        <v>172</v>
      </c>
      <c r="J12" s="660" t="s">
        <v>172</v>
      </c>
      <c r="K12" s="660" t="s">
        <v>172</v>
      </c>
      <c r="L12" s="663" t="s">
        <v>172</v>
      </c>
      <c r="M12" s="509"/>
      <c r="N12" s="664"/>
      <c r="O12" s="665"/>
      <c r="P12" s="666"/>
      <c r="Q12" s="667"/>
      <c r="R12" s="668"/>
      <c r="S12" s="669"/>
      <c r="T12" s="670"/>
      <c r="U12" s="518" t="s">
        <v>201</v>
      </c>
      <c r="V12" s="519">
        <v>394</v>
      </c>
      <c r="W12" s="520"/>
    </row>
    <row r="13" spans="1:24" s="481" customFormat="1">
      <c r="A13" s="507">
        <v>150</v>
      </c>
      <c r="B13" s="508">
        <v>0</v>
      </c>
      <c r="C13" s="509">
        <v>10</v>
      </c>
      <c r="D13" s="671" t="s">
        <v>172</v>
      </c>
      <c r="E13" s="672" t="s">
        <v>172</v>
      </c>
      <c r="F13" s="673" t="s">
        <v>172</v>
      </c>
      <c r="G13" s="674" t="s">
        <v>172</v>
      </c>
      <c r="H13" s="672" t="s">
        <v>172</v>
      </c>
      <c r="I13" s="672" t="s">
        <v>172</v>
      </c>
      <c r="J13" s="672" t="s">
        <v>172</v>
      </c>
      <c r="K13" s="672" t="s">
        <v>172</v>
      </c>
      <c r="L13" s="675" t="s">
        <v>172</v>
      </c>
      <c r="M13" s="509">
        <v>966</v>
      </c>
      <c r="N13" s="676">
        <f>C12</f>
        <v>0</v>
      </c>
      <c r="O13" s="677">
        <f t="shared" ref="O13:O19" si="0">(C13+C14-10)/2</f>
        <v>10</v>
      </c>
      <c r="P13" s="523">
        <f>(A13-B13)/M13</f>
        <v>0.15527950310559005</v>
      </c>
      <c r="Q13" s="514">
        <f>(P13*(O13-N13))/100</f>
        <v>1.5527950310559004E-2</v>
      </c>
      <c r="R13" s="678">
        <f>SUM(Q$13:Q13)</f>
        <v>1.5527950310559004E-2</v>
      </c>
      <c r="S13" s="526">
        <f>R13/O13*100</f>
        <v>0.15527950310559005</v>
      </c>
      <c r="T13" s="517"/>
      <c r="U13" s="527"/>
      <c r="V13" s="528"/>
      <c r="W13" s="495"/>
    </row>
    <row r="14" spans="1:24" s="481" customFormat="1">
      <c r="A14" s="507">
        <v>205</v>
      </c>
      <c r="B14" s="508">
        <v>0</v>
      </c>
      <c r="C14" s="509">
        <v>20</v>
      </c>
      <c r="D14" s="671" t="s">
        <v>172</v>
      </c>
      <c r="E14" s="672" t="s">
        <v>172</v>
      </c>
      <c r="F14" s="673" t="s">
        <v>172</v>
      </c>
      <c r="G14" s="674" t="s">
        <v>172</v>
      </c>
      <c r="H14" s="672" t="s">
        <v>172</v>
      </c>
      <c r="I14" s="672" t="s">
        <v>172</v>
      </c>
      <c r="J14" s="672" t="s">
        <v>172</v>
      </c>
      <c r="K14" s="672" t="s">
        <v>172</v>
      </c>
      <c r="L14" s="675" t="s">
        <v>172</v>
      </c>
      <c r="M14" s="509">
        <v>966</v>
      </c>
      <c r="N14" s="676">
        <f t="shared" ref="N14:N21" si="1">(C13+C14-10)/2</f>
        <v>10</v>
      </c>
      <c r="O14" s="677">
        <f t="shared" si="0"/>
        <v>20</v>
      </c>
      <c r="P14" s="523">
        <f t="shared" ref="P14:P21" si="2">(A14-B14)/M14</f>
        <v>0.21221532091097309</v>
      </c>
      <c r="Q14" s="514">
        <f t="shared" ref="Q14:Q21" si="3">(P14*(O14-N14))/100</f>
        <v>2.1221532091097308E-2</v>
      </c>
      <c r="R14" s="678">
        <f>SUM(Q$13:Q14)</f>
        <v>3.6749482401656312E-2</v>
      </c>
      <c r="S14" s="526">
        <f t="shared" ref="S14:S21" si="4">R14/O14*100</f>
        <v>0.18374741200828157</v>
      </c>
      <c r="T14" s="517"/>
      <c r="U14" s="527"/>
      <c r="V14" s="528"/>
      <c r="W14" s="495"/>
    </row>
    <row r="15" spans="1:24" s="481" customFormat="1">
      <c r="A15" s="507">
        <v>275</v>
      </c>
      <c r="B15" s="508">
        <v>0</v>
      </c>
      <c r="C15" s="509">
        <v>30</v>
      </c>
      <c r="D15" s="671" t="s">
        <v>172</v>
      </c>
      <c r="E15" s="672" t="s">
        <v>172</v>
      </c>
      <c r="F15" s="673" t="s">
        <v>172</v>
      </c>
      <c r="G15" s="674" t="s">
        <v>172</v>
      </c>
      <c r="H15" s="672" t="s">
        <v>172</v>
      </c>
      <c r="I15" s="672" t="s">
        <v>172</v>
      </c>
      <c r="J15" s="672" t="s">
        <v>172</v>
      </c>
      <c r="K15" s="672" t="s">
        <v>172</v>
      </c>
      <c r="L15" s="675" t="s">
        <v>172</v>
      </c>
      <c r="M15" s="509">
        <v>966</v>
      </c>
      <c r="N15" s="676">
        <f t="shared" si="1"/>
        <v>20</v>
      </c>
      <c r="O15" s="677">
        <f t="shared" si="0"/>
        <v>30</v>
      </c>
      <c r="P15" s="523">
        <f t="shared" si="2"/>
        <v>0.28467908902691513</v>
      </c>
      <c r="Q15" s="514">
        <f t="shared" si="3"/>
        <v>2.8467908902691512E-2</v>
      </c>
      <c r="R15" s="678">
        <f>SUM(Q$13:Q15)</f>
        <v>6.5217391304347824E-2</v>
      </c>
      <c r="S15" s="526">
        <f t="shared" si="4"/>
        <v>0.21739130434782608</v>
      </c>
      <c r="T15" s="517"/>
      <c r="U15" s="527"/>
      <c r="V15" s="529"/>
      <c r="W15" s="495"/>
    </row>
    <row r="16" spans="1:24" s="481" customFormat="1">
      <c r="A16" s="530">
        <v>260</v>
      </c>
      <c r="B16" s="508">
        <v>0</v>
      </c>
      <c r="C16" s="509">
        <v>40</v>
      </c>
      <c r="D16" s="671" t="s">
        <v>172</v>
      </c>
      <c r="E16" s="672" t="s">
        <v>172</v>
      </c>
      <c r="F16" s="673" t="s">
        <v>172</v>
      </c>
      <c r="G16" s="674" t="s">
        <v>172</v>
      </c>
      <c r="H16" s="672" t="s">
        <v>172</v>
      </c>
      <c r="I16" s="672" t="s">
        <v>172</v>
      </c>
      <c r="J16" s="672" t="s">
        <v>172</v>
      </c>
      <c r="K16" s="672" t="s">
        <v>172</v>
      </c>
      <c r="L16" s="675" t="s">
        <v>172</v>
      </c>
      <c r="M16" s="509">
        <v>966</v>
      </c>
      <c r="N16" s="676">
        <f t="shared" si="1"/>
        <v>30</v>
      </c>
      <c r="O16" s="677">
        <f t="shared" si="0"/>
        <v>40</v>
      </c>
      <c r="P16" s="523">
        <f t="shared" si="2"/>
        <v>0.2691511387163561</v>
      </c>
      <c r="Q16" s="514">
        <f t="shared" si="3"/>
        <v>2.6915113871635608E-2</v>
      </c>
      <c r="R16" s="678">
        <f>SUM(Q$13:Q16)</f>
        <v>9.2132505175983426E-2</v>
      </c>
      <c r="S16" s="526">
        <f t="shared" si="4"/>
        <v>0.23033126293995854</v>
      </c>
      <c r="T16" s="517"/>
      <c r="U16" s="527"/>
      <c r="V16" s="528"/>
      <c r="W16" s="495"/>
    </row>
    <row r="17" spans="1:25" s="481" customFormat="1">
      <c r="A17" s="530">
        <v>310</v>
      </c>
      <c r="B17" s="508">
        <v>0</v>
      </c>
      <c r="C17" s="509">
        <v>50</v>
      </c>
      <c r="D17" s="671" t="s">
        <v>172</v>
      </c>
      <c r="E17" s="672" t="s">
        <v>172</v>
      </c>
      <c r="F17" s="673" t="s">
        <v>172</v>
      </c>
      <c r="G17" s="674" t="s">
        <v>172</v>
      </c>
      <c r="H17" s="672" t="s">
        <v>172</v>
      </c>
      <c r="I17" s="672" t="s">
        <v>172</v>
      </c>
      <c r="J17" s="672" t="s">
        <v>172</v>
      </c>
      <c r="K17" s="672" t="s">
        <v>172</v>
      </c>
      <c r="L17" s="675" t="s">
        <v>172</v>
      </c>
      <c r="M17" s="509">
        <v>966</v>
      </c>
      <c r="N17" s="676">
        <f t="shared" si="1"/>
        <v>40</v>
      </c>
      <c r="O17" s="677">
        <f t="shared" si="0"/>
        <v>50</v>
      </c>
      <c r="P17" s="523">
        <f t="shared" si="2"/>
        <v>0.32091097308488614</v>
      </c>
      <c r="Q17" s="514">
        <f t="shared" si="3"/>
        <v>3.2091097308488609E-2</v>
      </c>
      <c r="R17" s="678">
        <f>SUM(Q$13:Q17)</f>
        <v>0.12422360248447203</v>
      </c>
      <c r="S17" s="526">
        <f t="shared" si="4"/>
        <v>0.24844720496894407</v>
      </c>
      <c r="T17" s="517" t="s">
        <v>139</v>
      </c>
      <c r="U17" s="527"/>
      <c r="V17" s="528"/>
      <c r="W17" s="487"/>
    </row>
    <row r="18" spans="1:25" s="481" customFormat="1">
      <c r="A18" s="530">
        <v>320</v>
      </c>
      <c r="B18" s="508">
        <v>0</v>
      </c>
      <c r="C18" s="509">
        <v>60</v>
      </c>
      <c r="D18" s="671" t="s">
        <v>172</v>
      </c>
      <c r="E18" s="672" t="s">
        <v>172</v>
      </c>
      <c r="F18" s="673" t="s">
        <v>172</v>
      </c>
      <c r="G18" s="674" t="s">
        <v>172</v>
      </c>
      <c r="H18" s="672" t="s">
        <v>172</v>
      </c>
      <c r="I18" s="672" t="s">
        <v>172</v>
      </c>
      <c r="J18" s="672" t="s">
        <v>172</v>
      </c>
      <c r="K18" s="672" t="s">
        <v>172</v>
      </c>
      <c r="L18" s="675" t="s">
        <v>172</v>
      </c>
      <c r="M18" s="509">
        <v>966</v>
      </c>
      <c r="N18" s="676">
        <f t="shared" si="1"/>
        <v>50</v>
      </c>
      <c r="O18" s="677">
        <f t="shared" si="0"/>
        <v>60</v>
      </c>
      <c r="P18" s="523">
        <f t="shared" si="2"/>
        <v>0.33126293995859213</v>
      </c>
      <c r="Q18" s="514">
        <f t="shared" si="3"/>
        <v>3.3126293995859209E-2</v>
      </c>
      <c r="R18" s="678">
        <f>SUM(Q$13:Q18)</f>
        <v>0.15734989648033124</v>
      </c>
      <c r="S18" s="526">
        <f t="shared" si="4"/>
        <v>0.26224982746721875</v>
      </c>
      <c r="T18" s="532"/>
      <c r="U18" s="527"/>
      <c r="V18" s="528"/>
      <c r="W18" s="487"/>
    </row>
    <row r="19" spans="1:25" s="481" customFormat="1" ht="10.15" customHeight="1">
      <c r="A19" s="530">
        <v>305</v>
      </c>
      <c r="B19" s="508">
        <v>0</v>
      </c>
      <c r="C19" s="509">
        <v>70</v>
      </c>
      <c r="D19" s="671" t="s">
        <v>172</v>
      </c>
      <c r="E19" s="672" t="s">
        <v>172</v>
      </c>
      <c r="F19" s="673" t="s">
        <v>172</v>
      </c>
      <c r="G19" s="674" t="s">
        <v>172</v>
      </c>
      <c r="H19" s="672" t="s">
        <v>172</v>
      </c>
      <c r="I19" s="672" t="s">
        <v>172</v>
      </c>
      <c r="J19" s="672" t="s">
        <v>172</v>
      </c>
      <c r="K19" s="672" t="s">
        <v>172</v>
      </c>
      <c r="L19" s="675" t="s">
        <v>172</v>
      </c>
      <c r="M19" s="509">
        <v>966</v>
      </c>
      <c r="N19" s="676">
        <f t="shared" si="1"/>
        <v>60</v>
      </c>
      <c r="O19" s="677">
        <f t="shared" si="0"/>
        <v>70</v>
      </c>
      <c r="P19" s="523">
        <f t="shared" si="2"/>
        <v>0.31573498964803315</v>
      </c>
      <c r="Q19" s="514">
        <f t="shared" si="3"/>
        <v>3.1573498964803319E-2</v>
      </c>
      <c r="R19" s="678">
        <f>SUM(Q$13:Q19)</f>
        <v>0.18892339544513456</v>
      </c>
      <c r="S19" s="526">
        <f t="shared" si="4"/>
        <v>0.26989056492162078</v>
      </c>
      <c r="T19" s="532"/>
      <c r="U19" s="527"/>
      <c r="V19" s="528"/>
      <c r="W19" s="533"/>
    </row>
    <row r="20" spans="1:25" s="481" customFormat="1">
      <c r="A20" s="530">
        <v>310</v>
      </c>
      <c r="B20" s="508">
        <v>0</v>
      </c>
      <c r="C20" s="509">
        <v>80</v>
      </c>
      <c r="D20" s="671" t="s">
        <v>172</v>
      </c>
      <c r="E20" s="672" t="s">
        <v>172</v>
      </c>
      <c r="F20" s="673" t="s">
        <v>172</v>
      </c>
      <c r="G20" s="674" t="s">
        <v>172</v>
      </c>
      <c r="H20" s="672" t="s">
        <v>172</v>
      </c>
      <c r="I20" s="672" t="s">
        <v>172</v>
      </c>
      <c r="J20" s="672" t="s">
        <v>172</v>
      </c>
      <c r="K20" s="672" t="s">
        <v>172</v>
      </c>
      <c r="L20" s="675" t="s">
        <v>172</v>
      </c>
      <c r="M20" s="509">
        <v>966</v>
      </c>
      <c r="N20" s="676">
        <f t="shared" si="1"/>
        <v>70</v>
      </c>
      <c r="O20" s="677">
        <f>(C20+C21-10)/2</f>
        <v>80</v>
      </c>
      <c r="P20" s="523">
        <f t="shared" si="2"/>
        <v>0.32091097308488614</v>
      </c>
      <c r="Q20" s="514">
        <f t="shared" si="3"/>
        <v>3.2091097308488609E-2</v>
      </c>
      <c r="R20" s="678">
        <f>SUM(Q$13:Q20)</f>
        <v>0.22101449275362317</v>
      </c>
      <c r="S20" s="526">
        <f t="shared" si="4"/>
        <v>0.27626811594202899</v>
      </c>
      <c r="T20" s="517"/>
      <c r="U20" s="527"/>
      <c r="V20" s="528"/>
      <c r="W20" s="534"/>
    </row>
    <row r="21" spans="1:25" s="536" customFormat="1">
      <c r="A21" s="530">
        <v>285</v>
      </c>
      <c r="B21" s="508">
        <v>0</v>
      </c>
      <c r="C21" s="509">
        <v>90</v>
      </c>
      <c r="D21" s="671" t="s">
        <v>172</v>
      </c>
      <c r="E21" s="672" t="s">
        <v>172</v>
      </c>
      <c r="F21" s="673" t="s">
        <v>172</v>
      </c>
      <c r="G21" s="674" t="s">
        <v>172</v>
      </c>
      <c r="H21" s="672" t="s">
        <v>172</v>
      </c>
      <c r="I21" s="672" t="s">
        <v>172</v>
      </c>
      <c r="J21" s="672" t="s">
        <v>172</v>
      </c>
      <c r="K21" s="672" t="s">
        <v>172</v>
      </c>
      <c r="L21" s="675" t="s">
        <v>172</v>
      </c>
      <c r="M21" s="509">
        <v>966</v>
      </c>
      <c r="N21" s="676">
        <f t="shared" si="1"/>
        <v>80</v>
      </c>
      <c r="O21" s="677">
        <f>(C21+C24-D24)/2</f>
        <v>87.5</v>
      </c>
      <c r="P21" s="523">
        <f t="shared" si="2"/>
        <v>0.29503105590062112</v>
      </c>
      <c r="Q21" s="514">
        <f t="shared" si="3"/>
        <v>2.2127329192546584E-2</v>
      </c>
      <c r="R21" s="678">
        <f>SUM(Q$13:Q21)</f>
        <v>0.24314182194616976</v>
      </c>
      <c r="S21" s="526">
        <f t="shared" si="4"/>
        <v>0.2778763679384797</v>
      </c>
      <c r="T21" s="535"/>
      <c r="U21" s="527"/>
      <c r="V21" s="528"/>
      <c r="W21" s="534"/>
    </row>
    <row r="22" spans="1:25" s="536" customFormat="1" ht="12" thickBot="1">
      <c r="A22" s="679"/>
      <c r="B22" s="680"/>
      <c r="C22" s="681"/>
      <c r="D22" s="682"/>
      <c r="E22" s="681"/>
      <c r="F22" s="683"/>
      <c r="G22" s="684"/>
      <c r="H22" s="681"/>
      <c r="I22" s="681"/>
      <c r="J22" s="681"/>
      <c r="K22" s="681"/>
      <c r="L22" s="685"/>
      <c r="M22" s="681"/>
      <c r="N22" s="686"/>
      <c r="O22" s="687"/>
      <c r="P22" s="688"/>
      <c r="Q22" s="689"/>
      <c r="R22" s="690"/>
      <c r="S22" s="691"/>
      <c r="T22" s="692"/>
      <c r="U22" s="527"/>
      <c r="V22" s="539"/>
      <c r="W22" s="540"/>
    </row>
    <row r="23" spans="1:25" s="536" customFormat="1">
      <c r="A23" s="693" t="s">
        <v>173</v>
      </c>
      <c r="B23" s="508"/>
      <c r="C23" s="509"/>
      <c r="D23" s="694"/>
      <c r="E23" s="509"/>
      <c r="F23" s="695"/>
      <c r="G23" s="696"/>
      <c r="H23" s="509"/>
      <c r="I23" s="509"/>
      <c r="J23" s="509"/>
      <c r="K23" s="509"/>
      <c r="L23" s="697"/>
      <c r="M23" s="509"/>
      <c r="N23" s="676"/>
      <c r="O23" s="677"/>
      <c r="P23" s="523"/>
      <c r="Q23" s="514"/>
      <c r="R23" s="678"/>
      <c r="S23" s="526"/>
      <c r="T23" s="543"/>
      <c r="U23" s="527"/>
      <c r="V23" s="539"/>
      <c r="W23" s="540"/>
    </row>
    <row r="24" spans="1:25" s="536" customFormat="1">
      <c r="A24" s="530">
        <v>495</v>
      </c>
      <c r="B24" s="508">
        <v>0</v>
      </c>
      <c r="C24" s="509">
        <f>C25-D25</f>
        <v>128</v>
      </c>
      <c r="D24" s="698">
        <v>43</v>
      </c>
      <c r="E24" s="699"/>
      <c r="F24" s="700"/>
      <c r="G24" s="701">
        <f t="shared" ref="G24:G33" si="5">AVERAGE(D24:F24)</f>
        <v>43</v>
      </c>
      <c r="H24" s="699">
        <v>5.7</v>
      </c>
      <c r="I24" s="699"/>
      <c r="J24" s="699"/>
      <c r="K24" s="699"/>
      <c r="L24" s="702">
        <f t="shared" ref="L24:L33" si="6">AVERAGE(H24:K24)</f>
        <v>5.7</v>
      </c>
      <c r="M24" s="509">
        <f>G24*    PI()* (L24/2)^2</f>
        <v>1097.2562121376732</v>
      </c>
      <c r="N24" s="676">
        <f>(C21+C24-D24)/2</f>
        <v>87.5</v>
      </c>
      <c r="O24" s="677">
        <f>(C24+C25-G25)/2</f>
        <v>128</v>
      </c>
      <c r="P24" s="523">
        <f>(A24-B24)/M24</f>
        <v>0.45112526547982956</v>
      </c>
      <c r="Q24" s="514">
        <f t="shared" ref="Q24:Q33" si="7">(P24*(O24-N24))/100</f>
        <v>0.18270573251933098</v>
      </c>
      <c r="R24" s="678">
        <f>SUM(Q$13:Q24)</f>
        <v>0.42584755446550071</v>
      </c>
      <c r="S24" s="526">
        <f t="shared" ref="S24:S33" si="8">R24/O24*100</f>
        <v>0.33269340192617242</v>
      </c>
      <c r="T24" s="543"/>
      <c r="U24" s="527"/>
      <c r="V24" s="539"/>
      <c r="W24" s="540"/>
    </row>
    <row r="25" spans="1:25" s="536" customFormat="1">
      <c r="A25" s="530">
        <v>480</v>
      </c>
      <c r="B25" s="508">
        <v>0</v>
      </c>
      <c r="C25" s="747">
        <v>176</v>
      </c>
      <c r="D25" s="698">
        <v>48</v>
      </c>
      <c r="E25" s="699"/>
      <c r="F25" s="700"/>
      <c r="G25" s="701">
        <f t="shared" si="5"/>
        <v>48</v>
      </c>
      <c r="H25" s="699">
        <v>5.7</v>
      </c>
      <c r="I25" s="699"/>
      <c r="J25" s="699"/>
      <c r="K25" s="699"/>
      <c r="L25" s="702">
        <f t="shared" si="6"/>
        <v>5.7</v>
      </c>
      <c r="M25" s="509">
        <f t="shared" ref="M25:M33" si="9">G25*    PI()* (L25/2)^2</f>
        <v>1224.8441437815886</v>
      </c>
      <c r="N25" s="676">
        <f>(C24+C25-G25)/2</f>
        <v>128</v>
      </c>
      <c r="O25" s="677">
        <f>(C25+C26-G26)/2</f>
        <v>178</v>
      </c>
      <c r="P25" s="523">
        <f>(A25-B25)/M25</f>
        <v>0.3918865942552055</v>
      </c>
      <c r="Q25" s="514">
        <f t="shared" si="7"/>
        <v>0.19594329712760275</v>
      </c>
      <c r="R25" s="678">
        <f>SUM(Q$13:Q25)</f>
        <v>0.62179085159310343</v>
      </c>
      <c r="S25" s="526">
        <f t="shared" si="8"/>
        <v>0.34932070314219293</v>
      </c>
      <c r="T25" s="543"/>
      <c r="U25" s="527"/>
      <c r="V25" s="528"/>
      <c r="W25" s="540"/>
    </row>
    <row r="26" spans="1:25" s="536" customFormat="1">
      <c r="A26" s="530">
        <v>440</v>
      </c>
      <c r="B26" s="508">
        <v>0</v>
      </c>
      <c r="C26" s="509">
        <f>C27-D27</f>
        <v>217</v>
      </c>
      <c r="D26" s="698">
        <v>37</v>
      </c>
      <c r="E26" s="699"/>
      <c r="F26" s="700"/>
      <c r="G26" s="701">
        <f t="shared" si="5"/>
        <v>37</v>
      </c>
      <c r="H26" s="699">
        <v>5.7</v>
      </c>
      <c r="I26" s="699"/>
      <c r="J26" s="699"/>
      <c r="K26" s="699"/>
      <c r="L26" s="702">
        <f t="shared" si="6"/>
        <v>5.7</v>
      </c>
      <c r="M26" s="509">
        <f t="shared" si="9"/>
        <v>944.15069416497454</v>
      </c>
      <c r="N26" s="676">
        <f t="shared" ref="N26:N33" si="10">(C25+C26-G26)/2</f>
        <v>178</v>
      </c>
      <c r="O26" s="677">
        <f t="shared" ref="O26:O32" si="11">(C26+C27-G27)/2</f>
        <v>217</v>
      </c>
      <c r="P26" s="523">
        <f t="shared" ref="P26:P33" si="12">(A26-B26)/M26</f>
        <v>0.46602730127646058</v>
      </c>
      <c r="Q26" s="514">
        <f t="shared" si="7"/>
        <v>0.18175064749781963</v>
      </c>
      <c r="R26" s="678">
        <f>SUM(Q$13:Q26)</f>
        <v>0.80354149909092309</v>
      </c>
      <c r="S26" s="526">
        <f t="shared" si="8"/>
        <v>0.3702956217008862</v>
      </c>
      <c r="T26" s="543"/>
      <c r="U26" s="527"/>
      <c r="V26" s="528"/>
      <c r="W26" s="540"/>
    </row>
    <row r="27" spans="1:25" s="536" customFormat="1">
      <c r="A27" s="530">
        <v>415</v>
      </c>
      <c r="B27" s="508">
        <v>0</v>
      </c>
      <c r="C27" s="747">
        <v>254</v>
      </c>
      <c r="D27" s="698">
        <v>37</v>
      </c>
      <c r="E27" s="699"/>
      <c r="F27" s="700"/>
      <c r="G27" s="701">
        <f t="shared" si="5"/>
        <v>37</v>
      </c>
      <c r="H27" s="699">
        <v>5.7</v>
      </c>
      <c r="I27" s="699"/>
      <c r="J27" s="699"/>
      <c r="K27" s="699"/>
      <c r="L27" s="702">
        <f t="shared" si="6"/>
        <v>5.7</v>
      </c>
      <c r="M27" s="509">
        <f t="shared" si="9"/>
        <v>944.15069416497454</v>
      </c>
      <c r="N27" s="676">
        <f t="shared" si="10"/>
        <v>217</v>
      </c>
      <c r="O27" s="677">
        <f t="shared" si="11"/>
        <v>256</v>
      </c>
      <c r="P27" s="523">
        <f t="shared" si="12"/>
        <v>0.43954847734029806</v>
      </c>
      <c r="Q27" s="514">
        <f t="shared" si="7"/>
        <v>0.17142390616271622</v>
      </c>
      <c r="R27" s="678">
        <f>SUM(Q$13:Q27)</f>
        <v>0.97496540525363928</v>
      </c>
      <c r="S27" s="526">
        <f t="shared" si="8"/>
        <v>0.38084586142720284</v>
      </c>
      <c r="T27" s="543"/>
      <c r="U27" s="527"/>
      <c r="V27" s="528"/>
      <c r="W27" s="540"/>
    </row>
    <row r="28" spans="1:25">
      <c r="A28" s="530">
        <v>350</v>
      </c>
      <c r="B28" s="508">
        <v>0</v>
      </c>
      <c r="C28" s="509">
        <f>C29-D29</f>
        <v>288</v>
      </c>
      <c r="D28" s="698">
        <v>30</v>
      </c>
      <c r="E28" s="699"/>
      <c r="F28" s="700"/>
      <c r="G28" s="701">
        <f t="shared" si="5"/>
        <v>30</v>
      </c>
      <c r="H28" s="699">
        <v>5.7</v>
      </c>
      <c r="I28" s="699"/>
      <c r="J28" s="699"/>
      <c r="K28" s="699"/>
      <c r="L28" s="702">
        <f t="shared" si="6"/>
        <v>5.7</v>
      </c>
      <c r="M28" s="509">
        <f t="shared" si="9"/>
        <v>765.52758986349284</v>
      </c>
      <c r="N28" s="676">
        <f t="shared" si="10"/>
        <v>256</v>
      </c>
      <c r="O28" s="677">
        <f t="shared" si="11"/>
        <v>288</v>
      </c>
      <c r="P28" s="523">
        <f t="shared" si="12"/>
        <v>0.45720102663107309</v>
      </c>
      <c r="Q28" s="514">
        <f t="shared" si="7"/>
        <v>0.14630432852194339</v>
      </c>
      <c r="R28" s="678">
        <f>SUM(Q$13:Q28)</f>
        <v>1.1212697337755826</v>
      </c>
      <c r="S28" s="526">
        <f t="shared" si="8"/>
        <v>0.38932976867207725</v>
      </c>
      <c r="T28" s="543"/>
      <c r="U28" s="527"/>
      <c r="V28" s="528"/>
      <c r="W28" s="540"/>
      <c r="X28" s="536"/>
      <c r="Y28" s="536"/>
    </row>
    <row r="29" spans="1:25">
      <c r="A29" s="530">
        <v>385</v>
      </c>
      <c r="B29" s="508">
        <v>0</v>
      </c>
      <c r="C29" s="747">
        <v>319</v>
      </c>
      <c r="D29" s="698">
        <v>31</v>
      </c>
      <c r="E29" s="699"/>
      <c r="F29" s="700"/>
      <c r="G29" s="701">
        <f t="shared" si="5"/>
        <v>31</v>
      </c>
      <c r="H29" s="699">
        <v>5.7</v>
      </c>
      <c r="I29" s="699"/>
      <c r="J29" s="699"/>
      <c r="K29" s="699"/>
      <c r="L29" s="702">
        <f t="shared" si="6"/>
        <v>5.7</v>
      </c>
      <c r="M29" s="509">
        <f t="shared" si="9"/>
        <v>791.0451761922759</v>
      </c>
      <c r="N29" s="676">
        <f t="shared" si="10"/>
        <v>288</v>
      </c>
      <c r="O29" s="677">
        <f t="shared" si="11"/>
        <v>321</v>
      </c>
      <c r="P29" s="523">
        <f t="shared" si="12"/>
        <v>0.48669786705888429</v>
      </c>
      <c r="Q29" s="514">
        <f t="shared" si="7"/>
        <v>0.16061029612943181</v>
      </c>
      <c r="R29" s="678">
        <f>SUM(Q$13:Q29)</f>
        <v>1.2818800299050144</v>
      </c>
      <c r="S29" s="526">
        <f t="shared" si="8"/>
        <v>0.39933957317913221</v>
      </c>
      <c r="T29" s="543"/>
      <c r="U29" s="527"/>
      <c r="V29" s="528"/>
      <c r="W29" s="540"/>
      <c r="X29" s="536"/>
      <c r="Y29" s="536"/>
    </row>
    <row r="30" spans="1:25">
      <c r="A30" s="530">
        <v>330</v>
      </c>
      <c r="B30" s="508">
        <v>0</v>
      </c>
      <c r="C30" s="509">
        <f>C31-D31</f>
        <v>349</v>
      </c>
      <c r="D30" s="698">
        <v>26</v>
      </c>
      <c r="E30" s="699"/>
      <c r="F30" s="700"/>
      <c r="G30" s="701">
        <f t="shared" si="5"/>
        <v>26</v>
      </c>
      <c r="H30" s="699">
        <v>5.7</v>
      </c>
      <c r="I30" s="699"/>
      <c r="J30" s="699"/>
      <c r="K30" s="699"/>
      <c r="L30" s="702">
        <f t="shared" si="6"/>
        <v>5.7</v>
      </c>
      <c r="M30" s="509">
        <f t="shared" si="9"/>
        <v>663.45724454836056</v>
      </c>
      <c r="N30" s="676">
        <f t="shared" si="10"/>
        <v>321</v>
      </c>
      <c r="O30" s="677">
        <f t="shared" si="11"/>
        <v>349</v>
      </c>
      <c r="P30" s="523">
        <f t="shared" si="12"/>
        <v>0.49739452347776075</v>
      </c>
      <c r="Q30" s="514">
        <f t="shared" si="7"/>
        <v>0.13927046657377301</v>
      </c>
      <c r="R30" s="678">
        <f>SUM(Q$13:Q30)</f>
        <v>1.4211504964787873</v>
      </c>
      <c r="S30" s="526">
        <f t="shared" si="8"/>
        <v>0.40720644598246059</v>
      </c>
      <c r="T30" s="543"/>
      <c r="U30" s="527"/>
      <c r="V30" s="528"/>
      <c r="W30" s="540"/>
      <c r="X30" s="536"/>
      <c r="Y30" s="536"/>
    </row>
    <row r="31" spans="1:25">
      <c r="A31" s="530">
        <v>410</v>
      </c>
      <c r="B31" s="508">
        <v>0</v>
      </c>
      <c r="C31" s="747">
        <v>382</v>
      </c>
      <c r="D31" s="698">
        <v>33</v>
      </c>
      <c r="E31" s="699"/>
      <c r="F31" s="700"/>
      <c r="G31" s="701">
        <f t="shared" si="5"/>
        <v>33</v>
      </c>
      <c r="H31" s="699">
        <v>5.7</v>
      </c>
      <c r="I31" s="699"/>
      <c r="J31" s="699"/>
      <c r="K31" s="699"/>
      <c r="L31" s="702">
        <f t="shared" si="6"/>
        <v>5.7</v>
      </c>
      <c r="M31" s="509">
        <f t="shared" si="9"/>
        <v>842.08034884984215</v>
      </c>
      <c r="N31" s="676">
        <f t="shared" si="10"/>
        <v>349</v>
      </c>
      <c r="O31" s="677">
        <f t="shared" si="11"/>
        <v>379.5</v>
      </c>
      <c r="P31" s="523">
        <f t="shared" si="12"/>
        <v>0.48688940498374017</v>
      </c>
      <c r="Q31" s="514">
        <f t="shared" si="7"/>
        <v>0.14850126852004075</v>
      </c>
      <c r="R31" s="678">
        <f>SUM(Q$13:Q31)</f>
        <v>1.5696517649988282</v>
      </c>
      <c r="S31" s="526">
        <f t="shared" si="8"/>
        <v>0.4136104782605608</v>
      </c>
      <c r="T31" s="543"/>
      <c r="U31" s="527"/>
      <c r="V31" s="528"/>
      <c r="W31" s="540"/>
      <c r="X31" s="536"/>
      <c r="Y31" s="536"/>
    </row>
    <row r="32" spans="1:25">
      <c r="A32" s="530">
        <v>255</v>
      </c>
      <c r="B32" s="508">
        <v>0</v>
      </c>
      <c r="C32" s="509">
        <f>C33-D33</f>
        <v>397</v>
      </c>
      <c r="D32" s="698">
        <v>20</v>
      </c>
      <c r="E32" s="699"/>
      <c r="F32" s="700"/>
      <c r="G32" s="701">
        <f t="shared" si="5"/>
        <v>20</v>
      </c>
      <c r="H32" s="699">
        <v>5.7</v>
      </c>
      <c r="I32" s="699"/>
      <c r="J32" s="699"/>
      <c r="K32" s="699"/>
      <c r="L32" s="702">
        <f t="shared" si="6"/>
        <v>5.7</v>
      </c>
      <c r="M32" s="509">
        <f t="shared" si="9"/>
        <v>510.35172657566193</v>
      </c>
      <c r="N32" s="676">
        <f t="shared" si="10"/>
        <v>379.5</v>
      </c>
      <c r="O32" s="677">
        <f t="shared" si="11"/>
        <v>397</v>
      </c>
      <c r="P32" s="523">
        <f t="shared" si="12"/>
        <v>0.49965540767538702</v>
      </c>
      <c r="Q32" s="514">
        <f t="shared" si="7"/>
        <v>8.7439696343192722E-2</v>
      </c>
      <c r="R32" s="678">
        <f>SUM(Q$13:Q32)</f>
        <v>1.6570914613420209</v>
      </c>
      <c r="S32" s="526">
        <f t="shared" si="8"/>
        <v>0.4174033907662521</v>
      </c>
      <c r="T32" s="543" t="s">
        <v>202</v>
      </c>
      <c r="U32" s="527"/>
      <c r="V32" s="528"/>
      <c r="W32" s="540"/>
      <c r="X32" s="536"/>
      <c r="Y32" s="536"/>
    </row>
    <row r="33" spans="1:26" ht="12" thickBot="1">
      <c r="A33" s="530">
        <v>875</v>
      </c>
      <c r="B33" s="508">
        <v>0</v>
      </c>
      <c r="C33" s="747">
        <v>458</v>
      </c>
      <c r="D33" s="698">
        <v>61</v>
      </c>
      <c r="E33" s="699"/>
      <c r="F33" s="700"/>
      <c r="G33" s="701">
        <f t="shared" si="5"/>
        <v>61</v>
      </c>
      <c r="H33" s="699">
        <v>5.7</v>
      </c>
      <c r="I33" s="699"/>
      <c r="J33" s="699"/>
      <c r="K33" s="699"/>
      <c r="L33" s="702">
        <f t="shared" si="6"/>
        <v>5.7</v>
      </c>
      <c r="M33" s="509">
        <f t="shared" si="9"/>
        <v>1556.5727660557689</v>
      </c>
      <c r="N33" s="676">
        <f t="shared" si="10"/>
        <v>397</v>
      </c>
      <c r="O33" s="677">
        <f>C33</f>
        <v>458</v>
      </c>
      <c r="P33" s="523">
        <f t="shared" si="12"/>
        <v>0.56213240979230295</v>
      </c>
      <c r="Q33" s="514">
        <f t="shared" si="7"/>
        <v>0.34290076997330482</v>
      </c>
      <c r="R33" s="678">
        <f>SUM(Q$13:Q33)</f>
        <v>1.9999922313153258</v>
      </c>
      <c r="S33" s="526">
        <f t="shared" si="8"/>
        <v>0.43667952648806241</v>
      </c>
      <c r="T33" s="543"/>
      <c r="U33" s="527"/>
      <c r="V33" s="528"/>
      <c r="W33" s="544"/>
    </row>
    <row r="34" spans="1:26">
      <c r="A34" s="530"/>
      <c r="B34" s="508"/>
      <c r="C34" s="509"/>
      <c r="D34" s="698"/>
      <c r="E34" s="699"/>
      <c r="F34" s="700"/>
      <c r="G34" s="701"/>
      <c r="H34" s="699"/>
      <c r="I34" s="699"/>
      <c r="J34" s="699"/>
      <c r="K34" s="699"/>
      <c r="L34" s="702"/>
      <c r="M34" s="509"/>
      <c r="N34" s="676"/>
      <c r="O34" s="677"/>
      <c r="P34" s="523"/>
      <c r="Q34" s="514"/>
      <c r="R34" s="678"/>
      <c r="S34" s="526"/>
      <c r="T34" s="543"/>
      <c r="U34" s="553" t="s">
        <v>140</v>
      </c>
      <c r="V34" s="554">
        <f>AVERAGE(V12:V33)</f>
        <v>394</v>
      </c>
      <c r="W34" s="545"/>
      <c r="X34" s="546"/>
      <c r="Y34" s="547"/>
      <c r="Z34" s="546"/>
    </row>
    <row r="35" spans="1:26">
      <c r="A35" s="530"/>
      <c r="B35" s="508"/>
      <c r="C35" s="509"/>
      <c r="D35" s="698"/>
      <c r="E35" s="699"/>
      <c r="F35" s="700"/>
      <c r="G35" s="701"/>
      <c r="H35" s="699"/>
      <c r="I35" s="699"/>
      <c r="J35" s="699"/>
      <c r="K35" s="699"/>
      <c r="L35" s="702"/>
      <c r="M35" s="509"/>
      <c r="N35" s="676"/>
      <c r="O35" s="677"/>
      <c r="P35" s="523"/>
      <c r="Q35" s="514"/>
      <c r="R35" s="678"/>
      <c r="S35" s="526"/>
      <c r="T35" s="543"/>
      <c r="U35" s="429" t="s">
        <v>141</v>
      </c>
      <c r="V35" s="552" t="e">
        <f>STDEV(V12:V33)</f>
        <v>#DIV/0!</v>
      </c>
      <c r="W35" s="545"/>
      <c r="X35" s="546"/>
      <c r="Y35" s="548"/>
      <c r="Z35" s="546"/>
    </row>
    <row r="36" spans="1:26">
      <c r="A36" s="555" t="s">
        <v>142</v>
      </c>
      <c r="B36" s="556"/>
      <c r="C36" s="557"/>
      <c r="D36" s="557"/>
      <c r="E36" s="557"/>
      <c r="F36" s="557"/>
      <c r="G36" s="703"/>
      <c r="H36" s="557"/>
      <c r="I36" s="557"/>
      <c r="J36" s="557"/>
      <c r="K36" s="557"/>
      <c r="L36" s="704"/>
      <c r="M36" s="557"/>
      <c r="N36" s="705"/>
      <c r="O36" s="706"/>
      <c r="P36" s="561"/>
      <c r="Q36" s="707"/>
      <c r="R36" s="708"/>
      <c r="S36" s="564"/>
      <c r="T36" s="565"/>
      <c r="U36" s="429" t="s">
        <v>143</v>
      </c>
      <c r="V36" s="552" t="e">
        <f>V35/SQRT(COUNT(V12:V33))</f>
        <v>#DIV/0!</v>
      </c>
      <c r="W36" s="549"/>
      <c r="X36" s="546"/>
      <c r="Y36" s="546"/>
      <c r="Z36" s="546"/>
    </row>
    <row r="37" spans="1:26">
      <c r="A37" s="566"/>
      <c r="B37" s="567"/>
      <c r="C37" s="568"/>
      <c r="D37" s="568"/>
      <c r="E37" s="568"/>
      <c r="F37" s="568"/>
      <c r="G37" s="709"/>
      <c r="H37" s="568"/>
      <c r="I37" s="568"/>
      <c r="J37" s="568"/>
      <c r="K37" s="568"/>
      <c r="L37" s="710"/>
      <c r="M37" s="568"/>
      <c r="N37" s="711"/>
      <c r="O37" s="712"/>
      <c r="P37" s="713"/>
      <c r="Q37" s="573"/>
      <c r="R37" s="714"/>
      <c r="S37" s="715"/>
      <c r="T37" s="576"/>
      <c r="U37" s="429" t="s">
        <v>144</v>
      </c>
      <c r="V37" s="552">
        <f>MAX(V12:V33)</f>
        <v>394</v>
      </c>
      <c r="W37" s="550"/>
      <c r="X37" s="551"/>
    </row>
    <row r="38" spans="1:26" ht="12" thickBot="1">
      <c r="A38" s="577"/>
      <c r="B38" s="578"/>
      <c r="C38" s="579"/>
      <c r="D38" s="579"/>
      <c r="E38" s="579"/>
      <c r="F38" s="579"/>
      <c r="G38" s="716"/>
      <c r="H38" s="579"/>
      <c r="I38" s="579"/>
      <c r="J38" s="579"/>
      <c r="K38" s="579"/>
      <c r="L38" s="717"/>
      <c r="M38" s="579"/>
      <c r="N38" s="718"/>
      <c r="O38" s="719"/>
      <c r="P38" s="720"/>
      <c r="Q38" s="584"/>
      <c r="R38" s="721"/>
      <c r="S38" s="722"/>
      <c r="T38" s="587"/>
      <c r="U38" s="588" t="s">
        <v>145</v>
      </c>
      <c r="V38" s="589">
        <f>MIN(V12:V33)</f>
        <v>394</v>
      </c>
      <c r="W38" s="551"/>
      <c r="X38" s="551"/>
    </row>
    <row r="39" spans="1:26">
      <c r="A39" s="590"/>
      <c r="B39" s="590"/>
      <c r="C39" s="591"/>
      <c r="D39" s="592"/>
      <c r="E39" s="592"/>
      <c r="F39" s="592"/>
      <c r="G39" s="593"/>
      <c r="H39" s="594"/>
      <c r="I39" s="595"/>
      <c r="J39" s="596"/>
      <c r="K39" s="597"/>
      <c r="L39" s="598"/>
      <c r="M39" s="484"/>
      <c r="O39" s="542"/>
      <c r="P39" s="604"/>
    </row>
    <row r="40" spans="1:26">
      <c r="A40" s="484"/>
      <c r="B40" s="484"/>
      <c r="C40" s="599"/>
      <c r="D40" s="599"/>
      <c r="E40" s="599"/>
      <c r="F40" s="599"/>
      <c r="G40" s="595"/>
      <c r="H40" s="594"/>
      <c r="I40" s="595"/>
      <c r="J40" s="596"/>
      <c r="K40" s="600"/>
      <c r="L40" s="598"/>
      <c r="M40" s="484"/>
      <c r="O40" s="542"/>
      <c r="P40" s="604"/>
    </row>
    <row r="41" spans="1:26">
      <c r="A41" s="601"/>
      <c r="B41" s="601"/>
      <c r="C41" s="601"/>
      <c r="D41" s="601"/>
      <c r="E41" s="596"/>
      <c r="F41" s="602"/>
      <c r="G41" s="484"/>
      <c r="H41" s="542"/>
      <c r="I41" s="484"/>
      <c r="J41" s="542"/>
      <c r="K41" s="542"/>
      <c r="L41" s="484"/>
      <c r="M41" s="484"/>
      <c r="O41" s="542"/>
      <c r="P41" s="604"/>
    </row>
    <row r="42" spans="1:26">
      <c r="A42" s="603"/>
      <c r="B42" s="603"/>
      <c r="C42" s="601"/>
      <c r="D42" s="601"/>
      <c r="E42" s="596"/>
      <c r="F42" s="602"/>
      <c r="G42" s="542"/>
      <c r="H42" s="542"/>
      <c r="I42" s="484"/>
      <c r="J42" s="542"/>
      <c r="K42" s="542"/>
      <c r="L42" s="484"/>
      <c r="M42" s="484"/>
      <c r="O42" s="542"/>
      <c r="P42" s="604"/>
    </row>
    <row r="43" spans="1:26">
      <c r="A43" s="477"/>
      <c r="B43" s="477"/>
      <c r="C43" s="601"/>
      <c r="D43" s="601"/>
      <c r="E43" s="596"/>
      <c r="F43" s="602"/>
      <c r="G43" s="542"/>
      <c r="H43" s="542"/>
      <c r="I43" s="484"/>
      <c r="J43" s="542"/>
      <c r="K43" s="542"/>
      <c r="L43" s="484"/>
      <c r="M43" s="484"/>
      <c r="O43" s="542"/>
      <c r="P43" s="604"/>
    </row>
    <row r="44" spans="1:26">
      <c r="A44" s="601"/>
      <c r="B44" s="601"/>
      <c r="C44" s="601"/>
      <c r="D44" s="601"/>
      <c r="E44" s="596"/>
      <c r="F44" s="602"/>
      <c r="G44" s="542"/>
      <c r="H44" s="542"/>
      <c r="I44" s="484"/>
      <c r="J44" s="542"/>
      <c r="K44" s="542"/>
      <c r="L44" s="484"/>
      <c r="M44" s="484"/>
      <c r="O44" s="542"/>
      <c r="P44" s="604"/>
    </row>
    <row r="45" spans="1:26">
      <c r="A45" s="601"/>
      <c r="B45" s="601"/>
      <c r="C45" s="601"/>
      <c r="D45" s="601"/>
      <c r="E45" s="596"/>
      <c r="F45" s="602"/>
      <c r="G45" s="542"/>
      <c r="H45" s="542"/>
      <c r="I45" s="484"/>
      <c r="J45" s="595"/>
      <c r="K45" s="542"/>
      <c r="L45" s="484"/>
      <c r="M45" s="484"/>
      <c r="O45" s="542"/>
      <c r="P45" s="604"/>
    </row>
    <row r="46" spans="1:26">
      <c r="A46" s="601"/>
      <c r="B46" s="601"/>
      <c r="C46" s="601"/>
      <c r="D46" s="601"/>
      <c r="E46" s="596"/>
      <c r="F46" s="602"/>
      <c r="G46" s="542"/>
      <c r="H46" s="542"/>
      <c r="I46" s="484"/>
      <c r="J46" s="595"/>
      <c r="K46" s="542"/>
      <c r="L46" s="484"/>
      <c r="M46" s="484"/>
      <c r="O46" s="542"/>
      <c r="P46" s="604"/>
    </row>
    <row r="47" spans="1:26">
      <c r="A47" s="601"/>
      <c r="B47" s="601"/>
      <c r="C47" s="601"/>
      <c r="D47" s="601"/>
      <c r="E47" s="596"/>
      <c r="F47" s="602"/>
      <c r="G47" s="542"/>
      <c r="H47" s="542"/>
      <c r="I47" s="484"/>
      <c r="J47" s="542"/>
      <c r="K47" s="542"/>
      <c r="L47" s="484"/>
      <c r="M47" s="484"/>
      <c r="O47" s="542"/>
      <c r="P47" s="604"/>
    </row>
    <row r="48" spans="1:26">
      <c r="A48" s="601"/>
      <c r="B48" s="601"/>
      <c r="C48" s="601"/>
      <c r="D48" s="601"/>
      <c r="E48" s="596"/>
      <c r="F48" s="602"/>
      <c r="G48" s="542"/>
      <c r="H48" s="542"/>
      <c r="I48" s="484"/>
      <c r="J48" s="542"/>
      <c r="K48" s="542"/>
      <c r="L48" s="484"/>
      <c r="M48" s="484"/>
      <c r="O48" s="542"/>
      <c r="P48" s="604"/>
    </row>
    <row r="49" spans="1:26">
      <c r="A49" s="601"/>
      <c r="B49" s="601"/>
      <c r="C49" s="601"/>
      <c r="D49" s="601"/>
      <c r="E49" s="596"/>
      <c r="F49" s="602"/>
      <c r="G49" s="542"/>
      <c r="H49" s="542"/>
      <c r="I49" s="484"/>
      <c r="J49" s="542"/>
      <c r="K49" s="542"/>
      <c r="L49" s="484"/>
      <c r="M49" s="484"/>
      <c r="O49" s="542"/>
      <c r="P49" s="604"/>
    </row>
    <row r="50" spans="1:26">
      <c r="A50" s="601"/>
      <c r="B50" s="601"/>
      <c r="C50" s="601"/>
      <c r="D50" s="601"/>
      <c r="E50" s="596"/>
      <c r="F50" s="602"/>
      <c r="G50" s="542"/>
      <c r="H50" s="542"/>
      <c r="I50" s="484"/>
      <c r="J50" s="542"/>
      <c r="K50" s="542"/>
      <c r="L50" s="484"/>
      <c r="M50" s="484"/>
      <c r="O50" s="542"/>
      <c r="P50" s="604"/>
    </row>
    <row r="51" spans="1:26">
      <c r="A51" s="601"/>
      <c r="B51" s="601"/>
      <c r="C51" s="601"/>
      <c r="D51" s="601"/>
      <c r="E51" s="596"/>
      <c r="F51" s="602"/>
      <c r="G51" s="542"/>
      <c r="H51" s="542"/>
      <c r="I51" s="484"/>
      <c r="J51" s="542"/>
      <c r="K51" s="542"/>
      <c r="L51" s="484"/>
      <c r="M51" s="484"/>
      <c r="O51" s="542"/>
      <c r="P51" s="604"/>
    </row>
    <row r="52" spans="1:26">
      <c r="A52" s="601"/>
      <c r="B52" s="601"/>
      <c r="C52" s="601"/>
      <c r="D52" s="601"/>
      <c r="E52" s="596"/>
      <c r="F52" s="602"/>
      <c r="G52" s="542"/>
      <c r="H52" s="542"/>
      <c r="I52" s="484"/>
      <c r="J52" s="542"/>
      <c r="K52" s="542"/>
      <c r="L52" s="484"/>
      <c r="O52" s="542"/>
      <c r="P52" s="604"/>
    </row>
    <row r="53" spans="1:26">
      <c r="A53" s="601"/>
      <c r="B53" s="601"/>
      <c r="C53" s="601"/>
      <c r="D53" s="601"/>
      <c r="E53" s="596"/>
      <c r="F53" s="602"/>
      <c r="G53" s="542"/>
      <c r="H53" s="542"/>
      <c r="I53" s="484"/>
      <c r="J53" s="542"/>
      <c r="K53" s="542"/>
      <c r="L53" s="484"/>
      <c r="O53" s="542"/>
      <c r="P53" s="604"/>
      <c r="W53" s="484"/>
      <c r="X53" s="484"/>
    </row>
    <row r="54" spans="1:26">
      <c r="A54" s="601"/>
      <c r="B54" s="601"/>
      <c r="C54" s="601"/>
      <c r="D54" s="601"/>
      <c r="E54" s="596"/>
      <c r="F54" s="602"/>
      <c r="G54" s="542"/>
      <c r="H54" s="542"/>
      <c r="I54" s="484"/>
      <c r="J54" s="542"/>
      <c r="K54" s="542"/>
      <c r="L54" s="542"/>
      <c r="O54" s="542"/>
      <c r="P54" s="604"/>
      <c r="W54" s="550"/>
      <c r="X54" s="484"/>
      <c r="Y54" s="484"/>
      <c r="Z54" s="484"/>
    </row>
    <row r="55" spans="1:26">
      <c r="A55" s="601"/>
      <c r="B55" s="601"/>
      <c r="C55" s="601"/>
      <c r="D55" s="601"/>
      <c r="E55" s="596"/>
      <c r="F55" s="602"/>
      <c r="G55" s="542"/>
      <c r="H55" s="542"/>
      <c r="I55" s="484"/>
      <c r="J55" s="542"/>
      <c r="K55" s="542"/>
      <c r="L55" s="542"/>
      <c r="O55" s="542"/>
      <c r="P55" s="604"/>
      <c r="W55" s="550"/>
    </row>
    <row r="56" spans="1:26">
      <c r="A56" s="601"/>
      <c r="B56" s="601"/>
      <c r="C56" s="601"/>
      <c r="D56" s="601"/>
      <c r="E56" s="596"/>
      <c r="F56" s="602"/>
      <c r="G56" s="542"/>
      <c r="H56" s="542"/>
      <c r="I56" s="484"/>
      <c r="J56" s="542"/>
      <c r="K56" s="542"/>
      <c r="L56" s="542"/>
      <c r="O56" s="542"/>
      <c r="P56" s="604"/>
      <c r="W56" s="484"/>
    </row>
    <row r="57" spans="1:26">
      <c r="A57" s="601"/>
      <c r="B57" s="601"/>
      <c r="C57" s="601"/>
      <c r="D57" s="601"/>
      <c r="E57" s="596"/>
      <c r="F57" s="602"/>
      <c r="G57" s="542"/>
      <c r="H57" s="542"/>
      <c r="I57" s="484"/>
      <c r="J57" s="542"/>
      <c r="K57" s="542"/>
      <c r="L57" s="542"/>
      <c r="O57" s="542"/>
      <c r="P57" s="604"/>
    </row>
    <row r="58" spans="1:26">
      <c r="A58" s="601"/>
      <c r="B58" s="601"/>
      <c r="C58" s="601"/>
      <c r="D58" s="601"/>
      <c r="E58" s="596"/>
      <c r="F58" s="602"/>
      <c r="G58" s="542"/>
      <c r="H58" s="542"/>
      <c r="I58" s="484"/>
      <c r="J58" s="542"/>
      <c r="K58" s="542"/>
      <c r="L58" s="542"/>
      <c r="O58" s="542"/>
      <c r="P58" s="604"/>
    </row>
    <row r="59" spans="1:26">
      <c r="A59" s="601"/>
      <c r="B59" s="601"/>
      <c r="C59" s="601"/>
      <c r="D59" s="601"/>
      <c r="E59" s="596"/>
      <c r="F59" s="602"/>
      <c r="G59" s="542"/>
      <c r="H59" s="542"/>
      <c r="I59" s="484"/>
      <c r="J59" s="542"/>
      <c r="K59" s="542"/>
      <c r="L59" s="542"/>
      <c r="O59" s="542"/>
      <c r="P59" s="604"/>
    </row>
    <row r="60" spans="1:26">
      <c r="A60" s="601"/>
      <c r="B60" s="601"/>
      <c r="C60" s="601"/>
      <c r="D60" s="601"/>
      <c r="E60" s="596"/>
      <c r="F60" s="602"/>
      <c r="G60" s="542"/>
      <c r="H60" s="542"/>
      <c r="I60" s="484"/>
      <c r="J60" s="542"/>
      <c r="K60" s="542"/>
      <c r="L60" s="542"/>
      <c r="O60" s="542"/>
      <c r="P60" s="604"/>
    </row>
    <row r="61" spans="1:26">
      <c r="A61" s="601"/>
      <c r="B61" s="601"/>
      <c r="C61" s="601"/>
      <c r="D61" s="601"/>
      <c r="E61" s="596"/>
      <c r="F61" s="602"/>
      <c r="G61" s="542"/>
      <c r="H61" s="542"/>
      <c r="I61" s="484"/>
      <c r="J61" s="542"/>
      <c r="K61" s="542"/>
      <c r="L61" s="542"/>
      <c r="O61" s="542"/>
      <c r="P61" s="604"/>
    </row>
    <row r="62" spans="1:26">
      <c r="A62" s="601"/>
      <c r="B62" s="601"/>
      <c r="C62" s="601"/>
      <c r="D62" s="601"/>
      <c r="E62" s="596"/>
      <c r="F62" s="602"/>
      <c r="G62" s="542"/>
      <c r="H62" s="542"/>
      <c r="I62" s="484"/>
      <c r="J62" s="542"/>
      <c r="K62" s="542"/>
      <c r="L62" s="542"/>
      <c r="O62" s="542"/>
      <c r="P62" s="604"/>
    </row>
    <row r="63" spans="1:26">
      <c r="A63" s="601"/>
      <c r="B63" s="601"/>
      <c r="C63" s="601"/>
      <c r="D63" s="601"/>
      <c r="E63" s="596"/>
      <c r="F63" s="602"/>
      <c r="G63" s="542"/>
      <c r="H63" s="542"/>
      <c r="I63" s="484"/>
      <c r="J63" s="542"/>
      <c r="K63" s="542"/>
      <c r="L63" s="542"/>
      <c r="O63" s="542"/>
      <c r="P63" s="604"/>
    </row>
    <row r="64" spans="1:26" s="604" customFormat="1">
      <c r="A64" s="601"/>
      <c r="B64" s="601"/>
      <c r="C64" s="601"/>
      <c r="D64" s="601"/>
      <c r="E64" s="596"/>
      <c r="F64" s="602"/>
      <c r="G64" s="542"/>
      <c r="H64" s="542"/>
      <c r="I64" s="484"/>
      <c r="J64" s="542"/>
      <c r="K64" s="542"/>
      <c r="L64" s="542"/>
      <c r="M64" s="542"/>
      <c r="N64" s="542"/>
      <c r="O64" s="542"/>
      <c r="T64" s="542"/>
      <c r="U64" s="542"/>
      <c r="V64" s="542"/>
      <c r="W64" s="542"/>
      <c r="X64" s="542"/>
      <c r="Y64" s="542"/>
      <c r="Z64" s="542"/>
    </row>
    <row r="65" spans="1:26" s="604" customFormat="1">
      <c r="A65" s="601"/>
      <c r="B65" s="601"/>
      <c r="C65" s="601"/>
      <c r="D65" s="601"/>
      <c r="E65" s="596"/>
      <c r="F65" s="602"/>
      <c r="H65" s="542"/>
      <c r="I65" s="484"/>
      <c r="J65" s="542"/>
      <c r="K65" s="542"/>
      <c r="L65" s="542"/>
      <c r="M65" s="542"/>
      <c r="N65" s="542"/>
      <c r="O65" s="542"/>
      <c r="T65" s="542"/>
      <c r="U65" s="542"/>
      <c r="V65" s="542"/>
      <c r="W65" s="542"/>
      <c r="X65" s="542"/>
      <c r="Y65" s="542"/>
      <c r="Z65" s="542"/>
    </row>
    <row r="66" spans="1:26" s="604" customFormat="1">
      <c r="A66" s="601"/>
      <c r="B66" s="601"/>
      <c r="C66" s="601"/>
      <c r="D66" s="601"/>
      <c r="E66" s="596"/>
      <c r="F66" s="602"/>
      <c r="H66" s="542"/>
      <c r="I66" s="484"/>
      <c r="J66" s="542"/>
      <c r="K66" s="542"/>
      <c r="L66" s="542"/>
      <c r="M66" s="542"/>
      <c r="N66" s="542"/>
      <c r="O66" s="542"/>
      <c r="T66" s="542"/>
      <c r="U66" s="542"/>
      <c r="V66" s="542"/>
      <c r="W66" s="542"/>
      <c r="X66" s="542"/>
      <c r="Y66" s="542"/>
      <c r="Z66" s="542"/>
    </row>
    <row r="67" spans="1:26" s="604" customFormat="1">
      <c r="A67" s="601"/>
      <c r="B67" s="601"/>
      <c r="C67" s="601"/>
      <c r="D67" s="601"/>
      <c r="E67" s="596"/>
      <c r="F67" s="602"/>
      <c r="H67" s="542"/>
      <c r="I67" s="484"/>
      <c r="J67" s="542"/>
      <c r="K67" s="542"/>
      <c r="L67" s="542"/>
      <c r="M67" s="542"/>
      <c r="N67" s="542"/>
      <c r="O67" s="542"/>
      <c r="T67" s="542"/>
      <c r="U67" s="542"/>
      <c r="V67" s="542"/>
      <c r="W67" s="542"/>
      <c r="X67" s="542"/>
      <c r="Y67" s="542"/>
      <c r="Z67" s="542"/>
    </row>
    <row r="68" spans="1:26" s="604" customFormat="1">
      <c r="A68" s="601"/>
      <c r="B68" s="601"/>
      <c r="C68" s="601"/>
      <c r="D68" s="601"/>
      <c r="E68" s="596"/>
      <c r="F68" s="602"/>
      <c r="H68" s="542"/>
      <c r="I68" s="484"/>
      <c r="J68" s="542"/>
      <c r="K68" s="542"/>
      <c r="L68" s="542"/>
      <c r="M68" s="542"/>
      <c r="N68" s="542"/>
      <c r="O68" s="542"/>
      <c r="T68" s="542"/>
      <c r="U68" s="542"/>
      <c r="V68" s="542"/>
      <c r="W68" s="542"/>
      <c r="X68" s="542"/>
      <c r="Y68" s="542"/>
      <c r="Z68" s="542"/>
    </row>
    <row r="69" spans="1:26" s="604" customFormat="1">
      <c r="A69" s="601"/>
      <c r="B69" s="601"/>
      <c r="C69" s="601"/>
      <c r="D69" s="601"/>
      <c r="E69" s="596"/>
      <c r="F69" s="602"/>
      <c r="G69" s="542"/>
      <c r="H69" s="542"/>
      <c r="I69" s="484"/>
      <c r="J69" s="542"/>
      <c r="K69" s="542"/>
      <c r="L69" s="542"/>
      <c r="M69" s="542"/>
      <c r="N69" s="542"/>
      <c r="O69" s="542"/>
      <c r="T69" s="542"/>
      <c r="U69" s="542"/>
      <c r="V69" s="542"/>
      <c r="W69" s="542"/>
      <c r="X69" s="542"/>
      <c r="Y69" s="542"/>
      <c r="Z69" s="542"/>
    </row>
    <row r="70" spans="1:26" s="604" customFormat="1">
      <c r="A70" s="601"/>
      <c r="B70" s="601"/>
      <c r="C70" s="601"/>
      <c r="D70" s="601"/>
      <c r="E70" s="596"/>
      <c r="F70" s="602"/>
      <c r="G70" s="542"/>
      <c r="H70" s="542"/>
      <c r="I70" s="484"/>
      <c r="J70" s="542"/>
      <c r="K70" s="542"/>
      <c r="L70" s="542"/>
      <c r="M70" s="542"/>
      <c r="N70" s="542"/>
      <c r="O70" s="542"/>
      <c r="T70" s="542"/>
      <c r="U70" s="542"/>
      <c r="V70" s="542"/>
      <c r="W70" s="542"/>
      <c r="X70" s="542"/>
      <c r="Y70" s="542"/>
      <c r="Z70" s="542"/>
    </row>
    <row r="71" spans="1:26" s="604" customFormat="1">
      <c r="A71" s="601"/>
      <c r="B71" s="601"/>
      <c r="C71" s="601"/>
      <c r="D71" s="601"/>
      <c r="E71" s="596"/>
      <c r="F71" s="602"/>
      <c r="G71" s="542"/>
      <c r="H71" s="542"/>
      <c r="I71" s="484"/>
      <c r="J71" s="542"/>
      <c r="K71" s="542"/>
      <c r="L71" s="542"/>
      <c r="M71" s="542"/>
      <c r="N71" s="542"/>
      <c r="O71" s="542"/>
      <c r="R71" s="606"/>
      <c r="S71" s="606"/>
      <c r="T71" s="601"/>
      <c r="U71" s="601"/>
      <c r="V71" s="601"/>
      <c r="W71" s="542"/>
      <c r="X71" s="542"/>
      <c r="Y71" s="542"/>
      <c r="Z71" s="542"/>
    </row>
    <row r="72" spans="1:26" s="604" customFormat="1">
      <c r="A72" s="601"/>
      <c r="B72" s="601"/>
      <c r="C72" s="601"/>
      <c r="D72" s="601"/>
      <c r="E72" s="596"/>
      <c r="F72" s="602"/>
      <c r="G72" s="542"/>
      <c r="H72" s="542"/>
      <c r="I72" s="484"/>
      <c r="J72" s="542"/>
      <c r="K72" s="542"/>
      <c r="L72" s="542"/>
      <c r="M72" s="542"/>
      <c r="N72" s="542"/>
      <c r="O72" s="542"/>
      <c r="R72" s="606"/>
      <c r="S72" s="606"/>
      <c r="T72" s="601"/>
      <c r="U72" s="601"/>
      <c r="V72" s="601"/>
      <c r="W72" s="542"/>
      <c r="X72" s="542"/>
      <c r="Y72" s="542"/>
      <c r="Z72" s="542"/>
    </row>
    <row r="73" spans="1:26" s="604" customFormat="1">
      <c r="A73" s="601"/>
      <c r="B73" s="601"/>
      <c r="C73" s="601"/>
      <c r="D73" s="601"/>
      <c r="E73" s="596"/>
      <c r="F73" s="602"/>
      <c r="G73" s="542"/>
      <c r="H73" s="542"/>
      <c r="I73" s="484"/>
      <c r="J73" s="542"/>
      <c r="K73" s="542"/>
      <c r="L73" s="542"/>
      <c r="M73" s="542"/>
      <c r="N73" s="542"/>
      <c r="O73" s="542"/>
      <c r="R73" s="606"/>
      <c r="S73" s="606"/>
      <c r="T73" s="601"/>
      <c r="U73" s="601"/>
      <c r="V73" s="601"/>
      <c r="W73" s="542"/>
      <c r="X73" s="542"/>
      <c r="Y73" s="542"/>
      <c r="Z73" s="542"/>
    </row>
    <row r="74" spans="1:26" s="604" customFormat="1">
      <c r="A74" s="601"/>
      <c r="B74" s="601"/>
      <c r="C74" s="601"/>
      <c r="D74" s="601"/>
      <c r="E74" s="596"/>
      <c r="F74" s="602"/>
      <c r="G74" s="542"/>
      <c r="H74" s="542"/>
      <c r="I74" s="484"/>
      <c r="J74" s="542"/>
      <c r="K74" s="542"/>
      <c r="L74" s="542"/>
      <c r="M74" s="542"/>
      <c r="N74" s="542"/>
      <c r="O74" s="542"/>
      <c r="R74" s="606"/>
      <c r="S74" s="606"/>
      <c r="T74" s="601"/>
      <c r="U74" s="601"/>
      <c r="V74" s="601"/>
      <c r="W74" s="542"/>
      <c r="X74" s="542"/>
      <c r="Y74" s="542"/>
      <c r="Z74" s="542"/>
    </row>
    <row r="75" spans="1:26" s="604" customFormat="1">
      <c r="A75" s="601"/>
      <c r="B75" s="601"/>
      <c r="C75" s="601"/>
      <c r="D75" s="601"/>
      <c r="E75" s="596"/>
      <c r="F75" s="602"/>
      <c r="G75" s="542"/>
      <c r="H75" s="542"/>
      <c r="I75" s="484"/>
      <c r="J75" s="542"/>
      <c r="K75" s="542"/>
      <c r="L75" s="542"/>
      <c r="M75" s="542"/>
      <c r="N75" s="542"/>
      <c r="O75" s="542"/>
      <c r="R75" s="606"/>
      <c r="S75" s="606"/>
      <c r="T75" s="601"/>
      <c r="U75" s="601"/>
      <c r="V75" s="601"/>
      <c r="W75" s="542"/>
      <c r="X75" s="542"/>
      <c r="Y75" s="542"/>
      <c r="Z75" s="542"/>
    </row>
    <row r="76" spans="1:26" s="604" customFormat="1">
      <c r="A76" s="601"/>
      <c r="B76" s="601"/>
      <c r="C76" s="601"/>
      <c r="D76" s="601"/>
      <c r="E76" s="596"/>
      <c r="F76" s="602"/>
      <c r="G76" s="542"/>
      <c r="H76" s="542"/>
      <c r="I76" s="484"/>
      <c r="J76" s="542"/>
      <c r="K76" s="542"/>
      <c r="L76" s="542"/>
      <c r="M76" s="542"/>
      <c r="N76" s="601"/>
      <c r="O76" s="601"/>
      <c r="P76" s="606"/>
      <c r="Q76" s="606"/>
      <c r="R76" s="606"/>
      <c r="S76" s="606"/>
      <c r="T76" s="601"/>
      <c r="U76" s="601"/>
      <c r="V76" s="601"/>
      <c r="W76" s="542"/>
      <c r="X76" s="542"/>
      <c r="Y76" s="542"/>
      <c r="Z76" s="542"/>
    </row>
    <row r="77" spans="1:26" s="604" customFormat="1">
      <c r="A77" s="601"/>
      <c r="B77" s="601"/>
      <c r="C77" s="601"/>
      <c r="D77" s="601"/>
      <c r="E77" s="596"/>
      <c r="F77" s="602"/>
      <c r="G77" s="542"/>
      <c r="H77" s="542"/>
      <c r="I77" s="484"/>
      <c r="J77" s="542"/>
      <c r="K77" s="542"/>
      <c r="L77" s="542"/>
      <c r="M77" s="542"/>
      <c r="N77" s="601"/>
      <c r="O77" s="601"/>
      <c r="P77" s="606"/>
      <c r="Q77" s="606"/>
      <c r="R77" s="606"/>
      <c r="S77" s="606"/>
      <c r="T77" s="601"/>
      <c r="U77" s="601"/>
      <c r="V77" s="601"/>
      <c r="W77" s="542"/>
      <c r="X77" s="542"/>
      <c r="Y77" s="542"/>
      <c r="Z77" s="542"/>
    </row>
    <row r="78" spans="1:26" s="604" customFormat="1">
      <c r="A78" s="601"/>
      <c r="B78" s="601"/>
      <c r="C78" s="601"/>
      <c r="D78" s="601"/>
      <c r="E78" s="596"/>
      <c r="F78" s="602"/>
      <c r="G78" s="542"/>
      <c r="H78" s="542"/>
      <c r="I78" s="484"/>
      <c r="J78" s="542"/>
      <c r="K78" s="542"/>
      <c r="L78" s="542"/>
      <c r="M78" s="542"/>
      <c r="N78" s="601"/>
      <c r="O78" s="601"/>
      <c r="P78" s="606"/>
      <c r="Q78" s="606"/>
      <c r="R78" s="606"/>
      <c r="S78" s="606"/>
      <c r="T78" s="601"/>
      <c r="U78" s="601"/>
      <c r="V78" s="601"/>
      <c r="W78" s="542"/>
      <c r="X78" s="542"/>
      <c r="Y78" s="542"/>
      <c r="Z78" s="542"/>
    </row>
    <row r="79" spans="1:26" s="604" customFormat="1">
      <c r="A79" s="601"/>
      <c r="B79" s="601"/>
      <c r="C79" s="601"/>
      <c r="D79" s="601"/>
      <c r="E79" s="596"/>
      <c r="F79" s="602"/>
      <c r="G79" s="542"/>
      <c r="H79" s="542"/>
      <c r="I79" s="484"/>
      <c r="J79" s="542"/>
      <c r="K79" s="542"/>
      <c r="L79" s="542"/>
      <c r="M79" s="542"/>
      <c r="N79" s="601"/>
      <c r="O79" s="601"/>
      <c r="P79" s="606"/>
      <c r="Q79" s="606"/>
      <c r="R79" s="606"/>
      <c r="S79" s="606"/>
      <c r="T79" s="601"/>
      <c r="U79" s="601"/>
      <c r="V79" s="601"/>
      <c r="W79" s="542"/>
      <c r="X79" s="542"/>
      <c r="Y79" s="542"/>
      <c r="Z79" s="542"/>
    </row>
    <row r="80" spans="1:26">
      <c r="A80" s="601"/>
      <c r="B80" s="601"/>
      <c r="C80" s="601"/>
      <c r="D80" s="601"/>
      <c r="E80" s="596"/>
      <c r="F80" s="602"/>
      <c r="G80" s="542"/>
      <c r="H80" s="542"/>
      <c r="I80" s="484"/>
      <c r="J80" s="542"/>
      <c r="K80" s="542"/>
      <c r="L80" s="542"/>
      <c r="N80" s="601"/>
      <c r="O80" s="601"/>
      <c r="P80" s="606"/>
      <c r="Q80" s="606"/>
      <c r="R80" s="606"/>
      <c r="S80" s="606"/>
      <c r="T80" s="601"/>
      <c r="U80" s="601"/>
      <c r="V80" s="601"/>
    </row>
    <row r="81" spans="1:22">
      <c r="A81" s="601"/>
      <c r="B81" s="601"/>
      <c r="C81" s="601"/>
      <c r="D81" s="601"/>
      <c r="E81" s="596"/>
      <c r="F81" s="602"/>
      <c r="G81" s="542"/>
      <c r="H81" s="542"/>
      <c r="I81" s="484"/>
      <c r="J81" s="542"/>
      <c r="K81" s="542"/>
      <c r="L81" s="542"/>
      <c r="N81" s="601"/>
      <c r="O81" s="601"/>
      <c r="P81" s="606"/>
      <c r="Q81" s="606"/>
      <c r="R81" s="606"/>
      <c r="S81" s="606"/>
      <c r="T81" s="601"/>
      <c r="U81" s="601"/>
      <c r="V81" s="601"/>
    </row>
    <row r="82" spans="1:22">
      <c r="A82" s="601"/>
      <c r="B82" s="601"/>
      <c r="C82" s="601"/>
      <c r="D82" s="601"/>
      <c r="E82" s="596"/>
      <c r="F82" s="602"/>
      <c r="G82" s="542"/>
      <c r="H82" s="542"/>
      <c r="I82" s="484"/>
      <c r="J82" s="542"/>
      <c r="K82" s="542"/>
      <c r="L82" s="542"/>
      <c r="N82" s="601"/>
      <c r="O82" s="601"/>
      <c r="P82" s="606"/>
      <c r="Q82" s="606"/>
      <c r="R82" s="606"/>
      <c r="S82" s="606"/>
      <c r="T82" s="601"/>
      <c r="U82" s="601"/>
      <c r="V82" s="601"/>
    </row>
    <row r="83" spans="1:22">
      <c r="A83" s="601"/>
      <c r="B83" s="601"/>
      <c r="C83" s="601"/>
      <c r="D83" s="601"/>
      <c r="E83" s="596"/>
      <c r="F83" s="602"/>
      <c r="G83" s="542"/>
      <c r="H83" s="542"/>
      <c r="I83" s="484"/>
      <c r="J83" s="542"/>
      <c r="K83" s="542"/>
      <c r="L83" s="542"/>
      <c r="N83" s="601"/>
      <c r="O83" s="601"/>
      <c r="P83" s="606"/>
      <c r="Q83" s="606"/>
      <c r="R83" s="606"/>
      <c r="S83" s="606"/>
      <c r="T83" s="601"/>
      <c r="U83" s="601"/>
      <c r="V83" s="601"/>
    </row>
    <row r="84" spans="1:22">
      <c r="A84" s="601"/>
      <c r="B84" s="601"/>
      <c r="C84" s="601"/>
      <c r="D84" s="601"/>
      <c r="E84" s="596"/>
      <c r="F84" s="602"/>
      <c r="G84" s="542"/>
      <c r="H84" s="542"/>
      <c r="I84" s="484"/>
      <c r="J84" s="542"/>
      <c r="K84" s="542"/>
      <c r="L84" s="542"/>
      <c r="N84" s="601"/>
      <c r="O84" s="601"/>
      <c r="P84" s="606"/>
      <c r="Q84" s="606"/>
      <c r="R84" s="606"/>
      <c r="S84" s="606"/>
      <c r="T84" s="601"/>
      <c r="U84" s="601"/>
      <c r="V84" s="601"/>
    </row>
    <row r="85" spans="1:22">
      <c r="A85" s="601"/>
      <c r="B85" s="601"/>
      <c r="C85" s="601"/>
      <c r="D85" s="601"/>
      <c r="E85" s="596"/>
      <c r="F85" s="602"/>
      <c r="G85" s="542"/>
      <c r="H85" s="542"/>
      <c r="I85" s="484"/>
      <c r="J85" s="542"/>
      <c r="K85" s="542"/>
      <c r="L85" s="542"/>
      <c r="N85" s="601"/>
      <c r="O85" s="601"/>
      <c r="P85" s="606"/>
      <c r="Q85" s="606"/>
      <c r="R85" s="606"/>
      <c r="S85" s="606"/>
      <c r="T85" s="601"/>
      <c r="U85" s="601"/>
      <c r="V85" s="601"/>
    </row>
    <row r="86" spans="1:22">
      <c r="A86" s="601"/>
      <c r="B86" s="601"/>
      <c r="C86" s="601"/>
      <c r="D86" s="601"/>
      <c r="E86" s="596"/>
      <c r="F86" s="602"/>
      <c r="G86" s="542"/>
      <c r="H86" s="542"/>
      <c r="I86" s="484"/>
      <c r="J86" s="542"/>
      <c r="K86" s="542"/>
      <c r="L86" s="542"/>
      <c r="N86" s="601"/>
      <c r="O86" s="601"/>
      <c r="P86" s="606"/>
      <c r="Q86" s="606"/>
      <c r="R86" s="606"/>
      <c r="S86" s="606"/>
      <c r="T86" s="601"/>
      <c r="U86" s="601"/>
      <c r="V86" s="601"/>
    </row>
    <row r="87" spans="1:22">
      <c r="A87" s="601"/>
      <c r="B87" s="601"/>
      <c r="C87" s="601"/>
      <c r="D87" s="601"/>
      <c r="E87" s="596"/>
      <c r="F87" s="602"/>
      <c r="G87" s="542"/>
      <c r="H87" s="542"/>
      <c r="I87" s="484"/>
      <c r="J87" s="542"/>
      <c r="K87" s="542"/>
      <c r="L87" s="542"/>
      <c r="N87" s="601"/>
      <c r="O87" s="601"/>
      <c r="P87" s="606"/>
      <c r="Q87" s="606"/>
      <c r="R87" s="606"/>
      <c r="S87" s="606"/>
      <c r="T87" s="601"/>
      <c r="U87" s="601"/>
      <c r="V87" s="601"/>
    </row>
    <row r="88" spans="1:22">
      <c r="A88" s="601"/>
      <c r="B88" s="601"/>
      <c r="C88" s="601"/>
      <c r="D88" s="601"/>
      <c r="E88" s="596"/>
      <c r="F88" s="602"/>
      <c r="G88" s="542"/>
      <c r="H88" s="542"/>
      <c r="I88" s="484"/>
      <c r="J88" s="542"/>
      <c r="K88" s="542"/>
      <c r="L88" s="542"/>
      <c r="N88" s="601"/>
      <c r="O88" s="601"/>
      <c r="P88" s="606"/>
      <c r="Q88" s="606"/>
      <c r="R88" s="606"/>
      <c r="S88" s="606"/>
      <c r="T88" s="601"/>
      <c r="U88" s="601"/>
      <c r="V88" s="601"/>
    </row>
    <row r="89" spans="1:22" s="601" customFormat="1">
      <c r="E89" s="596"/>
      <c r="F89" s="602"/>
      <c r="G89" s="542"/>
      <c r="H89" s="542"/>
      <c r="I89" s="484"/>
      <c r="J89" s="542"/>
      <c r="K89" s="542"/>
      <c r="L89" s="542"/>
      <c r="M89" s="542"/>
      <c r="P89" s="606"/>
      <c r="Q89" s="606"/>
      <c r="R89" s="606"/>
      <c r="S89" s="606"/>
    </row>
    <row r="90" spans="1:22" s="601" customFormat="1">
      <c r="E90" s="596"/>
      <c r="F90" s="602"/>
      <c r="G90" s="542"/>
      <c r="H90" s="542"/>
      <c r="I90" s="484"/>
      <c r="J90" s="542"/>
      <c r="K90" s="542"/>
      <c r="L90" s="542"/>
      <c r="M90" s="542"/>
      <c r="P90" s="606"/>
      <c r="Q90" s="606"/>
      <c r="R90" s="606"/>
      <c r="S90" s="606"/>
    </row>
    <row r="91" spans="1:22" s="601" customFormat="1">
      <c r="E91" s="596"/>
      <c r="F91" s="602"/>
      <c r="G91" s="542"/>
      <c r="H91" s="542"/>
      <c r="I91" s="484"/>
      <c r="J91" s="542"/>
      <c r="K91" s="542"/>
      <c r="L91" s="542"/>
      <c r="P91" s="606"/>
      <c r="Q91" s="606"/>
      <c r="R91" s="606"/>
      <c r="S91" s="606"/>
    </row>
    <row r="92" spans="1:22" s="601" customFormat="1">
      <c r="E92" s="596"/>
      <c r="F92" s="602"/>
      <c r="G92" s="542"/>
      <c r="H92" s="542"/>
      <c r="I92" s="484"/>
      <c r="J92" s="542"/>
      <c r="K92" s="542"/>
      <c r="L92" s="542"/>
      <c r="P92" s="606"/>
      <c r="Q92" s="606"/>
      <c r="R92" s="606"/>
      <c r="S92" s="606"/>
    </row>
    <row r="93" spans="1:22" s="601" customFormat="1">
      <c r="E93" s="596"/>
      <c r="F93" s="602"/>
      <c r="G93" s="542"/>
      <c r="H93" s="542"/>
      <c r="I93" s="484"/>
      <c r="J93" s="542"/>
      <c r="K93" s="542"/>
      <c r="L93" s="542"/>
      <c r="P93" s="606"/>
      <c r="Q93" s="606"/>
      <c r="R93" s="606"/>
      <c r="S93" s="606"/>
    </row>
    <row r="94" spans="1:22" s="601" customFormat="1">
      <c r="E94" s="596"/>
      <c r="F94" s="602"/>
      <c r="G94" s="542"/>
      <c r="H94" s="542"/>
      <c r="I94" s="484"/>
      <c r="J94" s="542"/>
      <c r="K94" s="542"/>
      <c r="L94" s="542"/>
      <c r="P94" s="606"/>
      <c r="Q94" s="606"/>
      <c r="R94" s="606"/>
      <c r="S94" s="606"/>
    </row>
    <row r="95" spans="1:22" s="601" customFormat="1">
      <c r="E95" s="596"/>
      <c r="F95" s="602"/>
      <c r="G95" s="542"/>
      <c r="H95" s="542"/>
      <c r="I95" s="484"/>
      <c r="J95" s="542"/>
      <c r="K95" s="542"/>
      <c r="L95" s="542"/>
      <c r="P95" s="606"/>
      <c r="Q95" s="606"/>
      <c r="R95" s="606"/>
      <c r="S95" s="606"/>
    </row>
    <row r="96" spans="1:22" s="601" customFormat="1">
      <c r="E96" s="596"/>
      <c r="F96" s="602"/>
      <c r="G96" s="542"/>
      <c r="H96" s="542"/>
      <c r="I96" s="484"/>
      <c r="J96" s="542"/>
      <c r="K96" s="542"/>
      <c r="L96" s="542"/>
      <c r="P96" s="606"/>
      <c r="Q96" s="606"/>
      <c r="R96" s="606"/>
      <c r="S96" s="606"/>
    </row>
    <row r="97" spans="5:19" s="601" customFormat="1">
      <c r="E97" s="596"/>
      <c r="F97" s="602"/>
      <c r="G97" s="542"/>
      <c r="H97" s="542"/>
      <c r="I97" s="484"/>
      <c r="J97" s="542"/>
      <c r="K97" s="542"/>
      <c r="L97" s="542"/>
      <c r="P97" s="606"/>
      <c r="Q97" s="606"/>
      <c r="R97" s="606"/>
      <c r="S97" s="606"/>
    </row>
    <row r="98" spans="5:19" s="601" customFormat="1">
      <c r="E98" s="596"/>
      <c r="F98" s="602"/>
      <c r="G98" s="542"/>
      <c r="H98" s="542"/>
      <c r="I98" s="484"/>
      <c r="J98" s="542"/>
      <c r="K98" s="542"/>
      <c r="L98" s="542"/>
      <c r="P98" s="606"/>
      <c r="Q98" s="606"/>
      <c r="R98" s="606"/>
      <c r="S98" s="606"/>
    </row>
    <row r="99" spans="5:19" s="601" customFormat="1">
      <c r="E99" s="596"/>
      <c r="F99" s="602"/>
      <c r="G99" s="542"/>
      <c r="H99" s="542"/>
      <c r="I99" s="484"/>
      <c r="J99" s="542"/>
      <c r="K99" s="542"/>
      <c r="L99" s="542"/>
      <c r="P99" s="606"/>
      <c r="Q99" s="606"/>
      <c r="R99" s="606"/>
      <c r="S99" s="606"/>
    </row>
    <row r="100" spans="5:19" s="601" customFormat="1">
      <c r="E100" s="596"/>
      <c r="F100" s="602"/>
      <c r="G100" s="542"/>
      <c r="H100" s="542"/>
      <c r="I100" s="484"/>
      <c r="J100" s="542"/>
      <c r="K100" s="542"/>
      <c r="L100" s="542"/>
      <c r="P100" s="606"/>
      <c r="Q100" s="606"/>
      <c r="R100" s="606"/>
      <c r="S100" s="606"/>
    </row>
    <row r="101" spans="5:19" s="601" customFormat="1">
      <c r="E101" s="596"/>
      <c r="F101" s="602"/>
      <c r="G101" s="542"/>
      <c r="H101" s="542"/>
      <c r="I101" s="484"/>
      <c r="J101" s="542"/>
      <c r="K101" s="542"/>
      <c r="L101" s="542"/>
      <c r="P101" s="606"/>
      <c r="Q101" s="606"/>
      <c r="R101" s="606"/>
      <c r="S101" s="606"/>
    </row>
    <row r="102" spans="5:19" s="601" customFormat="1">
      <c r="E102" s="596"/>
      <c r="F102" s="602"/>
      <c r="G102" s="542"/>
      <c r="H102" s="542"/>
      <c r="I102" s="484"/>
      <c r="J102" s="542"/>
      <c r="K102" s="542"/>
      <c r="L102" s="542"/>
      <c r="P102" s="606"/>
      <c r="Q102" s="606"/>
      <c r="R102" s="606"/>
      <c r="S102" s="606"/>
    </row>
    <row r="103" spans="5:19" s="601" customFormat="1">
      <c r="E103" s="596"/>
      <c r="F103" s="602"/>
      <c r="G103" s="542"/>
      <c r="H103" s="542"/>
      <c r="I103" s="484"/>
      <c r="J103" s="542"/>
      <c r="K103" s="542"/>
      <c r="L103" s="542"/>
      <c r="P103" s="606"/>
      <c r="Q103" s="606"/>
      <c r="R103" s="606"/>
      <c r="S103" s="606"/>
    </row>
    <row r="104" spans="5:19" s="601" customFormat="1">
      <c r="E104" s="596"/>
      <c r="F104" s="602"/>
      <c r="G104" s="542"/>
      <c r="H104" s="542"/>
      <c r="I104" s="484"/>
      <c r="J104" s="542"/>
      <c r="K104" s="542"/>
      <c r="L104" s="542"/>
      <c r="P104" s="606"/>
      <c r="Q104" s="606"/>
      <c r="R104" s="606"/>
      <c r="S104" s="606"/>
    </row>
    <row r="105" spans="5:19" s="601" customFormat="1">
      <c r="E105" s="596"/>
      <c r="F105" s="602"/>
      <c r="G105" s="542"/>
      <c r="H105" s="542"/>
      <c r="I105" s="484"/>
      <c r="J105" s="542"/>
      <c r="K105" s="542"/>
      <c r="L105" s="542"/>
      <c r="P105" s="606"/>
      <c r="Q105" s="606"/>
      <c r="R105" s="606"/>
      <c r="S105" s="606"/>
    </row>
    <row r="106" spans="5:19" s="601" customFormat="1">
      <c r="E106" s="596"/>
      <c r="F106" s="602"/>
      <c r="G106" s="542"/>
      <c r="H106" s="542"/>
      <c r="I106" s="484"/>
      <c r="J106" s="542"/>
      <c r="K106" s="542"/>
      <c r="L106" s="542"/>
      <c r="P106" s="606"/>
      <c r="Q106" s="606"/>
      <c r="R106" s="606"/>
      <c r="S106" s="606"/>
    </row>
    <row r="107" spans="5:19" s="601" customFormat="1">
      <c r="E107" s="596"/>
      <c r="F107" s="602"/>
      <c r="G107" s="542"/>
      <c r="H107" s="542"/>
      <c r="I107" s="484"/>
      <c r="J107" s="542"/>
      <c r="K107" s="542"/>
      <c r="L107" s="542"/>
      <c r="P107" s="606"/>
      <c r="Q107" s="606"/>
      <c r="R107" s="606"/>
      <c r="S107" s="606"/>
    </row>
    <row r="108" spans="5:19" s="601" customFormat="1">
      <c r="E108" s="596"/>
      <c r="F108" s="602"/>
      <c r="G108" s="542"/>
      <c r="H108" s="542"/>
      <c r="I108" s="484"/>
      <c r="J108" s="542"/>
      <c r="K108" s="542"/>
      <c r="L108" s="542"/>
      <c r="P108" s="606"/>
      <c r="Q108" s="606"/>
      <c r="R108" s="606"/>
      <c r="S108" s="606"/>
    </row>
    <row r="109" spans="5:19" s="601" customFormat="1">
      <c r="E109" s="596"/>
      <c r="F109" s="602"/>
      <c r="G109" s="542"/>
      <c r="H109" s="542"/>
      <c r="I109" s="484"/>
      <c r="J109" s="542"/>
      <c r="K109" s="542"/>
      <c r="L109" s="542"/>
      <c r="P109" s="606"/>
      <c r="Q109" s="606"/>
      <c r="R109" s="606"/>
      <c r="S109" s="606"/>
    </row>
    <row r="110" spans="5:19" s="601" customFormat="1">
      <c r="E110" s="596"/>
      <c r="F110" s="602"/>
      <c r="G110" s="542"/>
      <c r="H110" s="542"/>
      <c r="I110" s="484"/>
      <c r="J110" s="542"/>
      <c r="K110" s="542"/>
      <c r="L110" s="542"/>
      <c r="P110" s="606"/>
      <c r="Q110" s="606"/>
      <c r="R110" s="606"/>
      <c r="S110" s="606"/>
    </row>
    <row r="111" spans="5:19" s="601" customFormat="1">
      <c r="E111" s="596"/>
      <c r="F111" s="602"/>
      <c r="G111" s="542"/>
      <c r="H111" s="542"/>
      <c r="I111" s="484"/>
      <c r="J111" s="542"/>
      <c r="K111" s="542"/>
      <c r="L111" s="542"/>
      <c r="P111" s="606"/>
      <c r="Q111" s="606"/>
      <c r="R111" s="606"/>
      <c r="S111" s="606"/>
    </row>
    <row r="112" spans="5:19" s="601" customFormat="1">
      <c r="E112" s="596"/>
      <c r="F112" s="602"/>
      <c r="G112" s="542"/>
      <c r="H112" s="542"/>
      <c r="I112" s="484"/>
      <c r="J112" s="542"/>
      <c r="K112" s="542"/>
      <c r="L112" s="542"/>
      <c r="P112" s="606"/>
      <c r="Q112" s="606"/>
      <c r="R112" s="606"/>
      <c r="S112" s="606"/>
    </row>
    <row r="113" spans="5:22" s="601" customFormat="1">
      <c r="E113" s="596"/>
      <c r="F113" s="602"/>
      <c r="G113" s="542"/>
      <c r="H113" s="542"/>
      <c r="I113" s="484"/>
      <c r="J113" s="542"/>
      <c r="K113" s="542"/>
      <c r="L113" s="542"/>
      <c r="P113" s="606"/>
      <c r="Q113" s="606"/>
      <c r="R113" s="606"/>
      <c r="S113" s="606"/>
    </row>
    <row r="114" spans="5:22" s="601" customFormat="1">
      <c r="E114" s="596"/>
      <c r="F114" s="602"/>
      <c r="G114" s="542"/>
      <c r="H114" s="542"/>
      <c r="I114" s="484"/>
      <c r="J114" s="542"/>
      <c r="K114" s="542"/>
      <c r="L114" s="542"/>
      <c r="P114" s="606"/>
      <c r="Q114" s="606"/>
      <c r="R114" s="606"/>
      <c r="S114" s="606"/>
    </row>
    <row r="115" spans="5:22" s="601" customFormat="1">
      <c r="E115" s="596"/>
      <c r="F115" s="602"/>
      <c r="G115" s="542"/>
      <c r="H115" s="542"/>
      <c r="I115" s="484"/>
      <c r="J115" s="542"/>
      <c r="K115" s="542"/>
      <c r="L115" s="542"/>
      <c r="P115" s="606"/>
      <c r="Q115" s="606"/>
      <c r="R115" s="606"/>
      <c r="S115" s="606"/>
    </row>
    <row r="116" spans="5:22" s="601" customFormat="1">
      <c r="E116" s="596"/>
      <c r="F116" s="602"/>
      <c r="G116" s="542"/>
      <c r="H116" s="542"/>
      <c r="I116" s="484"/>
      <c r="J116" s="542"/>
      <c r="K116" s="542"/>
      <c r="L116" s="542"/>
      <c r="P116" s="606"/>
      <c r="Q116" s="606"/>
      <c r="R116" s="606"/>
      <c r="S116" s="606"/>
    </row>
    <row r="117" spans="5:22" s="601" customFormat="1">
      <c r="E117" s="596"/>
      <c r="F117" s="602"/>
      <c r="G117" s="542"/>
      <c r="H117" s="542"/>
      <c r="I117" s="484"/>
      <c r="J117" s="542"/>
      <c r="K117" s="542"/>
      <c r="L117" s="542"/>
      <c r="P117" s="606"/>
      <c r="Q117" s="606"/>
      <c r="R117" s="606"/>
      <c r="S117" s="606"/>
    </row>
    <row r="118" spans="5:22" s="601" customFormat="1">
      <c r="E118" s="596"/>
      <c r="F118" s="602"/>
      <c r="G118" s="542"/>
      <c r="H118" s="542"/>
      <c r="I118" s="484"/>
      <c r="J118" s="542"/>
      <c r="K118" s="542"/>
      <c r="L118" s="542"/>
      <c r="P118" s="606"/>
      <c r="Q118" s="606"/>
      <c r="R118" s="606"/>
      <c r="S118" s="606"/>
    </row>
    <row r="119" spans="5:22" s="601" customFormat="1">
      <c r="E119" s="596"/>
      <c r="F119" s="602"/>
      <c r="G119" s="542"/>
      <c r="H119" s="542"/>
      <c r="I119" s="484"/>
      <c r="J119" s="542"/>
      <c r="K119" s="542"/>
      <c r="L119" s="542"/>
      <c r="P119" s="606"/>
      <c r="Q119" s="606"/>
      <c r="R119" s="606"/>
      <c r="S119" s="606"/>
    </row>
    <row r="120" spans="5:22" s="601" customFormat="1">
      <c r="E120" s="596"/>
      <c r="F120" s="602"/>
      <c r="G120" s="542"/>
      <c r="H120" s="542"/>
      <c r="I120" s="484"/>
      <c r="J120" s="542"/>
      <c r="K120" s="542"/>
      <c r="L120" s="542"/>
      <c r="P120" s="606"/>
      <c r="Q120" s="606"/>
      <c r="R120" s="606"/>
      <c r="S120" s="606"/>
    </row>
    <row r="121" spans="5:22" s="601" customFormat="1">
      <c r="E121" s="596"/>
      <c r="F121" s="602"/>
      <c r="G121" s="542"/>
      <c r="H121" s="542"/>
      <c r="I121" s="484"/>
      <c r="J121" s="542"/>
      <c r="K121" s="542"/>
      <c r="L121" s="542"/>
      <c r="P121" s="606"/>
      <c r="Q121" s="606"/>
      <c r="R121" s="606"/>
      <c r="S121" s="606"/>
    </row>
    <row r="122" spans="5:22" s="601" customFormat="1">
      <c r="E122" s="596"/>
      <c r="F122" s="602"/>
      <c r="G122" s="542"/>
      <c r="H122" s="542"/>
      <c r="I122" s="484"/>
      <c r="J122" s="542"/>
      <c r="K122" s="542"/>
      <c r="L122" s="542"/>
      <c r="P122" s="606"/>
      <c r="Q122" s="606"/>
      <c r="R122" s="606"/>
      <c r="S122" s="606"/>
    </row>
    <row r="123" spans="5:22" s="601" customFormat="1">
      <c r="E123" s="596"/>
      <c r="F123" s="602"/>
      <c r="G123" s="542"/>
      <c r="H123" s="542"/>
      <c r="I123" s="484"/>
      <c r="J123" s="542"/>
      <c r="K123" s="542"/>
      <c r="L123" s="542"/>
      <c r="P123" s="606"/>
      <c r="Q123" s="606"/>
      <c r="R123" s="606"/>
      <c r="S123" s="606"/>
    </row>
    <row r="124" spans="5:22" s="601" customFormat="1">
      <c r="E124" s="596"/>
      <c r="F124" s="602"/>
      <c r="G124" s="542"/>
      <c r="H124" s="542"/>
      <c r="I124" s="484"/>
      <c r="J124" s="542"/>
      <c r="K124" s="542"/>
      <c r="L124" s="542"/>
      <c r="P124" s="606"/>
      <c r="Q124" s="606"/>
      <c r="R124" s="606"/>
      <c r="S124" s="606"/>
    </row>
    <row r="125" spans="5:22" s="601" customFormat="1">
      <c r="E125" s="596"/>
      <c r="F125" s="602"/>
      <c r="G125" s="542"/>
      <c r="H125" s="542"/>
      <c r="I125" s="484"/>
      <c r="J125" s="542"/>
      <c r="K125" s="542"/>
      <c r="L125" s="542"/>
      <c r="P125" s="606"/>
      <c r="Q125" s="606"/>
      <c r="R125" s="606"/>
      <c r="S125" s="606"/>
    </row>
    <row r="126" spans="5:22" s="601" customFormat="1">
      <c r="E126" s="596"/>
      <c r="F126" s="602"/>
      <c r="G126" s="542"/>
      <c r="H126" s="542"/>
      <c r="I126" s="484"/>
      <c r="J126" s="542"/>
      <c r="K126" s="542"/>
      <c r="L126" s="542"/>
      <c r="P126" s="606"/>
      <c r="Q126" s="606"/>
      <c r="R126" s="606"/>
      <c r="S126" s="606"/>
    </row>
    <row r="127" spans="5:22" s="601" customFormat="1">
      <c r="E127" s="596"/>
      <c r="F127" s="602"/>
      <c r="G127" s="542"/>
      <c r="H127" s="542"/>
      <c r="I127" s="484"/>
      <c r="J127" s="542"/>
      <c r="K127" s="542"/>
      <c r="L127" s="542"/>
      <c r="P127" s="606"/>
      <c r="Q127" s="606"/>
      <c r="R127" s="606"/>
      <c r="S127" s="606"/>
    </row>
    <row r="128" spans="5:22" s="601" customFormat="1">
      <c r="E128" s="596"/>
      <c r="F128" s="602"/>
      <c r="G128" s="542"/>
      <c r="H128" s="542"/>
      <c r="I128" s="484"/>
      <c r="J128" s="542"/>
      <c r="K128" s="542"/>
      <c r="L128" s="542"/>
      <c r="P128" s="606"/>
      <c r="Q128" s="606"/>
      <c r="R128" s="604"/>
      <c r="S128" s="604"/>
      <c r="T128" s="542"/>
      <c r="U128" s="542"/>
      <c r="V128" s="542"/>
    </row>
    <row r="129" spans="1:22" s="601" customFormat="1">
      <c r="E129" s="596"/>
      <c r="F129" s="602"/>
      <c r="G129" s="542"/>
      <c r="H129" s="542"/>
      <c r="I129" s="484"/>
      <c r="J129" s="542"/>
      <c r="K129" s="542"/>
      <c r="L129" s="542"/>
      <c r="P129" s="606"/>
      <c r="Q129" s="606"/>
      <c r="R129" s="604"/>
      <c r="S129" s="604"/>
      <c r="T129" s="542"/>
      <c r="U129" s="542"/>
      <c r="V129" s="542"/>
    </row>
    <row r="130" spans="1:22" s="601" customFormat="1">
      <c r="E130" s="596"/>
      <c r="F130" s="602"/>
      <c r="G130" s="542"/>
      <c r="H130" s="542"/>
      <c r="I130" s="484"/>
      <c r="J130" s="542"/>
      <c r="K130" s="542"/>
      <c r="L130" s="542"/>
      <c r="P130" s="606"/>
      <c r="Q130" s="606"/>
      <c r="R130" s="604"/>
      <c r="S130" s="604"/>
      <c r="T130" s="542"/>
      <c r="U130" s="542"/>
      <c r="V130" s="542"/>
    </row>
    <row r="131" spans="1:22" s="601" customFormat="1">
      <c r="E131" s="596"/>
      <c r="F131" s="602"/>
      <c r="G131" s="542"/>
      <c r="H131" s="542"/>
      <c r="I131" s="484"/>
      <c r="J131" s="542"/>
      <c r="K131" s="542"/>
      <c r="L131" s="542"/>
      <c r="P131" s="606"/>
      <c r="Q131" s="606"/>
      <c r="R131" s="604"/>
      <c r="S131" s="604"/>
      <c r="T131" s="542"/>
      <c r="U131" s="542"/>
      <c r="V131" s="542"/>
    </row>
    <row r="132" spans="1:22" s="601" customFormat="1">
      <c r="E132" s="596"/>
      <c r="F132" s="602"/>
      <c r="G132" s="542"/>
      <c r="H132" s="542"/>
      <c r="I132" s="484"/>
      <c r="J132" s="542"/>
      <c r="K132" s="542"/>
      <c r="L132" s="542"/>
      <c r="P132" s="606"/>
      <c r="Q132" s="606"/>
      <c r="R132" s="604"/>
      <c r="S132" s="604"/>
      <c r="T132" s="542"/>
      <c r="U132" s="542"/>
      <c r="V132" s="542"/>
    </row>
    <row r="133" spans="1:22" s="601" customFormat="1">
      <c r="E133" s="596"/>
      <c r="F133" s="602"/>
      <c r="G133" s="542"/>
      <c r="H133" s="542"/>
      <c r="I133" s="484"/>
      <c r="J133" s="542"/>
      <c r="K133" s="542"/>
      <c r="L133" s="542"/>
      <c r="N133" s="542"/>
      <c r="O133" s="484"/>
      <c r="P133" s="642"/>
      <c r="Q133" s="604"/>
      <c r="R133" s="604"/>
      <c r="S133" s="604"/>
      <c r="T133" s="542"/>
      <c r="U133" s="542"/>
      <c r="V133" s="542"/>
    </row>
    <row r="134" spans="1:22" s="601" customFormat="1">
      <c r="E134" s="596"/>
      <c r="F134" s="602"/>
      <c r="G134" s="542"/>
      <c r="H134" s="542"/>
      <c r="I134" s="484"/>
      <c r="J134" s="542"/>
      <c r="K134" s="542"/>
      <c r="L134" s="542"/>
      <c r="N134" s="542"/>
      <c r="O134" s="484"/>
      <c r="P134" s="642"/>
      <c r="Q134" s="604"/>
      <c r="R134" s="604"/>
      <c r="S134" s="604"/>
      <c r="T134" s="542"/>
      <c r="U134" s="542"/>
      <c r="V134" s="542"/>
    </row>
    <row r="135" spans="1:22" s="601" customFormat="1">
      <c r="E135" s="596"/>
      <c r="F135" s="602"/>
      <c r="G135" s="542"/>
      <c r="H135" s="542"/>
      <c r="I135" s="484"/>
      <c r="J135" s="542"/>
      <c r="K135" s="542"/>
      <c r="L135" s="542"/>
      <c r="N135" s="542"/>
      <c r="O135" s="484"/>
      <c r="P135" s="642"/>
      <c r="Q135" s="604"/>
      <c r="R135" s="604"/>
      <c r="S135" s="604"/>
      <c r="T135" s="542"/>
      <c r="U135" s="542"/>
      <c r="V135" s="542"/>
    </row>
    <row r="136" spans="1:22" s="601" customFormat="1">
      <c r="E136" s="596"/>
      <c r="F136" s="602"/>
      <c r="G136" s="542"/>
      <c r="H136" s="542"/>
      <c r="I136" s="484"/>
      <c r="J136" s="542"/>
      <c r="K136" s="542"/>
      <c r="L136" s="542"/>
      <c r="N136" s="542"/>
      <c r="O136" s="484"/>
      <c r="P136" s="642"/>
      <c r="Q136" s="604"/>
      <c r="R136" s="604"/>
      <c r="S136" s="604"/>
      <c r="T136" s="542"/>
      <c r="U136" s="542"/>
      <c r="V136" s="542"/>
    </row>
    <row r="137" spans="1:22" s="601" customFormat="1">
      <c r="A137" s="542"/>
      <c r="B137" s="542"/>
      <c r="C137" s="605"/>
      <c r="D137" s="605"/>
      <c r="E137" s="605"/>
      <c r="F137" s="605"/>
      <c r="H137" s="606"/>
      <c r="J137" s="542"/>
      <c r="K137" s="542"/>
      <c r="L137" s="542"/>
      <c r="N137" s="542"/>
      <c r="O137" s="484"/>
      <c r="P137" s="642"/>
      <c r="Q137" s="604"/>
      <c r="R137" s="604"/>
      <c r="S137" s="604"/>
      <c r="T137" s="542"/>
      <c r="U137" s="542"/>
      <c r="V137" s="542"/>
    </row>
    <row r="138" spans="1:22" s="601" customFormat="1">
      <c r="A138" s="542"/>
      <c r="B138" s="542"/>
      <c r="C138" s="605"/>
      <c r="D138" s="605"/>
      <c r="E138" s="605"/>
      <c r="F138" s="605"/>
      <c r="H138" s="606"/>
      <c r="J138" s="542"/>
      <c r="K138" s="542"/>
      <c r="L138" s="542"/>
      <c r="N138" s="542"/>
      <c r="O138" s="484"/>
      <c r="P138" s="642"/>
      <c r="Q138" s="604"/>
      <c r="R138" s="604"/>
      <c r="S138" s="604"/>
      <c r="T138" s="542"/>
      <c r="U138" s="542"/>
      <c r="V138" s="542"/>
    </row>
    <row r="139" spans="1:22" s="601" customFormat="1">
      <c r="A139" s="542"/>
      <c r="B139" s="542"/>
      <c r="C139" s="605"/>
      <c r="D139" s="605"/>
      <c r="E139" s="605"/>
      <c r="F139" s="605"/>
      <c r="H139" s="606"/>
      <c r="J139" s="542"/>
      <c r="K139" s="542"/>
      <c r="L139" s="542"/>
      <c r="N139" s="542"/>
      <c r="O139" s="484"/>
      <c r="P139" s="642"/>
      <c r="Q139" s="604"/>
      <c r="R139" s="604"/>
      <c r="S139" s="604"/>
      <c r="T139" s="542"/>
      <c r="U139" s="542"/>
      <c r="V139" s="542"/>
    </row>
    <row r="140" spans="1:22" s="601" customFormat="1">
      <c r="A140" s="542"/>
      <c r="B140" s="542"/>
      <c r="C140" s="605"/>
      <c r="D140" s="605"/>
      <c r="E140" s="605"/>
      <c r="F140" s="605"/>
      <c r="H140" s="606"/>
      <c r="J140" s="542"/>
      <c r="K140" s="542"/>
      <c r="L140" s="542"/>
      <c r="N140" s="542"/>
      <c r="O140" s="484"/>
      <c r="P140" s="642"/>
      <c r="Q140" s="604"/>
      <c r="R140" s="604"/>
      <c r="S140" s="604"/>
      <c r="T140" s="542"/>
      <c r="U140" s="542"/>
      <c r="V140" s="542"/>
    </row>
    <row r="141" spans="1:22" s="601" customFormat="1">
      <c r="A141" s="542"/>
      <c r="B141" s="542"/>
      <c r="C141" s="605"/>
      <c r="D141" s="605"/>
      <c r="E141" s="605"/>
      <c r="F141" s="605"/>
      <c r="H141" s="606"/>
      <c r="J141" s="542"/>
      <c r="K141" s="542"/>
      <c r="L141" s="542"/>
      <c r="N141" s="542"/>
      <c r="O141" s="484"/>
      <c r="P141" s="642"/>
      <c r="Q141" s="604"/>
      <c r="R141" s="604"/>
      <c r="S141" s="604"/>
      <c r="T141" s="542"/>
      <c r="U141" s="542"/>
      <c r="V141" s="542"/>
    </row>
    <row r="142" spans="1:22" s="601" customFormat="1">
      <c r="A142" s="542"/>
      <c r="B142" s="542"/>
      <c r="C142" s="605"/>
      <c r="D142" s="605"/>
      <c r="E142" s="605"/>
      <c r="F142" s="605"/>
      <c r="H142" s="606"/>
      <c r="J142" s="542"/>
      <c r="K142" s="542"/>
      <c r="L142" s="542"/>
      <c r="N142" s="542"/>
      <c r="O142" s="484"/>
      <c r="P142" s="642"/>
      <c r="Q142" s="604"/>
      <c r="R142" s="604"/>
      <c r="S142" s="604"/>
      <c r="T142" s="542"/>
      <c r="U142" s="542"/>
      <c r="V142" s="542"/>
    </row>
    <row r="143" spans="1:22" s="601" customFormat="1">
      <c r="A143" s="542"/>
      <c r="B143" s="542"/>
      <c r="C143" s="605"/>
      <c r="D143" s="605"/>
      <c r="E143" s="605"/>
      <c r="F143" s="605"/>
      <c r="H143" s="606"/>
      <c r="K143" s="542"/>
      <c r="L143" s="542"/>
      <c r="N143" s="542"/>
      <c r="O143" s="484"/>
      <c r="P143" s="642"/>
      <c r="Q143" s="604"/>
      <c r="R143" s="604"/>
      <c r="S143" s="604"/>
      <c r="T143" s="542"/>
      <c r="U143" s="542"/>
      <c r="V143" s="542"/>
    </row>
    <row r="144" spans="1:22" s="601" customFormat="1">
      <c r="A144" s="542"/>
      <c r="B144" s="542"/>
      <c r="C144" s="605"/>
      <c r="D144" s="605"/>
      <c r="E144" s="605"/>
      <c r="F144" s="605"/>
      <c r="H144" s="606"/>
      <c r="K144" s="542"/>
      <c r="L144" s="542"/>
      <c r="N144" s="542"/>
      <c r="O144" s="484"/>
      <c r="P144" s="642"/>
      <c r="Q144" s="604"/>
      <c r="R144" s="604"/>
      <c r="S144" s="604"/>
      <c r="T144" s="542"/>
      <c r="U144" s="542"/>
      <c r="V144" s="542"/>
    </row>
    <row r="145" spans="1:22" s="601" customFormat="1">
      <c r="A145" s="542"/>
      <c r="B145" s="542"/>
      <c r="C145" s="605"/>
      <c r="D145" s="605"/>
      <c r="E145" s="605"/>
      <c r="F145" s="605"/>
      <c r="H145" s="606"/>
      <c r="K145" s="542"/>
      <c r="L145" s="542"/>
      <c r="N145" s="542"/>
      <c r="O145" s="484"/>
      <c r="P145" s="642"/>
      <c r="Q145" s="604"/>
      <c r="R145" s="604"/>
      <c r="S145" s="604"/>
      <c r="T145" s="542"/>
      <c r="U145" s="542"/>
      <c r="V145" s="542"/>
    </row>
    <row r="146" spans="1:22">
      <c r="L146" s="542"/>
      <c r="M146" s="601"/>
    </row>
    <row r="147" spans="1:22">
      <c r="L147" s="542"/>
      <c r="M147" s="601"/>
    </row>
    <row r="148" spans="1:22">
      <c r="L148" s="542"/>
    </row>
    <row r="149" spans="1:22">
      <c r="L149" s="542"/>
    </row>
    <row r="150" spans="1:22">
      <c r="L150" s="542"/>
    </row>
  </sheetData>
  <mergeCells count="5">
    <mergeCell ref="A7:L7"/>
    <mergeCell ref="M7:O7"/>
    <mergeCell ref="U7:V7"/>
    <mergeCell ref="D9:F9"/>
    <mergeCell ref="H9:K9"/>
  </mergeCells>
  <conditionalFormatting sqref="P39:P55 Z9:Z56">
    <cfRule type="aboveAverage" dxfId="3" priority="1" aboveAverage="0" stdDev="1"/>
    <cfRule type="aboveAverage" dxfId="2" priority="2" stdDev="1"/>
  </conditionalFormatting>
  <dataValidations disablePrompts="1" count="1">
    <dataValidation type="list" allowBlank="1" showInputMessage="1" showErrorMessage="1" sqref="B5" xr:uid="{1574D4F0-1BA8-4042-B535-BAF31FD95639}">
      <formula1>$AB$5:$AB$8</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681A-A1A1-47B8-AFE6-8FB089F8E04C}">
  <dimension ref="A1:Z150"/>
  <sheetViews>
    <sheetView workbookViewId="0">
      <selection activeCell="R47" sqref="R47"/>
    </sheetView>
  </sheetViews>
  <sheetFormatPr defaultColWidth="7.85546875" defaultRowHeight="11.25"/>
  <cols>
    <col min="1" max="1" width="15.7109375" style="542" bestFit="1" customWidth="1"/>
    <col min="2" max="2" width="9.5703125" style="542" bestFit="1" customWidth="1"/>
    <col min="3" max="3" width="5.140625" style="605" customWidth="1"/>
    <col min="4" max="6" width="7.7109375" style="605" customWidth="1"/>
    <col min="7" max="7" width="12" style="601" bestFit="1" customWidth="1"/>
    <col min="8" max="8" width="9.28515625" style="606" customWidth="1"/>
    <col min="9" max="10" width="8.42578125" style="601" bestFit="1" customWidth="1"/>
    <col min="11" max="11" width="8.42578125" style="596" bestFit="1" customWidth="1"/>
    <col min="12" max="12" width="13.7109375" style="602" bestFit="1" customWidth="1"/>
    <col min="13" max="13" width="6.28515625" style="542" bestFit="1" customWidth="1"/>
    <col min="14" max="14" width="5.7109375" style="542" bestFit="1" customWidth="1"/>
    <col min="15" max="15" width="5.85546875" style="484" bestFit="1" customWidth="1"/>
    <col min="16" max="16" width="5.85546875" style="642" bestFit="1" customWidth="1"/>
    <col min="17" max="17" width="14" style="604" bestFit="1" customWidth="1"/>
    <col min="18" max="18" width="6" style="604" bestFit="1" customWidth="1"/>
    <col min="19" max="19" width="8.7109375" style="604" bestFit="1" customWidth="1"/>
    <col min="20" max="21" width="17.28515625" style="542" bestFit="1" customWidth="1"/>
    <col min="22" max="22" width="9.28515625" style="542" bestFit="1" customWidth="1"/>
    <col min="23" max="27" width="5.28515625" style="542" customWidth="1"/>
    <col min="28" max="28" width="17" style="542" customWidth="1"/>
    <col min="29" max="16384" width="7.85546875" style="542"/>
  </cols>
  <sheetData>
    <row r="1" spans="1:24" s="430" customFormat="1" ht="12.75">
      <c r="A1" s="611" t="s">
        <v>105</v>
      </c>
      <c r="B1" s="612"/>
      <c r="C1" s="422"/>
      <c r="D1" s="612"/>
      <c r="E1" s="423"/>
      <c r="F1" s="423"/>
      <c r="G1" s="424"/>
      <c r="H1" s="425" t="s">
        <v>154</v>
      </c>
      <c r="I1" s="426">
        <f>O35</f>
        <v>577</v>
      </c>
      <c r="J1" s="427"/>
      <c r="K1" s="612"/>
      <c r="L1" s="612"/>
      <c r="N1" s="429"/>
      <c r="P1" s="613"/>
      <c r="Q1" s="613"/>
      <c r="R1" s="613"/>
      <c r="S1" s="613"/>
    </row>
    <row r="2" spans="1:24" s="430" customFormat="1" ht="12.75">
      <c r="A2" s="614" t="s">
        <v>107</v>
      </c>
      <c r="B2" s="612"/>
      <c r="C2" s="433"/>
      <c r="D2" s="612"/>
      <c r="E2" s="434"/>
      <c r="F2" s="434"/>
      <c r="G2" s="435"/>
      <c r="H2" s="436" t="s">
        <v>155</v>
      </c>
      <c r="I2" s="615">
        <f>V12</f>
        <v>448</v>
      </c>
      <c r="J2" s="438"/>
      <c r="K2" s="612"/>
      <c r="L2" s="612"/>
      <c r="N2" s="440"/>
      <c r="P2" s="613"/>
      <c r="Q2" s="613"/>
      <c r="R2" s="613"/>
      <c r="S2" s="613"/>
    </row>
    <row r="3" spans="1:24" s="446" customFormat="1" ht="11.25" customHeight="1">
      <c r="A3" s="442" t="s">
        <v>109</v>
      </c>
      <c r="B3" s="432"/>
      <c r="C3" s="433"/>
      <c r="D3" s="434"/>
      <c r="E3" s="434"/>
      <c r="F3" s="434"/>
      <c r="G3" s="435"/>
      <c r="H3" s="442" t="s">
        <v>156</v>
      </c>
      <c r="I3" s="616">
        <f>V34/100</f>
        <v>4.4800000000000004</v>
      </c>
      <c r="J3" s="438"/>
      <c r="K3" s="612"/>
      <c r="L3" s="612"/>
      <c r="N3" s="445"/>
      <c r="P3" s="617"/>
      <c r="Q3" s="617"/>
      <c r="R3" s="617"/>
      <c r="S3" s="617"/>
    </row>
    <row r="4" spans="1:24" s="430" customFormat="1" ht="12.75">
      <c r="A4" s="442" t="s">
        <v>111</v>
      </c>
      <c r="B4" s="432"/>
      <c r="C4" s="433"/>
      <c r="D4" s="434"/>
      <c r="E4" s="434"/>
      <c r="F4" s="434"/>
      <c r="G4" s="435"/>
      <c r="H4" s="442" t="s">
        <v>157</v>
      </c>
      <c r="I4" s="618">
        <f>S32</f>
        <v>0.45246702756035551</v>
      </c>
      <c r="J4" s="438"/>
      <c r="K4" s="612"/>
      <c r="L4" s="612"/>
      <c r="M4" s="429"/>
      <c r="N4" s="429"/>
      <c r="P4" s="613"/>
      <c r="Q4" s="613"/>
      <c r="R4" s="613"/>
      <c r="S4" s="613"/>
    </row>
    <row r="5" spans="1:24" s="451" customFormat="1" ht="12.75">
      <c r="A5" s="614" t="s">
        <v>113</v>
      </c>
      <c r="B5" s="447" t="s">
        <v>114</v>
      </c>
      <c r="C5" s="433"/>
      <c r="D5" s="434"/>
      <c r="E5" s="434"/>
      <c r="F5" s="434"/>
      <c r="G5" s="435"/>
      <c r="H5" s="442"/>
      <c r="I5" s="448"/>
      <c r="J5" s="438"/>
      <c r="K5" s="612"/>
      <c r="L5" s="612"/>
      <c r="M5" s="450"/>
      <c r="N5" s="450"/>
      <c r="P5" s="619"/>
      <c r="Q5" s="619"/>
      <c r="R5" s="619"/>
      <c r="S5" s="619"/>
    </row>
    <row r="6" spans="1:24" s="450" customFormat="1" ht="13.5" thickBot="1">
      <c r="A6" s="620"/>
      <c r="B6" s="621"/>
      <c r="C6" s="622"/>
      <c r="D6" s="623"/>
      <c r="E6" s="623"/>
      <c r="F6" s="623"/>
      <c r="G6" s="624"/>
      <c r="H6" s="625"/>
      <c r="I6" s="626"/>
      <c r="J6" s="624"/>
      <c r="K6" s="621"/>
      <c r="L6" s="621"/>
      <c r="M6" s="471"/>
      <c r="P6" s="627"/>
      <c r="Q6" s="627"/>
      <c r="R6" s="627"/>
      <c r="S6" s="627"/>
    </row>
    <row r="7" spans="1:24" s="451" customFormat="1" ht="13.15" customHeight="1">
      <c r="A7" s="1070" t="s">
        <v>115</v>
      </c>
      <c r="B7" s="1071"/>
      <c r="C7" s="1071"/>
      <c r="D7" s="1071"/>
      <c r="E7" s="1071"/>
      <c r="F7" s="1071"/>
      <c r="G7" s="1071"/>
      <c r="H7" s="1071"/>
      <c r="I7" s="1071"/>
      <c r="J7" s="1071"/>
      <c r="K7" s="1071"/>
      <c r="L7" s="1071"/>
      <c r="M7" s="1072" t="s">
        <v>116</v>
      </c>
      <c r="N7" s="1073"/>
      <c r="O7" s="1074"/>
      <c r="P7" s="628" t="s">
        <v>117</v>
      </c>
      <c r="Q7" s="467"/>
      <c r="R7" s="628" t="s">
        <v>118</v>
      </c>
      <c r="S7" s="628"/>
      <c r="T7" s="469"/>
      <c r="U7" s="1068" t="s">
        <v>119</v>
      </c>
      <c r="V7" s="1069"/>
      <c r="W7" s="450"/>
      <c r="X7" s="450"/>
    </row>
    <row r="8" spans="1:24" s="480" customFormat="1">
      <c r="A8" s="470"/>
      <c r="B8" s="471"/>
      <c r="C8" s="472"/>
      <c r="D8" s="629"/>
      <c r="E8" s="630"/>
      <c r="F8" s="631"/>
      <c r="G8" s="632"/>
      <c r="H8" s="633"/>
      <c r="I8" s="633"/>
      <c r="J8" s="633"/>
      <c r="K8" s="633"/>
      <c r="L8" s="634"/>
      <c r="M8" s="635"/>
      <c r="N8" s="636"/>
      <c r="O8" s="473"/>
      <c r="P8" s="637"/>
      <c r="Q8" s="476"/>
      <c r="R8" s="637"/>
      <c r="S8" s="637"/>
      <c r="T8" s="478"/>
      <c r="U8" s="449"/>
      <c r="V8" s="449"/>
      <c r="W8" s="479"/>
    </row>
    <row r="9" spans="1:24" s="481" customFormat="1" ht="13.15" customHeight="1">
      <c r="A9" s="638"/>
      <c r="B9" s="450"/>
      <c r="C9" s="482"/>
      <c r="D9" s="1075" t="s">
        <v>158</v>
      </c>
      <c r="E9" s="1076"/>
      <c r="F9" s="1077"/>
      <c r="G9" s="639"/>
      <c r="H9" s="1078" t="s">
        <v>159</v>
      </c>
      <c r="I9" s="1079"/>
      <c r="J9" s="1079"/>
      <c r="K9" s="1080"/>
      <c r="L9" s="640"/>
      <c r="M9" s="641"/>
      <c r="N9" s="636" t="s">
        <v>120</v>
      </c>
      <c r="O9" s="473"/>
      <c r="P9" s="637"/>
      <c r="Q9" s="476"/>
      <c r="R9" s="642"/>
      <c r="S9" s="642"/>
      <c r="T9" s="478"/>
      <c r="U9" s="485"/>
      <c r="V9" s="486"/>
      <c r="W9" s="487"/>
      <c r="X9" s="488"/>
    </row>
    <row r="10" spans="1:24" s="481" customFormat="1">
      <c r="A10" s="489" t="s">
        <v>121</v>
      </c>
      <c r="B10" s="490" t="s">
        <v>122</v>
      </c>
      <c r="C10" s="491" t="s">
        <v>123</v>
      </c>
      <c r="D10" s="643" t="s">
        <v>160</v>
      </c>
      <c r="E10" s="644" t="s">
        <v>161</v>
      </c>
      <c r="F10" s="645" t="s">
        <v>162</v>
      </c>
      <c r="G10" s="639" t="s">
        <v>163</v>
      </c>
      <c r="H10" s="646" t="s">
        <v>164</v>
      </c>
      <c r="I10" s="646" t="s">
        <v>165</v>
      </c>
      <c r="J10" s="646" t="s">
        <v>166</v>
      </c>
      <c r="K10" s="646" t="s">
        <v>167</v>
      </c>
      <c r="L10" s="640" t="s">
        <v>168</v>
      </c>
      <c r="M10" s="493" t="s">
        <v>124</v>
      </c>
      <c r="N10" s="647" t="s">
        <v>125</v>
      </c>
      <c r="O10" s="492" t="s">
        <v>126</v>
      </c>
      <c r="P10" s="477" t="s">
        <v>127</v>
      </c>
      <c r="Q10" s="476" t="s">
        <v>128</v>
      </c>
      <c r="R10" s="477" t="s">
        <v>128</v>
      </c>
      <c r="S10" s="477" t="s">
        <v>127</v>
      </c>
      <c r="T10" s="494" t="s">
        <v>129</v>
      </c>
      <c r="U10" s="485" t="s">
        <v>130</v>
      </c>
      <c r="V10" s="485" t="s">
        <v>131</v>
      </c>
      <c r="W10" s="495"/>
    </row>
    <row r="11" spans="1:24" s="481" customFormat="1" ht="12" thickBot="1">
      <c r="A11" s="496" t="s">
        <v>132</v>
      </c>
      <c r="B11" s="497" t="s">
        <v>132</v>
      </c>
      <c r="C11" s="498" t="s">
        <v>133</v>
      </c>
      <c r="D11" s="648" t="s">
        <v>169</v>
      </c>
      <c r="E11" s="649" t="s">
        <v>169</v>
      </c>
      <c r="F11" s="650" t="s">
        <v>169</v>
      </c>
      <c r="G11" s="651" t="s">
        <v>169</v>
      </c>
      <c r="H11" s="652" t="s">
        <v>169</v>
      </c>
      <c r="I11" s="652" t="s">
        <v>169</v>
      </c>
      <c r="J11" s="652" t="s">
        <v>169</v>
      </c>
      <c r="K11" s="652" t="s">
        <v>169</v>
      </c>
      <c r="L11" s="653" t="s">
        <v>169</v>
      </c>
      <c r="M11" s="500" t="s">
        <v>134</v>
      </c>
      <c r="N11" s="654" t="s">
        <v>133</v>
      </c>
      <c r="O11" s="499" t="s">
        <v>133</v>
      </c>
      <c r="P11" s="503" t="s">
        <v>135</v>
      </c>
      <c r="Q11" s="502" t="s">
        <v>136</v>
      </c>
      <c r="R11" s="655" t="s">
        <v>38</v>
      </c>
      <c r="S11" s="655" t="s">
        <v>170</v>
      </c>
      <c r="T11" s="504"/>
      <c r="U11" s="505"/>
      <c r="V11" s="506" t="s">
        <v>169</v>
      </c>
      <c r="W11" s="495"/>
    </row>
    <row r="12" spans="1:24" s="481" customFormat="1">
      <c r="A12" s="656" t="s">
        <v>171</v>
      </c>
      <c r="B12" s="657"/>
      <c r="C12" s="658">
        <v>0</v>
      </c>
      <c r="D12" s="659" t="s">
        <v>172</v>
      </c>
      <c r="E12" s="660" t="s">
        <v>172</v>
      </c>
      <c r="F12" s="661" t="s">
        <v>172</v>
      </c>
      <c r="G12" s="662" t="s">
        <v>172</v>
      </c>
      <c r="H12" s="660" t="s">
        <v>172</v>
      </c>
      <c r="I12" s="660" t="s">
        <v>172</v>
      </c>
      <c r="J12" s="660" t="s">
        <v>172</v>
      </c>
      <c r="K12" s="660" t="s">
        <v>172</v>
      </c>
      <c r="L12" s="663" t="s">
        <v>172</v>
      </c>
      <c r="M12" s="509"/>
      <c r="N12" s="664"/>
      <c r="O12" s="665"/>
      <c r="P12" s="666"/>
      <c r="Q12" s="667"/>
      <c r="R12" s="668"/>
      <c r="S12" s="669"/>
      <c r="T12" s="670"/>
      <c r="U12" s="518" t="s">
        <v>137</v>
      </c>
      <c r="V12" s="519">
        <v>448</v>
      </c>
      <c r="W12" s="520"/>
    </row>
    <row r="13" spans="1:24" s="481" customFormat="1">
      <c r="A13" s="507">
        <v>245</v>
      </c>
      <c r="B13" s="508">
        <v>0</v>
      </c>
      <c r="C13" s="509">
        <v>10</v>
      </c>
      <c r="D13" s="671" t="s">
        <v>172</v>
      </c>
      <c r="E13" s="672" t="s">
        <v>172</v>
      </c>
      <c r="F13" s="673" t="s">
        <v>172</v>
      </c>
      <c r="G13" s="674" t="s">
        <v>172</v>
      </c>
      <c r="H13" s="672" t="s">
        <v>172</v>
      </c>
      <c r="I13" s="672" t="s">
        <v>172</v>
      </c>
      <c r="J13" s="672" t="s">
        <v>172</v>
      </c>
      <c r="K13" s="672" t="s">
        <v>172</v>
      </c>
      <c r="L13" s="675" t="s">
        <v>172</v>
      </c>
      <c r="M13" s="509">
        <v>966</v>
      </c>
      <c r="N13" s="676">
        <f>C12</f>
        <v>0</v>
      </c>
      <c r="O13" s="677">
        <f t="shared" ref="O13:O21" si="0">(C13+C14-10)/2</f>
        <v>10</v>
      </c>
      <c r="P13" s="523">
        <f>(A13-B13)/M13</f>
        <v>0.25362318840579712</v>
      </c>
      <c r="Q13" s="514">
        <f>(P13*(O13-N13))/100</f>
        <v>2.5362318840579712E-2</v>
      </c>
      <c r="R13" s="678">
        <f>SUM(Q$13:Q13)</f>
        <v>2.5362318840579712E-2</v>
      </c>
      <c r="S13" s="526">
        <f>R13/O13*100</f>
        <v>0.25362318840579712</v>
      </c>
      <c r="T13" s="517"/>
      <c r="U13" s="527"/>
      <c r="V13" s="528"/>
      <c r="W13" s="495"/>
    </row>
    <row r="14" spans="1:24" s="481" customFormat="1">
      <c r="A14" s="507">
        <v>215</v>
      </c>
      <c r="B14" s="508">
        <v>0</v>
      </c>
      <c r="C14" s="509">
        <v>20</v>
      </c>
      <c r="D14" s="671" t="s">
        <v>172</v>
      </c>
      <c r="E14" s="672" t="s">
        <v>172</v>
      </c>
      <c r="F14" s="673" t="s">
        <v>172</v>
      </c>
      <c r="G14" s="674" t="s">
        <v>172</v>
      </c>
      <c r="H14" s="672" t="s">
        <v>172</v>
      </c>
      <c r="I14" s="672" t="s">
        <v>172</v>
      </c>
      <c r="J14" s="672" t="s">
        <v>172</v>
      </c>
      <c r="K14" s="672" t="s">
        <v>172</v>
      </c>
      <c r="L14" s="675" t="s">
        <v>172</v>
      </c>
      <c r="M14" s="509">
        <v>966</v>
      </c>
      <c r="N14" s="676">
        <f t="shared" ref="N14:N22" si="1">(C13+C14-10)/2</f>
        <v>10</v>
      </c>
      <c r="O14" s="677">
        <f t="shared" si="0"/>
        <v>20</v>
      </c>
      <c r="P14" s="523">
        <f t="shared" ref="P14:P22" si="2">(A14-B14)/M14</f>
        <v>0.2225672877846791</v>
      </c>
      <c r="Q14" s="514">
        <f t="shared" ref="Q14:Q22" si="3">(P14*(O14-N14))/100</f>
        <v>2.2256728778467912E-2</v>
      </c>
      <c r="R14" s="678">
        <f>SUM(Q$13:Q14)</f>
        <v>4.7619047619047623E-2</v>
      </c>
      <c r="S14" s="526">
        <f t="shared" ref="S14:S22" si="4">R14/O14*100</f>
        <v>0.23809523809523811</v>
      </c>
      <c r="T14" s="517"/>
      <c r="U14" s="527"/>
      <c r="V14" s="528"/>
      <c r="W14" s="495"/>
    </row>
    <row r="15" spans="1:24" s="481" customFormat="1">
      <c r="A15" s="507">
        <v>220</v>
      </c>
      <c r="B15" s="508">
        <v>0</v>
      </c>
      <c r="C15" s="509">
        <v>30</v>
      </c>
      <c r="D15" s="671" t="s">
        <v>172</v>
      </c>
      <c r="E15" s="672" t="s">
        <v>172</v>
      </c>
      <c r="F15" s="673" t="s">
        <v>172</v>
      </c>
      <c r="G15" s="674" t="s">
        <v>172</v>
      </c>
      <c r="H15" s="672" t="s">
        <v>172</v>
      </c>
      <c r="I15" s="672" t="s">
        <v>172</v>
      </c>
      <c r="J15" s="672" t="s">
        <v>172</v>
      </c>
      <c r="K15" s="672" t="s">
        <v>172</v>
      </c>
      <c r="L15" s="675" t="s">
        <v>172</v>
      </c>
      <c r="M15" s="509">
        <v>966</v>
      </c>
      <c r="N15" s="676">
        <f t="shared" si="1"/>
        <v>20</v>
      </c>
      <c r="O15" s="677">
        <f t="shared" si="0"/>
        <v>30</v>
      </c>
      <c r="P15" s="523">
        <f t="shared" si="2"/>
        <v>0.2277432712215321</v>
      </c>
      <c r="Q15" s="514">
        <f t="shared" si="3"/>
        <v>2.2774327122153212E-2</v>
      </c>
      <c r="R15" s="678">
        <f>SUM(Q$13:Q15)</f>
        <v>7.0393374741200831E-2</v>
      </c>
      <c r="S15" s="526">
        <f t="shared" si="4"/>
        <v>0.23464458247066944</v>
      </c>
      <c r="T15" s="517"/>
      <c r="U15" s="527"/>
      <c r="V15" s="529"/>
      <c r="W15" s="495"/>
    </row>
    <row r="16" spans="1:24" s="481" customFormat="1">
      <c r="A16" s="530">
        <v>260</v>
      </c>
      <c r="B16" s="508">
        <v>0</v>
      </c>
      <c r="C16" s="509">
        <v>40</v>
      </c>
      <c r="D16" s="671" t="s">
        <v>172</v>
      </c>
      <c r="E16" s="672" t="s">
        <v>172</v>
      </c>
      <c r="F16" s="673" t="s">
        <v>172</v>
      </c>
      <c r="G16" s="674" t="s">
        <v>172</v>
      </c>
      <c r="H16" s="672" t="s">
        <v>172</v>
      </c>
      <c r="I16" s="672" t="s">
        <v>172</v>
      </c>
      <c r="J16" s="672" t="s">
        <v>172</v>
      </c>
      <c r="K16" s="672" t="s">
        <v>172</v>
      </c>
      <c r="L16" s="675" t="s">
        <v>172</v>
      </c>
      <c r="M16" s="509">
        <v>966</v>
      </c>
      <c r="N16" s="676">
        <f t="shared" si="1"/>
        <v>30</v>
      </c>
      <c r="O16" s="677">
        <f t="shared" si="0"/>
        <v>40</v>
      </c>
      <c r="P16" s="523">
        <f t="shared" si="2"/>
        <v>0.2691511387163561</v>
      </c>
      <c r="Q16" s="514">
        <f t="shared" si="3"/>
        <v>2.6915113871635608E-2</v>
      </c>
      <c r="R16" s="678">
        <f>SUM(Q$13:Q16)</f>
        <v>9.7308488612836447E-2</v>
      </c>
      <c r="S16" s="526">
        <f t="shared" si="4"/>
        <v>0.24327122153209113</v>
      </c>
      <c r="T16" s="517"/>
      <c r="U16" s="527"/>
      <c r="V16" s="528"/>
      <c r="W16" s="495"/>
    </row>
    <row r="17" spans="1:25" s="481" customFormat="1">
      <c r="A17" s="530">
        <v>330</v>
      </c>
      <c r="B17" s="508">
        <v>0</v>
      </c>
      <c r="C17" s="509">
        <v>50</v>
      </c>
      <c r="D17" s="671" t="s">
        <v>172</v>
      </c>
      <c r="E17" s="672" t="s">
        <v>172</v>
      </c>
      <c r="F17" s="673" t="s">
        <v>172</v>
      </c>
      <c r="G17" s="674" t="s">
        <v>172</v>
      </c>
      <c r="H17" s="672" t="s">
        <v>172</v>
      </c>
      <c r="I17" s="672" t="s">
        <v>172</v>
      </c>
      <c r="J17" s="672" t="s">
        <v>172</v>
      </c>
      <c r="K17" s="672" t="s">
        <v>172</v>
      </c>
      <c r="L17" s="675" t="s">
        <v>172</v>
      </c>
      <c r="M17" s="509">
        <v>966</v>
      </c>
      <c r="N17" s="676">
        <f t="shared" si="1"/>
        <v>40</v>
      </c>
      <c r="O17" s="677">
        <f t="shared" si="0"/>
        <v>50</v>
      </c>
      <c r="P17" s="523">
        <f t="shared" si="2"/>
        <v>0.34161490683229812</v>
      </c>
      <c r="Q17" s="514">
        <f t="shared" si="3"/>
        <v>3.4161490683229809E-2</v>
      </c>
      <c r="R17" s="678">
        <f>SUM(Q$13:Q17)</f>
        <v>0.13146997929606624</v>
      </c>
      <c r="S17" s="526">
        <f t="shared" si="4"/>
        <v>0.26293995859213248</v>
      </c>
      <c r="T17" s="517" t="s">
        <v>139</v>
      </c>
      <c r="U17" s="527"/>
      <c r="V17" s="528"/>
      <c r="W17" s="487"/>
    </row>
    <row r="18" spans="1:25" s="481" customFormat="1">
      <c r="A18" s="530">
        <v>325</v>
      </c>
      <c r="B18" s="508">
        <v>0</v>
      </c>
      <c r="C18" s="509">
        <v>60</v>
      </c>
      <c r="D18" s="671" t="s">
        <v>172</v>
      </c>
      <c r="E18" s="672" t="s">
        <v>172</v>
      </c>
      <c r="F18" s="673" t="s">
        <v>172</v>
      </c>
      <c r="G18" s="674" t="s">
        <v>172</v>
      </c>
      <c r="H18" s="672" t="s">
        <v>172</v>
      </c>
      <c r="I18" s="672" t="s">
        <v>172</v>
      </c>
      <c r="J18" s="672" t="s">
        <v>172</v>
      </c>
      <c r="K18" s="672" t="s">
        <v>172</v>
      </c>
      <c r="L18" s="675" t="s">
        <v>172</v>
      </c>
      <c r="M18" s="509">
        <v>966</v>
      </c>
      <c r="N18" s="676">
        <f t="shared" si="1"/>
        <v>50</v>
      </c>
      <c r="O18" s="677">
        <f t="shared" si="0"/>
        <v>60</v>
      </c>
      <c r="P18" s="523">
        <f t="shared" si="2"/>
        <v>0.33643892339544512</v>
      </c>
      <c r="Q18" s="514">
        <f t="shared" si="3"/>
        <v>3.3643892339544512E-2</v>
      </c>
      <c r="R18" s="678">
        <f>SUM(Q$13:Q18)</f>
        <v>0.16511387163561075</v>
      </c>
      <c r="S18" s="526">
        <f t="shared" si="4"/>
        <v>0.27518978605935124</v>
      </c>
      <c r="T18" s="532"/>
      <c r="U18" s="527"/>
      <c r="V18" s="528"/>
      <c r="W18" s="487"/>
    </row>
    <row r="19" spans="1:25" s="481" customFormat="1" ht="10.15" customHeight="1">
      <c r="A19" s="530">
        <v>305</v>
      </c>
      <c r="B19" s="508">
        <v>0</v>
      </c>
      <c r="C19" s="509">
        <v>70</v>
      </c>
      <c r="D19" s="671" t="s">
        <v>172</v>
      </c>
      <c r="E19" s="672" t="s">
        <v>172</v>
      </c>
      <c r="F19" s="673" t="s">
        <v>172</v>
      </c>
      <c r="G19" s="674" t="s">
        <v>172</v>
      </c>
      <c r="H19" s="672" t="s">
        <v>172</v>
      </c>
      <c r="I19" s="672" t="s">
        <v>172</v>
      </c>
      <c r="J19" s="672" t="s">
        <v>172</v>
      </c>
      <c r="K19" s="672" t="s">
        <v>172</v>
      </c>
      <c r="L19" s="675" t="s">
        <v>172</v>
      </c>
      <c r="M19" s="509">
        <v>966</v>
      </c>
      <c r="N19" s="676">
        <f t="shared" si="1"/>
        <v>60</v>
      </c>
      <c r="O19" s="677">
        <f t="shared" si="0"/>
        <v>70</v>
      </c>
      <c r="P19" s="523">
        <f t="shared" si="2"/>
        <v>0.31573498964803315</v>
      </c>
      <c r="Q19" s="514">
        <f t="shared" si="3"/>
        <v>3.1573498964803319E-2</v>
      </c>
      <c r="R19" s="678">
        <f>SUM(Q$13:Q19)</f>
        <v>0.19668737060041408</v>
      </c>
      <c r="S19" s="526">
        <f t="shared" si="4"/>
        <v>0.28098195800059156</v>
      </c>
      <c r="T19" s="532"/>
      <c r="U19" s="527"/>
      <c r="V19" s="528"/>
      <c r="W19" s="533"/>
    </row>
    <row r="20" spans="1:25" s="481" customFormat="1">
      <c r="A20" s="530">
        <v>315</v>
      </c>
      <c r="B20" s="508">
        <v>0</v>
      </c>
      <c r="C20" s="509">
        <v>80</v>
      </c>
      <c r="D20" s="671" t="s">
        <v>172</v>
      </c>
      <c r="E20" s="672" t="s">
        <v>172</v>
      </c>
      <c r="F20" s="673" t="s">
        <v>172</v>
      </c>
      <c r="G20" s="674" t="s">
        <v>172</v>
      </c>
      <c r="H20" s="672" t="s">
        <v>172</v>
      </c>
      <c r="I20" s="672" t="s">
        <v>172</v>
      </c>
      <c r="J20" s="672" t="s">
        <v>172</v>
      </c>
      <c r="K20" s="672" t="s">
        <v>172</v>
      </c>
      <c r="L20" s="675" t="s">
        <v>172</v>
      </c>
      <c r="M20" s="509">
        <v>966</v>
      </c>
      <c r="N20" s="676">
        <f t="shared" si="1"/>
        <v>70</v>
      </c>
      <c r="O20" s="677">
        <f t="shared" si="0"/>
        <v>80</v>
      </c>
      <c r="P20" s="523">
        <f t="shared" si="2"/>
        <v>0.32608695652173914</v>
      </c>
      <c r="Q20" s="514">
        <f>(P20*(O21-N20))/100</f>
        <v>6.5217391304347838E-2</v>
      </c>
      <c r="R20" s="678">
        <f>SUM(Q$13:Q20)</f>
        <v>0.26190476190476192</v>
      </c>
      <c r="S20" s="526">
        <f t="shared" si="4"/>
        <v>0.32738095238095238</v>
      </c>
      <c r="T20" s="517"/>
      <c r="U20" s="527"/>
      <c r="V20" s="528"/>
      <c r="W20" s="534"/>
    </row>
    <row r="21" spans="1:25" s="536" customFormat="1">
      <c r="A21" s="530">
        <v>290</v>
      </c>
      <c r="B21" s="508">
        <v>0</v>
      </c>
      <c r="C21" s="509">
        <v>90</v>
      </c>
      <c r="D21" s="671" t="s">
        <v>172</v>
      </c>
      <c r="E21" s="672" t="s">
        <v>172</v>
      </c>
      <c r="F21" s="673" t="s">
        <v>172</v>
      </c>
      <c r="G21" s="674" t="s">
        <v>172</v>
      </c>
      <c r="H21" s="672" t="s">
        <v>172</v>
      </c>
      <c r="I21" s="672" t="s">
        <v>172</v>
      </c>
      <c r="J21" s="672" t="s">
        <v>172</v>
      </c>
      <c r="K21" s="672" t="s">
        <v>172</v>
      </c>
      <c r="L21" s="675" t="s">
        <v>172</v>
      </c>
      <c r="M21" s="509">
        <v>966</v>
      </c>
      <c r="N21" s="676">
        <f t="shared" si="1"/>
        <v>80</v>
      </c>
      <c r="O21" s="677">
        <f t="shared" si="0"/>
        <v>90</v>
      </c>
      <c r="P21" s="523">
        <f t="shared" si="2"/>
        <v>0.30020703933747411</v>
      </c>
      <c r="Q21" s="514">
        <f>(P21*(O22-N21))/100</f>
        <v>6.7546583850931666E-2</v>
      </c>
      <c r="R21" s="678">
        <f>SUM(Q$13:Q21)</f>
        <v>0.32945134575569357</v>
      </c>
      <c r="S21" s="526">
        <f t="shared" si="4"/>
        <v>0.36605705083965956</v>
      </c>
      <c r="T21" s="535"/>
      <c r="U21" s="527"/>
      <c r="V21" s="528"/>
      <c r="W21" s="534"/>
    </row>
    <row r="22" spans="1:25" s="536" customFormat="1">
      <c r="A22" s="530">
        <v>310</v>
      </c>
      <c r="B22" s="508">
        <v>0</v>
      </c>
      <c r="C22" s="509">
        <v>100</v>
      </c>
      <c r="D22" s="671" t="s">
        <v>172</v>
      </c>
      <c r="E22" s="672" t="s">
        <v>172</v>
      </c>
      <c r="F22" s="673" t="s">
        <v>172</v>
      </c>
      <c r="G22" s="674" t="s">
        <v>172</v>
      </c>
      <c r="H22" s="672" t="s">
        <v>172</v>
      </c>
      <c r="I22" s="672" t="s">
        <v>172</v>
      </c>
      <c r="J22" s="672" t="s">
        <v>172</v>
      </c>
      <c r="K22" s="672" t="s">
        <v>172</v>
      </c>
      <c r="L22" s="675" t="s">
        <v>172</v>
      </c>
      <c r="M22" s="509">
        <v>966</v>
      </c>
      <c r="N22" s="676">
        <f t="shared" si="1"/>
        <v>90</v>
      </c>
      <c r="O22" s="677">
        <f>(C22+C25-G25)/2</f>
        <v>102.5</v>
      </c>
      <c r="P22" s="523">
        <f t="shared" si="2"/>
        <v>0.32091097308488614</v>
      </c>
      <c r="Q22" s="514">
        <f t="shared" si="3"/>
        <v>4.0113871635610768E-2</v>
      </c>
      <c r="R22" s="678">
        <f>SUM(Q$13:Q22)</f>
        <v>0.36956521739130432</v>
      </c>
      <c r="S22" s="526">
        <f t="shared" si="4"/>
        <v>0.36055143160127251</v>
      </c>
      <c r="T22" s="543"/>
      <c r="U22" s="527"/>
      <c r="V22" s="537"/>
      <c r="W22" s="534"/>
    </row>
    <row r="23" spans="1:25" s="536" customFormat="1" ht="12" thickBot="1">
      <c r="A23" s="679"/>
      <c r="B23" s="680"/>
      <c r="C23" s="681"/>
      <c r="D23" s="682"/>
      <c r="E23" s="681"/>
      <c r="F23" s="683"/>
      <c r="G23" s="684"/>
      <c r="H23" s="681"/>
      <c r="I23" s="681"/>
      <c r="J23" s="681"/>
      <c r="K23" s="681"/>
      <c r="L23" s="685"/>
      <c r="M23" s="681"/>
      <c r="N23" s="686"/>
      <c r="O23" s="687"/>
      <c r="P23" s="688"/>
      <c r="Q23" s="689"/>
      <c r="R23" s="690"/>
      <c r="S23" s="691"/>
      <c r="T23" s="692"/>
      <c r="U23" s="527"/>
      <c r="V23" s="539"/>
      <c r="W23" s="540"/>
    </row>
    <row r="24" spans="1:25" s="536" customFormat="1">
      <c r="A24" s="693" t="s">
        <v>173</v>
      </c>
      <c r="B24" s="508"/>
      <c r="C24" s="509"/>
      <c r="D24" s="694"/>
      <c r="E24" s="509"/>
      <c r="F24" s="695"/>
      <c r="G24" s="696"/>
      <c r="H24" s="509"/>
      <c r="I24" s="509"/>
      <c r="J24" s="509"/>
      <c r="K24" s="509"/>
      <c r="L24" s="697"/>
      <c r="M24" s="509"/>
      <c r="N24" s="676"/>
      <c r="O24" s="677"/>
      <c r="P24" s="523"/>
      <c r="Q24" s="514"/>
      <c r="R24" s="678"/>
      <c r="S24" s="526"/>
      <c r="T24" s="543"/>
      <c r="U24" s="527"/>
      <c r="V24" s="539"/>
      <c r="W24" s="540"/>
    </row>
    <row r="25" spans="1:25" s="536" customFormat="1">
      <c r="A25" s="530">
        <v>980</v>
      </c>
      <c r="B25" s="508">
        <v>0</v>
      </c>
      <c r="C25" s="509">
        <v>195</v>
      </c>
      <c r="D25" s="698">
        <v>90</v>
      </c>
      <c r="E25" s="699"/>
      <c r="F25" s="700"/>
      <c r="G25" s="701">
        <f t="shared" ref="G25:G35" si="5">AVERAGE(D25:F25)</f>
        <v>90</v>
      </c>
      <c r="H25" s="699">
        <v>5.7</v>
      </c>
      <c r="I25" s="699"/>
      <c r="J25" s="699"/>
      <c r="K25" s="699"/>
      <c r="L25" s="702">
        <f t="shared" ref="L25:L35" si="6">AVERAGE(H25:K25)</f>
        <v>5.7</v>
      </c>
      <c r="M25" s="509">
        <f>G25*    PI()* (L25/2)^2</f>
        <v>2296.5827695904786</v>
      </c>
      <c r="N25" s="676">
        <f>(C22+C25-G25)/2</f>
        <v>102.5</v>
      </c>
      <c r="O25" s="677">
        <f>(C25+C26-G26)/2</f>
        <v>194</v>
      </c>
      <c r="P25" s="523">
        <f>(A25-B25)/M25</f>
        <v>0.42672095818900152</v>
      </c>
      <c r="Q25" s="514">
        <f t="shared" ref="Q25:Q35" si="7">(P25*(O25-N25))/100</f>
        <v>0.3904496767429364</v>
      </c>
      <c r="R25" s="678">
        <f>SUM(Q$13:Q25)</f>
        <v>0.76001489413424073</v>
      </c>
      <c r="S25" s="526">
        <f t="shared" ref="S25:S35" si="8">R25/O25*100</f>
        <v>0.3917602547083715</v>
      </c>
      <c r="T25" s="543"/>
      <c r="U25" s="527"/>
      <c r="V25" s="539"/>
      <c r="W25" s="540"/>
    </row>
    <row r="26" spans="1:25" s="536" customFormat="1">
      <c r="A26" s="530">
        <v>380</v>
      </c>
      <c r="B26" s="508">
        <v>0</v>
      </c>
      <c r="C26" s="509">
        <f t="shared" ref="C26:C32" si="9">C27-D27</f>
        <v>224</v>
      </c>
      <c r="D26" s="698">
        <v>31</v>
      </c>
      <c r="E26" s="699"/>
      <c r="F26" s="700"/>
      <c r="G26" s="701">
        <f t="shared" si="5"/>
        <v>31</v>
      </c>
      <c r="H26" s="699">
        <v>5.7</v>
      </c>
      <c r="I26" s="699"/>
      <c r="J26" s="699"/>
      <c r="K26" s="699"/>
      <c r="L26" s="702">
        <f t="shared" si="6"/>
        <v>5.7</v>
      </c>
      <c r="M26" s="509">
        <f t="shared" ref="M26:M35" si="10">G26*    PI()* (L26/2)^2</f>
        <v>791.0451761922759</v>
      </c>
      <c r="N26" s="676">
        <f>(C25+C26-G26)/2</f>
        <v>194</v>
      </c>
      <c r="O26" s="677">
        <f>(C26+C27-G27)/2</f>
        <v>224</v>
      </c>
      <c r="P26" s="523">
        <f>(A26-B26)/M26</f>
        <v>0.48037711553863904</v>
      </c>
      <c r="Q26" s="514">
        <f t="shared" si="7"/>
        <v>0.1441131346615917</v>
      </c>
      <c r="R26" s="678">
        <f>SUM(Q$13:Q26)</f>
        <v>0.90412802879583243</v>
      </c>
      <c r="S26" s="526">
        <f t="shared" si="8"/>
        <v>0.40362858428385373</v>
      </c>
      <c r="T26" s="543"/>
      <c r="U26" s="527"/>
      <c r="V26" s="528"/>
      <c r="W26" s="540"/>
    </row>
    <row r="27" spans="1:25" s="536" customFormat="1">
      <c r="A27" s="530">
        <v>415</v>
      </c>
      <c r="B27" s="508">
        <v>0</v>
      </c>
      <c r="C27" s="509">
        <v>259</v>
      </c>
      <c r="D27" s="698">
        <v>35</v>
      </c>
      <c r="E27" s="699"/>
      <c r="F27" s="700"/>
      <c r="G27" s="701">
        <f t="shared" si="5"/>
        <v>35</v>
      </c>
      <c r="H27" s="699">
        <v>5.7</v>
      </c>
      <c r="I27" s="699"/>
      <c r="J27" s="699"/>
      <c r="K27" s="699"/>
      <c r="L27" s="702">
        <f t="shared" si="6"/>
        <v>5.7</v>
      </c>
      <c r="M27" s="509">
        <f t="shared" si="10"/>
        <v>893.11552150740829</v>
      </c>
      <c r="N27" s="676">
        <f t="shared" ref="N27:N35" si="11">(C26+C27-G27)/2</f>
        <v>224</v>
      </c>
      <c r="O27" s="677">
        <f t="shared" ref="O27:O34" si="12">(C27+C28-G28)/2</f>
        <v>255</v>
      </c>
      <c r="P27" s="523">
        <f t="shared" ref="P27:P35" si="13">(A27-B27)/M27</f>
        <v>0.46466553318831511</v>
      </c>
      <c r="Q27" s="514">
        <f t="shared" si="7"/>
        <v>0.14404631528837769</v>
      </c>
      <c r="R27" s="678">
        <f>SUM(Q$13:Q27)</f>
        <v>1.0481743440842102</v>
      </c>
      <c r="S27" s="526">
        <f t="shared" si="8"/>
        <v>0.41104876238596477</v>
      </c>
      <c r="T27" s="543"/>
      <c r="U27" s="527"/>
      <c r="V27" s="528"/>
      <c r="W27" s="540"/>
    </row>
    <row r="28" spans="1:25" s="536" customFormat="1">
      <c r="A28" s="530">
        <v>485</v>
      </c>
      <c r="B28" s="508">
        <v>0</v>
      </c>
      <c r="C28" s="509">
        <f t="shared" si="9"/>
        <v>291</v>
      </c>
      <c r="D28" s="698">
        <v>40</v>
      </c>
      <c r="E28" s="699"/>
      <c r="F28" s="700"/>
      <c r="G28" s="701">
        <f t="shared" si="5"/>
        <v>40</v>
      </c>
      <c r="H28" s="699">
        <v>5.7</v>
      </c>
      <c r="I28" s="699"/>
      <c r="J28" s="699"/>
      <c r="K28" s="699"/>
      <c r="L28" s="702">
        <f t="shared" si="6"/>
        <v>5.7</v>
      </c>
      <c r="M28" s="509">
        <f t="shared" si="10"/>
        <v>1020.7034531513239</v>
      </c>
      <c r="N28" s="676">
        <f t="shared" si="11"/>
        <v>255</v>
      </c>
      <c r="O28" s="677">
        <f t="shared" si="12"/>
        <v>291</v>
      </c>
      <c r="P28" s="523">
        <f t="shared" si="13"/>
        <v>0.47516249553443668</v>
      </c>
      <c r="Q28" s="514">
        <f t="shared" si="7"/>
        <v>0.1710584983923972</v>
      </c>
      <c r="R28" s="678">
        <f>SUM(Q$13:Q28)</f>
        <v>1.2192328424766075</v>
      </c>
      <c r="S28" s="526">
        <f t="shared" si="8"/>
        <v>0.41898035823938407</v>
      </c>
      <c r="T28" s="543"/>
      <c r="U28" s="527"/>
      <c r="V28" s="528"/>
      <c r="W28" s="540"/>
    </row>
    <row r="29" spans="1:25">
      <c r="A29" s="530">
        <v>590</v>
      </c>
      <c r="B29" s="508">
        <v>0</v>
      </c>
      <c r="C29" s="509">
        <v>338</v>
      </c>
      <c r="D29" s="698">
        <v>47</v>
      </c>
      <c r="E29" s="699"/>
      <c r="F29" s="700"/>
      <c r="G29" s="701">
        <f t="shared" si="5"/>
        <v>47</v>
      </c>
      <c r="H29" s="699">
        <v>5.7</v>
      </c>
      <c r="I29" s="699"/>
      <c r="J29" s="699"/>
      <c r="K29" s="699"/>
      <c r="L29" s="702">
        <f t="shared" si="6"/>
        <v>5.7</v>
      </c>
      <c r="M29" s="509">
        <f t="shared" si="10"/>
        <v>1199.3265574528057</v>
      </c>
      <c r="N29" s="676">
        <f t="shared" si="11"/>
        <v>291</v>
      </c>
      <c r="O29" s="677">
        <f t="shared" si="12"/>
        <v>341</v>
      </c>
      <c r="P29" s="523">
        <f t="shared" si="13"/>
        <v>0.49194274597993876</v>
      </c>
      <c r="Q29" s="514">
        <f t="shared" si="7"/>
        <v>0.24597137298996938</v>
      </c>
      <c r="R29" s="678">
        <f>SUM(Q$13:Q29)</f>
        <v>1.4652042154665768</v>
      </c>
      <c r="S29" s="526">
        <f t="shared" si="8"/>
        <v>0.42967865556204599</v>
      </c>
      <c r="T29" s="543"/>
      <c r="U29" s="527"/>
      <c r="V29" s="528"/>
      <c r="W29" s="540"/>
      <c r="X29" s="536"/>
      <c r="Y29" s="536"/>
    </row>
    <row r="30" spans="1:25">
      <c r="A30" s="530">
        <v>410</v>
      </c>
      <c r="B30" s="508">
        <v>0</v>
      </c>
      <c r="C30" s="509">
        <f t="shared" si="9"/>
        <v>376</v>
      </c>
      <c r="D30" s="698">
        <v>32</v>
      </c>
      <c r="E30" s="699"/>
      <c r="F30" s="700"/>
      <c r="G30" s="701">
        <f t="shared" si="5"/>
        <v>32</v>
      </c>
      <c r="H30" s="699">
        <v>5.7</v>
      </c>
      <c r="I30" s="699"/>
      <c r="J30" s="699"/>
      <c r="K30" s="699"/>
      <c r="L30" s="702">
        <f t="shared" si="6"/>
        <v>5.7</v>
      </c>
      <c r="M30" s="509">
        <f t="shared" si="10"/>
        <v>816.56276252105908</v>
      </c>
      <c r="N30" s="676">
        <f t="shared" si="11"/>
        <v>341</v>
      </c>
      <c r="O30" s="677">
        <f t="shared" si="12"/>
        <v>376</v>
      </c>
      <c r="P30" s="523">
        <f t="shared" si="13"/>
        <v>0.50210469888948206</v>
      </c>
      <c r="Q30" s="514">
        <f t="shared" si="7"/>
        <v>0.17573664461131874</v>
      </c>
      <c r="R30" s="678">
        <f>SUM(Q$13:Q30)</f>
        <v>1.6409408600778954</v>
      </c>
      <c r="S30" s="526">
        <f t="shared" si="8"/>
        <v>0.43642044151007853</v>
      </c>
      <c r="T30" s="543" t="s">
        <v>184</v>
      </c>
      <c r="U30" s="527"/>
      <c r="V30" s="528"/>
      <c r="W30" s="540"/>
      <c r="X30" s="536"/>
      <c r="Y30" s="536"/>
    </row>
    <row r="31" spans="1:25">
      <c r="A31" s="530">
        <v>510</v>
      </c>
      <c r="B31" s="508">
        <v>0</v>
      </c>
      <c r="C31" s="509">
        <v>414</v>
      </c>
      <c r="D31" s="698">
        <v>38</v>
      </c>
      <c r="E31" s="699"/>
      <c r="F31" s="700"/>
      <c r="G31" s="701">
        <f t="shared" si="5"/>
        <v>38</v>
      </c>
      <c r="H31" s="699">
        <v>5.7</v>
      </c>
      <c r="I31" s="699"/>
      <c r="J31" s="699"/>
      <c r="K31" s="699"/>
      <c r="L31" s="702">
        <f t="shared" si="6"/>
        <v>5.7</v>
      </c>
      <c r="M31" s="509">
        <f t="shared" si="10"/>
        <v>969.66828049375761</v>
      </c>
      <c r="N31" s="676">
        <f t="shared" si="11"/>
        <v>376</v>
      </c>
      <c r="O31" s="677">
        <f t="shared" si="12"/>
        <v>412</v>
      </c>
      <c r="P31" s="523">
        <f t="shared" si="13"/>
        <v>0.52595306071093373</v>
      </c>
      <c r="Q31" s="514">
        <f t="shared" si="7"/>
        <v>0.18934310185593614</v>
      </c>
      <c r="R31" s="678">
        <f>SUM(Q$13:Q31)</f>
        <v>1.8302839619338316</v>
      </c>
      <c r="S31" s="526">
        <f t="shared" si="8"/>
        <v>0.44424368008102705</v>
      </c>
      <c r="T31" s="543"/>
      <c r="U31" s="527"/>
      <c r="V31" s="528"/>
      <c r="W31" s="540"/>
      <c r="X31" s="536"/>
      <c r="Y31" s="536"/>
    </row>
    <row r="32" spans="1:25">
      <c r="A32" s="530">
        <v>530</v>
      </c>
      <c r="B32" s="508">
        <v>0</v>
      </c>
      <c r="C32" s="509">
        <f t="shared" si="9"/>
        <v>448</v>
      </c>
      <c r="D32" s="698">
        <v>38</v>
      </c>
      <c r="E32" s="699"/>
      <c r="F32" s="700"/>
      <c r="G32" s="701">
        <f t="shared" si="5"/>
        <v>38</v>
      </c>
      <c r="H32" s="699">
        <v>5.7</v>
      </c>
      <c r="I32" s="699"/>
      <c r="J32" s="699"/>
      <c r="K32" s="699"/>
      <c r="L32" s="702">
        <f t="shared" si="6"/>
        <v>5.7</v>
      </c>
      <c r="M32" s="509">
        <f t="shared" si="10"/>
        <v>969.66828049375761</v>
      </c>
      <c r="N32" s="676">
        <f t="shared" si="11"/>
        <v>412</v>
      </c>
      <c r="O32" s="677">
        <f t="shared" si="12"/>
        <v>448</v>
      </c>
      <c r="P32" s="523">
        <f t="shared" si="13"/>
        <v>0.54657867093489187</v>
      </c>
      <c r="Q32" s="514">
        <f t="shared" si="7"/>
        <v>0.19676832153656107</v>
      </c>
      <c r="R32" s="678">
        <f>SUM(Q$13:Q32)</f>
        <v>2.0270522834703928</v>
      </c>
      <c r="S32" s="526">
        <f t="shared" si="8"/>
        <v>0.45246702756035551</v>
      </c>
      <c r="T32" s="543" t="s">
        <v>183</v>
      </c>
      <c r="U32" s="527"/>
      <c r="V32" s="528"/>
      <c r="W32" s="540"/>
      <c r="X32" s="536"/>
      <c r="Y32" s="536"/>
    </row>
    <row r="33" spans="1:26" ht="12" thickBot="1">
      <c r="A33" s="530">
        <v>680</v>
      </c>
      <c r="B33" s="508">
        <v>0</v>
      </c>
      <c r="C33" s="509">
        <v>492</v>
      </c>
      <c r="D33" s="698">
        <v>44</v>
      </c>
      <c r="E33" s="699"/>
      <c r="F33" s="700"/>
      <c r="G33" s="701">
        <f t="shared" si="5"/>
        <v>44</v>
      </c>
      <c r="H33" s="699">
        <v>5.7</v>
      </c>
      <c r="I33" s="699"/>
      <c r="J33" s="699"/>
      <c r="K33" s="699"/>
      <c r="L33" s="702">
        <f t="shared" si="6"/>
        <v>5.7</v>
      </c>
      <c r="M33" s="509">
        <f t="shared" si="10"/>
        <v>1122.7737984664561</v>
      </c>
      <c r="N33" s="676">
        <f t="shared" si="11"/>
        <v>448</v>
      </c>
      <c r="O33" s="677">
        <f t="shared" si="12"/>
        <v>495</v>
      </c>
      <c r="P33" s="523">
        <f t="shared" si="13"/>
        <v>0.60564291839440854</v>
      </c>
      <c r="Q33" s="514">
        <f t="shared" si="7"/>
        <v>0.28465217164537199</v>
      </c>
      <c r="R33" s="678">
        <f>SUM(Q$13:Q33)</f>
        <v>2.3117044551157648</v>
      </c>
      <c r="S33" s="526">
        <f t="shared" si="8"/>
        <v>0.46701100103348786</v>
      </c>
      <c r="T33" s="543"/>
      <c r="U33" s="527"/>
      <c r="V33" s="528"/>
      <c r="W33" s="540"/>
      <c r="X33" s="536"/>
      <c r="Y33" s="536"/>
    </row>
    <row r="34" spans="1:26">
      <c r="A34" s="530">
        <v>540</v>
      </c>
      <c r="B34" s="508">
        <v>0</v>
      </c>
      <c r="C34" s="509">
        <f>C35-D35</f>
        <v>533</v>
      </c>
      <c r="D34" s="698">
        <v>35</v>
      </c>
      <c r="E34" s="699"/>
      <c r="F34" s="700"/>
      <c r="G34" s="701">
        <f t="shared" si="5"/>
        <v>35</v>
      </c>
      <c r="H34" s="699">
        <v>5.7</v>
      </c>
      <c r="I34" s="699"/>
      <c r="J34" s="699"/>
      <c r="K34" s="699"/>
      <c r="L34" s="702">
        <f t="shared" si="6"/>
        <v>5.7</v>
      </c>
      <c r="M34" s="509">
        <f t="shared" si="10"/>
        <v>893.11552150740829</v>
      </c>
      <c r="N34" s="676">
        <f t="shared" si="11"/>
        <v>495</v>
      </c>
      <c r="O34" s="677">
        <f t="shared" si="12"/>
        <v>533</v>
      </c>
      <c r="P34" s="523">
        <f t="shared" si="13"/>
        <v>0.60462503113660282</v>
      </c>
      <c r="Q34" s="514">
        <f t="shared" si="7"/>
        <v>0.22975751183190909</v>
      </c>
      <c r="R34" s="678">
        <f>SUM(Q$13:Q34)</f>
        <v>2.5414619669476739</v>
      </c>
      <c r="S34" s="526">
        <f t="shared" si="8"/>
        <v>0.47682213263558609</v>
      </c>
      <c r="T34" s="543"/>
      <c r="U34" s="553" t="s">
        <v>140</v>
      </c>
      <c r="V34" s="554">
        <f>AVERAGE(V12:V33)</f>
        <v>448</v>
      </c>
      <c r="W34" s="544"/>
    </row>
    <row r="35" spans="1:26">
      <c r="A35" s="530">
        <v>660</v>
      </c>
      <c r="B35" s="508">
        <v>0</v>
      </c>
      <c r="C35" s="509">
        <v>577</v>
      </c>
      <c r="D35" s="698">
        <v>44</v>
      </c>
      <c r="E35" s="699"/>
      <c r="F35" s="700"/>
      <c r="G35" s="701">
        <f t="shared" si="5"/>
        <v>44</v>
      </c>
      <c r="H35" s="699">
        <v>5.7</v>
      </c>
      <c r="I35" s="699"/>
      <c r="J35" s="699"/>
      <c r="K35" s="699"/>
      <c r="L35" s="702">
        <f t="shared" si="6"/>
        <v>5.7</v>
      </c>
      <c r="M35" s="509">
        <f t="shared" si="10"/>
        <v>1122.7737984664561</v>
      </c>
      <c r="N35" s="676">
        <f t="shared" si="11"/>
        <v>533</v>
      </c>
      <c r="O35" s="677">
        <f>C35</f>
        <v>577</v>
      </c>
      <c r="P35" s="523">
        <f t="shared" si="13"/>
        <v>0.58782989138280828</v>
      </c>
      <c r="Q35" s="514">
        <f t="shared" si="7"/>
        <v>0.25864515220843565</v>
      </c>
      <c r="R35" s="678">
        <f>SUM(Q$13:Q35)</f>
        <v>2.8001071191561095</v>
      </c>
      <c r="S35" s="526">
        <f t="shared" si="8"/>
        <v>0.48528719569429979</v>
      </c>
      <c r="T35" s="543"/>
      <c r="U35" s="429" t="s">
        <v>141</v>
      </c>
      <c r="V35" s="552" t="e">
        <f>STDEV(V12:V33)</f>
        <v>#DIV/0!</v>
      </c>
      <c r="W35" s="545"/>
      <c r="X35" s="546"/>
      <c r="Y35" s="547"/>
      <c r="Z35" s="546"/>
    </row>
    <row r="36" spans="1:26">
      <c r="A36" s="555" t="s">
        <v>142</v>
      </c>
      <c r="B36" s="556"/>
      <c r="C36" s="557"/>
      <c r="D36" s="557"/>
      <c r="E36" s="557"/>
      <c r="F36" s="557"/>
      <c r="G36" s="703"/>
      <c r="H36" s="557"/>
      <c r="I36" s="557"/>
      <c r="J36" s="557"/>
      <c r="K36" s="557"/>
      <c r="L36" s="704"/>
      <c r="M36" s="557"/>
      <c r="N36" s="705"/>
      <c r="O36" s="706"/>
      <c r="P36" s="561"/>
      <c r="Q36" s="707"/>
      <c r="R36" s="708"/>
      <c r="S36" s="564"/>
      <c r="T36" s="565"/>
      <c r="U36" s="429" t="s">
        <v>143</v>
      </c>
      <c r="V36" s="552" t="e">
        <f>V35/SQRT(COUNT(V12:V33))</f>
        <v>#DIV/0!</v>
      </c>
      <c r="W36" s="545"/>
      <c r="X36" s="546"/>
      <c r="Y36" s="548"/>
      <c r="Z36" s="546"/>
    </row>
    <row r="37" spans="1:26">
      <c r="A37" s="566"/>
      <c r="B37" s="567"/>
      <c r="C37" s="568"/>
      <c r="D37" s="568"/>
      <c r="E37" s="568"/>
      <c r="F37" s="568"/>
      <c r="G37" s="709"/>
      <c r="H37" s="568"/>
      <c r="I37" s="568"/>
      <c r="J37" s="568"/>
      <c r="K37" s="568"/>
      <c r="L37" s="710"/>
      <c r="M37" s="568"/>
      <c r="N37" s="711"/>
      <c r="O37" s="712"/>
      <c r="P37" s="713"/>
      <c r="Q37" s="573"/>
      <c r="R37" s="714"/>
      <c r="S37" s="715"/>
      <c r="T37" s="576"/>
      <c r="U37" s="429" t="s">
        <v>144</v>
      </c>
      <c r="V37" s="552">
        <f>MAX(V12:V33)</f>
        <v>448</v>
      </c>
      <c r="W37" s="549"/>
      <c r="X37" s="546"/>
      <c r="Y37" s="546"/>
      <c r="Z37" s="546"/>
    </row>
    <row r="38" spans="1:26" ht="12" thickBot="1">
      <c r="A38" s="577"/>
      <c r="B38" s="578"/>
      <c r="C38" s="579"/>
      <c r="D38" s="579"/>
      <c r="E38" s="579"/>
      <c r="F38" s="579"/>
      <c r="G38" s="716"/>
      <c r="H38" s="579"/>
      <c r="I38" s="579"/>
      <c r="J38" s="579"/>
      <c r="K38" s="579"/>
      <c r="L38" s="717"/>
      <c r="M38" s="579"/>
      <c r="N38" s="718"/>
      <c r="O38" s="719"/>
      <c r="P38" s="720"/>
      <c r="Q38" s="584"/>
      <c r="R38" s="721"/>
      <c r="S38" s="722"/>
      <c r="T38" s="587"/>
      <c r="U38" s="588" t="s">
        <v>145</v>
      </c>
      <c r="V38" s="589">
        <f>MIN(V12:V33)</f>
        <v>448</v>
      </c>
      <c r="W38" s="550"/>
      <c r="X38" s="551"/>
    </row>
    <row r="39" spans="1:26">
      <c r="A39" s="590"/>
      <c r="B39" s="590"/>
      <c r="C39" s="591"/>
      <c r="D39" s="592"/>
      <c r="E39" s="592"/>
      <c r="F39" s="592"/>
      <c r="G39" s="593"/>
      <c r="H39" s="594"/>
      <c r="I39" s="595"/>
      <c r="J39" s="596"/>
      <c r="K39" s="597"/>
      <c r="L39" s="598"/>
      <c r="M39" s="484"/>
      <c r="O39" s="542"/>
      <c r="P39" s="604"/>
      <c r="W39" s="551"/>
      <c r="X39" s="551"/>
    </row>
    <row r="40" spans="1:26">
      <c r="A40" s="484"/>
      <c r="B40" s="484"/>
      <c r="C40" s="599"/>
      <c r="D40" s="599"/>
      <c r="E40" s="599"/>
      <c r="F40" s="599"/>
      <c r="G40" s="595"/>
      <c r="H40" s="594"/>
      <c r="I40" s="595"/>
      <c r="J40" s="596"/>
      <c r="K40" s="600"/>
      <c r="L40" s="598"/>
      <c r="M40" s="484"/>
      <c r="O40" s="542"/>
      <c r="P40" s="604"/>
    </row>
    <row r="41" spans="1:26">
      <c r="A41" s="601"/>
      <c r="B41" s="601"/>
      <c r="C41" s="601"/>
      <c r="D41" s="601"/>
      <c r="E41" s="596"/>
      <c r="F41" s="602"/>
      <c r="G41" s="484"/>
      <c r="H41" s="542"/>
      <c r="I41" s="484"/>
      <c r="J41" s="542"/>
      <c r="K41" s="542"/>
      <c r="L41" s="484"/>
      <c r="M41" s="484"/>
      <c r="O41" s="542"/>
      <c r="P41" s="604"/>
    </row>
    <row r="42" spans="1:26">
      <c r="A42" s="603"/>
      <c r="B42" s="603"/>
      <c r="C42" s="601"/>
      <c r="D42" s="601"/>
      <c r="E42" s="596"/>
      <c r="F42" s="602"/>
      <c r="G42" s="542"/>
      <c r="H42" s="542"/>
      <c r="I42" s="484"/>
      <c r="J42" s="542"/>
      <c r="K42" s="542"/>
      <c r="L42" s="484"/>
      <c r="M42" s="484"/>
      <c r="O42" s="542"/>
      <c r="P42" s="604"/>
    </row>
    <row r="43" spans="1:26">
      <c r="A43" s="477"/>
      <c r="B43" s="477"/>
      <c r="C43" s="601"/>
      <c r="D43" s="601"/>
      <c r="E43" s="596"/>
      <c r="F43" s="602"/>
      <c r="G43" s="542"/>
      <c r="H43" s="542"/>
      <c r="I43" s="484"/>
      <c r="J43" s="542"/>
      <c r="K43" s="542"/>
      <c r="L43" s="484"/>
      <c r="M43" s="484"/>
      <c r="O43" s="542"/>
      <c r="P43" s="604"/>
    </row>
    <row r="44" spans="1:26">
      <c r="A44" s="601"/>
      <c r="B44" s="601"/>
      <c r="C44" s="601"/>
      <c r="D44" s="601"/>
      <c r="E44" s="596"/>
      <c r="F44" s="602"/>
      <c r="G44" s="542"/>
      <c r="H44" s="542"/>
      <c r="I44" s="484"/>
      <c r="J44" s="542"/>
      <c r="K44" s="542"/>
      <c r="L44" s="484"/>
      <c r="M44" s="484"/>
      <c r="O44" s="542"/>
      <c r="P44" s="604"/>
    </row>
    <row r="45" spans="1:26">
      <c r="A45" s="601"/>
      <c r="B45" s="601"/>
      <c r="C45" s="601"/>
      <c r="D45" s="601"/>
      <c r="E45" s="596"/>
      <c r="F45" s="602"/>
      <c r="G45" s="542"/>
      <c r="H45" s="542"/>
      <c r="I45" s="484"/>
      <c r="J45" s="595"/>
      <c r="K45" s="542"/>
      <c r="L45" s="484"/>
      <c r="M45" s="484"/>
      <c r="O45" s="542"/>
      <c r="P45" s="604"/>
    </row>
    <row r="46" spans="1:26">
      <c r="A46" s="601"/>
      <c r="B46" s="601"/>
      <c r="C46" s="601"/>
      <c r="D46" s="601"/>
      <c r="E46" s="596"/>
      <c r="F46" s="602"/>
      <c r="G46" s="542"/>
      <c r="H46" s="542"/>
      <c r="I46" s="484"/>
      <c r="J46" s="595"/>
      <c r="K46" s="542"/>
      <c r="L46" s="484"/>
      <c r="M46" s="484"/>
      <c r="O46" s="542"/>
      <c r="P46" s="604"/>
    </row>
    <row r="47" spans="1:26">
      <c r="A47" s="601"/>
      <c r="B47" s="601"/>
      <c r="C47" s="601"/>
      <c r="D47" s="601"/>
      <c r="E47" s="596"/>
      <c r="F47" s="602"/>
      <c r="G47" s="542"/>
      <c r="H47" s="542"/>
      <c r="I47" s="484"/>
      <c r="J47" s="542"/>
      <c r="K47" s="542"/>
      <c r="L47" s="484"/>
      <c r="M47" s="484"/>
      <c r="O47" s="542"/>
      <c r="P47" s="604"/>
    </row>
    <row r="48" spans="1:26">
      <c r="A48" s="601"/>
      <c r="B48" s="601"/>
      <c r="C48" s="601"/>
      <c r="D48" s="601"/>
      <c r="E48" s="596"/>
      <c r="F48" s="602"/>
      <c r="G48" s="542"/>
      <c r="H48" s="542"/>
      <c r="I48" s="484"/>
      <c r="J48" s="542"/>
      <c r="K48" s="542"/>
      <c r="L48" s="484"/>
      <c r="M48" s="484"/>
      <c r="O48" s="542"/>
      <c r="P48" s="604"/>
    </row>
    <row r="49" spans="1:26">
      <c r="A49" s="601"/>
      <c r="B49" s="601"/>
      <c r="C49" s="601"/>
      <c r="D49" s="601"/>
      <c r="E49" s="596"/>
      <c r="F49" s="602"/>
      <c r="G49" s="542"/>
      <c r="H49" s="542"/>
      <c r="I49" s="484"/>
      <c r="J49" s="542"/>
      <c r="K49" s="542"/>
      <c r="L49" s="484"/>
      <c r="M49" s="484"/>
      <c r="O49" s="542"/>
      <c r="P49" s="604"/>
    </row>
    <row r="50" spans="1:26">
      <c r="A50" s="601"/>
      <c r="B50" s="601"/>
      <c r="C50" s="601"/>
      <c r="D50" s="601"/>
      <c r="E50" s="596"/>
      <c r="F50" s="602"/>
      <c r="G50" s="542"/>
      <c r="H50" s="542"/>
      <c r="I50" s="484"/>
      <c r="J50" s="542"/>
      <c r="K50" s="542"/>
      <c r="L50" s="484"/>
      <c r="M50" s="484"/>
      <c r="O50" s="542"/>
      <c r="P50" s="604"/>
    </row>
    <row r="51" spans="1:26">
      <c r="A51" s="601"/>
      <c r="B51" s="601"/>
      <c r="C51" s="601"/>
      <c r="D51" s="601"/>
      <c r="E51" s="596"/>
      <c r="F51" s="602"/>
      <c r="G51" s="542"/>
      <c r="H51" s="542"/>
      <c r="I51" s="484"/>
      <c r="J51" s="542"/>
      <c r="K51" s="542"/>
      <c r="L51" s="484"/>
      <c r="M51" s="484"/>
      <c r="O51" s="542"/>
      <c r="P51" s="604"/>
    </row>
    <row r="52" spans="1:26">
      <c r="A52" s="601"/>
      <c r="B52" s="601"/>
      <c r="C52" s="601"/>
      <c r="D52" s="601"/>
      <c r="E52" s="596"/>
      <c r="F52" s="602"/>
      <c r="G52" s="542"/>
      <c r="H52" s="542"/>
      <c r="I52" s="484"/>
      <c r="J52" s="542"/>
      <c r="K52" s="542"/>
      <c r="L52" s="484"/>
      <c r="O52" s="542"/>
      <c r="P52" s="604"/>
    </row>
    <row r="53" spans="1:26">
      <c r="A53" s="601"/>
      <c r="B53" s="601"/>
      <c r="C53" s="601"/>
      <c r="D53" s="601"/>
      <c r="E53" s="596"/>
      <c r="F53" s="602"/>
      <c r="G53" s="542"/>
      <c r="H53" s="542"/>
      <c r="I53" s="484"/>
      <c r="J53" s="542"/>
      <c r="K53" s="542"/>
      <c r="L53" s="484"/>
      <c r="O53" s="542"/>
      <c r="P53" s="604"/>
    </row>
    <row r="54" spans="1:26">
      <c r="A54" s="601"/>
      <c r="B54" s="601"/>
      <c r="C54" s="601"/>
      <c r="D54" s="601"/>
      <c r="E54" s="596"/>
      <c r="F54" s="602"/>
      <c r="G54" s="542"/>
      <c r="H54" s="542"/>
      <c r="I54" s="484"/>
      <c r="J54" s="542"/>
      <c r="K54" s="542"/>
      <c r="L54" s="542"/>
      <c r="O54" s="542"/>
      <c r="P54" s="604"/>
      <c r="W54" s="484"/>
      <c r="X54" s="484"/>
    </row>
    <row r="55" spans="1:26">
      <c r="A55" s="601"/>
      <c r="B55" s="601"/>
      <c r="C55" s="601"/>
      <c r="D55" s="601"/>
      <c r="E55" s="596"/>
      <c r="F55" s="602"/>
      <c r="G55" s="542"/>
      <c r="H55" s="542"/>
      <c r="I55" s="484"/>
      <c r="J55" s="542"/>
      <c r="K55" s="542"/>
      <c r="L55" s="542"/>
      <c r="O55" s="542"/>
      <c r="P55" s="604"/>
      <c r="W55" s="550"/>
      <c r="X55" s="484"/>
      <c r="Y55" s="484"/>
      <c r="Z55" s="484"/>
    </row>
    <row r="56" spans="1:26">
      <c r="A56" s="601"/>
      <c r="B56" s="601"/>
      <c r="C56" s="601"/>
      <c r="D56" s="601"/>
      <c r="E56" s="596"/>
      <c r="F56" s="602"/>
      <c r="G56" s="542"/>
      <c r="H56" s="542"/>
      <c r="I56" s="484"/>
      <c r="J56" s="542"/>
      <c r="K56" s="542"/>
      <c r="L56" s="542"/>
      <c r="O56" s="542"/>
      <c r="P56" s="604"/>
      <c r="W56" s="550"/>
    </row>
    <row r="57" spans="1:26">
      <c r="A57" s="601"/>
      <c r="B57" s="601"/>
      <c r="C57" s="601"/>
      <c r="D57" s="601"/>
      <c r="E57" s="596"/>
      <c r="F57" s="602"/>
      <c r="G57" s="542"/>
      <c r="H57" s="542"/>
      <c r="I57" s="484"/>
      <c r="J57" s="542"/>
      <c r="K57" s="542"/>
      <c r="L57" s="542"/>
      <c r="O57" s="542"/>
      <c r="P57" s="604"/>
      <c r="W57" s="484"/>
    </row>
    <row r="58" spans="1:26">
      <c r="A58" s="601"/>
      <c r="B58" s="601"/>
      <c r="C58" s="601"/>
      <c r="D58" s="601"/>
      <c r="E58" s="596"/>
      <c r="F58" s="602"/>
      <c r="G58" s="542"/>
      <c r="H58" s="542"/>
      <c r="I58" s="484"/>
      <c r="J58" s="542"/>
      <c r="K58" s="542"/>
      <c r="L58" s="542"/>
      <c r="O58" s="542"/>
      <c r="P58" s="604"/>
    </row>
    <row r="59" spans="1:26">
      <c r="A59" s="601"/>
      <c r="B59" s="601"/>
      <c r="C59" s="601"/>
      <c r="D59" s="601"/>
      <c r="E59" s="596"/>
      <c r="F59" s="602"/>
      <c r="G59" s="542"/>
      <c r="H59" s="542"/>
      <c r="I59" s="484"/>
      <c r="J59" s="542"/>
      <c r="K59" s="542"/>
      <c r="L59" s="542"/>
      <c r="O59" s="542"/>
      <c r="P59" s="604"/>
    </row>
    <row r="60" spans="1:26">
      <c r="A60" s="601"/>
      <c r="B60" s="601"/>
      <c r="C60" s="601"/>
      <c r="D60" s="601"/>
      <c r="E60" s="596"/>
      <c r="F60" s="602"/>
      <c r="G60" s="542"/>
      <c r="H60" s="542"/>
      <c r="I60" s="484"/>
      <c r="J60" s="542"/>
      <c r="K60" s="542"/>
      <c r="L60" s="542"/>
      <c r="O60" s="542"/>
      <c r="P60" s="604"/>
    </row>
    <row r="61" spans="1:26">
      <c r="A61" s="601"/>
      <c r="B61" s="601"/>
      <c r="C61" s="601"/>
      <c r="D61" s="601"/>
      <c r="E61" s="596"/>
      <c r="F61" s="602"/>
      <c r="G61" s="542"/>
      <c r="H61" s="542"/>
      <c r="I61" s="484"/>
      <c r="J61" s="542"/>
      <c r="K61" s="542"/>
      <c r="L61" s="542"/>
      <c r="O61" s="542"/>
      <c r="P61" s="604"/>
    </row>
    <row r="62" spans="1:26">
      <c r="A62" s="601"/>
      <c r="B62" s="601"/>
      <c r="C62" s="601"/>
      <c r="D62" s="601"/>
      <c r="E62" s="596"/>
      <c r="F62" s="602"/>
      <c r="G62" s="542"/>
      <c r="H62" s="542"/>
      <c r="I62" s="484"/>
      <c r="J62" s="542"/>
      <c r="K62" s="542"/>
      <c r="L62" s="542"/>
      <c r="O62" s="542"/>
      <c r="P62" s="604"/>
    </row>
    <row r="63" spans="1:26">
      <c r="A63" s="601"/>
      <c r="B63" s="601"/>
      <c r="C63" s="601"/>
      <c r="D63" s="601"/>
      <c r="E63" s="596"/>
      <c r="F63" s="602"/>
      <c r="G63" s="542"/>
      <c r="H63" s="542"/>
      <c r="I63" s="484"/>
      <c r="J63" s="542"/>
      <c r="K63" s="542"/>
      <c r="L63" s="542"/>
      <c r="O63" s="542"/>
      <c r="P63" s="604"/>
    </row>
    <row r="64" spans="1:26">
      <c r="A64" s="601"/>
      <c r="B64" s="601"/>
      <c r="C64" s="601"/>
      <c r="D64" s="601"/>
      <c r="E64" s="596"/>
      <c r="F64" s="602"/>
      <c r="G64" s="542"/>
      <c r="H64" s="542"/>
      <c r="I64" s="484"/>
      <c r="J64" s="542"/>
      <c r="K64" s="542"/>
      <c r="L64" s="542"/>
      <c r="O64" s="542"/>
      <c r="P64" s="604"/>
    </row>
    <row r="65" spans="1:22">
      <c r="A65" s="601"/>
      <c r="B65" s="601"/>
      <c r="C65" s="601"/>
      <c r="D65" s="601"/>
      <c r="E65" s="596"/>
      <c r="F65" s="602"/>
      <c r="G65" s="604"/>
      <c r="H65" s="542"/>
      <c r="I65" s="484"/>
      <c r="J65" s="542"/>
      <c r="K65" s="542"/>
      <c r="L65" s="542"/>
      <c r="O65" s="542"/>
      <c r="P65" s="604"/>
    </row>
    <row r="66" spans="1:22">
      <c r="A66" s="601"/>
      <c r="B66" s="601"/>
      <c r="C66" s="601"/>
      <c r="D66" s="601"/>
      <c r="E66" s="596"/>
      <c r="F66" s="602"/>
      <c r="G66" s="604"/>
      <c r="H66" s="542"/>
      <c r="I66" s="484"/>
      <c r="J66" s="542"/>
      <c r="K66" s="542"/>
      <c r="L66" s="542"/>
      <c r="O66" s="542"/>
      <c r="P66" s="604"/>
    </row>
    <row r="67" spans="1:22">
      <c r="A67" s="601"/>
      <c r="B67" s="601"/>
      <c r="C67" s="601"/>
      <c r="D67" s="601"/>
      <c r="E67" s="596"/>
      <c r="F67" s="602"/>
      <c r="G67" s="604"/>
      <c r="H67" s="542"/>
      <c r="I67" s="484"/>
      <c r="J67" s="542"/>
      <c r="K67" s="542"/>
      <c r="L67" s="542"/>
      <c r="O67" s="542"/>
      <c r="P67" s="604"/>
    </row>
    <row r="68" spans="1:22">
      <c r="A68" s="601"/>
      <c r="B68" s="601"/>
      <c r="C68" s="601"/>
      <c r="D68" s="601"/>
      <c r="E68" s="596"/>
      <c r="F68" s="602"/>
      <c r="G68" s="604"/>
      <c r="H68" s="542"/>
      <c r="I68" s="484"/>
      <c r="J68" s="542"/>
      <c r="K68" s="542"/>
      <c r="L68" s="542"/>
      <c r="O68" s="542"/>
      <c r="P68" s="604"/>
    </row>
    <row r="69" spans="1:22">
      <c r="A69" s="601"/>
      <c r="B69" s="601"/>
      <c r="C69" s="601"/>
      <c r="D69" s="601"/>
      <c r="E69" s="596"/>
      <c r="F69" s="602"/>
      <c r="G69" s="542"/>
      <c r="H69" s="542"/>
      <c r="I69" s="484"/>
      <c r="J69" s="542"/>
      <c r="K69" s="542"/>
      <c r="L69" s="542"/>
      <c r="O69" s="542"/>
      <c r="P69" s="604"/>
    </row>
    <row r="70" spans="1:22">
      <c r="A70" s="601"/>
      <c r="B70" s="601"/>
      <c r="C70" s="601"/>
      <c r="D70" s="601"/>
      <c r="E70" s="596"/>
      <c r="F70" s="602"/>
      <c r="G70" s="542"/>
      <c r="H70" s="542"/>
      <c r="I70" s="484"/>
      <c r="J70" s="542"/>
      <c r="K70" s="542"/>
      <c r="L70" s="542"/>
      <c r="O70" s="542"/>
      <c r="P70" s="604"/>
    </row>
    <row r="71" spans="1:22">
      <c r="A71" s="601"/>
      <c r="B71" s="601"/>
      <c r="C71" s="601"/>
      <c r="D71" s="601"/>
      <c r="E71" s="596"/>
      <c r="F71" s="602"/>
      <c r="G71" s="542"/>
      <c r="H71" s="542"/>
      <c r="I71" s="484"/>
      <c r="J71" s="542"/>
      <c r="K71" s="542"/>
      <c r="L71" s="542"/>
      <c r="O71" s="542"/>
      <c r="P71" s="604"/>
      <c r="R71" s="606"/>
      <c r="S71" s="606"/>
      <c r="T71" s="601"/>
      <c r="U71" s="601"/>
      <c r="V71" s="601"/>
    </row>
    <row r="72" spans="1:22">
      <c r="A72" s="601"/>
      <c r="B72" s="601"/>
      <c r="C72" s="601"/>
      <c r="D72" s="601"/>
      <c r="E72" s="596"/>
      <c r="F72" s="602"/>
      <c r="G72" s="542"/>
      <c r="H72" s="542"/>
      <c r="I72" s="484"/>
      <c r="J72" s="542"/>
      <c r="K72" s="542"/>
      <c r="L72" s="542"/>
      <c r="O72" s="542"/>
      <c r="P72" s="604"/>
      <c r="R72" s="606"/>
      <c r="S72" s="606"/>
      <c r="T72" s="601"/>
      <c r="U72" s="601"/>
      <c r="V72" s="601"/>
    </row>
    <row r="73" spans="1:22">
      <c r="A73" s="601"/>
      <c r="B73" s="601"/>
      <c r="C73" s="601"/>
      <c r="D73" s="601"/>
      <c r="E73" s="596"/>
      <c r="F73" s="602"/>
      <c r="G73" s="542"/>
      <c r="H73" s="542"/>
      <c r="I73" s="484"/>
      <c r="J73" s="542"/>
      <c r="K73" s="542"/>
      <c r="L73" s="542"/>
      <c r="O73" s="542"/>
      <c r="P73" s="604"/>
      <c r="R73" s="606"/>
      <c r="S73" s="606"/>
      <c r="T73" s="601"/>
      <c r="U73" s="601"/>
      <c r="V73" s="601"/>
    </row>
    <row r="74" spans="1:22">
      <c r="A74" s="601"/>
      <c r="B74" s="601"/>
      <c r="C74" s="601"/>
      <c r="D74" s="601"/>
      <c r="E74" s="596"/>
      <c r="F74" s="602"/>
      <c r="G74" s="542"/>
      <c r="H74" s="542"/>
      <c r="I74" s="484"/>
      <c r="J74" s="542"/>
      <c r="K74" s="542"/>
      <c r="L74" s="542"/>
      <c r="O74" s="542"/>
      <c r="P74" s="604"/>
      <c r="R74" s="606"/>
      <c r="S74" s="606"/>
      <c r="T74" s="601"/>
      <c r="U74" s="601"/>
      <c r="V74" s="601"/>
    </row>
    <row r="75" spans="1:22">
      <c r="A75" s="601"/>
      <c r="B75" s="601"/>
      <c r="C75" s="601"/>
      <c r="D75" s="601"/>
      <c r="E75" s="596"/>
      <c r="F75" s="602"/>
      <c r="G75" s="542"/>
      <c r="H75" s="542"/>
      <c r="I75" s="484"/>
      <c r="J75" s="542"/>
      <c r="K75" s="542"/>
      <c r="L75" s="542"/>
      <c r="O75" s="542"/>
      <c r="P75" s="604"/>
      <c r="R75" s="606"/>
      <c r="S75" s="606"/>
      <c r="T75" s="601"/>
      <c r="U75" s="601"/>
      <c r="V75" s="601"/>
    </row>
    <row r="76" spans="1:22">
      <c r="A76" s="601"/>
      <c r="B76" s="601"/>
      <c r="C76" s="601"/>
      <c r="D76" s="601"/>
      <c r="E76" s="596"/>
      <c r="F76" s="602"/>
      <c r="G76" s="542"/>
      <c r="H76" s="542"/>
      <c r="I76" s="484"/>
      <c r="J76" s="542"/>
      <c r="K76" s="542"/>
      <c r="L76" s="542"/>
      <c r="N76" s="601"/>
      <c r="O76" s="601"/>
      <c r="P76" s="606"/>
      <c r="Q76" s="606"/>
      <c r="R76" s="606"/>
      <c r="S76" s="606"/>
      <c r="T76" s="601"/>
      <c r="U76" s="601"/>
      <c r="V76" s="601"/>
    </row>
    <row r="77" spans="1:22">
      <c r="A77" s="601"/>
      <c r="B77" s="601"/>
      <c r="C77" s="601"/>
      <c r="D77" s="601"/>
      <c r="E77" s="596"/>
      <c r="F77" s="602"/>
      <c r="G77" s="542"/>
      <c r="H77" s="542"/>
      <c r="I77" s="484"/>
      <c r="J77" s="542"/>
      <c r="K77" s="542"/>
      <c r="L77" s="542"/>
      <c r="N77" s="601"/>
      <c r="O77" s="601"/>
      <c r="P77" s="606"/>
      <c r="Q77" s="606"/>
      <c r="R77" s="606"/>
      <c r="S77" s="606"/>
      <c r="T77" s="601"/>
      <c r="U77" s="601"/>
      <c r="V77" s="601"/>
    </row>
    <row r="78" spans="1:22">
      <c r="A78" s="601"/>
      <c r="B78" s="601"/>
      <c r="C78" s="601"/>
      <c r="D78" s="601"/>
      <c r="E78" s="596"/>
      <c r="F78" s="602"/>
      <c r="G78" s="542"/>
      <c r="H78" s="542"/>
      <c r="I78" s="484"/>
      <c r="J78" s="542"/>
      <c r="K78" s="542"/>
      <c r="L78" s="542"/>
      <c r="N78" s="601"/>
      <c r="O78" s="601"/>
      <c r="P78" s="606"/>
      <c r="Q78" s="606"/>
      <c r="R78" s="606"/>
      <c r="S78" s="606"/>
      <c r="T78" s="601"/>
      <c r="U78" s="601"/>
      <c r="V78" s="601"/>
    </row>
    <row r="79" spans="1:22">
      <c r="A79" s="601"/>
      <c r="B79" s="601"/>
      <c r="C79" s="601"/>
      <c r="D79" s="601"/>
      <c r="E79" s="596"/>
      <c r="F79" s="602"/>
      <c r="G79" s="542"/>
      <c r="H79" s="542"/>
      <c r="I79" s="484"/>
      <c r="J79" s="542"/>
      <c r="K79" s="542"/>
      <c r="L79" s="542"/>
      <c r="N79" s="601"/>
      <c r="O79" s="601"/>
      <c r="P79" s="606"/>
      <c r="Q79" s="606"/>
      <c r="R79" s="606"/>
      <c r="S79" s="606"/>
      <c r="T79" s="601"/>
      <c r="U79" s="601"/>
      <c r="V79" s="601"/>
    </row>
    <row r="80" spans="1:22">
      <c r="A80" s="601"/>
      <c r="B80" s="601"/>
      <c r="C80" s="601"/>
      <c r="D80" s="601"/>
      <c r="E80" s="596"/>
      <c r="F80" s="602"/>
      <c r="G80" s="542"/>
      <c r="H80" s="542"/>
      <c r="I80" s="484"/>
      <c r="J80" s="542"/>
      <c r="K80" s="542"/>
      <c r="L80" s="542"/>
      <c r="N80" s="601"/>
      <c r="O80" s="601"/>
      <c r="P80" s="606"/>
      <c r="Q80" s="606"/>
      <c r="R80" s="606"/>
      <c r="S80" s="606"/>
      <c r="T80" s="601"/>
      <c r="U80" s="601"/>
      <c r="V80" s="601"/>
    </row>
    <row r="81" spans="1:22">
      <c r="A81" s="601"/>
      <c r="B81" s="601"/>
      <c r="C81" s="601"/>
      <c r="D81" s="601"/>
      <c r="E81" s="596"/>
      <c r="F81" s="602"/>
      <c r="G81" s="542"/>
      <c r="H81" s="542"/>
      <c r="I81" s="484"/>
      <c r="J81" s="542"/>
      <c r="K81" s="542"/>
      <c r="L81" s="542"/>
      <c r="N81" s="601"/>
      <c r="O81" s="601"/>
      <c r="P81" s="606"/>
      <c r="Q81" s="606"/>
      <c r="R81" s="606"/>
      <c r="S81" s="606"/>
      <c r="T81" s="601"/>
      <c r="U81" s="601"/>
      <c r="V81" s="601"/>
    </row>
    <row r="82" spans="1:22">
      <c r="A82" s="601"/>
      <c r="B82" s="601"/>
      <c r="C82" s="601"/>
      <c r="D82" s="601"/>
      <c r="E82" s="596"/>
      <c r="F82" s="602"/>
      <c r="G82" s="542"/>
      <c r="H82" s="542"/>
      <c r="I82" s="484"/>
      <c r="J82" s="542"/>
      <c r="K82" s="542"/>
      <c r="L82" s="542"/>
      <c r="N82" s="601"/>
      <c r="O82" s="601"/>
      <c r="P82" s="606"/>
      <c r="Q82" s="606"/>
      <c r="R82" s="606"/>
      <c r="S82" s="606"/>
      <c r="T82" s="601"/>
      <c r="U82" s="601"/>
      <c r="V82" s="601"/>
    </row>
    <row r="83" spans="1:22">
      <c r="A83" s="601"/>
      <c r="B83" s="601"/>
      <c r="C83" s="601"/>
      <c r="D83" s="601"/>
      <c r="E83" s="596"/>
      <c r="F83" s="602"/>
      <c r="G83" s="542"/>
      <c r="H83" s="542"/>
      <c r="I83" s="484"/>
      <c r="J83" s="542"/>
      <c r="K83" s="542"/>
      <c r="L83" s="542"/>
      <c r="N83" s="601"/>
      <c r="O83" s="601"/>
      <c r="P83" s="606"/>
      <c r="Q83" s="606"/>
      <c r="R83" s="606"/>
      <c r="S83" s="606"/>
      <c r="T83" s="601"/>
      <c r="U83" s="601"/>
      <c r="V83" s="601"/>
    </row>
    <row r="84" spans="1:22">
      <c r="A84" s="601"/>
      <c r="B84" s="601"/>
      <c r="C84" s="601"/>
      <c r="D84" s="601"/>
      <c r="E84" s="596"/>
      <c r="F84" s="602"/>
      <c r="G84" s="542"/>
      <c r="H84" s="542"/>
      <c r="I84" s="484"/>
      <c r="J84" s="542"/>
      <c r="K84" s="542"/>
      <c r="L84" s="542"/>
      <c r="N84" s="601"/>
      <c r="O84" s="601"/>
      <c r="P84" s="606"/>
      <c r="Q84" s="606"/>
      <c r="R84" s="606"/>
      <c r="S84" s="606"/>
      <c r="T84" s="601"/>
      <c r="U84" s="601"/>
      <c r="V84" s="601"/>
    </row>
    <row r="85" spans="1:22">
      <c r="A85" s="601"/>
      <c r="B85" s="601"/>
      <c r="C85" s="601"/>
      <c r="D85" s="601"/>
      <c r="E85" s="596"/>
      <c r="F85" s="602"/>
      <c r="G85" s="542"/>
      <c r="H85" s="542"/>
      <c r="I85" s="484"/>
      <c r="J85" s="542"/>
      <c r="K85" s="542"/>
      <c r="L85" s="542"/>
      <c r="N85" s="601"/>
      <c r="O85" s="601"/>
      <c r="P85" s="606"/>
      <c r="Q85" s="606"/>
      <c r="R85" s="606"/>
      <c r="S85" s="606"/>
      <c r="T85" s="601"/>
      <c r="U85" s="601"/>
      <c r="V85" s="601"/>
    </row>
    <row r="86" spans="1:22">
      <c r="A86" s="601"/>
      <c r="B86" s="601"/>
      <c r="C86" s="601"/>
      <c r="D86" s="601"/>
      <c r="E86" s="596"/>
      <c r="F86" s="602"/>
      <c r="G86" s="542"/>
      <c r="H86" s="542"/>
      <c r="I86" s="484"/>
      <c r="J86" s="542"/>
      <c r="K86" s="542"/>
      <c r="L86" s="542"/>
      <c r="N86" s="601"/>
      <c r="O86" s="601"/>
      <c r="P86" s="606"/>
      <c r="Q86" s="606"/>
      <c r="R86" s="606"/>
      <c r="S86" s="606"/>
      <c r="T86" s="601"/>
      <c r="U86" s="601"/>
      <c r="V86" s="601"/>
    </row>
    <row r="87" spans="1:22">
      <c r="A87" s="601"/>
      <c r="B87" s="601"/>
      <c r="C87" s="601"/>
      <c r="D87" s="601"/>
      <c r="E87" s="596"/>
      <c r="F87" s="602"/>
      <c r="G87" s="542"/>
      <c r="H87" s="542"/>
      <c r="I87" s="484"/>
      <c r="J87" s="542"/>
      <c r="K87" s="542"/>
      <c r="L87" s="542"/>
      <c r="N87" s="601"/>
      <c r="O87" s="601"/>
      <c r="P87" s="606"/>
      <c r="Q87" s="606"/>
      <c r="R87" s="606"/>
      <c r="S87" s="606"/>
      <c r="T87" s="601"/>
      <c r="U87" s="601"/>
      <c r="V87" s="601"/>
    </row>
    <row r="88" spans="1:22">
      <c r="A88" s="601"/>
      <c r="B88" s="601"/>
      <c r="C88" s="601"/>
      <c r="D88" s="601"/>
      <c r="E88" s="596"/>
      <c r="F88" s="602"/>
      <c r="G88" s="542"/>
      <c r="H88" s="542"/>
      <c r="I88" s="484"/>
      <c r="J88" s="542"/>
      <c r="K88" s="542"/>
      <c r="L88" s="542"/>
      <c r="N88" s="601"/>
      <c r="O88" s="601"/>
      <c r="P88" s="606"/>
      <c r="Q88" s="606"/>
      <c r="R88" s="606"/>
      <c r="S88" s="606"/>
      <c r="T88" s="601"/>
      <c r="U88" s="601"/>
      <c r="V88" s="601"/>
    </row>
    <row r="89" spans="1:22">
      <c r="A89" s="601"/>
      <c r="B89" s="601"/>
      <c r="C89" s="601"/>
      <c r="D89" s="601"/>
      <c r="E89" s="596"/>
      <c r="F89" s="602"/>
      <c r="G89" s="542"/>
      <c r="H89" s="542"/>
      <c r="I89" s="484"/>
      <c r="J89" s="542"/>
      <c r="K89" s="542"/>
      <c r="L89" s="542"/>
      <c r="N89" s="601"/>
      <c r="O89" s="601"/>
      <c r="P89" s="606"/>
      <c r="Q89" s="606"/>
      <c r="R89" s="606"/>
      <c r="S89" s="606"/>
      <c r="T89" s="601"/>
      <c r="U89" s="601"/>
      <c r="V89" s="601"/>
    </row>
    <row r="90" spans="1:22" s="601" customFormat="1">
      <c r="E90" s="596"/>
      <c r="F90" s="602"/>
      <c r="G90" s="542"/>
      <c r="H90" s="542"/>
      <c r="I90" s="484"/>
      <c r="J90" s="542"/>
      <c r="K90" s="542"/>
      <c r="L90" s="542"/>
      <c r="M90" s="542"/>
      <c r="P90" s="606"/>
      <c r="Q90" s="606"/>
      <c r="R90" s="606"/>
      <c r="S90" s="606"/>
    </row>
    <row r="91" spans="1:22" s="601" customFormat="1">
      <c r="E91" s="596"/>
      <c r="F91" s="602"/>
      <c r="G91" s="542"/>
      <c r="H91" s="542"/>
      <c r="I91" s="484"/>
      <c r="J91" s="542"/>
      <c r="K91" s="542"/>
      <c r="L91" s="542"/>
      <c r="P91" s="606"/>
      <c r="Q91" s="606"/>
      <c r="R91" s="606"/>
      <c r="S91" s="606"/>
    </row>
    <row r="92" spans="1:22" s="601" customFormat="1">
      <c r="E92" s="596"/>
      <c r="F92" s="602"/>
      <c r="G92" s="542"/>
      <c r="H92" s="542"/>
      <c r="I92" s="484"/>
      <c r="J92" s="542"/>
      <c r="K92" s="542"/>
      <c r="L92" s="542"/>
      <c r="P92" s="606"/>
      <c r="Q92" s="606"/>
      <c r="R92" s="606"/>
      <c r="S92" s="606"/>
    </row>
    <row r="93" spans="1:22" s="601" customFormat="1">
      <c r="E93" s="596"/>
      <c r="F93" s="602"/>
      <c r="G93" s="542"/>
      <c r="H93" s="542"/>
      <c r="I93" s="484"/>
      <c r="J93" s="542"/>
      <c r="K93" s="542"/>
      <c r="L93" s="542"/>
      <c r="P93" s="606"/>
      <c r="Q93" s="606"/>
      <c r="R93" s="606"/>
      <c r="S93" s="606"/>
    </row>
    <row r="94" spans="1:22" s="601" customFormat="1">
      <c r="E94" s="596"/>
      <c r="F94" s="602"/>
      <c r="G94" s="542"/>
      <c r="H94" s="542"/>
      <c r="I94" s="484"/>
      <c r="J94" s="542"/>
      <c r="K94" s="542"/>
      <c r="L94" s="542"/>
      <c r="P94" s="606"/>
      <c r="Q94" s="606"/>
      <c r="R94" s="606"/>
      <c r="S94" s="606"/>
    </row>
    <row r="95" spans="1:22" s="601" customFormat="1">
      <c r="E95" s="596"/>
      <c r="F95" s="602"/>
      <c r="G95" s="542"/>
      <c r="H95" s="542"/>
      <c r="I95" s="484"/>
      <c r="J95" s="542"/>
      <c r="K95" s="542"/>
      <c r="L95" s="542"/>
      <c r="P95" s="606"/>
      <c r="Q95" s="606"/>
      <c r="R95" s="606"/>
      <c r="S95" s="606"/>
    </row>
    <row r="96" spans="1:22" s="601" customFormat="1">
      <c r="E96" s="596"/>
      <c r="F96" s="602"/>
      <c r="G96" s="542"/>
      <c r="H96" s="542"/>
      <c r="I96" s="484"/>
      <c r="J96" s="542"/>
      <c r="K96" s="542"/>
      <c r="L96" s="542"/>
      <c r="P96" s="606"/>
      <c r="Q96" s="606"/>
      <c r="R96" s="606"/>
      <c r="S96" s="606"/>
    </row>
    <row r="97" spans="5:19" s="601" customFormat="1">
      <c r="E97" s="596"/>
      <c r="F97" s="602"/>
      <c r="G97" s="542"/>
      <c r="H97" s="542"/>
      <c r="I97" s="484"/>
      <c r="J97" s="542"/>
      <c r="K97" s="542"/>
      <c r="L97" s="542"/>
      <c r="P97" s="606"/>
      <c r="Q97" s="606"/>
      <c r="R97" s="606"/>
      <c r="S97" s="606"/>
    </row>
    <row r="98" spans="5:19" s="601" customFormat="1">
      <c r="E98" s="596"/>
      <c r="F98" s="602"/>
      <c r="G98" s="542"/>
      <c r="H98" s="542"/>
      <c r="I98" s="484"/>
      <c r="J98" s="542"/>
      <c r="K98" s="542"/>
      <c r="L98" s="542"/>
      <c r="P98" s="606"/>
      <c r="Q98" s="606"/>
      <c r="R98" s="606"/>
      <c r="S98" s="606"/>
    </row>
    <row r="99" spans="5:19" s="601" customFormat="1">
      <c r="E99" s="596"/>
      <c r="F99" s="602"/>
      <c r="G99" s="542"/>
      <c r="H99" s="542"/>
      <c r="I99" s="484"/>
      <c r="J99" s="542"/>
      <c r="K99" s="542"/>
      <c r="L99" s="542"/>
      <c r="P99" s="606"/>
      <c r="Q99" s="606"/>
      <c r="R99" s="606"/>
      <c r="S99" s="606"/>
    </row>
    <row r="100" spans="5:19" s="601" customFormat="1">
      <c r="E100" s="596"/>
      <c r="F100" s="602"/>
      <c r="G100" s="542"/>
      <c r="H100" s="542"/>
      <c r="I100" s="484"/>
      <c r="J100" s="542"/>
      <c r="K100" s="542"/>
      <c r="L100" s="542"/>
      <c r="P100" s="606"/>
      <c r="Q100" s="606"/>
      <c r="R100" s="606"/>
      <c r="S100" s="606"/>
    </row>
    <row r="101" spans="5:19" s="601" customFormat="1">
      <c r="E101" s="596"/>
      <c r="F101" s="602"/>
      <c r="G101" s="542"/>
      <c r="H101" s="542"/>
      <c r="I101" s="484"/>
      <c r="J101" s="542"/>
      <c r="K101" s="542"/>
      <c r="L101" s="542"/>
      <c r="P101" s="606"/>
      <c r="Q101" s="606"/>
      <c r="R101" s="606"/>
      <c r="S101" s="606"/>
    </row>
    <row r="102" spans="5:19" s="601" customFormat="1">
      <c r="E102" s="596"/>
      <c r="F102" s="602"/>
      <c r="G102" s="542"/>
      <c r="H102" s="542"/>
      <c r="I102" s="484"/>
      <c r="J102" s="542"/>
      <c r="K102" s="542"/>
      <c r="L102" s="542"/>
      <c r="P102" s="606"/>
      <c r="Q102" s="606"/>
      <c r="R102" s="606"/>
      <c r="S102" s="606"/>
    </row>
    <row r="103" spans="5:19" s="601" customFormat="1">
      <c r="E103" s="596"/>
      <c r="F103" s="602"/>
      <c r="G103" s="542"/>
      <c r="H103" s="542"/>
      <c r="I103" s="484"/>
      <c r="J103" s="542"/>
      <c r="K103" s="542"/>
      <c r="L103" s="542"/>
      <c r="P103" s="606"/>
      <c r="Q103" s="606"/>
      <c r="R103" s="606"/>
      <c r="S103" s="606"/>
    </row>
    <row r="104" spans="5:19" s="601" customFormat="1">
      <c r="E104" s="596"/>
      <c r="F104" s="602"/>
      <c r="G104" s="542"/>
      <c r="H104" s="542"/>
      <c r="I104" s="484"/>
      <c r="J104" s="542"/>
      <c r="K104" s="542"/>
      <c r="L104" s="542"/>
      <c r="P104" s="606"/>
      <c r="Q104" s="606"/>
      <c r="R104" s="606"/>
      <c r="S104" s="606"/>
    </row>
    <row r="105" spans="5:19" s="601" customFormat="1">
      <c r="E105" s="596"/>
      <c r="F105" s="602"/>
      <c r="G105" s="542"/>
      <c r="H105" s="542"/>
      <c r="I105" s="484"/>
      <c r="J105" s="542"/>
      <c r="K105" s="542"/>
      <c r="L105" s="542"/>
      <c r="P105" s="606"/>
      <c r="Q105" s="606"/>
      <c r="R105" s="606"/>
      <c r="S105" s="606"/>
    </row>
    <row r="106" spans="5:19" s="601" customFormat="1">
      <c r="E106" s="596"/>
      <c r="F106" s="602"/>
      <c r="G106" s="542"/>
      <c r="H106" s="542"/>
      <c r="I106" s="484"/>
      <c r="J106" s="542"/>
      <c r="K106" s="542"/>
      <c r="L106" s="542"/>
      <c r="P106" s="606"/>
      <c r="Q106" s="606"/>
      <c r="R106" s="606"/>
      <c r="S106" s="606"/>
    </row>
    <row r="107" spans="5:19" s="601" customFormat="1">
      <c r="E107" s="596"/>
      <c r="F107" s="602"/>
      <c r="G107" s="542"/>
      <c r="H107" s="542"/>
      <c r="I107" s="484"/>
      <c r="J107" s="542"/>
      <c r="K107" s="542"/>
      <c r="L107" s="542"/>
      <c r="P107" s="606"/>
      <c r="Q107" s="606"/>
      <c r="R107" s="606"/>
      <c r="S107" s="606"/>
    </row>
    <row r="108" spans="5:19" s="601" customFormat="1">
      <c r="E108" s="596"/>
      <c r="F108" s="602"/>
      <c r="G108" s="542"/>
      <c r="H108" s="542"/>
      <c r="I108" s="484"/>
      <c r="J108" s="542"/>
      <c r="K108" s="542"/>
      <c r="L108" s="542"/>
      <c r="P108" s="606"/>
      <c r="Q108" s="606"/>
      <c r="R108" s="606"/>
      <c r="S108" s="606"/>
    </row>
    <row r="109" spans="5:19" s="601" customFormat="1">
      <c r="E109" s="596"/>
      <c r="F109" s="602"/>
      <c r="G109" s="542"/>
      <c r="H109" s="542"/>
      <c r="I109" s="484"/>
      <c r="J109" s="542"/>
      <c r="K109" s="542"/>
      <c r="L109" s="542"/>
      <c r="P109" s="606"/>
      <c r="Q109" s="606"/>
      <c r="R109" s="606"/>
      <c r="S109" s="606"/>
    </row>
    <row r="110" spans="5:19" s="601" customFormat="1">
      <c r="E110" s="596"/>
      <c r="F110" s="602"/>
      <c r="G110" s="542"/>
      <c r="H110" s="542"/>
      <c r="I110" s="484"/>
      <c r="J110" s="542"/>
      <c r="K110" s="542"/>
      <c r="L110" s="542"/>
      <c r="P110" s="606"/>
      <c r="Q110" s="606"/>
      <c r="R110" s="606"/>
      <c r="S110" s="606"/>
    </row>
    <row r="111" spans="5:19" s="601" customFormat="1">
      <c r="E111" s="596"/>
      <c r="F111" s="602"/>
      <c r="G111" s="542"/>
      <c r="H111" s="542"/>
      <c r="I111" s="484"/>
      <c r="J111" s="542"/>
      <c r="K111" s="542"/>
      <c r="L111" s="542"/>
      <c r="P111" s="606"/>
      <c r="Q111" s="606"/>
      <c r="R111" s="606"/>
      <c r="S111" s="606"/>
    </row>
    <row r="112" spans="5:19" s="601" customFormat="1">
      <c r="E112" s="596"/>
      <c r="F112" s="602"/>
      <c r="G112" s="542"/>
      <c r="H112" s="542"/>
      <c r="I112" s="484"/>
      <c r="J112" s="542"/>
      <c r="K112" s="542"/>
      <c r="L112" s="542"/>
      <c r="P112" s="606"/>
      <c r="Q112" s="606"/>
      <c r="R112" s="606"/>
      <c r="S112" s="606"/>
    </row>
    <row r="113" spans="5:22" s="601" customFormat="1">
      <c r="E113" s="596"/>
      <c r="F113" s="602"/>
      <c r="G113" s="542"/>
      <c r="H113" s="542"/>
      <c r="I113" s="484"/>
      <c r="J113" s="542"/>
      <c r="K113" s="542"/>
      <c r="L113" s="542"/>
      <c r="P113" s="606"/>
      <c r="Q113" s="606"/>
      <c r="R113" s="606"/>
      <c r="S113" s="606"/>
    </row>
    <row r="114" spans="5:22" s="601" customFormat="1">
      <c r="E114" s="596"/>
      <c r="F114" s="602"/>
      <c r="G114" s="542"/>
      <c r="H114" s="542"/>
      <c r="I114" s="484"/>
      <c r="J114" s="542"/>
      <c r="K114" s="542"/>
      <c r="L114" s="542"/>
      <c r="P114" s="606"/>
      <c r="Q114" s="606"/>
      <c r="R114" s="606"/>
      <c r="S114" s="606"/>
    </row>
    <row r="115" spans="5:22" s="601" customFormat="1">
      <c r="E115" s="596"/>
      <c r="F115" s="602"/>
      <c r="G115" s="542"/>
      <c r="H115" s="542"/>
      <c r="I115" s="484"/>
      <c r="J115" s="542"/>
      <c r="K115" s="542"/>
      <c r="L115" s="542"/>
      <c r="P115" s="606"/>
      <c r="Q115" s="606"/>
      <c r="R115" s="606"/>
      <c r="S115" s="606"/>
    </row>
    <row r="116" spans="5:22" s="601" customFormat="1">
      <c r="E116" s="596"/>
      <c r="F116" s="602"/>
      <c r="G116" s="542"/>
      <c r="H116" s="542"/>
      <c r="I116" s="484"/>
      <c r="J116" s="542"/>
      <c r="K116" s="542"/>
      <c r="L116" s="542"/>
      <c r="P116" s="606"/>
      <c r="Q116" s="606"/>
      <c r="R116" s="606"/>
      <c r="S116" s="606"/>
    </row>
    <row r="117" spans="5:22" s="601" customFormat="1">
      <c r="E117" s="596"/>
      <c r="F117" s="602"/>
      <c r="G117" s="542"/>
      <c r="H117" s="542"/>
      <c r="I117" s="484"/>
      <c r="J117" s="542"/>
      <c r="K117" s="542"/>
      <c r="L117" s="542"/>
      <c r="P117" s="606"/>
      <c r="Q117" s="606"/>
      <c r="R117" s="606"/>
      <c r="S117" s="606"/>
    </row>
    <row r="118" spans="5:22" s="601" customFormat="1">
      <c r="E118" s="596"/>
      <c r="F118" s="602"/>
      <c r="G118" s="542"/>
      <c r="H118" s="542"/>
      <c r="I118" s="484"/>
      <c r="J118" s="542"/>
      <c r="K118" s="542"/>
      <c r="L118" s="542"/>
      <c r="P118" s="606"/>
      <c r="Q118" s="606"/>
      <c r="R118" s="606"/>
      <c r="S118" s="606"/>
    </row>
    <row r="119" spans="5:22" s="601" customFormat="1">
      <c r="E119" s="596"/>
      <c r="F119" s="602"/>
      <c r="G119" s="542"/>
      <c r="H119" s="542"/>
      <c r="I119" s="484"/>
      <c r="J119" s="542"/>
      <c r="K119" s="542"/>
      <c r="L119" s="542"/>
      <c r="P119" s="606"/>
      <c r="Q119" s="606"/>
      <c r="R119" s="606"/>
      <c r="S119" s="606"/>
    </row>
    <row r="120" spans="5:22" s="601" customFormat="1">
      <c r="E120" s="596"/>
      <c r="F120" s="602"/>
      <c r="G120" s="542"/>
      <c r="H120" s="542"/>
      <c r="I120" s="484"/>
      <c r="J120" s="542"/>
      <c r="K120" s="542"/>
      <c r="L120" s="542"/>
      <c r="P120" s="606"/>
      <c r="Q120" s="606"/>
      <c r="R120" s="606"/>
      <c r="S120" s="606"/>
    </row>
    <row r="121" spans="5:22" s="601" customFormat="1">
      <c r="E121" s="596"/>
      <c r="F121" s="602"/>
      <c r="G121" s="542"/>
      <c r="H121" s="542"/>
      <c r="I121" s="484"/>
      <c r="J121" s="542"/>
      <c r="K121" s="542"/>
      <c r="L121" s="542"/>
      <c r="P121" s="606"/>
      <c r="Q121" s="606"/>
      <c r="R121" s="606"/>
      <c r="S121" s="606"/>
    </row>
    <row r="122" spans="5:22" s="601" customFormat="1">
      <c r="E122" s="596"/>
      <c r="F122" s="602"/>
      <c r="G122" s="542"/>
      <c r="H122" s="542"/>
      <c r="I122" s="484"/>
      <c r="J122" s="542"/>
      <c r="K122" s="542"/>
      <c r="L122" s="542"/>
      <c r="P122" s="606"/>
      <c r="Q122" s="606"/>
      <c r="R122" s="606"/>
      <c r="S122" s="606"/>
    </row>
    <row r="123" spans="5:22" s="601" customFormat="1">
      <c r="E123" s="596"/>
      <c r="F123" s="602"/>
      <c r="G123" s="542"/>
      <c r="H123" s="542"/>
      <c r="I123" s="484"/>
      <c r="J123" s="542"/>
      <c r="K123" s="542"/>
      <c r="L123" s="542"/>
      <c r="P123" s="606"/>
      <c r="Q123" s="606"/>
      <c r="R123" s="606"/>
      <c r="S123" s="606"/>
    </row>
    <row r="124" spans="5:22" s="601" customFormat="1">
      <c r="E124" s="596"/>
      <c r="F124" s="602"/>
      <c r="G124" s="542"/>
      <c r="H124" s="542"/>
      <c r="I124" s="484"/>
      <c r="J124" s="542"/>
      <c r="K124" s="542"/>
      <c r="L124" s="542"/>
      <c r="P124" s="606"/>
      <c r="Q124" s="606"/>
      <c r="R124" s="606"/>
      <c r="S124" s="606"/>
    </row>
    <row r="125" spans="5:22" s="601" customFormat="1">
      <c r="E125" s="596"/>
      <c r="F125" s="602"/>
      <c r="G125" s="542"/>
      <c r="H125" s="542"/>
      <c r="I125" s="484"/>
      <c r="J125" s="542"/>
      <c r="K125" s="542"/>
      <c r="L125" s="542"/>
      <c r="P125" s="606"/>
      <c r="Q125" s="606"/>
      <c r="R125" s="606"/>
      <c r="S125" s="606"/>
    </row>
    <row r="126" spans="5:22" s="601" customFormat="1">
      <c r="E126" s="596"/>
      <c r="F126" s="602"/>
      <c r="G126" s="542"/>
      <c r="H126" s="542"/>
      <c r="I126" s="484"/>
      <c r="J126" s="542"/>
      <c r="K126" s="542"/>
      <c r="L126" s="542"/>
      <c r="P126" s="606"/>
      <c r="Q126" s="606"/>
      <c r="R126" s="606"/>
      <c r="S126" s="606"/>
    </row>
    <row r="127" spans="5:22" s="601" customFormat="1">
      <c r="E127" s="596"/>
      <c r="F127" s="602"/>
      <c r="G127" s="542"/>
      <c r="H127" s="542"/>
      <c r="I127" s="484"/>
      <c r="J127" s="542"/>
      <c r="K127" s="542"/>
      <c r="L127" s="542"/>
      <c r="P127" s="606"/>
      <c r="Q127" s="606"/>
      <c r="R127" s="606"/>
      <c r="S127" s="606"/>
    </row>
    <row r="128" spans="5:22" s="601" customFormat="1">
      <c r="E128" s="596"/>
      <c r="F128" s="602"/>
      <c r="G128" s="542"/>
      <c r="H128" s="542"/>
      <c r="I128" s="484"/>
      <c r="J128" s="542"/>
      <c r="K128" s="542"/>
      <c r="L128" s="542"/>
      <c r="P128" s="606"/>
      <c r="Q128" s="606"/>
      <c r="R128" s="604"/>
      <c r="S128" s="604"/>
      <c r="T128" s="542"/>
      <c r="U128" s="542"/>
      <c r="V128" s="542"/>
    </row>
    <row r="129" spans="1:22" s="601" customFormat="1">
      <c r="E129" s="596"/>
      <c r="F129" s="602"/>
      <c r="G129" s="542"/>
      <c r="H129" s="542"/>
      <c r="I129" s="484"/>
      <c r="J129" s="542"/>
      <c r="K129" s="542"/>
      <c r="L129" s="542"/>
      <c r="P129" s="606"/>
      <c r="Q129" s="606"/>
      <c r="R129" s="604"/>
      <c r="S129" s="604"/>
      <c r="T129" s="542"/>
      <c r="U129" s="542"/>
      <c r="V129" s="542"/>
    </row>
    <row r="130" spans="1:22" s="601" customFormat="1">
      <c r="E130" s="596"/>
      <c r="F130" s="602"/>
      <c r="G130" s="542"/>
      <c r="H130" s="542"/>
      <c r="I130" s="484"/>
      <c r="J130" s="542"/>
      <c r="K130" s="542"/>
      <c r="L130" s="542"/>
      <c r="P130" s="606"/>
      <c r="Q130" s="606"/>
      <c r="R130" s="604"/>
      <c r="S130" s="604"/>
      <c r="T130" s="542"/>
      <c r="U130" s="542"/>
      <c r="V130" s="542"/>
    </row>
    <row r="131" spans="1:22" s="601" customFormat="1">
      <c r="E131" s="596"/>
      <c r="F131" s="602"/>
      <c r="G131" s="542"/>
      <c r="H131" s="542"/>
      <c r="I131" s="484"/>
      <c r="J131" s="542"/>
      <c r="K131" s="542"/>
      <c r="L131" s="542"/>
      <c r="P131" s="606"/>
      <c r="Q131" s="606"/>
      <c r="R131" s="604"/>
      <c r="S131" s="604"/>
      <c r="T131" s="542"/>
      <c r="U131" s="542"/>
      <c r="V131" s="542"/>
    </row>
    <row r="132" spans="1:22" s="601" customFormat="1">
      <c r="E132" s="596"/>
      <c r="F132" s="602"/>
      <c r="G132" s="542"/>
      <c r="H132" s="542"/>
      <c r="I132" s="484"/>
      <c r="J132" s="542"/>
      <c r="K132" s="542"/>
      <c r="L132" s="542"/>
      <c r="P132" s="606"/>
      <c r="Q132" s="606"/>
      <c r="R132" s="604"/>
      <c r="S132" s="604"/>
      <c r="T132" s="542"/>
      <c r="U132" s="542"/>
      <c r="V132" s="542"/>
    </row>
    <row r="133" spans="1:22" s="601" customFormat="1">
      <c r="E133" s="596"/>
      <c r="F133" s="602"/>
      <c r="G133" s="542"/>
      <c r="H133" s="542"/>
      <c r="I133" s="484"/>
      <c r="J133" s="542"/>
      <c r="K133" s="542"/>
      <c r="L133" s="542"/>
      <c r="N133" s="542"/>
      <c r="O133" s="484"/>
      <c r="P133" s="642"/>
      <c r="Q133" s="604"/>
      <c r="R133" s="604"/>
      <c r="S133" s="604"/>
      <c r="T133" s="542"/>
      <c r="U133" s="542"/>
      <c r="V133" s="542"/>
    </row>
    <row r="134" spans="1:22" s="601" customFormat="1">
      <c r="E134" s="596"/>
      <c r="F134" s="602"/>
      <c r="G134" s="542"/>
      <c r="H134" s="542"/>
      <c r="I134" s="484"/>
      <c r="J134" s="542"/>
      <c r="K134" s="542"/>
      <c r="L134" s="542"/>
      <c r="N134" s="542"/>
      <c r="O134" s="484"/>
      <c r="P134" s="642"/>
      <c r="Q134" s="604"/>
      <c r="R134" s="604"/>
      <c r="S134" s="604"/>
      <c r="T134" s="542"/>
      <c r="U134" s="542"/>
      <c r="V134" s="542"/>
    </row>
    <row r="135" spans="1:22" s="601" customFormat="1">
      <c r="E135" s="596"/>
      <c r="F135" s="602"/>
      <c r="G135" s="542"/>
      <c r="H135" s="542"/>
      <c r="I135" s="484"/>
      <c r="J135" s="542"/>
      <c r="K135" s="542"/>
      <c r="L135" s="542"/>
      <c r="N135" s="542"/>
      <c r="O135" s="484"/>
      <c r="P135" s="642"/>
      <c r="Q135" s="604"/>
      <c r="R135" s="604"/>
      <c r="S135" s="604"/>
      <c r="T135" s="542"/>
      <c r="U135" s="542"/>
      <c r="V135" s="542"/>
    </row>
    <row r="136" spans="1:22" s="601" customFormat="1">
      <c r="E136" s="596"/>
      <c r="F136" s="602"/>
      <c r="G136" s="542"/>
      <c r="H136" s="542"/>
      <c r="I136" s="484"/>
      <c r="J136" s="542"/>
      <c r="K136" s="542"/>
      <c r="L136" s="542"/>
      <c r="N136" s="542"/>
      <c r="O136" s="484"/>
      <c r="P136" s="642"/>
      <c r="Q136" s="604"/>
      <c r="R136" s="604"/>
      <c r="S136" s="604"/>
      <c r="T136" s="542"/>
      <c r="U136" s="542"/>
      <c r="V136" s="542"/>
    </row>
    <row r="137" spans="1:22" s="601" customFormat="1">
      <c r="A137" s="542"/>
      <c r="B137" s="542"/>
      <c r="C137" s="605"/>
      <c r="D137" s="605"/>
      <c r="E137" s="605"/>
      <c r="F137" s="605"/>
      <c r="H137" s="606"/>
      <c r="J137" s="542"/>
      <c r="K137" s="542"/>
      <c r="L137" s="542"/>
      <c r="N137" s="542"/>
      <c r="O137" s="484"/>
      <c r="P137" s="642"/>
      <c r="Q137" s="604"/>
      <c r="R137" s="604"/>
      <c r="S137" s="604"/>
      <c r="T137" s="542"/>
      <c r="U137" s="542"/>
      <c r="V137" s="542"/>
    </row>
    <row r="138" spans="1:22" s="601" customFormat="1">
      <c r="A138" s="542"/>
      <c r="B138" s="542"/>
      <c r="C138" s="605"/>
      <c r="D138" s="605"/>
      <c r="E138" s="605"/>
      <c r="F138" s="605"/>
      <c r="H138" s="606"/>
      <c r="J138" s="542"/>
      <c r="K138" s="542"/>
      <c r="L138" s="542"/>
      <c r="N138" s="542"/>
      <c r="O138" s="484"/>
      <c r="P138" s="642"/>
      <c r="Q138" s="604"/>
      <c r="R138" s="604"/>
      <c r="S138" s="604"/>
      <c r="T138" s="542"/>
      <c r="U138" s="542"/>
      <c r="V138" s="542"/>
    </row>
    <row r="139" spans="1:22" s="601" customFormat="1">
      <c r="A139" s="542"/>
      <c r="B139" s="542"/>
      <c r="C139" s="605"/>
      <c r="D139" s="605"/>
      <c r="E139" s="605"/>
      <c r="F139" s="605"/>
      <c r="H139" s="606"/>
      <c r="J139" s="542"/>
      <c r="K139" s="542"/>
      <c r="L139" s="542"/>
      <c r="N139" s="542"/>
      <c r="O139" s="484"/>
      <c r="P139" s="642"/>
      <c r="Q139" s="604"/>
      <c r="R139" s="604"/>
      <c r="S139" s="604"/>
      <c r="T139" s="542"/>
      <c r="U139" s="542"/>
      <c r="V139" s="542"/>
    </row>
    <row r="140" spans="1:22" s="601" customFormat="1">
      <c r="A140" s="542"/>
      <c r="B140" s="542"/>
      <c r="C140" s="605"/>
      <c r="D140" s="605"/>
      <c r="E140" s="605"/>
      <c r="F140" s="605"/>
      <c r="H140" s="606"/>
      <c r="J140" s="542"/>
      <c r="K140" s="542"/>
      <c r="L140" s="542"/>
      <c r="N140" s="542"/>
      <c r="O140" s="484"/>
      <c r="P140" s="642"/>
      <c r="Q140" s="604"/>
      <c r="R140" s="604"/>
      <c r="S140" s="604"/>
      <c r="T140" s="542"/>
      <c r="U140" s="542"/>
      <c r="V140" s="542"/>
    </row>
    <row r="141" spans="1:22" s="601" customFormat="1">
      <c r="A141" s="542"/>
      <c r="B141" s="542"/>
      <c r="C141" s="605"/>
      <c r="D141" s="605"/>
      <c r="E141" s="605"/>
      <c r="F141" s="605"/>
      <c r="H141" s="606"/>
      <c r="J141" s="542"/>
      <c r="K141" s="542"/>
      <c r="L141" s="542"/>
      <c r="N141" s="542"/>
      <c r="O141" s="484"/>
      <c r="P141" s="642"/>
      <c r="Q141" s="604"/>
      <c r="R141" s="604"/>
      <c r="S141" s="604"/>
      <c r="T141" s="542"/>
      <c r="U141" s="542"/>
      <c r="V141" s="542"/>
    </row>
    <row r="142" spans="1:22" s="601" customFormat="1">
      <c r="A142" s="542"/>
      <c r="B142" s="542"/>
      <c r="C142" s="605"/>
      <c r="D142" s="605"/>
      <c r="E142" s="605"/>
      <c r="F142" s="605"/>
      <c r="H142" s="606"/>
      <c r="J142" s="542"/>
      <c r="K142" s="542"/>
      <c r="L142" s="542"/>
      <c r="N142" s="542"/>
      <c r="O142" s="484"/>
      <c r="P142" s="642"/>
      <c r="Q142" s="604"/>
      <c r="R142" s="604"/>
      <c r="S142" s="604"/>
      <c r="T142" s="542"/>
      <c r="U142" s="542"/>
      <c r="V142" s="542"/>
    </row>
    <row r="143" spans="1:22" s="601" customFormat="1">
      <c r="A143" s="542"/>
      <c r="B143" s="542"/>
      <c r="C143" s="605"/>
      <c r="D143" s="605"/>
      <c r="E143" s="605"/>
      <c r="F143" s="605"/>
      <c r="H143" s="606"/>
      <c r="K143" s="542"/>
      <c r="L143" s="542"/>
      <c r="N143" s="542"/>
      <c r="O143" s="484"/>
      <c r="P143" s="642"/>
      <c r="Q143" s="604"/>
      <c r="R143" s="604"/>
      <c r="S143" s="604"/>
      <c r="T143" s="542"/>
      <c r="U143" s="542"/>
      <c r="V143" s="542"/>
    </row>
    <row r="144" spans="1:22" s="601" customFormat="1">
      <c r="A144" s="542"/>
      <c r="B144" s="542"/>
      <c r="C144" s="605"/>
      <c r="D144" s="605"/>
      <c r="E144" s="605"/>
      <c r="F144" s="605"/>
      <c r="H144" s="606"/>
      <c r="K144" s="542"/>
      <c r="L144" s="542"/>
      <c r="N144" s="542"/>
      <c r="O144" s="484"/>
      <c r="P144" s="642"/>
      <c r="Q144" s="604"/>
      <c r="R144" s="604"/>
      <c r="S144" s="604"/>
      <c r="T144" s="542"/>
      <c r="U144" s="542"/>
      <c r="V144" s="542"/>
    </row>
    <row r="145" spans="1:22" s="601" customFormat="1">
      <c r="A145" s="542"/>
      <c r="B145" s="542"/>
      <c r="C145" s="605"/>
      <c r="D145" s="605"/>
      <c r="E145" s="605"/>
      <c r="F145" s="605"/>
      <c r="H145" s="606"/>
      <c r="K145" s="542"/>
      <c r="L145" s="542"/>
      <c r="N145" s="542"/>
      <c r="O145" s="484"/>
      <c r="P145" s="642"/>
      <c r="Q145" s="604"/>
      <c r="R145" s="604"/>
      <c r="S145" s="604"/>
      <c r="T145" s="542"/>
      <c r="U145" s="542"/>
      <c r="V145" s="542"/>
    </row>
    <row r="146" spans="1:22" s="601" customFormat="1">
      <c r="A146" s="542"/>
      <c r="B146" s="542"/>
      <c r="C146" s="605"/>
      <c r="D146" s="605"/>
      <c r="E146" s="605"/>
      <c r="F146" s="605"/>
      <c r="H146" s="606"/>
      <c r="K146" s="596"/>
      <c r="L146" s="542"/>
      <c r="N146" s="542"/>
      <c r="O146" s="484"/>
      <c r="P146" s="642"/>
      <c r="Q146" s="604"/>
      <c r="R146" s="604"/>
      <c r="S146" s="604"/>
      <c r="T146" s="542"/>
      <c r="U146" s="542"/>
      <c r="V146" s="542"/>
    </row>
    <row r="147" spans="1:22">
      <c r="L147" s="542"/>
      <c r="M147" s="601"/>
    </row>
    <row r="148" spans="1:22">
      <c r="L148" s="542"/>
    </row>
    <row r="149" spans="1:22">
      <c r="L149" s="542"/>
    </row>
    <row r="150" spans="1:22">
      <c r="L150" s="542"/>
    </row>
  </sheetData>
  <mergeCells count="5">
    <mergeCell ref="A7:L7"/>
    <mergeCell ref="M7:O7"/>
    <mergeCell ref="U7:V7"/>
    <mergeCell ref="D9:F9"/>
    <mergeCell ref="H9:K9"/>
  </mergeCells>
  <conditionalFormatting sqref="P39:P55 Z9:Z57">
    <cfRule type="aboveAverage" dxfId="1" priority="1" aboveAverage="0" stdDev="1"/>
    <cfRule type="aboveAverage" dxfId="0" priority="2" stdDev="1"/>
  </conditionalFormatting>
  <dataValidations count="1">
    <dataValidation type="list" allowBlank="1" showInputMessage="1" showErrorMessage="1" sqref="B5" xr:uid="{D653719A-7988-4ED6-81C7-2C9A568A3E73}">
      <formula1>$AB$5:$AB$8</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E596B-5AF7-444B-A5DF-404C11690743}">
  <dimension ref="A1:Q169"/>
  <sheetViews>
    <sheetView workbookViewId="0">
      <selection activeCell="M49" sqref="M49"/>
    </sheetView>
  </sheetViews>
  <sheetFormatPr defaultColWidth="7.85546875" defaultRowHeight="11.25"/>
  <cols>
    <col min="1" max="1" width="15.7109375" style="542" bestFit="1" customWidth="1"/>
    <col min="2" max="2" width="9.5703125" style="542" bestFit="1" customWidth="1"/>
    <col min="3" max="3" width="5.140625" style="605" customWidth="1"/>
    <col min="4" max="6" width="7.7109375" style="605" customWidth="1"/>
    <col min="7" max="7" width="6.28515625" style="601" customWidth="1"/>
    <col min="8" max="8" width="6.85546875" style="606" customWidth="1"/>
    <col min="9" max="9" width="9.7109375" style="601" customWidth="1"/>
    <col min="10" max="10" width="8.7109375" style="601" bestFit="1" customWidth="1"/>
    <col min="11" max="11" width="12.5703125" style="596" customWidth="1"/>
    <col min="12" max="12" width="17.28515625" style="602" bestFit="1" customWidth="1"/>
    <col min="13" max="13" width="12.85546875" style="542" customWidth="1"/>
    <col min="14" max="14" width="11.28515625" style="542" customWidth="1"/>
    <col min="15" max="15" width="14.5703125" style="484" customWidth="1"/>
    <col min="16" max="16" width="2.42578125" style="484" customWidth="1"/>
    <col min="17" max="17" width="14" style="542" bestFit="1" customWidth="1"/>
    <col min="18" max="18" width="5.42578125" style="542" customWidth="1"/>
    <col min="19" max="27" width="5.28515625" style="542" customWidth="1"/>
    <col min="28" max="28" width="17" style="542" customWidth="1"/>
    <col min="29" max="16384" width="7.85546875" style="542"/>
  </cols>
  <sheetData>
    <row r="1" spans="1:15" s="430" customFormat="1" ht="12.75">
      <c r="A1" s="420" t="s">
        <v>105</v>
      </c>
      <c r="B1" s="421" t="s">
        <v>152</v>
      </c>
      <c r="C1" s="422"/>
      <c r="D1" s="421"/>
      <c r="E1" s="423"/>
      <c r="F1" s="423"/>
      <c r="G1" s="424"/>
      <c r="H1" s="425" t="s">
        <v>106</v>
      </c>
      <c r="I1" s="426">
        <f>M12</f>
        <v>212</v>
      </c>
      <c r="J1" s="427"/>
      <c r="K1" s="421"/>
      <c r="L1" s="421"/>
      <c r="M1" s="428"/>
      <c r="N1" s="429"/>
    </row>
    <row r="2" spans="1:15" s="430" customFormat="1" ht="12.75">
      <c r="A2" s="431" t="s">
        <v>107</v>
      </c>
      <c r="B2" s="432" t="s">
        <v>205</v>
      </c>
      <c r="C2" s="433"/>
      <c r="D2" s="432"/>
      <c r="E2" s="434"/>
      <c r="F2" s="434"/>
      <c r="G2" s="435"/>
      <c r="H2" s="436" t="s">
        <v>108</v>
      </c>
      <c r="I2" s="437">
        <f>M12</f>
        <v>212</v>
      </c>
      <c r="J2" s="438"/>
      <c r="K2" s="432"/>
      <c r="L2" s="432"/>
      <c r="M2" s="439"/>
      <c r="N2" s="440"/>
    </row>
    <row r="3" spans="1:15" s="446" customFormat="1" ht="11.25" customHeight="1">
      <c r="A3" s="441" t="s">
        <v>109</v>
      </c>
      <c r="B3" s="607">
        <v>45524</v>
      </c>
      <c r="C3" s="433"/>
      <c r="D3" s="434"/>
      <c r="E3" s="434"/>
      <c r="F3" s="434"/>
      <c r="G3" s="435"/>
      <c r="H3" s="442" t="s">
        <v>110</v>
      </c>
      <c r="I3" s="443">
        <f>M53/100</f>
        <v>2.12</v>
      </c>
      <c r="J3" s="438"/>
      <c r="K3" s="432"/>
      <c r="L3" s="432"/>
      <c r="M3" s="444"/>
      <c r="N3" s="445"/>
    </row>
    <row r="4" spans="1:15" s="430" customFormat="1" ht="12.75">
      <c r="A4" s="441" t="s">
        <v>111</v>
      </c>
      <c r="B4" s="432" t="s">
        <v>204</v>
      </c>
      <c r="C4" s="433"/>
      <c r="D4" s="434"/>
      <c r="E4" s="434"/>
      <c r="F4" s="434"/>
      <c r="G4" s="435"/>
      <c r="H4" s="442" t="s">
        <v>112</v>
      </c>
      <c r="I4" s="443">
        <f>J33</f>
        <v>0.54223309504277517</v>
      </c>
      <c r="J4" s="438"/>
      <c r="K4" s="432"/>
      <c r="L4" s="432"/>
      <c r="M4" s="439"/>
      <c r="N4" s="429"/>
    </row>
    <row r="5" spans="1:15" s="451" customFormat="1" ht="12.75">
      <c r="A5" s="431" t="s">
        <v>113</v>
      </c>
      <c r="B5" s="447" t="s">
        <v>114</v>
      </c>
      <c r="C5" s="433"/>
      <c r="D5" s="434"/>
      <c r="E5" s="434"/>
      <c r="F5" s="434"/>
      <c r="G5" s="435"/>
      <c r="H5" s="442"/>
      <c r="I5" s="1005"/>
      <c r="J5" s="438"/>
      <c r="K5" s="432"/>
      <c r="L5" s="432"/>
      <c r="M5" s="449"/>
      <c r="N5" s="450"/>
    </row>
    <row r="6" spans="1:15" s="450" customFormat="1" ht="13.5" thickBot="1">
      <c r="A6" s="452"/>
      <c r="B6" s="453"/>
      <c r="C6" s="454"/>
      <c r="D6" s="455"/>
      <c r="E6" s="455"/>
      <c r="F6" s="455"/>
      <c r="G6" s="456"/>
      <c r="H6" s="457"/>
      <c r="I6" s="458"/>
      <c r="J6" s="456"/>
      <c r="K6" s="459"/>
      <c r="L6" s="453"/>
      <c r="M6" s="460"/>
    </row>
    <row r="7" spans="1:15" s="451" customFormat="1" ht="13.15" customHeight="1">
      <c r="A7" s="461" t="s">
        <v>115</v>
      </c>
      <c r="B7" s="462"/>
      <c r="C7" s="463"/>
      <c r="D7" s="464"/>
      <c r="E7" s="465" t="s">
        <v>116</v>
      </c>
      <c r="F7" s="462"/>
      <c r="G7" s="466" t="s">
        <v>117</v>
      </c>
      <c r="H7" s="467"/>
      <c r="I7" s="468" t="s">
        <v>118</v>
      </c>
      <c r="J7" s="468"/>
      <c r="K7" s="469"/>
      <c r="L7" s="1068" t="s">
        <v>119</v>
      </c>
      <c r="M7" s="1069"/>
      <c r="N7" s="450"/>
      <c r="O7" s="450"/>
    </row>
    <row r="8" spans="1:15" s="480" customFormat="1" ht="11.25" customHeight="1">
      <c r="A8" s="470"/>
      <c r="B8" s="471"/>
      <c r="C8" s="472"/>
      <c r="D8" s="473"/>
      <c r="E8" s="474"/>
      <c r="F8" s="473"/>
      <c r="G8" s="475"/>
      <c r="H8" s="476"/>
      <c r="I8" s="477"/>
      <c r="J8" s="477"/>
      <c r="K8" s="478"/>
      <c r="L8" s="449"/>
      <c r="M8" s="449"/>
      <c r="N8" s="479"/>
    </row>
    <row r="9" spans="1:15" s="481" customFormat="1">
      <c r="C9" s="482"/>
      <c r="D9" s="483"/>
      <c r="E9" s="474" t="s">
        <v>120</v>
      </c>
      <c r="F9" s="473"/>
      <c r="G9" s="475"/>
      <c r="H9" s="476"/>
      <c r="I9" s="484"/>
      <c r="J9" s="484"/>
      <c r="K9" s="478"/>
      <c r="L9" s="485"/>
      <c r="M9" s="486"/>
      <c r="N9" s="487"/>
      <c r="O9" s="488"/>
    </row>
    <row r="10" spans="1:15" s="481" customFormat="1">
      <c r="A10" s="489" t="s">
        <v>121</v>
      </c>
      <c r="B10" s="490" t="s">
        <v>122</v>
      </c>
      <c r="C10" s="491" t="s">
        <v>123</v>
      </c>
      <c r="D10" s="492" t="s">
        <v>124</v>
      </c>
      <c r="E10" s="493" t="s">
        <v>125</v>
      </c>
      <c r="F10" s="492" t="s">
        <v>126</v>
      </c>
      <c r="G10" s="475" t="s">
        <v>127</v>
      </c>
      <c r="H10" s="476" t="s">
        <v>128</v>
      </c>
      <c r="I10" s="477" t="s">
        <v>128</v>
      </c>
      <c r="J10" s="477" t="s">
        <v>127</v>
      </c>
      <c r="K10" s="494" t="s">
        <v>129</v>
      </c>
      <c r="L10" s="485" t="s">
        <v>130</v>
      </c>
      <c r="M10" s="485" t="s">
        <v>131</v>
      </c>
      <c r="N10" s="495"/>
    </row>
    <row r="11" spans="1:15" s="481" customFormat="1" ht="12" thickBot="1">
      <c r="A11" s="496" t="s">
        <v>132</v>
      </c>
      <c r="B11" s="497" t="s">
        <v>132</v>
      </c>
      <c r="C11" s="498" t="s">
        <v>133</v>
      </c>
      <c r="D11" s="499" t="s">
        <v>134</v>
      </c>
      <c r="E11" s="500" t="s">
        <v>133</v>
      </c>
      <c r="F11" s="499" t="s">
        <v>133</v>
      </c>
      <c r="G11" s="501" t="s">
        <v>135</v>
      </c>
      <c r="H11" s="502" t="s">
        <v>136</v>
      </c>
      <c r="I11" s="503" t="s">
        <v>136</v>
      </c>
      <c r="J11" s="503" t="s">
        <v>135</v>
      </c>
      <c r="K11" s="504"/>
      <c r="L11" s="505"/>
      <c r="M11" s="506" t="s">
        <v>133</v>
      </c>
      <c r="N11" s="495"/>
    </row>
    <row r="12" spans="1:15" s="481" customFormat="1">
      <c r="A12" s="507"/>
      <c r="B12" s="508"/>
      <c r="C12" s="509">
        <v>0</v>
      </c>
      <c r="D12" s="510"/>
      <c r="E12" s="511"/>
      <c r="F12" s="512"/>
      <c r="G12" s="513"/>
      <c r="H12" s="514"/>
      <c r="I12" s="515"/>
      <c r="J12" s="516"/>
      <c r="K12" s="517"/>
      <c r="L12" s="518" t="s">
        <v>137</v>
      </c>
      <c r="M12" s="519">
        <v>212</v>
      </c>
      <c r="N12" s="520"/>
    </row>
    <row r="13" spans="1:15" s="481" customFormat="1">
      <c r="A13" s="507">
        <v>425</v>
      </c>
      <c r="B13" s="508">
        <v>0</v>
      </c>
      <c r="C13" s="509">
        <v>10</v>
      </c>
      <c r="D13" s="510">
        <v>966</v>
      </c>
      <c r="E13" s="521">
        <f>C12</f>
        <v>0</v>
      </c>
      <c r="F13" s="522">
        <f>(C13+C14-10)/2</f>
        <v>10</v>
      </c>
      <c r="G13" s="523">
        <f t="shared" ref="G13:G33" si="0">(A13-B13)/966</f>
        <v>0.43995859213250516</v>
      </c>
      <c r="H13" s="524">
        <f>(G13*(F13-E13))/100</f>
        <v>4.399585921325052E-2</v>
      </c>
      <c r="I13" s="525">
        <f>SUM(H$13:H13)</f>
        <v>4.399585921325052E-2</v>
      </c>
      <c r="J13" s="526">
        <f t="shared" ref="J13:J33" si="1">I13/F13*100</f>
        <v>0.43995859213250521</v>
      </c>
      <c r="K13" s="517"/>
      <c r="L13" s="527"/>
      <c r="M13" s="528"/>
      <c r="N13" s="495"/>
    </row>
    <row r="14" spans="1:15" s="481" customFormat="1">
      <c r="A14" s="507">
        <v>435</v>
      </c>
      <c r="B14" s="508">
        <v>0</v>
      </c>
      <c r="C14" s="509">
        <v>20</v>
      </c>
      <c r="D14" s="510">
        <v>966</v>
      </c>
      <c r="E14" s="521">
        <f>(C13+C14-10)/2</f>
        <v>10</v>
      </c>
      <c r="F14" s="522">
        <f t="shared" ref="F14:F32" si="2">(C14+C15-10)/2</f>
        <v>20</v>
      </c>
      <c r="G14" s="523">
        <f t="shared" si="0"/>
        <v>0.4503105590062112</v>
      </c>
      <c r="H14" s="524">
        <f t="shared" ref="H14:H33" si="3">(G14*(F14-E14))/100</f>
        <v>4.503105590062112E-2</v>
      </c>
      <c r="I14" s="525">
        <f>SUM(H$13:H14)</f>
        <v>8.9026915113871646E-2</v>
      </c>
      <c r="J14" s="526">
        <f t="shared" si="1"/>
        <v>0.4451345755693582</v>
      </c>
      <c r="K14" s="517"/>
      <c r="L14" s="527"/>
      <c r="M14" s="528"/>
      <c r="N14" s="495"/>
    </row>
    <row r="15" spans="1:15" s="481" customFormat="1">
      <c r="A15" s="507">
        <v>520</v>
      </c>
      <c r="B15" s="508">
        <v>0</v>
      </c>
      <c r="C15" s="509">
        <v>30</v>
      </c>
      <c r="D15" s="510">
        <v>966</v>
      </c>
      <c r="E15" s="521">
        <f>(C14+C15-10)/2</f>
        <v>20</v>
      </c>
      <c r="F15" s="522">
        <f t="shared" si="2"/>
        <v>30</v>
      </c>
      <c r="G15" s="523">
        <f t="shared" si="0"/>
        <v>0.5383022774327122</v>
      </c>
      <c r="H15" s="524">
        <f t="shared" si="3"/>
        <v>5.3830227743271217E-2</v>
      </c>
      <c r="I15" s="525">
        <f>SUM(H$13:H15)</f>
        <v>0.14285714285714285</v>
      </c>
      <c r="J15" s="526">
        <f t="shared" si="1"/>
        <v>0.47619047619047616</v>
      </c>
      <c r="K15" s="517"/>
      <c r="L15" s="527"/>
      <c r="M15" s="529"/>
      <c r="N15" s="495"/>
    </row>
    <row r="16" spans="1:15" s="481" customFormat="1">
      <c r="A16" s="530">
        <v>525</v>
      </c>
      <c r="B16" s="508">
        <v>0</v>
      </c>
      <c r="C16" s="509">
        <v>40</v>
      </c>
      <c r="D16" s="510">
        <v>966</v>
      </c>
      <c r="E16" s="521">
        <f t="shared" ref="E16:E33" si="4">(C15+C16-10)/2</f>
        <v>30</v>
      </c>
      <c r="F16" s="522">
        <f t="shared" si="2"/>
        <v>40</v>
      </c>
      <c r="G16" s="523">
        <f t="shared" si="0"/>
        <v>0.54347826086956519</v>
      </c>
      <c r="H16" s="524">
        <f t="shared" si="3"/>
        <v>5.434782608695652E-2</v>
      </c>
      <c r="I16" s="525">
        <f>SUM(H$13:H16)</f>
        <v>0.19720496894409936</v>
      </c>
      <c r="J16" s="526">
        <f t="shared" si="1"/>
        <v>0.49301242236024839</v>
      </c>
      <c r="K16" s="517"/>
      <c r="L16" s="527"/>
      <c r="M16" s="528"/>
      <c r="N16" s="495"/>
    </row>
    <row r="17" spans="1:16" s="481" customFormat="1">
      <c r="A17" s="530">
        <v>520</v>
      </c>
      <c r="B17" s="508">
        <v>0</v>
      </c>
      <c r="C17" s="509">
        <v>50</v>
      </c>
      <c r="D17" s="510">
        <v>966</v>
      </c>
      <c r="E17" s="521">
        <f t="shared" si="4"/>
        <v>40</v>
      </c>
      <c r="F17" s="522">
        <f t="shared" si="2"/>
        <v>50</v>
      </c>
      <c r="G17" s="523">
        <f t="shared" si="0"/>
        <v>0.5383022774327122</v>
      </c>
      <c r="H17" s="524">
        <f t="shared" si="3"/>
        <v>5.3830227743271217E-2</v>
      </c>
      <c r="I17" s="525">
        <f>SUM(H$13:H17)</f>
        <v>0.25103519668737057</v>
      </c>
      <c r="J17" s="526">
        <f t="shared" si="1"/>
        <v>0.50207039337474113</v>
      </c>
      <c r="K17" s="531" t="s">
        <v>139</v>
      </c>
      <c r="L17" s="527"/>
      <c r="M17" s="528"/>
      <c r="N17" s="487"/>
    </row>
    <row r="18" spans="1:16" s="481" customFormat="1">
      <c r="A18" s="530">
        <v>510</v>
      </c>
      <c r="B18" s="508">
        <v>0</v>
      </c>
      <c r="C18" s="509">
        <v>60</v>
      </c>
      <c r="D18" s="510">
        <v>966</v>
      </c>
      <c r="E18" s="521">
        <f t="shared" si="4"/>
        <v>50</v>
      </c>
      <c r="F18" s="522">
        <f t="shared" si="2"/>
        <v>60</v>
      </c>
      <c r="G18" s="523">
        <f t="shared" si="0"/>
        <v>0.52795031055900621</v>
      </c>
      <c r="H18" s="524">
        <f t="shared" si="3"/>
        <v>5.2795031055900624E-2</v>
      </c>
      <c r="I18" s="525">
        <f>SUM(H$13:H18)</f>
        <v>0.30383022774327118</v>
      </c>
      <c r="J18" s="526">
        <f t="shared" si="1"/>
        <v>0.50638371290545192</v>
      </c>
      <c r="K18" s="532"/>
      <c r="L18" s="527"/>
      <c r="M18" s="528"/>
      <c r="N18" s="487"/>
    </row>
    <row r="19" spans="1:16" s="481" customFormat="1" ht="10.15" customHeight="1">
      <c r="A19" s="530">
        <v>500</v>
      </c>
      <c r="B19" s="508">
        <v>0</v>
      </c>
      <c r="C19" s="509">
        <v>70</v>
      </c>
      <c r="D19" s="510">
        <v>966</v>
      </c>
      <c r="E19" s="521">
        <f t="shared" si="4"/>
        <v>60</v>
      </c>
      <c r="F19" s="522">
        <f t="shared" si="2"/>
        <v>70</v>
      </c>
      <c r="G19" s="523">
        <f t="shared" si="0"/>
        <v>0.51759834368530022</v>
      </c>
      <c r="H19" s="524">
        <f t="shared" si="3"/>
        <v>5.1759834368530024E-2</v>
      </c>
      <c r="I19" s="525">
        <f>SUM(H$13:H19)</f>
        <v>0.35559006211180122</v>
      </c>
      <c r="J19" s="526">
        <f t="shared" si="1"/>
        <v>0.50798580301685881</v>
      </c>
      <c r="K19" s="532"/>
      <c r="L19" s="527"/>
      <c r="M19" s="528"/>
      <c r="N19" s="533"/>
    </row>
    <row r="20" spans="1:16" s="481" customFormat="1">
      <c r="A20" s="530">
        <v>495</v>
      </c>
      <c r="B20" s="508">
        <v>0</v>
      </c>
      <c r="C20" s="509">
        <v>80</v>
      </c>
      <c r="D20" s="510">
        <v>966</v>
      </c>
      <c r="E20" s="521">
        <f t="shared" si="4"/>
        <v>70</v>
      </c>
      <c r="F20" s="522">
        <f t="shared" si="2"/>
        <v>80</v>
      </c>
      <c r="G20" s="523">
        <f t="shared" si="0"/>
        <v>0.51242236024844723</v>
      </c>
      <c r="H20" s="524">
        <f t="shared" si="3"/>
        <v>5.124223602484472E-2</v>
      </c>
      <c r="I20" s="525">
        <f>SUM(H$13:H20)</f>
        <v>0.40683229813664595</v>
      </c>
      <c r="J20" s="526">
        <f t="shared" si="1"/>
        <v>0.50854037267080743</v>
      </c>
      <c r="K20" s="517"/>
      <c r="L20" s="527"/>
      <c r="M20" s="528"/>
      <c r="N20" s="534"/>
    </row>
    <row r="21" spans="1:16" s="536" customFormat="1">
      <c r="A21" s="530">
        <v>520</v>
      </c>
      <c r="B21" s="508">
        <v>0</v>
      </c>
      <c r="C21" s="509">
        <v>90</v>
      </c>
      <c r="D21" s="510">
        <v>966</v>
      </c>
      <c r="E21" s="521">
        <f t="shared" si="4"/>
        <v>80</v>
      </c>
      <c r="F21" s="522">
        <f t="shared" si="2"/>
        <v>90</v>
      </c>
      <c r="G21" s="523">
        <f t="shared" si="0"/>
        <v>0.5383022774327122</v>
      </c>
      <c r="H21" s="524">
        <f t="shared" si="3"/>
        <v>5.3830227743271217E-2</v>
      </c>
      <c r="I21" s="525">
        <f>SUM(H$13:H21)</f>
        <v>0.46066252587991718</v>
      </c>
      <c r="J21" s="526">
        <f t="shared" si="1"/>
        <v>0.5118472509776858</v>
      </c>
      <c r="K21" s="535"/>
      <c r="L21" s="527"/>
      <c r="M21" s="528"/>
      <c r="N21" s="534"/>
    </row>
    <row r="22" spans="1:16" s="536" customFormat="1">
      <c r="A22" s="530">
        <v>515</v>
      </c>
      <c r="B22" s="508">
        <v>0</v>
      </c>
      <c r="C22" s="509">
        <v>100</v>
      </c>
      <c r="D22" s="510">
        <v>966</v>
      </c>
      <c r="E22" s="521">
        <f t="shared" si="4"/>
        <v>90</v>
      </c>
      <c r="F22" s="522">
        <f t="shared" si="2"/>
        <v>100</v>
      </c>
      <c r="G22" s="523">
        <f t="shared" si="0"/>
        <v>0.5331262939958592</v>
      </c>
      <c r="H22" s="524">
        <f t="shared" si="3"/>
        <v>5.3312629399585913E-2</v>
      </c>
      <c r="I22" s="525">
        <f>SUM(H$13:H22)</f>
        <v>0.5139751552795031</v>
      </c>
      <c r="J22" s="526">
        <f t="shared" si="1"/>
        <v>0.5139751552795031</v>
      </c>
      <c r="K22" s="517"/>
      <c r="L22" s="527"/>
      <c r="M22" s="537"/>
      <c r="N22" s="534"/>
    </row>
    <row r="23" spans="1:16" s="536" customFormat="1">
      <c r="A23" s="530">
        <v>520</v>
      </c>
      <c r="B23" s="508">
        <v>0</v>
      </c>
      <c r="C23" s="509">
        <v>110</v>
      </c>
      <c r="D23" s="510">
        <v>966</v>
      </c>
      <c r="E23" s="521">
        <f t="shared" si="4"/>
        <v>100</v>
      </c>
      <c r="F23" s="522">
        <f t="shared" si="2"/>
        <v>110</v>
      </c>
      <c r="G23" s="523">
        <f t="shared" si="0"/>
        <v>0.5383022774327122</v>
      </c>
      <c r="H23" s="524">
        <f t="shared" si="3"/>
        <v>5.3830227743271217E-2</v>
      </c>
      <c r="I23" s="525">
        <f>SUM(H$13:H23)</f>
        <v>0.56780538302277428</v>
      </c>
      <c r="J23" s="526">
        <f t="shared" si="1"/>
        <v>0.51618671183888576</v>
      </c>
      <c r="K23" s="538"/>
      <c r="L23" s="527"/>
      <c r="M23" s="539"/>
      <c r="N23" s="540"/>
    </row>
    <row r="24" spans="1:16" s="536" customFormat="1">
      <c r="A24" s="530">
        <v>525</v>
      </c>
      <c r="B24" s="508">
        <v>0</v>
      </c>
      <c r="C24" s="509">
        <v>120</v>
      </c>
      <c r="D24" s="510">
        <v>966</v>
      </c>
      <c r="E24" s="521">
        <f t="shared" si="4"/>
        <v>110</v>
      </c>
      <c r="F24" s="522">
        <f t="shared" si="2"/>
        <v>120</v>
      </c>
      <c r="G24" s="523">
        <f t="shared" si="0"/>
        <v>0.54347826086956519</v>
      </c>
      <c r="H24" s="524">
        <f t="shared" si="3"/>
        <v>5.434782608695652E-2</v>
      </c>
      <c r="I24" s="525">
        <f>SUM(H$13:H24)</f>
        <v>0.62215320910973082</v>
      </c>
      <c r="J24" s="526">
        <f t="shared" si="1"/>
        <v>0.51846100759144231</v>
      </c>
      <c r="K24" s="541"/>
      <c r="L24" s="527"/>
      <c r="M24" s="539"/>
      <c r="N24" s="540"/>
    </row>
    <row r="25" spans="1:16" s="536" customFormat="1">
      <c r="A25" s="530">
        <v>540</v>
      </c>
      <c r="B25" s="508">
        <v>0</v>
      </c>
      <c r="C25" s="509">
        <v>130</v>
      </c>
      <c r="D25" s="510">
        <v>966</v>
      </c>
      <c r="E25" s="521">
        <f t="shared" si="4"/>
        <v>120</v>
      </c>
      <c r="F25" s="522">
        <f t="shared" si="2"/>
        <v>130</v>
      </c>
      <c r="G25" s="523">
        <f t="shared" si="0"/>
        <v>0.55900621118012417</v>
      </c>
      <c r="H25" s="524">
        <f t="shared" si="3"/>
        <v>5.5900621118012417E-2</v>
      </c>
      <c r="I25" s="525">
        <f>SUM(H$13:H25)</f>
        <v>0.67805383022774324</v>
      </c>
      <c r="J25" s="526">
        <f t="shared" si="1"/>
        <v>0.52157986940595635</v>
      </c>
      <c r="K25" s="541"/>
      <c r="L25" s="527"/>
      <c r="M25" s="539"/>
      <c r="N25" s="540"/>
    </row>
    <row r="26" spans="1:16" s="536" customFormat="1">
      <c r="A26" s="530">
        <v>525</v>
      </c>
      <c r="B26" s="508">
        <v>0</v>
      </c>
      <c r="C26" s="509">
        <v>140</v>
      </c>
      <c r="D26" s="510">
        <v>966</v>
      </c>
      <c r="E26" s="521">
        <f t="shared" si="4"/>
        <v>130</v>
      </c>
      <c r="F26" s="522">
        <f t="shared" si="2"/>
        <v>140</v>
      </c>
      <c r="G26" s="523">
        <f t="shared" si="0"/>
        <v>0.54347826086956519</v>
      </c>
      <c r="H26" s="524">
        <f t="shared" si="3"/>
        <v>5.434782608695652E-2</v>
      </c>
      <c r="I26" s="525">
        <f>SUM(H$13:H26)</f>
        <v>0.73240165631469978</v>
      </c>
      <c r="J26" s="526">
        <f t="shared" si="1"/>
        <v>0.52314404022478556</v>
      </c>
      <c r="K26" s="541"/>
      <c r="L26" s="527"/>
      <c r="M26" s="528"/>
      <c r="N26" s="540"/>
    </row>
    <row r="27" spans="1:16" s="536" customFormat="1">
      <c r="A27" s="530">
        <v>545</v>
      </c>
      <c r="B27" s="508">
        <v>0</v>
      </c>
      <c r="C27" s="509">
        <v>150</v>
      </c>
      <c r="D27" s="510">
        <v>966</v>
      </c>
      <c r="E27" s="521">
        <f t="shared" si="4"/>
        <v>140</v>
      </c>
      <c r="F27" s="522">
        <f t="shared" si="2"/>
        <v>150</v>
      </c>
      <c r="G27" s="523">
        <f t="shared" si="0"/>
        <v>0.56418219461697727</v>
      </c>
      <c r="H27" s="524">
        <f t="shared" si="3"/>
        <v>5.6418219461697727E-2</v>
      </c>
      <c r="I27" s="525">
        <f>SUM(H$13:H27)</f>
        <v>0.78881987577639756</v>
      </c>
      <c r="J27" s="526">
        <f t="shared" si="1"/>
        <v>0.52587991718426497</v>
      </c>
      <c r="K27" s="541"/>
      <c r="L27" s="527"/>
      <c r="M27" s="528"/>
      <c r="N27" s="540"/>
    </row>
    <row r="28" spans="1:16" s="536" customFormat="1">
      <c r="A28" s="530">
        <v>560</v>
      </c>
      <c r="B28" s="508">
        <v>0</v>
      </c>
      <c r="C28" s="509">
        <v>160</v>
      </c>
      <c r="D28" s="510">
        <v>966</v>
      </c>
      <c r="E28" s="521">
        <f t="shared" si="4"/>
        <v>150</v>
      </c>
      <c r="F28" s="522">
        <f t="shared" si="2"/>
        <v>160</v>
      </c>
      <c r="G28" s="523">
        <f t="shared" si="0"/>
        <v>0.57971014492753625</v>
      </c>
      <c r="H28" s="524">
        <f t="shared" si="3"/>
        <v>5.7971014492753624E-2</v>
      </c>
      <c r="I28" s="525">
        <f>SUM(H$13:H28)</f>
        <v>0.84679089026915122</v>
      </c>
      <c r="J28" s="526">
        <f t="shared" si="1"/>
        <v>0.52924430641821951</v>
      </c>
      <c r="K28" s="541"/>
      <c r="L28" s="527"/>
      <c r="M28" s="528"/>
      <c r="N28" s="540"/>
    </row>
    <row r="29" spans="1:16">
      <c r="A29" s="530">
        <v>590</v>
      </c>
      <c r="B29" s="508">
        <v>0</v>
      </c>
      <c r="C29" s="509">
        <v>170</v>
      </c>
      <c r="D29" s="510">
        <v>966</v>
      </c>
      <c r="E29" s="521">
        <f t="shared" si="4"/>
        <v>160</v>
      </c>
      <c r="F29" s="522">
        <f t="shared" si="2"/>
        <v>170</v>
      </c>
      <c r="G29" s="523">
        <f t="shared" si="0"/>
        <v>0.61076604554865421</v>
      </c>
      <c r="H29" s="524">
        <f t="shared" si="3"/>
        <v>6.1076604554865417E-2</v>
      </c>
      <c r="I29" s="525">
        <f>SUM(H$13:H29)</f>
        <v>0.90786749482401663</v>
      </c>
      <c r="J29" s="526">
        <f t="shared" si="1"/>
        <v>0.53403970283765689</v>
      </c>
      <c r="K29" s="541" t="s">
        <v>212</v>
      </c>
      <c r="L29" s="527"/>
      <c r="M29" s="528"/>
      <c r="N29" s="540"/>
      <c r="O29" s="536"/>
      <c r="P29" s="536"/>
    </row>
    <row r="30" spans="1:16">
      <c r="A30" s="530">
        <v>570</v>
      </c>
      <c r="B30" s="508">
        <v>0</v>
      </c>
      <c r="C30" s="509">
        <v>180</v>
      </c>
      <c r="D30" s="510">
        <v>966</v>
      </c>
      <c r="E30" s="521">
        <f t="shared" si="4"/>
        <v>170</v>
      </c>
      <c r="F30" s="522">
        <f t="shared" si="2"/>
        <v>180</v>
      </c>
      <c r="G30" s="523">
        <f t="shared" si="0"/>
        <v>0.59006211180124224</v>
      </c>
      <c r="H30" s="524">
        <f t="shared" si="3"/>
        <v>5.9006211180124224E-2</v>
      </c>
      <c r="I30" s="525">
        <f>SUM(H$13:H30)</f>
        <v>0.9668737060041408</v>
      </c>
      <c r="J30" s="526">
        <f t="shared" si="1"/>
        <v>0.53715205889118933</v>
      </c>
      <c r="K30" s="541"/>
      <c r="L30" s="527"/>
      <c r="M30" s="528"/>
      <c r="N30" s="540"/>
      <c r="O30" s="536"/>
      <c r="P30" s="536"/>
    </row>
    <row r="31" spans="1:16">
      <c r="A31" s="530">
        <v>560</v>
      </c>
      <c r="B31" s="508">
        <v>0</v>
      </c>
      <c r="C31" s="509">
        <v>190</v>
      </c>
      <c r="D31" s="510">
        <v>966</v>
      </c>
      <c r="E31" s="521">
        <f t="shared" si="4"/>
        <v>180</v>
      </c>
      <c r="F31" s="522">
        <f t="shared" si="2"/>
        <v>190</v>
      </c>
      <c r="G31" s="523">
        <f t="shared" si="0"/>
        <v>0.57971014492753625</v>
      </c>
      <c r="H31" s="524">
        <f t="shared" si="3"/>
        <v>5.7971014492753624E-2</v>
      </c>
      <c r="I31" s="525">
        <f>SUM(H$13:H31)</f>
        <v>1.0248447204968945</v>
      </c>
      <c r="J31" s="526">
        <f t="shared" si="1"/>
        <v>0.53939195815626029</v>
      </c>
      <c r="K31" s="541"/>
      <c r="L31" s="527"/>
      <c r="M31" s="528"/>
      <c r="N31" s="540"/>
      <c r="O31" s="536"/>
      <c r="P31" s="536"/>
    </row>
    <row r="32" spans="1:16">
      <c r="A32" s="530">
        <v>555</v>
      </c>
      <c r="B32" s="508">
        <v>0</v>
      </c>
      <c r="C32" s="509">
        <v>200</v>
      </c>
      <c r="D32" s="510">
        <v>966</v>
      </c>
      <c r="E32" s="521">
        <f t="shared" si="4"/>
        <v>190</v>
      </c>
      <c r="F32" s="522">
        <f t="shared" si="2"/>
        <v>201</v>
      </c>
      <c r="G32" s="523">
        <f t="shared" si="0"/>
        <v>0.57453416149068326</v>
      </c>
      <c r="H32" s="524">
        <f t="shared" si="3"/>
        <v>6.3198757763975155E-2</v>
      </c>
      <c r="I32" s="525">
        <f>SUM(H$13:H32)</f>
        <v>1.0880434782608697</v>
      </c>
      <c r="J32" s="526">
        <f t="shared" si="1"/>
        <v>0.54131516331386553</v>
      </c>
      <c r="K32" s="543"/>
      <c r="L32" s="527"/>
      <c r="M32" s="528"/>
      <c r="N32" s="540"/>
      <c r="O32" s="536"/>
      <c r="P32" s="536"/>
    </row>
    <row r="33" spans="1:17">
      <c r="A33" s="530">
        <v>540</v>
      </c>
      <c r="B33" s="508">
        <v>0</v>
      </c>
      <c r="C33" s="509">
        <v>212</v>
      </c>
      <c r="D33" s="510">
        <v>966</v>
      </c>
      <c r="E33" s="521">
        <f t="shared" si="4"/>
        <v>201</v>
      </c>
      <c r="F33" s="522">
        <f>C33</f>
        <v>212</v>
      </c>
      <c r="G33" s="523">
        <f t="shared" si="0"/>
        <v>0.55900621118012417</v>
      </c>
      <c r="H33" s="524">
        <f t="shared" si="3"/>
        <v>6.1490683229813659E-2</v>
      </c>
      <c r="I33" s="525">
        <f>SUM(H$13:H33)</f>
        <v>1.1495341614906833</v>
      </c>
      <c r="J33" s="526">
        <f t="shared" si="1"/>
        <v>0.54223309504277517</v>
      </c>
      <c r="K33" s="543" t="s">
        <v>206</v>
      </c>
      <c r="L33" s="527"/>
      <c r="M33" s="528"/>
      <c r="N33" s="540"/>
      <c r="O33" s="536"/>
      <c r="P33" s="536"/>
    </row>
    <row r="34" spans="1:17">
      <c r="A34" s="530"/>
      <c r="B34" s="508"/>
      <c r="C34" s="509"/>
      <c r="D34" s="510"/>
      <c r="E34" s="521"/>
      <c r="F34" s="522"/>
      <c r="G34" s="523"/>
      <c r="H34" s="524"/>
      <c r="I34" s="525"/>
      <c r="J34" s="526"/>
      <c r="K34" s="543"/>
      <c r="L34" s="527"/>
      <c r="M34" s="528"/>
      <c r="N34" s="544"/>
      <c r="O34" s="542"/>
      <c r="P34" s="542"/>
    </row>
    <row r="35" spans="1:17">
      <c r="A35" s="530"/>
      <c r="B35" s="508"/>
      <c r="C35" s="509"/>
      <c r="D35" s="510"/>
      <c r="E35" s="521"/>
      <c r="F35" s="522"/>
      <c r="G35" s="523"/>
      <c r="H35" s="524"/>
      <c r="I35" s="525"/>
      <c r="J35" s="526"/>
      <c r="K35" s="543"/>
      <c r="L35" s="527"/>
      <c r="M35" s="528"/>
      <c r="N35" s="545"/>
      <c r="O35" s="546"/>
      <c r="P35" s="547"/>
      <c r="Q35" s="546"/>
    </row>
    <row r="36" spans="1:17">
      <c r="A36" s="530"/>
      <c r="B36" s="508"/>
      <c r="C36" s="509"/>
      <c r="D36" s="510"/>
      <c r="E36" s="521"/>
      <c r="F36" s="522"/>
      <c r="G36" s="523"/>
      <c r="H36" s="524"/>
      <c r="I36" s="525"/>
      <c r="J36" s="526"/>
      <c r="K36" s="543"/>
      <c r="L36" s="527"/>
      <c r="M36" s="528"/>
      <c r="N36" s="545"/>
      <c r="O36" s="546"/>
      <c r="P36" s="548"/>
      <c r="Q36" s="546"/>
    </row>
    <row r="37" spans="1:17">
      <c r="A37" s="530"/>
      <c r="B37" s="508"/>
      <c r="C37" s="509"/>
      <c r="D37" s="510"/>
      <c r="E37" s="521"/>
      <c r="F37" s="522"/>
      <c r="G37" s="523"/>
      <c r="H37" s="524"/>
      <c r="I37" s="525"/>
      <c r="J37" s="526"/>
      <c r="K37" s="543"/>
      <c r="L37" s="527"/>
      <c r="M37" s="528"/>
      <c r="N37" s="549"/>
      <c r="O37" s="546"/>
      <c r="P37" s="546"/>
      <c r="Q37" s="546"/>
    </row>
    <row r="38" spans="1:17">
      <c r="A38" s="530"/>
      <c r="B38" s="508"/>
      <c r="C38" s="509"/>
      <c r="D38" s="510"/>
      <c r="E38" s="521"/>
      <c r="F38" s="522"/>
      <c r="G38" s="523"/>
      <c r="H38" s="524"/>
      <c r="I38" s="525"/>
      <c r="J38" s="526"/>
      <c r="K38" s="543"/>
      <c r="L38" s="527"/>
      <c r="M38" s="528"/>
      <c r="N38" s="550"/>
      <c r="O38" s="551"/>
      <c r="P38" s="542"/>
    </row>
    <row r="39" spans="1:17">
      <c r="A39" s="530"/>
      <c r="B39" s="508"/>
      <c r="C39" s="509"/>
      <c r="D39" s="510"/>
      <c r="E39" s="521"/>
      <c r="F39" s="522"/>
      <c r="G39" s="523"/>
      <c r="H39" s="524"/>
      <c r="I39" s="525"/>
      <c r="J39" s="526"/>
      <c r="K39" s="543"/>
      <c r="L39" s="527"/>
      <c r="M39" s="528"/>
      <c r="N39" s="551"/>
      <c r="O39" s="551"/>
      <c r="P39" s="542"/>
    </row>
    <row r="40" spans="1:17">
      <c r="A40" s="530"/>
      <c r="B40" s="508"/>
      <c r="C40" s="509"/>
      <c r="D40" s="510"/>
      <c r="E40" s="521"/>
      <c r="F40" s="522"/>
      <c r="G40" s="523"/>
      <c r="H40" s="524"/>
      <c r="I40" s="525"/>
      <c r="J40" s="526"/>
      <c r="K40" s="543"/>
      <c r="L40" s="527"/>
      <c r="M40" s="528"/>
      <c r="O40" s="542"/>
      <c r="P40" s="542"/>
    </row>
    <row r="41" spans="1:17">
      <c r="A41" s="530"/>
      <c r="B41" s="508"/>
      <c r="C41" s="509"/>
      <c r="D41" s="510"/>
      <c r="E41" s="521"/>
      <c r="F41" s="522"/>
      <c r="G41" s="523"/>
      <c r="H41" s="524"/>
      <c r="I41" s="525"/>
      <c r="J41" s="526"/>
      <c r="K41" s="543"/>
      <c r="L41" s="527"/>
      <c r="M41" s="528"/>
      <c r="O41" s="542"/>
      <c r="P41" s="542"/>
    </row>
    <row r="42" spans="1:17">
      <c r="A42" s="530"/>
      <c r="B42" s="508"/>
      <c r="C42" s="509"/>
      <c r="D42" s="510"/>
      <c r="E42" s="521"/>
      <c r="F42" s="522"/>
      <c r="G42" s="523"/>
      <c r="H42" s="524"/>
      <c r="I42" s="525"/>
      <c r="J42" s="526"/>
      <c r="K42" s="543"/>
      <c r="L42" s="527"/>
      <c r="M42" s="528"/>
      <c r="O42" s="542"/>
      <c r="P42" s="542"/>
    </row>
    <row r="43" spans="1:17">
      <c r="A43" s="530"/>
      <c r="B43" s="508"/>
      <c r="C43" s="509"/>
      <c r="D43" s="510"/>
      <c r="E43" s="521"/>
      <c r="F43" s="522"/>
      <c r="G43" s="523"/>
      <c r="H43" s="524"/>
      <c r="I43" s="525"/>
      <c r="J43" s="526"/>
      <c r="K43" s="543"/>
      <c r="L43" s="527"/>
      <c r="M43" s="528"/>
      <c r="O43" s="542"/>
      <c r="P43" s="542"/>
    </row>
    <row r="44" spans="1:17">
      <c r="A44" s="530"/>
      <c r="B44" s="508"/>
      <c r="C44" s="509"/>
      <c r="D44" s="510"/>
      <c r="E44" s="521"/>
      <c r="F44" s="522"/>
      <c r="G44" s="523"/>
      <c r="H44" s="524"/>
      <c r="I44" s="525"/>
      <c r="J44" s="526"/>
      <c r="K44" s="543"/>
      <c r="L44" s="527"/>
      <c r="M44" s="528"/>
      <c r="O44" s="542"/>
      <c r="P44" s="542"/>
    </row>
    <row r="45" spans="1:17">
      <c r="A45" s="530"/>
      <c r="B45" s="508"/>
      <c r="C45" s="509"/>
      <c r="D45" s="510"/>
      <c r="E45" s="521"/>
      <c r="F45" s="522"/>
      <c r="G45" s="523"/>
      <c r="H45" s="524"/>
      <c r="I45" s="525"/>
      <c r="J45" s="526"/>
      <c r="K45" s="543"/>
      <c r="L45" s="527"/>
      <c r="M45" s="528"/>
      <c r="O45" s="542"/>
      <c r="P45" s="542"/>
    </row>
    <row r="46" spans="1:17">
      <c r="A46" s="530"/>
      <c r="B46" s="508"/>
      <c r="C46" s="509"/>
      <c r="D46" s="510"/>
      <c r="E46" s="521"/>
      <c r="F46" s="522"/>
      <c r="G46" s="523"/>
      <c r="H46" s="524"/>
      <c r="I46" s="525"/>
      <c r="J46" s="526"/>
      <c r="K46" s="543"/>
      <c r="L46" s="527"/>
      <c r="M46" s="528"/>
      <c r="O46" s="542"/>
      <c r="P46" s="542"/>
    </row>
    <row r="47" spans="1:17">
      <c r="A47" s="530"/>
      <c r="B47" s="508"/>
      <c r="C47" s="509"/>
      <c r="D47" s="510"/>
      <c r="E47" s="521"/>
      <c r="F47" s="522"/>
      <c r="G47" s="523"/>
      <c r="H47" s="524"/>
      <c r="I47" s="525"/>
      <c r="J47" s="526"/>
      <c r="K47" s="543"/>
      <c r="L47" s="527"/>
      <c r="M47" s="528"/>
      <c r="O47" s="542"/>
      <c r="P47" s="542"/>
    </row>
    <row r="48" spans="1:17">
      <c r="A48" s="530"/>
      <c r="B48" s="508"/>
      <c r="C48" s="509"/>
      <c r="D48" s="510"/>
      <c r="E48" s="521"/>
      <c r="F48" s="522"/>
      <c r="G48" s="523"/>
      <c r="H48" s="524"/>
      <c r="I48" s="525"/>
      <c r="J48" s="526"/>
      <c r="K48" s="543"/>
      <c r="L48" s="527"/>
      <c r="M48" s="528"/>
      <c r="O48" s="542"/>
      <c r="P48" s="542"/>
    </row>
    <row r="49" spans="1:17">
      <c r="A49" s="530"/>
      <c r="B49" s="508"/>
      <c r="C49" s="509"/>
      <c r="D49" s="510"/>
      <c r="E49" s="521"/>
      <c r="F49" s="522"/>
      <c r="G49" s="523"/>
      <c r="H49" s="524"/>
      <c r="I49" s="525"/>
      <c r="J49" s="526"/>
      <c r="K49" s="543"/>
      <c r="L49" s="527"/>
      <c r="M49" s="528"/>
      <c r="O49" s="542"/>
      <c r="P49" s="542"/>
    </row>
    <row r="50" spans="1:17">
      <c r="A50" s="530"/>
      <c r="B50" s="508"/>
      <c r="C50" s="509"/>
      <c r="D50" s="510"/>
      <c r="E50" s="521"/>
      <c r="F50" s="522"/>
      <c r="G50" s="523"/>
      <c r="H50" s="524"/>
      <c r="I50" s="525"/>
      <c r="J50" s="526"/>
      <c r="K50" s="543"/>
      <c r="L50" s="527"/>
      <c r="M50" s="528"/>
      <c r="O50" s="542"/>
      <c r="P50" s="542"/>
    </row>
    <row r="51" spans="1:17">
      <c r="A51" s="530"/>
      <c r="B51" s="508"/>
      <c r="C51" s="509"/>
      <c r="D51" s="510"/>
      <c r="E51" s="521"/>
      <c r="F51" s="522"/>
      <c r="G51" s="523"/>
      <c r="H51" s="524"/>
      <c r="I51" s="525"/>
      <c r="J51" s="526"/>
      <c r="K51" s="543"/>
      <c r="L51" s="527"/>
      <c r="M51" s="528"/>
      <c r="O51" s="542"/>
      <c r="P51" s="542"/>
    </row>
    <row r="52" spans="1:17" ht="12" thickBot="1">
      <c r="A52" s="530"/>
      <c r="B52" s="508"/>
      <c r="C52" s="509"/>
      <c r="D52" s="510"/>
      <c r="E52" s="521"/>
      <c r="F52" s="522"/>
      <c r="G52" s="523"/>
      <c r="H52" s="524"/>
      <c r="I52" s="525"/>
      <c r="J52" s="526"/>
      <c r="K52" s="543"/>
      <c r="L52" s="527"/>
      <c r="M52" s="552"/>
      <c r="O52" s="542"/>
      <c r="P52" s="542"/>
    </row>
    <row r="53" spans="1:17">
      <c r="A53" s="530"/>
      <c r="B53" s="508"/>
      <c r="C53" s="509"/>
      <c r="D53" s="510"/>
      <c r="E53" s="521"/>
      <c r="F53" s="522"/>
      <c r="G53" s="523"/>
      <c r="H53" s="524"/>
      <c r="I53" s="525"/>
      <c r="J53" s="526"/>
      <c r="K53" s="543"/>
      <c r="L53" s="553" t="s">
        <v>140</v>
      </c>
      <c r="M53" s="554">
        <f>AVERAGE(M12:M52)</f>
        <v>212</v>
      </c>
      <c r="O53" s="542"/>
      <c r="P53" s="542"/>
    </row>
    <row r="54" spans="1:17">
      <c r="A54" s="530"/>
      <c r="B54" s="508"/>
      <c r="C54" s="509"/>
      <c r="D54" s="510"/>
      <c r="E54" s="521"/>
      <c r="F54" s="522"/>
      <c r="G54" s="523"/>
      <c r="H54" s="524"/>
      <c r="I54" s="525"/>
      <c r="J54" s="526"/>
      <c r="K54" s="543"/>
      <c r="L54" s="429" t="s">
        <v>141</v>
      </c>
      <c r="M54" s="552" t="e">
        <f>STDEV(M12:M52)</f>
        <v>#DIV/0!</v>
      </c>
      <c r="N54" s="484"/>
      <c r="P54" s="542"/>
    </row>
    <row r="55" spans="1:17">
      <c r="A55" s="555" t="s">
        <v>142</v>
      </c>
      <c r="B55" s="556"/>
      <c r="C55" s="557"/>
      <c r="D55" s="558"/>
      <c r="E55" s="559"/>
      <c r="F55" s="560"/>
      <c r="G55" s="561"/>
      <c r="H55" s="562"/>
      <c r="I55" s="563"/>
      <c r="J55" s="564"/>
      <c r="K55" s="565"/>
      <c r="L55" s="429" t="s">
        <v>143</v>
      </c>
      <c r="M55" s="552" t="e">
        <f>M54/SQRT(COUNT(M12:M51))</f>
        <v>#DIV/0!</v>
      </c>
      <c r="N55" s="550"/>
      <c r="Q55" s="484"/>
    </row>
    <row r="56" spans="1:17">
      <c r="A56" s="566"/>
      <c r="B56" s="567"/>
      <c r="C56" s="568"/>
      <c r="D56" s="569"/>
      <c r="E56" s="570"/>
      <c r="F56" s="571"/>
      <c r="G56" s="572"/>
      <c r="H56" s="573"/>
      <c r="I56" s="574"/>
      <c r="J56" s="575"/>
      <c r="K56" s="576"/>
      <c r="L56" s="429" t="s">
        <v>144</v>
      </c>
      <c r="M56" s="552">
        <f>MAX(M12:M51)</f>
        <v>212</v>
      </c>
      <c r="N56" s="550"/>
      <c r="O56" s="542"/>
      <c r="P56" s="542"/>
    </row>
    <row r="57" spans="1:17" ht="12" thickBot="1">
      <c r="A57" s="577"/>
      <c r="B57" s="578"/>
      <c r="C57" s="579"/>
      <c r="D57" s="580"/>
      <c r="E57" s="581"/>
      <c r="F57" s="582"/>
      <c r="G57" s="583"/>
      <c r="H57" s="584"/>
      <c r="I57" s="585"/>
      <c r="J57" s="586"/>
      <c r="K57" s="587"/>
      <c r="L57" s="588" t="s">
        <v>145</v>
      </c>
      <c r="M57" s="589">
        <f>MIN(M12:M51)</f>
        <v>212</v>
      </c>
      <c r="N57" s="484"/>
      <c r="O57" s="542"/>
      <c r="P57" s="542"/>
    </row>
    <row r="58" spans="1:17">
      <c r="A58" s="590"/>
      <c r="B58" s="590"/>
      <c r="C58" s="591"/>
      <c r="D58" s="592"/>
      <c r="E58" s="592"/>
      <c r="F58" s="592"/>
      <c r="G58" s="593"/>
      <c r="H58" s="594"/>
      <c r="I58" s="595"/>
      <c r="J58" s="596"/>
      <c r="K58" s="597"/>
      <c r="L58" s="598"/>
      <c r="M58" s="484"/>
      <c r="O58" s="542"/>
      <c r="P58" s="542"/>
    </row>
    <row r="59" spans="1:17">
      <c r="A59" s="484"/>
      <c r="B59" s="484"/>
      <c r="C59" s="599"/>
      <c r="D59" s="599"/>
      <c r="E59" s="599"/>
      <c r="F59" s="599"/>
      <c r="G59" s="595"/>
      <c r="H59" s="594"/>
      <c r="I59" s="595"/>
      <c r="J59" s="596"/>
      <c r="K59" s="600"/>
      <c r="L59" s="598"/>
      <c r="M59" s="484"/>
      <c r="O59" s="542"/>
      <c r="P59" s="542"/>
    </row>
    <row r="60" spans="1:17">
      <c r="A60" s="601"/>
      <c r="B60" s="601"/>
      <c r="C60" s="601"/>
      <c r="D60" s="601"/>
      <c r="E60" s="596"/>
      <c r="F60" s="602"/>
      <c r="G60" s="484"/>
      <c r="H60" s="542"/>
      <c r="I60" s="484"/>
      <c r="J60" s="542"/>
      <c r="K60" s="542"/>
      <c r="L60" s="484"/>
      <c r="M60" s="484"/>
      <c r="O60" s="542"/>
      <c r="P60" s="542"/>
    </row>
    <row r="61" spans="1:17">
      <c r="A61" s="603"/>
      <c r="B61" s="603"/>
      <c r="C61" s="601"/>
      <c r="D61" s="601"/>
      <c r="E61" s="596"/>
      <c r="F61" s="602"/>
      <c r="G61" s="542"/>
      <c r="H61" s="542"/>
      <c r="I61" s="484"/>
      <c r="J61" s="542"/>
      <c r="K61" s="542"/>
      <c r="L61" s="484"/>
      <c r="M61" s="484"/>
      <c r="O61" s="542"/>
      <c r="P61" s="542"/>
    </row>
    <row r="62" spans="1:17">
      <c r="A62" s="477"/>
      <c r="B62" s="477"/>
      <c r="C62" s="601"/>
      <c r="D62" s="601"/>
      <c r="E62" s="596"/>
      <c r="F62" s="602"/>
      <c r="G62" s="542"/>
      <c r="H62" s="542"/>
      <c r="I62" s="484"/>
      <c r="J62" s="542"/>
      <c r="K62" s="542"/>
      <c r="L62" s="484"/>
      <c r="M62" s="484"/>
      <c r="O62" s="542"/>
      <c r="P62" s="542"/>
    </row>
    <row r="63" spans="1:17">
      <c r="A63" s="601"/>
      <c r="B63" s="601"/>
      <c r="C63" s="601"/>
      <c r="D63" s="601"/>
      <c r="E63" s="596"/>
      <c r="F63" s="602"/>
      <c r="G63" s="542"/>
      <c r="H63" s="542"/>
      <c r="I63" s="484"/>
      <c r="J63" s="542"/>
      <c r="K63" s="542"/>
      <c r="L63" s="484"/>
      <c r="M63" s="484"/>
      <c r="O63" s="542"/>
      <c r="P63" s="542"/>
    </row>
    <row r="64" spans="1:17">
      <c r="A64" s="601"/>
      <c r="B64" s="601"/>
      <c r="C64" s="601"/>
      <c r="D64" s="601"/>
      <c r="E64" s="596"/>
      <c r="F64" s="602"/>
      <c r="G64" s="542"/>
      <c r="H64" s="542"/>
      <c r="I64" s="484"/>
      <c r="J64" s="595"/>
      <c r="K64" s="542"/>
      <c r="L64" s="484"/>
      <c r="M64" s="484"/>
      <c r="O64" s="542"/>
      <c r="P64" s="542"/>
    </row>
    <row r="65" spans="1:16">
      <c r="A65" s="601"/>
      <c r="B65" s="601"/>
      <c r="C65" s="601"/>
      <c r="D65" s="601"/>
      <c r="E65" s="596"/>
      <c r="F65" s="602"/>
      <c r="G65" s="542"/>
      <c r="H65" s="542"/>
      <c r="I65" s="484"/>
      <c r="J65" s="595"/>
      <c r="K65" s="542"/>
      <c r="L65" s="484"/>
      <c r="M65" s="484"/>
      <c r="O65" s="542"/>
      <c r="P65" s="542"/>
    </row>
    <row r="66" spans="1:16">
      <c r="A66" s="601"/>
      <c r="B66" s="601"/>
      <c r="C66" s="601"/>
      <c r="D66" s="601"/>
      <c r="E66" s="596"/>
      <c r="F66" s="602"/>
      <c r="G66" s="542"/>
      <c r="H66" s="542"/>
      <c r="I66" s="484"/>
      <c r="J66" s="542"/>
      <c r="K66" s="542"/>
      <c r="L66" s="484"/>
      <c r="M66" s="484"/>
      <c r="O66" s="542"/>
      <c r="P66" s="542"/>
    </row>
    <row r="67" spans="1:16">
      <c r="A67" s="601"/>
      <c r="B67" s="601"/>
      <c r="C67" s="601"/>
      <c r="D67" s="601"/>
      <c r="E67" s="596"/>
      <c r="F67" s="602"/>
      <c r="G67" s="542"/>
      <c r="H67" s="542"/>
      <c r="I67" s="484"/>
      <c r="J67" s="542"/>
      <c r="K67" s="542"/>
      <c r="L67" s="484"/>
      <c r="M67" s="484"/>
      <c r="O67" s="542"/>
      <c r="P67" s="542"/>
    </row>
    <row r="68" spans="1:16">
      <c r="A68" s="601"/>
      <c r="B68" s="601"/>
      <c r="C68" s="601"/>
      <c r="D68" s="601"/>
      <c r="E68" s="596"/>
      <c r="F68" s="602"/>
      <c r="G68" s="542"/>
      <c r="H68" s="542"/>
      <c r="I68" s="484"/>
      <c r="J68" s="542"/>
      <c r="K68" s="542"/>
      <c r="L68" s="484"/>
      <c r="M68" s="484"/>
      <c r="O68" s="542"/>
      <c r="P68" s="542"/>
    </row>
    <row r="69" spans="1:16">
      <c r="A69" s="601"/>
      <c r="B69" s="601"/>
      <c r="C69" s="601"/>
      <c r="D69" s="601"/>
      <c r="E69" s="596"/>
      <c r="F69" s="602"/>
      <c r="G69" s="542"/>
      <c r="H69" s="542"/>
      <c r="I69" s="484"/>
      <c r="J69" s="542"/>
      <c r="K69" s="542"/>
      <c r="L69" s="484"/>
      <c r="M69" s="484"/>
      <c r="O69" s="542"/>
      <c r="P69" s="542"/>
    </row>
    <row r="70" spans="1:16">
      <c r="A70" s="601"/>
      <c r="B70" s="601"/>
      <c r="C70" s="601"/>
      <c r="D70" s="601"/>
      <c r="E70" s="596"/>
      <c r="F70" s="602"/>
      <c r="G70" s="542"/>
      <c r="H70" s="542"/>
      <c r="I70" s="484"/>
      <c r="J70" s="542"/>
      <c r="K70" s="542"/>
      <c r="L70" s="484"/>
      <c r="M70" s="484"/>
      <c r="O70" s="542"/>
      <c r="P70" s="542"/>
    </row>
    <row r="71" spans="1:16">
      <c r="A71" s="601"/>
      <c r="B71" s="601"/>
      <c r="C71" s="601"/>
      <c r="D71" s="601"/>
      <c r="E71" s="596"/>
      <c r="F71" s="602"/>
      <c r="G71" s="542"/>
      <c r="H71" s="542"/>
      <c r="I71" s="484"/>
      <c r="J71" s="542"/>
      <c r="K71" s="542"/>
      <c r="L71" s="484"/>
      <c r="O71" s="542"/>
      <c r="P71" s="542"/>
    </row>
    <row r="72" spans="1:16">
      <c r="A72" s="601"/>
      <c r="B72" s="601"/>
      <c r="C72" s="601"/>
      <c r="D72" s="601"/>
      <c r="E72" s="596"/>
      <c r="F72" s="602"/>
      <c r="G72" s="542"/>
      <c r="H72" s="542"/>
      <c r="I72" s="484"/>
      <c r="J72" s="542"/>
      <c r="K72" s="542"/>
      <c r="L72" s="484"/>
      <c r="O72" s="542"/>
      <c r="P72" s="542"/>
    </row>
    <row r="73" spans="1:16">
      <c r="A73" s="601"/>
      <c r="B73" s="601"/>
      <c r="C73" s="601"/>
      <c r="D73" s="601"/>
      <c r="E73" s="596"/>
      <c r="F73" s="602"/>
      <c r="G73" s="542"/>
      <c r="H73" s="542"/>
      <c r="I73" s="484"/>
      <c r="J73" s="542"/>
      <c r="K73" s="542"/>
      <c r="L73" s="542"/>
      <c r="O73" s="542"/>
      <c r="P73" s="542"/>
    </row>
    <row r="74" spans="1:16">
      <c r="A74" s="601"/>
      <c r="B74" s="601"/>
      <c r="C74" s="601"/>
      <c r="D74" s="601"/>
      <c r="E74" s="596"/>
      <c r="F74" s="602"/>
      <c r="G74" s="542"/>
      <c r="H74" s="542"/>
      <c r="I74" s="484"/>
      <c r="J74" s="542"/>
      <c r="K74" s="542"/>
      <c r="L74" s="542"/>
      <c r="O74" s="542"/>
      <c r="P74" s="542"/>
    </row>
    <row r="75" spans="1:16">
      <c r="A75" s="601"/>
      <c r="B75" s="601"/>
      <c r="C75" s="601"/>
      <c r="D75" s="601"/>
      <c r="E75" s="596"/>
      <c r="F75" s="602"/>
      <c r="G75" s="542"/>
      <c r="H75" s="542"/>
      <c r="I75" s="484"/>
      <c r="J75" s="542"/>
      <c r="K75" s="542"/>
      <c r="L75" s="542"/>
      <c r="O75" s="542"/>
      <c r="P75" s="542"/>
    </row>
    <row r="76" spans="1:16">
      <c r="A76" s="601"/>
      <c r="B76" s="601"/>
      <c r="C76" s="601"/>
      <c r="D76" s="601"/>
      <c r="E76" s="596"/>
      <c r="F76" s="602"/>
      <c r="G76" s="542"/>
      <c r="H76" s="542"/>
      <c r="I76" s="484"/>
      <c r="J76" s="542"/>
      <c r="K76" s="542"/>
      <c r="L76" s="542"/>
      <c r="O76" s="542"/>
      <c r="P76" s="542"/>
    </row>
    <row r="77" spans="1:16">
      <c r="A77" s="601"/>
      <c r="B77" s="601"/>
      <c r="C77" s="601"/>
      <c r="D77" s="601"/>
      <c r="E77" s="596"/>
      <c r="F77" s="602"/>
      <c r="G77" s="542"/>
      <c r="H77" s="542"/>
      <c r="I77" s="484"/>
      <c r="J77" s="542"/>
      <c r="K77" s="542"/>
      <c r="L77" s="542"/>
      <c r="O77" s="542"/>
      <c r="P77" s="542"/>
    </row>
    <row r="78" spans="1:16">
      <c r="A78" s="601"/>
      <c r="B78" s="601"/>
      <c r="C78" s="601"/>
      <c r="D78" s="601"/>
      <c r="E78" s="596"/>
      <c r="F78" s="602"/>
      <c r="G78" s="542"/>
      <c r="H78" s="542"/>
      <c r="I78" s="484"/>
      <c r="J78" s="542"/>
      <c r="K78" s="542"/>
      <c r="L78" s="542"/>
      <c r="O78" s="542"/>
      <c r="P78" s="542"/>
    </row>
    <row r="79" spans="1:16">
      <c r="A79" s="601"/>
      <c r="B79" s="601"/>
      <c r="C79" s="601"/>
      <c r="D79" s="601"/>
      <c r="E79" s="596"/>
      <c r="F79" s="602"/>
      <c r="G79" s="542"/>
      <c r="H79" s="542"/>
      <c r="I79" s="484"/>
      <c r="J79" s="542"/>
      <c r="K79" s="542"/>
      <c r="L79" s="542"/>
      <c r="O79" s="542"/>
      <c r="P79" s="542"/>
    </row>
    <row r="80" spans="1:16">
      <c r="A80" s="601"/>
      <c r="B80" s="601"/>
      <c r="C80" s="601"/>
      <c r="D80" s="601"/>
      <c r="E80" s="596"/>
      <c r="F80" s="602"/>
      <c r="G80" s="542"/>
      <c r="H80" s="542"/>
      <c r="I80" s="484"/>
      <c r="J80" s="542"/>
      <c r="K80" s="542"/>
      <c r="L80" s="542"/>
      <c r="O80" s="542"/>
      <c r="P80" s="542"/>
    </row>
    <row r="81" spans="1:17">
      <c r="A81" s="601"/>
      <c r="B81" s="601"/>
      <c r="C81" s="601"/>
      <c r="D81" s="601"/>
      <c r="E81" s="596"/>
      <c r="F81" s="602"/>
      <c r="G81" s="542"/>
      <c r="H81" s="542"/>
      <c r="I81" s="484"/>
      <c r="J81" s="542"/>
      <c r="K81" s="542"/>
      <c r="L81" s="542"/>
      <c r="O81" s="542"/>
      <c r="P81" s="542"/>
    </row>
    <row r="82" spans="1:17">
      <c r="A82" s="601"/>
      <c r="B82" s="601"/>
      <c r="C82" s="601"/>
      <c r="D82" s="601"/>
      <c r="E82" s="596"/>
      <c r="F82" s="602"/>
      <c r="G82" s="542"/>
      <c r="H82" s="542"/>
      <c r="I82" s="484"/>
      <c r="J82" s="542"/>
      <c r="K82" s="542"/>
      <c r="L82" s="542"/>
      <c r="O82" s="542"/>
      <c r="P82" s="542"/>
    </row>
    <row r="83" spans="1:17">
      <c r="A83" s="601"/>
      <c r="B83" s="601"/>
      <c r="C83" s="601"/>
      <c r="D83" s="601"/>
      <c r="E83" s="596"/>
      <c r="F83" s="602"/>
      <c r="G83" s="542"/>
      <c r="H83" s="542"/>
      <c r="I83" s="484"/>
      <c r="J83" s="542"/>
      <c r="K83" s="542"/>
      <c r="L83" s="542"/>
      <c r="O83" s="542"/>
      <c r="P83" s="542"/>
    </row>
    <row r="84" spans="1:17">
      <c r="A84" s="601"/>
      <c r="B84" s="601"/>
      <c r="C84" s="601"/>
      <c r="D84" s="601"/>
      <c r="E84" s="596"/>
      <c r="F84" s="602"/>
      <c r="G84" s="604"/>
      <c r="H84" s="542"/>
      <c r="I84" s="484"/>
      <c r="J84" s="542"/>
      <c r="K84" s="542"/>
      <c r="L84" s="542"/>
      <c r="O84" s="542"/>
      <c r="P84" s="542"/>
    </row>
    <row r="85" spans="1:17">
      <c r="A85" s="601"/>
      <c r="B85" s="601"/>
      <c r="C85" s="601"/>
      <c r="D85" s="601"/>
      <c r="E85" s="596"/>
      <c r="F85" s="602"/>
      <c r="G85" s="604"/>
      <c r="H85" s="542"/>
      <c r="I85" s="484"/>
      <c r="J85" s="542"/>
      <c r="K85" s="542"/>
      <c r="L85" s="542"/>
      <c r="O85" s="542"/>
      <c r="P85" s="542"/>
    </row>
    <row r="86" spans="1:17">
      <c r="A86" s="601"/>
      <c r="B86" s="601"/>
      <c r="C86" s="601"/>
      <c r="D86" s="601"/>
      <c r="E86" s="596"/>
      <c r="F86" s="602"/>
      <c r="G86" s="604"/>
      <c r="H86" s="542"/>
      <c r="I86" s="484"/>
      <c r="J86" s="542"/>
      <c r="K86" s="542"/>
      <c r="L86" s="542"/>
      <c r="O86" s="542"/>
      <c r="P86" s="542"/>
    </row>
    <row r="87" spans="1:17">
      <c r="A87" s="601"/>
      <c r="B87" s="601"/>
      <c r="C87" s="601"/>
      <c r="D87" s="601"/>
      <c r="E87" s="596"/>
      <c r="F87" s="602"/>
      <c r="G87" s="604"/>
      <c r="H87" s="542"/>
      <c r="I87" s="484"/>
      <c r="J87" s="542"/>
      <c r="K87" s="542"/>
      <c r="L87" s="542"/>
      <c r="O87" s="542"/>
      <c r="P87" s="542"/>
    </row>
    <row r="88" spans="1:17">
      <c r="A88" s="601"/>
      <c r="B88" s="601"/>
      <c r="C88" s="601"/>
      <c r="D88" s="601"/>
      <c r="E88" s="596"/>
      <c r="F88" s="602"/>
      <c r="G88" s="542"/>
      <c r="H88" s="542"/>
      <c r="I88" s="484"/>
      <c r="J88" s="542"/>
      <c r="K88" s="542"/>
      <c r="L88" s="542"/>
      <c r="O88" s="542"/>
      <c r="P88" s="542"/>
    </row>
    <row r="89" spans="1:17">
      <c r="A89" s="601"/>
      <c r="B89" s="601"/>
      <c r="C89" s="601"/>
      <c r="D89" s="601"/>
      <c r="E89" s="596"/>
      <c r="F89" s="602"/>
      <c r="G89" s="542"/>
      <c r="H89" s="542"/>
      <c r="I89" s="484"/>
      <c r="J89" s="542"/>
      <c r="K89" s="542"/>
      <c r="L89" s="542"/>
      <c r="O89" s="542"/>
      <c r="P89" s="542"/>
    </row>
    <row r="90" spans="1:17" s="601" customFormat="1">
      <c r="E90" s="596"/>
      <c r="F90" s="602"/>
      <c r="G90" s="542"/>
      <c r="H90" s="542"/>
      <c r="I90" s="484"/>
      <c r="J90" s="542"/>
      <c r="K90" s="542"/>
      <c r="L90" s="542"/>
      <c r="M90" s="542"/>
      <c r="N90" s="542"/>
      <c r="O90" s="542"/>
      <c r="P90" s="542"/>
      <c r="Q90" s="542"/>
    </row>
    <row r="91" spans="1:17" s="601" customFormat="1">
      <c r="E91" s="596"/>
      <c r="F91" s="602"/>
      <c r="G91" s="542"/>
      <c r="H91" s="542"/>
      <c r="I91" s="484"/>
      <c r="J91" s="542"/>
      <c r="K91" s="542"/>
      <c r="L91" s="542"/>
      <c r="M91" s="542"/>
      <c r="N91" s="542"/>
      <c r="O91" s="542"/>
      <c r="P91" s="542"/>
      <c r="Q91" s="542"/>
    </row>
    <row r="92" spans="1:17" s="601" customFormat="1">
      <c r="E92" s="596"/>
      <c r="F92" s="602"/>
      <c r="G92" s="542"/>
      <c r="H92" s="542"/>
      <c r="I92" s="484"/>
      <c r="J92" s="542"/>
      <c r="K92" s="542"/>
      <c r="L92" s="542"/>
      <c r="M92" s="542"/>
      <c r="N92" s="542"/>
      <c r="O92" s="542"/>
      <c r="P92" s="542"/>
      <c r="Q92" s="542"/>
    </row>
    <row r="93" spans="1:17" s="601" customFormat="1">
      <c r="E93" s="596"/>
      <c r="F93" s="602"/>
      <c r="G93" s="542"/>
      <c r="H93" s="542"/>
      <c r="I93" s="484"/>
      <c r="J93" s="542"/>
      <c r="K93" s="542"/>
      <c r="L93" s="542"/>
      <c r="M93" s="542"/>
      <c r="N93" s="542"/>
      <c r="O93" s="542"/>
      <c r="P93" s="542"/>
      <c r="Q93" s="542"/>
    </row>
    <row r="94" spans="1:17" s="601" customFormat="1">
      <c r="E94" s="596"/>
      <c r="F94" s="602"/>
      <c r="G94" s="542"/>
      <c r="H94" s="542"/>
      <c r="I94" s="484"/>
      <c r="J94" s="542"/>
      <c r="K94" s="542"/>
      <c r="L94" s="542"/>
      <c r="M94" s="542"/>
      <c r="N94" s="542"/>
      <c r="O94" s="542"/>
      <c r="P94" s="542"/>
      <c r="Q94" s="542"/>
    </row>
    <row r="95" spans="1:17" s="601" customFormat="1">
      <c r="E95" s="596"/>
      <c r="F95" s="602"/>
      <c r="G95" s="542"/>
      <c r="H95" s="542"/>
      <c r="I95" s="484"/>
      <c r="J95" s="542"/>
      <c r="K95" s="542"/>
      <c r="L95" s="542"/>
      <c r="M95" s="542"/>
    </row>
    <row r="96" spans="1:17" s="601" customFormat="1">
      <c r="E96" s="596"/>
      <c r="F96" s="602"/>
      <c r="G96" s="542"/>
      <c r="H96" s="542"/>
      <c r="I96" s="484"/>
      <c r="J96" s="542"/>
      <c r="K96" s="542"/>
      <c r="L96" s="542"/>
      <c r="M96" s="542"/>
    </row>
    <row r="97" spans="5:13" s="601" customFormat="1">
      <c r="E97" s="596"/>
      <c r="F97" s="602"/>
      <c r="G97" s="542"/>
      <c r="H97" s="542"/>
      <c r="I97" s="484"/>
      <c r="J97" s="542"/>
      <c r="K97" s="542"/>
      <c r="L97" s="542"/>
      <c r="M97" s="542"/>
    </row>
    <row r="98" spans="5:13" s="601" customFormat="1">
      <c r="E98" s="596"/>
      <c r="F98" s="602"/>
      <c r="G98" s="542"/>
      <c r="H98" s="542"/>
      <c r="I98" s="484"/>
      <c r="J98" s="542"/>
      <c r="K98" s="542"/>
      <c r="L98" s="542"/>
      <c r="M98" s="542"/>
    </row>
    <row r="99" spans="5:13" s="601" customFormat="1">
      <c r="E99" s="596"/>
      <c r="F99" s="602"/>
      <c r="G99" s="542"/>
      <c r="H99" s="542"/>
      <c r="I99" s="484"/>
      <c r="J99" s="542"/>
      <c r="K99" s="542"/>
      <c r="L99" s="542"/>
      <c r="M99" s="542"/>
    </row>
    <row r="100" spans="5:13" s="601" customFormat="1">
      <c r="E100" s="596"/>
      <c r="F100" s="602"/>
      <c r="G100" s="542"/>
      <c r="H100" s="542"/>
      <c r="I100" s="484"/>
      <c r="J100" s="542"/>
      <c r="K100" s="542"/>
      <c r="L100" s="542"/>
      <c r="M100" s="542"/>
    </row>
    <row r="101" spans="5:13" s="601" customFormat="1">
      <c r="E101" s="596"/>
      <c r="F101" s="602"/>
      <c r="G101" s="542"/>
      <c r="H101" s="542"/>
      <c r="I101" s="484"/>
      <c r="J101" s="542"/>
      <c r="K101" s="542"/>
      <c r="L101" s="542"/>
      <c r="M101" s="542"/>
    </row>
    <row r="102" spans="5:13" s="601" customFormat="1">
      <c r="E102" s="596"/>
      <c r="F102" s="602"/>
      <c r="G102" s="542"/>
      <c r="H102" s="542"/>
      <c r="I102" s="484"/>
      <c r="J102" s="542"/>
      <c r="K102" s="542"/>
      <c r="L102" s="542"/>
      <c r="M102" s="542"/>
    </row>
    <row r="103" spans="5:13" s="601" customFormat="1">
      <c r="E103" s="596"/>
      <c r="F103" s="602"/>
      <c r="G103" s="542"/>
      <c r="H103" s="542"/>
      <c r="I103" s="484"/>
      <c r="J103" s="542"/>
      <c r="K103" s="542"/>
      <c r="L103" s="542"/>
      <c r="M103" s="542"/>
    </row>
    <row r="104" spans="5:13" s="601" customFormat="1">
      <c r="E104" s="596"/>
      <c r="F104" s="602"/>
      <c r="G104" s="542"/>
      <c r="H104" s="542"/>
      <c r="I104" s="484"/>
      <c r="J104" s="542"/>
      <c r="K104" s="542"/>
      <c r="L104" s="542"/>
      <c r="M104" s="542"/>
    </row>
    <row r="105" spans="5:13" s="601" customFormat="1">
      <c r="E105" s="596"/>
      <c r="F105" s="602"/>
      <c r="G105" s="542"/>
      <c r="H105" s="542"/>
      <c r="I105" s="484"/>
      <c r="J105" s="542"/>
      <c r="K105" s="542"/>
      <c r="L105" s="542"/>
      <c r="M105" s="542"/>
    </row>
    <row r="106" spans="5:13" s="601" customFormat="1">
      <c r="E106" s="596"/>
      <c r="F106" s="602"/>
      <c r="G106" s="542"/>
      <c r="H106" s="542"/>
      <c r="I106" s="484"/>
      <c r="J106" s="542"/>
      <c r="K106" s="542"/>
      <c r="L106" s="542"/>
      <c r="M106" s="542"/>
    </row>
    <row r="107" spans="5:13" s="601" customFormat="1">
      <c r="E107" s="596"/>
      <c r="F107" s="602"/>
      <c r="G107" s="542"/>
      <c r="H107" s="542"/>
      <c r="I107" s="484"/>
      <c r="J107" s="542"/>
      <c r="K107" s="542"/>
      <c r="L107" s="542"/>
      <c r="M107" s="542"/>
    </row>
    <row r="108" spans="5:13" s="601" customFormat="1">
      <c r="E108" s="596"/>
      <c r="F108" s="602"/>
      <c r="G108" s="542"/>
      <c r="H108" s="542"/>
      <c r="I108" s="484"/>
      <c r="J108" s="542"/>
      <c r="K108" s="542"/>
      <c r="L108" s="542"/>
      <c r="M108" s="542"/>
    </row>
    <row r="109" spans="5:13" s="601" customFormat="1">
      <c r="E109" s="596"/>
      <c r="F109" s="602"/>
      <c r="G109" s="542"/>
      <c r="H109" s="542"/>
      <c r="I109" s="484"/>
      <c r="J109" s="542"/>
      <c r="K109" s="542"/>
      <c r="L109" s="542"/>
      <c r="M109" s="542"/>
    </row>
    <row r="110" spans="5:13" s="601" customFormat="1">
      <c r="E110" s="596"/>
      <c r="F110" s="602"/>
      <c r="G110" s="542"/>
      <c r="H110" s="542"/>
      <c r="I110" s="484"/>
      <c r="J110" s="542"/>
      <c r="K110" s="542"/>
      <c r="L110" s="542"/>
    </row>
    <row r="111" spans="5:13" s="601" customFormat="1">
      <c r="E111" s="596"/>
      <c r="F111" s="602"/>
      <c r="G111" s="542"/>
      <c r="H111" s="542"/>
      <c r="I111" s="484"/>
      <c r="J111" s="542"/>
      <c r="K111" s="542"/>
      <c r="L111" s="542"/>
    </row>
    <row r="112" spans="5:13" s="601" customFormat="1">
      <c r="E112" s="596"/>
      <c r="F112" s="602"/>
      <c r="G112" s="542"/>
      <c r="H112" s="542"/>
      <c r="I112" s="484"/>
      <c r="J112" s="542"/>
      <c r="K112" s="542"/>
      <c r="L112" s="542"/>
    </row>
    <row r="113" spans="5:12" s="601" customFormat="1">
      <c r="E113" s="596"/>
      <c r="F113" s="602"/>
      <c r="G113" s="542"/>
      <c r="H113" s="542"/>
      <c r="I113" s="484"/>
      <c r="J113" s="542"/>
      <c r="K113" s="542"/>
      <c r="L113" s="542"/>
    </row>
    <row r="114" spans="5:12" s="601" customFormat="1">
      <c r="E114" s="596"/>
      <c r="F114" s="602"/>
      <c r="G114" s="542"/>
      <c r="H114" s="542"/>
      <c r="I114" s="484"/>
      <c r="J114" s="542"/>
      <c r="K114" s="542"/>
      <c r="L114" s="542"/>
    </row>
    <row r="115" spans="5:12" s="601" customFormat="1">
      <c r="E115" s="596"/>
      <c r="F115" s="602"/>
      <c r="G115" s="542"/>
      <c r="H115" s="542"/>
      <c r="I115" s="484"/>
      <c r="J115" s="542"/>
      <c r="K115" s="542"/>
      <c r="L115" s="542"/>
    </row>
    <row r="116" spans="5:12" s="601" customFormat="1">
      <c r="E116" s="596"/>
      <c r="F116" s="602"/>
      <c r="G116" s="542"/>
      <c r="H116" s="542"/>
      <c r="I116" s="484"/>
      <c r="J116" s="542"/>
      <c r="K116" s="542"/>
      <c r="L116" s="542"/>
    </row>
    <row r="117" spans="5:12" s="601" customFormat="1">
      <c r="E117" s="596"/>
      <c r="F117" s="602"/>
      <c r="G117" s="542"/>
      <c r="H117" s="542"/>
      <c r="I117" s="484"/>
      <c r="J117" s="542"/>
      <c r="K117" s="542"/>
      <c r="L117" s="542"/>
    </row>
    <row r="118" spans="5:12" s="601" customFormat="1">
      <c r="E118" s="596"/>
      <c r="F118" s="602"/>
      <c r="G118" s="542"/>
      <c r="H118" s="542"/>
      <c r="I118" s="484"/>
      <c r="J118" s="542"/>
      <c r="K118" s="542"/>
      <c r="L118" s="542"/>
    </row>
    <row r="119" spans="5:12" s="601" customFormat="1">
      <c r="E119" s="596"/>
      <c r="F119" s="602"/>
      <c r="G119" s="542"/>
      <c r="H119" s="542"/>
      <c r="I119" s="484"/>
      <c r="J119" s="542"/>
      <c r="K119" s="542"/>
      <c r="L119" s="542"/>
    </row>
    <row r="120" spans="5:12" s="601" customFormat="1">
      <c r="E120" s="596"/>
      <c r="F120" s="602"/>
      <c r="G120" s="542"/>
      <c r="H120" s="542"/>
      <c r="I120" s="484"/>
      <c r="J120" s="542"/>
      <c r="K120" s="542"/>
      <c r="L120" s="542"/>
    </row>
    <row r="121" spans="5:12" s="601" customFormat="1">
      <c r="E121" s="596"/>
      <c r="F121" s="602"/>
      <c r="G121" s="542"/>
      <c r="H121" s="542"/>
      <c r="I121" s="484"/>
      <c r="J121" s="542"/>
      <c r="K121" s="542"/>
      <c r="L121" s="542"/>
    </row>
    <row r="122" spans="5:12" s="601" customFormat="1">
      <c r="E122" s="596"/>
      <c r="F122" s="602"/>
      <c r="G122" s="542"/>
      <c r="H122" s="542"/>
      <c r="I122" s="484"/>
      <c r="J122" s="542"/>
      <c r="K122" s="542"/>
      <c r="L122" s="542"/>
    </row>
    <row r="123" spans="5:12" s="601" customFormat="1">
      <c r="E123" s="596"/>
      <c r="F123" s="602"/>
      <c r="G123" s="542"/>
      <c r="H123" s="542"/>
      <c r="I123" s="484"/>
      <c r="J123" s="542"/>
      <c r="K123" s="542"/>
      <c r="L123" s="542"/>
    </row>
    <row r="124" spans="5:12" s="601" customFormat="1">
      <c r="E124" s="596"/>
      <c r="F124" s="602"/>
      <c r="G124" s="542"/>
      <c r="H124" s="542"/>
      <c r="I124" s="484"/>
      <c r="J124" s="542"/>
      <c r="K124" s="542"/>
      <c r="L124" s="542"/>
    </row>
    <row r="125" spans="5:12" s="601" customFormat="1">
      <c r="E125" s="596"/>
      <c r="F125" s="602"/>
      <c r="G125" s="542"/>
      <c r="H125" s="542"/>
      <c r="I125" s="484"/>
      <c r="J125" s="542"/>
      <c r="K125" s="542"/>
      <c r="L125" s="542"/>
    </row>
    <row r="126" spans="5:12" s="601" customFormat="1">
      <c r="E126" s="596"/>
      <c r="F126" s="602"/>
      <c r="G126" s="542"/>
      <c r="H126" s="542"/>
      <c r="I126" s="484"/>
      <c r="J126" s="542"/>
      <c r="K126" s="542"/>
      <c r="L126" s="542"/>
    </row>
    <row r="127" spans="5:12" s="601" customFormat="1">
      <c r="E127" s="596"/>
      <c r="F127" s="602"/>
      <c r="G127" s="542"/>
      <c r="H127" s="542"/>
      <c r="I127" s="484"/>
      <c r="J127" s="542"/>
      <c r="K127" s="542"/>
      <c r="L127" s="542"/>
    </row>
    <row r="128" spans="5:12" s="601" customFormat="1">
      <c r="E128" s="596"/>
      <c r="F128" s="602"/>
      <c r="G128" s="542"/>
      <c r="H128" s="542"/>
      <c r="I128" s="484"/>
      <c r="J128" s="542"/>
      <c r="K128" s="542"/>
      <c r="L128" s="542"/>
    </row>
    <row r="129" spans="5:12" s="601" customFormat="1">
      <c r="E129" s="596"/>
      <c r="F129" s="602"/>
      <c r="G129" s="542"/>
      <c r="H129" s="542"/>
      <c r="I129" s="484"/>
      <c r="J129" s="542"/>
      <c r="K129" s="542"/>
      <c r="L129" s="542"/>
    </row>
    <row r="130" spans="5:12" s="601" customFormat="1">
      <c r="E130" s="596"/>
      <c r="F130" s="602"/>
      <c r="G130" s="542"/>
      <c r="H130" s="542"/>
      <c r="I130" s="484"/>
      <c r="J130" s="542"/>
      <c r="K130" s="542"/>
      <c r="L130" s="542"/>
    </row>
    <row r="131" spans="5:12" s="601" customFormat="1">
      <c r="E131" s="596"/>
      <c r="F131" s="602"/>
      <c r="G131" s="542"/>
      <c r="H131" s="542"/>
      <c r="I131" s="484"/>
      <c r="J131" s="542"/>
      <c r="K131" s="542"/>
      <c r="L131" s="542"/>
    </row>
    <row r="132" spans="5:12" s="601" customFormat="1">
      <c r="E132" s="596"/>
      <c r="F132" s="602"/>
      <c r="G132" s="542"/>
      <c r="H132" s="542"/>
      <c r="I132" s="484"/>
      <c r="J132" s="542"/>
      <c r="K132" s="542"/>
      <c r="L132" s="542"/>
    </row>
    <row r="133" spans="5:12" s="601" customFormat="1">
      <c r="E133" s="596"/>
      <c r="F133" s="602"/>
      <c r="G133" s="542"/>
      <c r="H133" s="542"/>
      <c r="I133" s="484"/>
      <c r="J133" s="542"/>
      <c r="K133" s="542"/>
      <c r="L133" s="542"/>
    </row>
    <row r="134" spans="5:12" s="601" customFormat="1">
      <c r="E134" s="596"/>
      <c r="F134" s="602"/>
      <c r="G134" s="542"/>
      <c r="H134" s="542"/>
      <c r="I134" s="484"/>
      <c r="J134" s="542"/>
      <c r="K134" s="542"/>
      <c r="L134" s="542"/>
    </row>
    <row r="135" spans="5:12" s="601" customFormat="1">
      <c r="E135" s="596"/>
      <c r="F135" s="602"/>
      <c r="G135" s="542"/>
      <c r="H135" s="542"/>
      <c r="I135" s="484"/>
      <c r="J135" s="542"/>
      <c r="K135" s="542"/>
      <c r="L135" s="542"/>
    </row>
    <row r="136" spans="5:12" s="601" customFormat="1">
      <c r="E136" s="596"/>
      <c r="F136" s="602"/>
      <c r="G136" s="542"/>
      <c r="H136" s="542"/>
      <c r="I136" s="484"/>
      <c r="J136" s="542"/>
      <c r="K136" s="542"/>
      <c r="L136" s="542"/>
    </row>
    <row r="137" spans="5:12" s="601" customFormat="1">
      <c r="E137" s="596"/>
      <c r="F137" s="602"/>
      <c r="G137" s="542"/>
      <c r="H137" s="542"/>
      <c r="I137" s="484"/>
      <c r="J137" s="542"/>
      <c r="K137" s="542"/>
      <c r="L137" s="542"/>
    </row>
    <row r="138" spans="5:12" s="601" customFormat="1">
      <c r="E138" s="596"/>
      <c r="F138" s="602"/>
      <c r="G138" s="542"/>
      <c r="H138" s="542"/>
      <c r="I138" s="484"/>
      <c r="J138" s="542"/>
      <c r="K138" s="542"/>
      <c r="L138" s="542"/>
    </row>
    <row r="139" spans="5:12" s="601" customFormat="1">
      <c r="E139" s="596"/>
      <c r="F139" s="602"/>
      <c r="G139" s="542"/>
      <c r="H139" s="542"/>
      <c r="I139" s="484"/>
      <c r="J139" s="542"/>
      <c r="K139" s="542"/>
      <c r="L139" s="542"/>
    </row>
    <row r="140" spans="5:12" s="601" customFormat="1">
      <c r="E140" s="596"/>
      <c r="F140" s="602"/>
      <c r="G140" s="542"/>
      <c r="H140" s="542"/>
      <c r="I140" s="484"/>
      <c r="J140" s="542"/>
      <c r="K140" s="542"/>
      <c r="L140" s="542"/>
    </row>
    <row r="141" spans="5:12" s="601" customFormat="1">
      <c r="E141" s="596"/>
      <c r="F141" s="602"/>
      <c r="G141" s="542"/>
      <c r="H141" s="542"/>
      <c r="I141" s="484"/>
      <c r="J141" s="542"/>
      <c r="K141" s="542"/>
      <c r="L141" s="542"/>
    </row>
    <row r="142" spans="5:12" s="601" customFormat="1">
      <c r="E142" s="596"/>
      <c r="F142" s="602"/>
      <c r="G142" s="542"/>
      <c r="H142" s="542"/>
      <c r="I142" s="484"/>
      <c r="J142" s="542"/>
      <c r="K142" s="542"/>
      <c r="L142" s="542"/>
    </row>
    <row r="143" spans="5:12" s="601" customFormat="1">
      <c r="E143" s="596"/>
      <c r="F143" s="602"/>
      <c r="G143" s="542"/>
      <c r="H143" s="542"/>
      <c r="I143" s="484"/>
      <c r="J143" s="542"/>
      <c r="K143" s="542"/>
      <c r="L143" s="542"/>
    </row>
    <row r="144" spans="5:12" s="601" customFormat="1">
      <c r="E144" s="596"/>
      <c r="F144" s="602"/>
      <c r="G144" s="542"/>
      <c r="H144" s="542"/>
      <c r="I144" s="484"/>
      <c r="J144" s="542"/>
      <c r="K144" s="542"/>
      <c r="L144" s="542"/>
    </row>
    <row r="145" spans="1:17" s="601" customFormat="1">
      <c r="E145" s="596"/>
      <c r="F145" s="602"/>
      <c r="G145" s="542"/>
      <c r="H145" s="542"/>
      <c r="I145" s="484"/>
      <c r="J145" s="542"/>
      <c r="K145" s="542"/>
      <c r="L145" s="542"/>
    </row>
    <row r="146" spans="1:17" s="601" customFormat="1">
      <c r="E146" s="596"/>
      <c r="F146" s="602"/>
      <c r="G146" s="542"/>
      <c r="H146" s="542"/>
      <c r="I146" s="484"/>
      <c r="J146" s="542"/>
      <c r="K146" s="542"/>
      <c r="L146" s="542"/>
    </row>
    <row r="147" spans="1:17">
      <c r="A147" s="601"/>
      <c r="B147" s="601"/>
      <c r="C147" s="601"/>
      <c r="D147" s="601"/>
      <c r="E147" s="596"/>
      <c r="F147" s="602"/>
      <c r="G147" s="542"/>
      <c r="H147" s="542"/>
      <c r="I147" s="484"/>
      <c r="J147" s="542"/>
      <c r="K147" s="542"/>
      <c r="L147" s="542"/>
      <c r="M147" s="601"/>
      <c r="N147" s="601"/>
      <c r="O147" s="601"/>
      <c r="P147" s="601"/>
      <c r="Q147" s="601"/>
    </row>
    <row r="148" spans="1:17">
      <c r="A148" s="601"/>
      <c r="B148" s="601"/>
      <c r="C148" s="601"/>
      <c r="D148" s="601"/>
      <c r="E148" s="596"/>
      <c r="F148" s="602"/>
      <c r="G148" s="542"/>
      <c r="H148" s="542"/>
      <c r="I148" s="484"/>
      <c r="J148" s="542"/>
      <c r="K148" s="542"/>
      <c r="L148" s="542"/>
      <c r="M148" s="601"/>
      <c r="N148" s="601"/>
      <c r="O148" s="601"/>
      <c r="P148" s="601"/>
      <c r="Q148" s="601"/>
    </row>
    <row r="149" spans="1:17">
      <c r="A149" s="601"/>
      <c r="B149" s="601"/>
      <c r="C149" s="601"/>
      <c r="D149" s="601"/>
      <c r="E149" s="596"/>
      <c r="F149" s="602"/>
      <c r="G149" s="542"/>
      <c r="H149" s="542"/>
      <c r="I149" s="484"/>
      <c r="J149" s="542"/>
      <c r="K149" s="542"/>
      <c r="L149" s="542"/>
      <c r="M149" s="601"/>
      <c r="N149" s="601"/>
      <c r="O149" s="601"/>
      <c r="P149" s="601"/>
      <c r="Q149" s="601"/>
    </row>
    <row r="150" spans="1:17">
      <c r="A150" s="601"/>
      <c r="B150" s="601"/>
      <c r="C150" s="601"/>
      <c r="D150" s="601"/>
      <c r="E150" s="596"/>
      <c r="F150" s="602"/>
      <c r="G150" s="542"/>
      <c r="H150" s="542"/>
      <c r="I150" s="484"/>
      <c r="J150" s="542"/>
      <c r="K150" s="542"/>
      <c r="L150" s="542"/>
      <c r="M150" s="601"/>
      <c r="N150" s="601"/>
      <c r="O150" s="601"/>
      <c r="P150" s="601"/>
      <c r="Q150" s="601"/>
    </row>
    <row r="151" spans="1:17">
      <c r="A151" s="601"/>
      <c r="B151" s="601"/>
      <c r="C151" s="601"/>
      <c r="D151" s="601"/>
      <c r="E151" s="596"/>
      <c r="F151" s="602"/>
      <c r="G151" s="542"/>
      <c r="H151" s="542"/>
      <c r="I151" s="484"/>
      <c r="J151" s="542"/>
      <c r="K151" s="542"/>
      <c r="L151" s="542"/>
      <c r="M151" s="601"/>
      <c r="N151" s="601"/>
      <c r="O151" s="601"/>
      <c r="P151" s="601"/>
      <c r="Q151" s="601"/>
    </row>
    <row r="152" spans="1:17">
      <c r="A152" s="601"/>
      <c r="B152" s="601"/>
      <c r="C152" s="601"/>
      <c r="D152" s="601"/>
      <c r="E152" s="596"/>
      <c r="F152" s="602"/>
      <c r="G152" s="542"/>
      <c r="H152" s="542"/>
      <c r="I152" s="484"/>
      <c r="J152" s="542"/>
      <c r="K152" s="542"/>
      <c r="L152" s="542"/>
      <c r="M152" s="601"/>
    </row>
    <row r="153" spans="1:17">
      <c r="A153" s="601"/>
      <c r="B153" s="601"/>
      <c r="C153" s="601"/>
      <c r="D153" s="601"/>
      <c r="E153" s="596"/>
      <c r="F153" s="602"/>
      <c r="G153" s="542"/>
      <c r="H153" s="542"/>
      <c r="I153" s="484"/>
      <c r="J153" s="542"/>
      <c r="K153" s="542"/>
      <c r="L153" s="542"/>
      <c r="M153" s="601"/>
    </row>
    <row r="154" spans="1:17">
      <c r="A154" s="601"/>
      <c r="B154" s="601"/>
      <c r="C154" s="601"/>
      <c r="D154" s="601"/>
      <c r="E154" s="596"/>
      <c r="F154" s="602"/>
      <c r="G154" s="542"/>
      <c r="H154" s="542"/>
      <c r="I154" s="484"/>
      <c r="J154" s="542"/>
      <c r="K154" s="542"/>
      <c r="L154" s="542"/>
      <c r="M154" s="601"/>
    </row>
    <row r="155" spans="1:17">
      <c r="A155" s="601"/>
      <c r="B155" s="601"/>
      <c r="C155" s="601"/>
      <c r="D155" s="601"/>
      <c r="E155" s="596"/>
      <c r="F155" s="602"/>
      <c r="G155" s="542"/>
      <c r="H155" s="542"/>
      <c r="I155" s="484"/>
      <c r="J155" s="542"/>
      <c r="K155" s="542"/>
      <c r="L155" s="542"/>
      <c r="M155" s="601"/>
    </row>
    <row r="156" spans="1:17">
      <c r="J156" s="542"/>
      <c r="K156" s="542"/>
      <c r="L156" s="542"/>
      <c r="M156" s="601"/>
    </row>
    <row r="157" spans="1:17">
      <c r="J157" s="542"/>
      <c r="K157" s="542"/>
      <c r="L157" s="542"/>
      <c r="M157" s="601"/>
    </row>
    <row r="158" spans="1:17">
      <c r="J158" s="542"/>
      <c r="K158" s="542"/>
      <c r="L158" s="542"/>
      <c r="M158" s="601"/>
    </row>
    <row r="159" spans="1:17">
      <c r="J159" s="542"/>
      <c r="K159" s="542"/>
      <c r="L159" s="542"/>
      <c r="M159" s="601"/>
    </row>
    <row r="160" spans="1:17">
      <c r="J160" s="542"/>
      <c r="K160" s="542"/>
      <c r="L160" s="542"/>
      <c r="M160" s="601"/>
    </row>
    <row r="161" spans="10:13">
      <c r="J161" s="542"/>
      <c r="K161" s="542"/>
      <c r="L161" s="542"/>
      <c r="M161" s="601"/>
    </row>
    <row r="162" spans="10:13">
      <c r="K162" s="542"/>
      <c r="L162" s="542"/>
      <c r="M162" s="601"/>
    </row>
    <row r="163" spans="10:13">
      <c r="K163" s="542"/>
      <c r="L163" s="542"/>
      <c r="M163" s="601"/>
    </row>
    <row r="164" spans="10:13">
      <c r="K164" s="542"/>
      <c r="L164" s="542"/>
      <c r="M164" s="601"/>
    </row>
    <row r="165" spans="10:13">
      <c r="L165" s="542"/>
      <c r="M165" s="601"/>
    </row>
    <row r="166" spans="10:13">
      <c r="L166" s="542"/>
      <c r="M166" s="601"/>
    </row>
    <row r="167" spans="10:13">
      <c r="L167" s="542"/>
    </row>
    <row r="168" spans="10:13">
      <c r="L168" s="542"/>
    </row>
    <row r="169" spans="10:13">
      <c r="L169" s="542"/>
    </row>
  </sheetData>
  <mergeCells count="1">
    <mergeCell ref="L7:M7"/>
  </mergeCells>
  <dataValidations count="1">
    <dataValidation type="list" allowBlank="1" showInputMessage="1" showErrorMessage="1" sqref="B5" xr:uid="{4181842C-BC81-4D86-A7D2-8BAD6AA0E9D2}">
      <formula1>$AB$5:$AB$8</formula1>
    </dataValidation>
  </dataValidations>
  <pageMargins left="0.7" right="0.7" top="0.75" bottom="0.75" header="0.3" footer="0.3"/>
  <pageSetup orientation="portrait"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4C0A6-EA78-4429-B51D-FD3F7D3FF951}">
  <dimension ref="A1:Q169"/>
  <sheetViews>
    <sheetView workbookViewId="0">
      <selection activeCell="K19" sqref="K19"/>
    </sheetView>
  </sheetViews>
  <sheetFormatPr defaultColWidth="7.85546875" defaultRowHeight="11.25"/>
  <cols>
    <col min="1" max="1" width="15.7109375" style="542" bestFit="1" customWidth="1"/>
    <col min="2" max="2" width="9.5703125" style="542" bestFit="1" customWidth="1"/>
    <col min="3" max="3" width="5.140625" style="605" customWidth="1"/>
    <col min="4" max="6" width="7.7109375" style="605" customWidth="1"/>
    <col min="7" max="7" width="6.28515625" style="601" customWidth="1"/>
    <col min="8" max="8" width="6.85546875" style="606" customWidth="1"/>
    <col min="9" max="9" width="9.7109375" style="601" customWidth="1"/>
    <col min="10" max="10" width="8.7109375" style="601" bestFit="1" customWidth="1"/>
    <col min="11" max="11" width="12.5703125" style="596" customWidth="1"/>
    <col min="12" max="12" width="17.28515625" style="602" bestFit="1" customWidth="1"/>
    <col min="13" max="13" width="12.85546875" style="542" customWidth="1"/>
    <col min="14" max="14" width="11.28515625" style="542" customWidth="1"/>
    <col min="15" max="15" width="14.5703125" style="484" customWidth="1"/>
    <col min="16" max="16" width="2.42578125" style="484" customWidth="1"/>
    <col min="17" max="17" width="14" style="542" bestFit="1" customWidth="1"/>
    <col min="18" max="18" width="5.42578125" style="542" customWidth="1"/>
    <col min="19" max="27" width="5.28515625" style="542" customWidth="1"/>
    <col min="28" max="28" width="17" style="542" customWidth="1"/>
    <col min="29" max="16384" width="7.85546875" style="542"/>
  </cols>
  <sheetData>
    <row r="1" spans="1:15" s="430" customFormat="1" ht="12.75">
      <c r="A1" s="420" t="s">
        <v>105</v>
      </c>
      <c r="B1" s="421" t="s">
        <v>152</v>
      </c>
      <c r="C1" s="422"/>
      <c r="D1" s="421"/>
      <c r="E1" s="423"/>
      <c r="F1" s="423"/>
      <c r="G1" s="424"/>
      <c r="H1" s="425" t="s">
        <v>106</v>
      </c>
      <c r="I1" s="426">
        <f>M12</f>
        <v>112</v>
      </c>
      <c r="J1" s="427"/>
      <c r="K1" s="421"/>
      <c r="L1" s="421"/>
      <c r="M1" s="428"/>
      <c r="N1" s="429"/>
    </row>
    <row r="2" spans="1:15" s="430" customFormat="1" ht="12.75">
      <c r="A2" s="431" t="s">
        <v>107</v>
      </c>
      <c r="B2" s="432" t="s">
        <v>207</v>
      </c>
      <c r="C2" s="433"/>
      <c r="D2" s="432"/>
      <c r="E2" s="434"/>
      <c r="F2" s="434"/>
      <c r="G2" s="435"/>
      <c r="H2" s="436" t="s">
        <v>108</v>
      </c>
      <c r="I2" s="437">
        <f>M12</f>
        <v>112</v>
      </c>
      <c r="J2" s="438"/>
      <c r="K2" s="432"/>
      <c r="L2" s="432"/>
      <c r="M2" s="439"/>
      <c r="N2" s="440"/>
    </row>
    <row r="3" spans="1:15" s="446" customFormat="1" ht="11.25" customHeight="1">
      <c r="A3" s="441" t="s">
        <v>109</v>
      </c>
      <c r="B3" s="607">
        <v>45524</v>
      </c>
      <c r="C3" s="433"/>
      <c r="D3" s="434"/>
      <c r="E3" s="434"/>
      <c r="F3" s="434"/>
      <c r="G3" s="435"/>
      <c r="H3" s="442" t="s">
        <v>110</v>
      </c>
      <c r="I3" s="443">
        <f>M53/100</f>
        <v>1.1033333333333333</v>
      </c>
      <c r="J3" s="438"/>
      <c r="K3" s="432"/>
      <c r="L3" s="432"/>
      <c r="M3" s="444"/>
      <c r="N3" s="445"/>
    </row>
    <row r="4" spans="1:15" s="430" customFormat="1" ht="12.75">
      <c r="A4" s="441" t="s">
        <v>111</v>
      </c>
      <c r="B4" s="432" t="s">
        <v>204</v>
      </c>
      <c r="C4" s="433"/>
      <c r="D4" s="434"/>
      <c r="E4" s="434"/>
      <c r="F4" s="434"/>
      <c r="G4" s="435"/>
      <c r="H4" s="442" t="s">
        <v>112</v>
      </c>
      <c r="I4" s="443">
        <f>J23</f>
        <v>0.5302610174504585</v>
      </c>
      <c r="J4" s="438"/>
      <c r="K4" s="432"/>
      <c r="L4" s="432"/>
      <c r="M4" s="439"/>
      <c r="N4" s="429"/>
    </row>
    <row r="5" spans="1:15" s="451" customFormat="1" ht="12.75">
      <c r="A5" s="431" t="s">
        <v>113</v>
      </c>
      <c r="B5" s="447" t="s">
        <v>114</v>
      </c>
      <c r="C5" s="433"/>
      <c r="D5" s="434"/>
      <c r="E5" s="434"/>
      <c r="F5" s="434"/>
      <c r="G5" s="435"/>
      <c r="H5" s="442"/>
      <c r="I5" s="1005"/>
      <c r="J5" s="438"/>
      <c r="K5" s="432"/>
      <c r="L5" s="432"/>
      <c r="M5" s="449"/>
      <c r="N5" s="450"/>
    </row>
    <row r="6" spans="1:15" s="450" customFormat="1" ht="13.5" thickBot="1">
      <c r="A6" s="452"/>
      <c r="B6" s="453"/>
      <c r="C6" s="454"/>
      <c r="D6" s="455"/>
      <c r="E6" s="455"/>
      <c r="F6" s="455"/>
      <c r="G6" s="456"/>
      <c r="H6" s="457"/>
      <c r="I6" s="458"/>
      <c r="J6" s="456"/>
      <c r="K6" s="459"/>
      <c r="L6" s="453"/>
      <c r="M6" s="460"/>
    </row>
    <row r="7" spans="1:15" s="451" customFormat="1" ht="13.15" customHeight="1">
      <c r="A7" s="461" t="s">
        <v>115</v>
      </c>
      <c r="B7" s="462"/>
      <c r="C7" s="463"/>
      <c r="D7" s="464"/>
      <c r="E7" s="465" t="s">
        <v>116</v>
      </c>
      <c r="F7" s="462"/>
      <c r="G7" s="466" t="s">
        <v>117</v>
      </c>
      <c r="H7" s="467"/>
      <c r="I7" s="468" t="s">
        <v>118</v>
      </c>
      <c r="J7" s="468"/>
      <c r="K7" s="469"/>
      <c r="L7" s="1068" t="s">
        <v>119</v>
      </c>
      <c r="M7" s="1069"/>
      <c r="N7" s="450"/>
      <c r="O7" s="450"/>
    </row>
    <row r="8" spans="1:15" s="480" customFormat="1" ht="11.25" customHeight="1">
      <c r="A8" s="470"/>
      <c r="B8" s="471"/>
      <c r="C8" s="472"/>
      <c r="D8" s="473"/>
      <c r="E8" s="474"/>
      <c r="F8" s="473"/>
      <c r="G8" s="475"/>
      <c r="H8" s="476"/>
      <c r="I8" s="477"/>
      <c r="J8" s="477"/>
      <c r="K8" s="478"/>
      <c r="L8" s="449"/>
      <c r="M8" s="449"/>
      <c r="N8" s="479"/>
    </row>
    <row r="9" spans="1:15" s="481" customFormat="1">
      <c r="C9" s="482"/>
      <c r="D9" s="483"/>
      <c r="E9" s="474" t="s">
        <v>120</v>
      </c>
      <c r="F9" s="473"/>
      <c r="G9" s="475"/>
      <c r="H9" s="476"/>
      <c r="I9" s="484"/>
      <c r="J9" s="484"/>
      <c r="K9" s="478"/>
      <c r="L9" s="485"/>
      <c r="M9" s="486"/>
      <c r="N9" s="487"/>
      <c r="O9" s="488"/>
    </row>
    <row r="10" spans="1:15" s="481" customFormat="1">
      <c r="A10" s="489" t="s">
        <v>121</v>
      </c>
      <c r="B10" s="490" t="s">
        <v>122</v>
      </c>
      <c r="C10" s="491" t="s">
        <v>123</v>
      </c>
      <c r="D10" s="492" t="s">
        <v>124</v>
      </c>
      <c r="E10" s="493" t="s">
        <v>125</v>
      </c>
      <c r="F10" s="492" t="s">
        <v>126</v>
      </c>
      <c r="G10" s="475" t="s">
        <v>127</v>
      </c>
      <c r="H10" s="476" t="s">
        <v>128</v>
      </c>
      <c r="I10" s="477" t="s">
        <v>128</v>
      </c>
      <c r="J10" s="477" t="s">
        <v>127</v>
      </c>
      <c r="K10" s="494" t="s">
        <v>129</v>
      </c>
      <c r="L10" s="485" t="s">
        <v>130</v>
      </c>
      <c r="M10" s="485" t="s">
        <v>131</v>
      </c>
      <c r="N10" s="495"/>
    </row>
    <row r="11" spans="1:15" s="481" customFormat="1" ht="12" thickBot="1">
      <c r="A11" s="496" t="s">
        <v>132</v>
      </c>
      <c r="B11" s="497" t="s">
        <v>132</v>
      </c>
      <c r="C11" s="498" t="s">
        <v>133</v>
      </c>
      <c r="D11" s="499" t="s">
        <v>134</v>
      </c>
      <c r="E11" s="500" t="s">
        <v>133</v>
      </c>
      <c r="F11" s="499" t="s">
        <v>133</v>
      </c>
      <c r="G11" s="501" t="s">
        <v>135</v>
      </c>
      <c r="H11" s="502" t="s">
        <v>136</v>
      </c>
      <c r="I11" s="503" t="s">
        <v>136</v>
      </c>
      <c r="J11" s="503" t="s">
        <v>135</v>
      </c>
      <c r="K11" s="504"/>
      <c r="L11" s="505"/>
      <c r="M11" s="506" t="s">
        <v>133</v>
      </c>
      <c r="N11" s="495"/>
    </row>
    <row r="12" spans="1:15" s="481" customFormat="1">
      <c r="A12" s="507"/>
      <c r="B12" s="508"/>
      <c r="C12" s="509">
        <v>0</v>
      </c>
      <c r="D12" s="510"/>
      <c r="E12" s="511"/>
      <c r="F12" s="512"/>
      <c r="G12" s="513"/>
      <c r="H12" s="514"/>
      <c r="I12" s="515"/>
      <c r="J12" s="516"/>
      <c r="K12" s="517"/>
      <c r="L12" s="518" t="s">
        <v>137</v>
      </c>
      <c r="M12" s="519">
        <v>112</v>
      </c>
      <c r="N12" s="520"/>
    </row>
    <row r="13" spans="1:15" s="481" customFormat="1">
      <c r="A13" s="507">
        <v>500</v>
      </c>
      <c r="B13" s="508">
        <v>0</v>
      </c>
      <c r="C13" s="509">
        <v>10</v>
      </c>
      <c r="D13" s="510">
        <v>966</v>
      </c>
      <c r="E13" s="521">
        <f>C12</f>
        <v>0</v>
      </c>
      <c r="F13" s="522">
        <f>(C13+C14-10)/2</f>
        <v>10</v>
      </c>
      <c r="G13" s="523">
        <f t="shared" ref="G13:G23" si="0">(A13-B13)/966</f>
        <v>0.51759834368530022</v>
      </c>
      <c r="H13" s="524">
        <f>(G13*(F13-E13))/100</f>
        <v>5.1759834368530024E-2</v>
      </c>
      <c r="I13" s="525">
        <f>SUM(H$13:H13)</f>
        <v>5.1759834368530024E-2</v>
      </c>
      <c r="J13" s="526">
        <f t="shared" ref="J13:J23" si="1">I13/F13*100</f>
        <v>0.51759834368530022</v>
      </c>
      <c r="K13" s="517"/>
      <c r="L13" s="527" t="s">
        <v>215</v>
      </c>
      <c r="M13" s="528">
        <v>115</v>
      </c>
      <c r="N13" s="495"/>
    </row>
    <row r="14" spans="1:15" s="481" customFormat="1">
      <c r="A14" s="507">
        <v>550</v>
      </c>
      <c r="B14" s="508">
        <v>0</v>
      </c>
      <c r="C14" s="509">
        <v>20</v>
      </c>
      <c r="D14" s="510">
        <v>966</v>
      </c>
      <c r="E14" s="521">
        <f>(C13+C14-10)/2</f>
        <v>10</v>
      </c>
      <c r="F14" s="522">
        <f t="shared" ref="F14:F22" si="2">(C14+C15-10)/2</f>
        <v>20</v>
      </c>
      <c r="G14" s="523">
        <f t="shared" si="0"/>
        <v>0.56935817805383027</v>
      </c>
      <c r="H14" s="524">
        <f t="shared" ref="H14:H23" si="3">(G14*(F14-E14))/100</f>
        <v>5.6935817805383024E-2</v>
      </c>
      <c r="I14" s="525">
        <f>SUM(H$13:H14)</f>
        <v>0.10869565217391305</v>
      </c>
      <c r="J14" s="526">
        <f t="shared" si="1"/>
        <v>0.5434782608695653</v>
      </c>
      <c r="K14" s="517"/>
      <c r="L14" s="527" t="s">
        <v>216</v>
      </c>
      <c r="M14" s="528">
        <v>104</v>
      </c>
      <c r="N14" s="495"/>
    </row>
    <row r="15" spans="1:15" s="481" customFormat="1">
      <c r="A15" s="507">
        <v>505</v>
      </c>
      <c r="B15" s="508">
        <v>0</v>
      </c>
      <c r="C15" s="509">
        <v>30</v>
      </c>
      <c r="D15" s="510">
        <v>966</v>
      </c>
      <c r="E15" s="521">
        <f>(C14+C15-10)/2</f>
        <v>20</v>
      </c>
      <c r="F15" s="522">
        <f t="shared" si="2"/>
        <v>30</v>
      </c>
      <c r="G15" s="523">
        <f t="shared" si="0"/>
        <v>0.52277432712215322</v>
      </c>
      <c r="H15" s="524">
        <f t="shared" si="3"/>
        <v>5.2277432712215327E-2</v>
      </c>
      <c r="I15" s="525">
        <f>SUM(H$13:H15)</f>
        <v>0.16097308488612838</v>
      </c>
      <c r="J15" s="526">
        <f t="shared" si="1"/>
        <v>0.5365769496204279</v>
      </c>
      <c r="K15" s="517"/>
      <c r="L15" s="527"/>
      <c r="M15" s="529"/>
      <c r="N15" s="495"/>
    </row>
    <row r="16" spans="1:15" s="481" customFormat="1">
      <c r="A16" s="530">
        <v>515</v>
      </c>
      <c r="B16" s="508">
        <v>0</v>
      </c>
      <c r="C16" s="509">
        <v>40</v>
      </c>
      <c r="D16" s="510">
        <v>966</v>
      </c>
      <c r="E16" s="521">
        <f t="shared" ref="E16:E23" si="4">(C15+C16-10)/2</f>
        <v>30</v>
      </c>
      <c r="F16" s="522">
        <f t="shared" si="2"/>
        <v>40</v>
      </c>
      <c r="G16" s="523">
        <f t="shared" si="0"/>
        <v>0.5331262939958592</v>
      </c>
      <c r="H16" s="524">
        <f t="shared" si="3"/>
        <v>5.3312629399585913E-2</v>
      </c>
      <c r="I16" s="525">
        <f>SUM(H$13:H16)</f>
        <v>0.2142857142857143</v>
      </c>
      <c r="J16" s="526">
        <f t="shared" si="1"/>
        <v>0.5357142857142857</v>
      </c>
      <c r="K16" s="517"/>
      <c r="L16" s="527"/>
      <c r="M16" s="528"/>
      <c r="N16" s="495"/>
    </row>
    <row r="17" spans="1:16" s="481" customFormat="1">
      <c r="A17" s="530">
        <v>530</v>
      </c>
      <c r="B17" s="508">
        <v>0</v>
      </c>
      <c r="C17" s="509">
        <v>50</v>
      </c>
      <c r="D17" s="510">
        <v>966</v>
      </c>
      <c r="E17" s="521">
        <f t="shared" si="4"/>
        <v>40</v>
      </c>
      <c r="F17" s="522">
        <f t="shared" si="2"/>
        <v>50</v>
      </c>
      <c r="G17" s="523">
        <f t="shared" si="0"/>
        <v>0.54865424430641818</v>
      </c>
      <c r="H17" s="524">
        <f t="shared" si="3"/>
        <v>5.4865424430641817E-2</v>
      </c>
      <c r="I17" s="525">
        <f>SUM(H$13:H17)</f>
        <v>0.2691511387163561</v>
      </c>
      <c r="J17" s="526">
        <f t="shared" si="1"/>
        <v>0.5383022774327122</v>
      </c>
      <c r="K17" s="531" t="s">
        <v>139</v>
      </c>
      <c r="L17" s="527"/>
      <c r="M17" s="528"/>
      <c r="N17" s="487"/>
    </row>
    <row r="18" spans="1:16" s="481" customFormat="1">
      <c r="A18" s="530">
        <v>520</v>
      </c>
      <c r="B18" s="508">
        <v>0</v>
      </c>
      <c r="C18" s="509">
        <v>60</v>
      </c>
      <c r="D18" s="510">
        <v>966</v>
      </c>
      <c r="E18" s="521">
        <f t="shared" si="4"/>
        <v>50</v>
      </c>
      <c r="F18" s="522">
        <f t="shared" si="2"/>
        <v>60</v>
      </c>
      <c r="G18" s="523">
        <f t="shared" si="0"/>
        <v>0.5383022774327122</v>
      </c>
      <c r="H18" s="524">
        <f t="shared" si="3"/>
        <v>5.3830227743271217E-2</v>
      </c>
      <c r="I18" s="525">
        <f>SUM(H$13:H18)</f>
        <v>0.32298136645962733</v>
      </c>
      <c r="J18" s="526">
        <f t="shared" si="1"/>
        <v>0.5383022774327122</v>
      </c>
      <c r="K18" s="532"/>
      <c r="L18" s="527"/>
      <c r="M18" s="528"/>
      <c r="N18" s="487"/>
    </row>
    <row r="19" spans="1:16" s="481" customFormat="1" ht="10.15" customHeight="1">
      <c r="A19" s="530">
        <v>495</v>
      </c>
      <c r="B19" s="508">
        <v>0</v>
      </c>
      <c r="C19" s="509">
        <v>70</v>
      </c>
      <c r="D19" s="510">
        <v>966</v>
      </c>
      <c r="E19" s="521">
        <f t="shared" si="4"/>
        <v>60</v>
      </c>
      <c r="F19" s="522">
        <f t="shared" si="2"/>
        <v>70</v>
      </c>
      <c r="G19" s="523">
        <f t="shared" si="0"/>
        <v>0.51242236024844723</v>
      </c>
      <c r="H19" s="524">
        <f t="shared" si="3"/>
        <v>5.124223602484472E-2</v>
      </c>
      <c r="I19" s="525">
        <f>SUM(H$13:H19)</f>
        <v>0.37422360248447206</v>
      </c>
      <c r="J19" s="526">
        <f t="shared" si="1"/>
        <v>0.53460514640638868</v>
      </c>
      <c r="K19" s="532" t="s">
        <v>208</v>
      </c>
      <c r="L19" s="527"/>
      <c r="M19" s="528"/>
      <c r="N19" s="533"/>
    </row>
    <row r="20" spans="1:16" s="481" customFormat="1">
      <c r="A20" s="530">
        <v>500</v>
      </c>
      <c r="B20" s="508">
        <v>0</v>
      </c>
      <c r="C20" s="509">
        <v>80</v>
      </c>
      <c r="D20" s="510">
        <v>966</v>
      </c>
      <c r="E20" s="521">
        <f t="shared" si="4"/>
        <v>70</v>
      </c>
      <c r="F20" s="522">
        <f t="shared" si="2"/>
        <v>80</v>
      </c>
      <c r="G20" s="523">
        <f t="shared" si="0"/>
        <v>0.51759834368530022</v>
      </c>
      <c r="H20" s="524">
        <f t="shared" si="3"/>
        <v>5.1759834368530024E-2</v>
      </c>
      <c r="I20" s="525">
        <f>SUM(H$13:H20)</f>
        <v>0.42598343685300211</v>
      </c>
      <c r="J20" s="526">
        <f t="shared" si="1"/>
        <v>0.53247929606625266</v>
      </c>
      <c r="K20" s="517"/>
      <c r="L20" s="527"/>
      <c r="M20" s="528"/>
      <c r="N20" s="534"/>
    </row>
    <row r="21" spans="1:16" s="536" customFormat="1">
      <c r="A21" s="530">
        <v>500</v>
      </c>
      <c r="B21" s="508">
        <v>0</v>
      </c>
      <c r="C21" s="509">
        <v>90</v>
      </c>
      <c r="D21" s="510">
        <v>966</v>
      </c>
      <c r="E21" s="521">
        <f t="shared" si="4"/>
        <v>80</v>
      </c>
      <c r="F21" s="522">
        <f t="shared" si="2"/>
        <v>90</v>
      </c>
      <c r="G21" s="523">
        <f t="shared" si="0"/>
        <v>0.51759834368530022</v>
      </c>
      <c r="H21" s="524">
        <f t="shared" si="3"/>
        <v>5.1759834368530024E-2</v>
      </c>
      <c r="I21" s="525">
        <f>SUM(H$13:H21)</f>
        <v>0.47774327122153215</v>
      </c>
      <c r="J21" s="526">
        <f t="shared" si="1"/>
        <v>0.53082585691281348</v>
      </c>
      <c r="K21" s="535"/>
      <c r="L21" s="527"/>
      <c r="M21" s="528"/>
      <c r="N21" s="534"/>
    </row>
    <row r="22" spans="1:16" s="536" customFormat="1">
      <c r="A22" s="530">
        <v>490</v>
      </c>
      <c r="B22" s="508">
        <v>0</v>
      </c>
      <c r="C22" s="509">
        <v>100</v>
      </c>
      <c r="D22" s="510">
        <v>966</v>
      </c>
      <c r="E22" s="521">
        <f t="shared" si="4"/>
        <v>90</v>
      </c>
      <c r="F22" s="522">
        <f t="shared" si="2"/>
        <v>101</v>
      </c>
      <c r="G22" s="523">
        <f t="shared" si="0"/>
        <v>0.50724637681159424</v>
      </c>
      <c r="H22" s="524">
        <f t="shared" si="3"/>
        <v>5.5797101449275369E-2</v>
      </c>
      <c r="I22" s="525">
        <f>SUM(H$13:H22)</f>
        <v>0.53354037267080756</v>
      </c>
      <c r="J22" s="526">
        <f t="shared" si="1"/>
        <v>0.52825779472357193</v>
      </c>
      <c r="K22" s="517"/>
      <c r="L22" s="527"/>
      <c r="M22" s="537"/>
      <c r="N22" s="534"/>
    </row>
    <row r="23" spans="1:16" s="536" customFormat="1" ht="22.5">
      <c r="A23" s="530">
        <v>530</v>
      </c>
      <c r="B23" s="508">
        <v>0</v>
      </c>
      <c r="C23" s="509">
        <v>112</v>
      </c>
      <c r="D23" s="510">
        <v>966</v>
      </c>
      <c r="E23" s="521">
        <f t="shared" si="4"/>
        <v>101</v>
      </c>
      <c r="F23" s="522">
        <f>C23</f>
        <v>112</v>
      </c>
      <c r="G23" s="523">
        <f t="shared" si="0"/>
        <v>0.54865424430641818</v>
      </c>
      <c r="H23" s="524">
        <f t="shared" si="3"/>
        <v>6.0351966873706003E-2</v>
      </c>
      <c r="I23" s="525">
        <f>SUM(H$13:H23)</f>
        <v>0.59389233954451359</v>
      </c>
      <c r="J23" s="526">
        <f t="shared" si="1"/>
        <v>0.5302610174504585</v>
      </c>
      <c r="K23" s="538" t="s">
        <v>209</v>
      </c>
      <c r="L23" s="527"/>
      <c r="M23" s="539"/>
      <c r="N23" s="540"/>
    </row>
    <row r="24" spans="1:16" s="536" customFormat="1">
      <c r="A24" s="530"/>
      <c r="B24" s="508"/>
      <c r="C24" s="509"/>
      <c r="D24" s="510"/>
      <c r="E24" s="521"/>
      <c r="F24" s="522"/>
      <c r="G24" s="523"/>
      <c r="H24" s="524"/>
      <c r="I24" s="525"/>
      <c r="J24" s="526"/>
      <c r="K24" s="541"/>
      <c r="L24" s="527"/>
      <c r="M24" s="539"/>
      <c r="N24" s="540"/>
    </row>
    <row r="25" spans="1:16" s="536" customFormat="1">
      <c r="A25" s="530"/>
      <c r="B25" s="508"/>
      <c r="C25" s="509"/>
      <c r="D25" s="510"/>
      <c r="E25" s="521"/>
      <c r="F25" s="522"/>
      <c r="G25" s="523"/>
      <c r="H25" s="524"/>
      <c r="I25" s="525"/>
      <c r="J25" s="526"/>
      <c r="K25" s="541"/>
      <c r="L25" s="527"/>
      <c r="M25" s="539"/>
      <c r="N25" s="540"/>
    </row>
    <row r="26" spans="1:16" s="536" customFormat="1">
      <c r="A26" s="530"/>
      <c r="B26" s="508"/>
      <c r="C26" s="509"/>
      <c r="D26" s="510"/>
      <c r="E26" s="521"/>
      <c r="F26" s="522"/>
      <c r="G26" s="523"/>
      <c r="H26" s="524"/>
      <c r="I26" s="525"/>
      <c r="J26" s="526"/>
      <c r="K26" s="541"/>
      <c r="L26" s="527"/>
      <c r="M26" s="528"/>
      <c r="N26" s="540"/>
    </row>
    <row r="27" spans="1:16" s="536" customFormat="1">
      <c r="A27" s="530"/>
      <c r="B27" s="508"/>
      <c r="C27" s="509"/>
      <c r="D27" s="510"/>
      <c r="E27" s="521"/>
      <c r="F27" s="522"/>
      <c r="G27" s="523"/>
      <c r="H27" s="524"/>
      <c r="I27" s="525"/>
      <c r="J27" s="526"/>
      <c r="K27" s="541"/>
      <c r="L27" s="527"/>
      <c r="M27" s="528"/>
      <c r="N27" s="540"/>
    </row>
    <row r="28" spans="1:16" s="536" customFormat="1">
      <c r="A28" s="530"/>
      <c r="B28" s="508"/>
      <c r="C28" s="509"/>
      <c r="D28" s="510"/>
      <c r="E28" s="521"/>
      <c r="F28" s="522"/>
      <c r="G28" s="523"/>
      <c r="H28" s="524"/>
      <c r="I28" s="525"/>
      <c r="J28" s="526"/>
      <c r="K28" s="541"/>
      <c r="L28" s="527"/>
      <c r="M28" s="528"/>
      <c r="N28" s="540"/>
    </row>
    <row r="29" spans="1:16">
      <c r="A29" s="530"/>
      <c r="B29" s="508"/>
      <c r="C29" s="509"/>
      <c r="D29" s="510"/>
      <c r="E29" s="521"/>
      <c r="F29" s="522"/>
      <c r="G29" s="523"/>
      <c r="H29" s="524"/>
      <c r="I29" s="525"/>
      <c r="J29" s="526"/>
      <c r="K29" s="541"/>
      <c r="L29" s="527"/>
      <c r="M29" s="528"/>
      <c r="N29" s="540"/>
      <c r="O29" s="536"/>
      <c r="P29" s="536"/>
    </row>
    <row r="30" spans="1:16">
      <c r="A30" s="530"/>
      <c r="B30" s="508"/>
      <c r="C30" s="509"/>
      <c r="D30" s="510"/>
      <c r="E30" s="521"/>
      <c r="F30" s="522"/>
      <c r="G30" s="523"/>
      <c r="H30" s="524"/>
      <c r="I30" s="525"/>
      <c r="J30" s="526"/>
      <c r="K30" s="541"/>
      <c r="L30" s="527"/>
      <c r="M30" s="528"/>
      <c r="N30" s="540"/>
      <c r="O30" s="536"/>
      <c r="P30" s="536"/>
    </row>
    <row r="31" spans="1:16">
      <c r="A31" s="530"/>
      <c r="B31" s="508"/>
      <c r="C31" s="509"/>
      <c r="D31" s="510"/>
      <c r="E31" s="521"/>
      <c r="F31" s="522"/>
      <c r="G31" s="523"/>
      <c r="H31" s="524"/>
      <c r="I31" s="525"/>
      <c r="J31" s="526"/>
      <c r="K31" s="541"/>
      <c r="L31" s="527"/>
      <c r="M31" s="528"/>
      <c r="N31" s="540"/>
      <c r="O31" s="536"/>
      <c r="P31" s="536"/>
    </row>
    <row r="32" spans="1:16">
      <c r="A32" s="530"/>
      <c r="B32" s="508"/>
      <c r="C32" s="509"/>
      <c r="D32" s="510"/>
      <c r="E32" s="521"/>
      <c r="F32" s="522"/>
      <c r="G32" s="523"/>
      <c r="H32" s="524"/>
      <c r="I32" s="525"/>
      <c r="J32" s="526"/>
      <c r="K32" s="543"/>
      <c r="L32" s="527"/>
      <c r="M32" s="528"/>
      <c r="N32" s="540"/>
      <c r="O32" s="536"/>
      <c r="P32" s="536"/>
    </row>
    <row r="33" spans="1:17">
      <c r="A33" s="530"/>
      <c r="B33" s="508"/>
      <c r="C33" s="509"/>
      <c r="D33" s="510"/>
      <c r="E33" s="521"/>
      <c r="F33" s="522"/>
      <c r="G33" s="523"/>
      <c r="H33" s="524"/>
      <c r="I33" s="525"/>
      <c r="J33" s="526"/>
      <c r="K33" s="543"/>
      <c r="L33" s="527"/>
      <c r="M33" s="528"/>
      <c r="N33" s="540"/>
      <c r="O33" s="536"/>
      <c r="P33" s="536"/>
    </row>
    <row r="34" spans="1:17">
      <c r="A34" s="530"/>
      <c r="B34" s="508"/>
      <c r="C34" s="509"/>
      <c r="D34" s="510"/>
      <c r="E34" s="521"/>
      <c r="F34" s="522"/>
      <c r="G34" s="523"/>
      <c r="H34" s="524"/>
      <c r="I34" s="525"/>
      <c r="J34" s="526"/>
      <c r="K34" s="543"/>
      <c r="L34" s="527"/>
      <c r="M34" s="528"/>
      <c r="N34" s="544"/>
      <c r="O34" s="542"/>
      <c r="P34" s="542"/>
    </row>
    <row r="35" spans="1:17">
      <c r="A35" s="530"/>
      <c r="B35" s="508"/>
      <c r="C35" s="509"/>
      <c r="D35" s="510"/>
      <c r="E35" s="521"/>
      <c r="F35" s="522"/>
      <c r="G35" s="523"/>
      <c r="H35" s="524"/>
      <c r="I35" s="525"/>
      <c r="J35" s="526"/>
      <c r="K35" s="543"/>
      <c r="L35" s="527"/>
      <c r="M35" s="528"/>
      <c r="N35" s="545"/>
      <c r="O35" s="546"/>
      <c r="P35" s="547"/>
      <c r="Q35" s="546"/>
    </row>
    <row r="36" spans="1:17">
      <c r="A36" s="530"/>
      <c r="B36" s="508"/>
      <c r="C36" s="509"/>
      <c r="D36" s="510"/>
      <c r="E36" s="521"/>
      <c r="F36" s="522"/>
      <c r="G36" s="523"/>
      <c r="H36" s="524"/>
      <c r="I36" s="525"/>
      <c r="J36" s="526"/>
      <c r="K36" s="543"/>
      <c r="L36" s="527"/>
      <c r="M36" s="528"/>
      <c r="N36" s="545"/>
      <c r="O36" s="546"/>
      <c r="P36" s="548"/>
      <c r="Q36" s="546"/>
    </row>
    <row r="37" spans="1:17">
      <c r="A37" s="530"/>
      <c r="B37" s="508"/>
      <c r="C37" s="509"/>
      <c r="D37" s="510"/>
      <c r="E37" s="521"/>
      <c r="F37" s="522"/>
      <c r="G37" s="523"/>
      <c r="H37" s="524"/>
      <c r="I37" s="525"/>
      <c r="J37" s="526"/>
      <c r="K37" s="543"/>
      <c r="L37" s="527"/>
      <c r="M37" s="528"/>
      <c r="N37" s="549"/>
      <c r="O37" s="546"/>
      <c r="P37" s="546"/>
      <c r="Q37" s="546"/>
    </row>
    <row r="38" spans="1:17">
      <c r="A38" s="530"/>
      <c r="B38" s="508"/>
      <c r="C38" s="509"/>
      <c r="D38" s="510"/>
      <c r="E38" s="521"/>
      <c r="F38" s="522"/>
      <c r="G38" s="523"/>
      <c r="H38" s="524"/>
      <c r="I38" s="525"/>
      <c r="J38" s="526"/>
      <c r="K38" s="543"/>
      <c r="L38" s="527"/>
      <c r="M38" s="528"/>
      <c r="N38" s="550"/>
      <c r="O38" s="551"/>
      <c r="P38" s="542"/>
    </row>
    <row r="39" spans="1:17">
      <c r="A39" s="530"/>
      <c r="B39" s="508"/>
      <c r="C39" s="509"/>
      <c r="D39" s="510"/>
      <c r="E39" s="521"/>
      <c r="F39" s="522"/>
      <c r="G39" s="523"/>
      <c r="H39" s="524"/>
      <c r="I39" s="525"/>
      <c r="J39" s="526"/>
      <c r="K39" s="543"/>
      <c r="L39" s="527"/>
      <c r="M39" s="528"/>
      <c r="N39" s="551"/>
      <c r="O39" s="551"/>
      <c r="P39" s="542"/>
    </row>
    <row r="40" spans="1:17">
      <c r="A40" s="530"/>
      <c r="B40" s="508"/>
      <c r="C40" s="509"/>
      <c r="D40" s="510"/>
      <c r="E40" s="521"/>
      <c r="F40" s="522"/>
      <c r="G40" s="523"/>
      <c r="H40" s="524"/>
      <c r="I40" s="525"/>
      <c r="J40" s="526"/>
      <c r="K40" s="543"/>
      <c r="L40" s="527"/>
      <c r="M40" s="528"/>
      <c r="O40" s="542"/>
      <c r="P40" s="542"/>
    </row>
    <row r="41" spans="1:17">
      <c r="A41" s="530"/>
      <c r="B41" s="508"/>
      <c r="C41" s="509"/>
      <c r="D41" s="510"/>
      <c r="E41" s="521"/>
      <c r="F41" s="522"/>
      <c r="G41" s="523"/>
      <c r="H41" s="524"/>
      <c r="I41" s="525"/>
      <c r="J41" s="526"/>
      <c r="K41" s="543"/>
      <c r="L41" s="527"/>
      <c r="M41" s="528"/>
      <c r="O41" s="542"/>
      <c r="P41" s="542"/>
    </row>
    <row r="42" spans="1:17">
      <c r="A42" s="530"/>
      <c r="B42" s="508"/>
      <c r="C42" s="509"/>
      <c r="D42" s="510"/>
      <c r="E42" s="521"/>
      <c r="F42" s="522"/>
      <c r="G42" s="523"/>
      <c r="H42" s="524"/>
      <c r="I42" s="525"/>
      <c r="J42" s="526"/>
      <c r="K42" s="543"/>
      <c r="L42" s="527"/>
      <c r="M42" s="528"/>
      <c r="O42" s="542"/>
      <c r="P42" s="542"/>
    </row>
    <row r="43" spans="1:17">
      <c r="A43" s="530"/>
      <c r="B43" s="508"/>
      <c r="C43" s="509"/>
      <c r="D43" s="510"/>
      <c r="E43" s="521"/>
      <c r="F43" s="522"/>
      <c r="G43" s="523"/>
      <c r="H43" s="524"/>
      <c r="I43" s="525"/>
      <c r="J43" s="526"/>
      <c r="K43" s="543"/>
      <c r="L43" s="527"/>
      <c r="M43" s="528"/>
      <c r="O43" s="542"/>
      <c r="P43" s="542"/>
    </row>
    <row r="44" spans="1:17">
      <c r="A44" s="530"/>
      <c r="B44" s="508"/>
      <c r="C44" s="509"/>
      <c r="D44" s="510"/>
      <c r="E44" s="521"/>
      <c r="F44" s="522"/>
      <c r="G44" s="523"/>
      <c r="H44" s="524"/>
      <c r="I44" s="525"/>
      <c r="J44" s="526"/>
      <c r="K44" s="543"/>
      <c r="L44" s="527"/>
      <c r="M44" s="528"/>
      <c r="O44" s="542"/>
      <c r="P44" s="542"/>
    </row>
    <row r="45" spans="1:17">
      <c r="A45" s="530"/>
      <c r="B45" s="508"/>
      <c r="C45" s="509"/>
      <c r="D45" s="510"/>
      <c r="E45" s="521"/>
      <c r="F45" s="522"/>
      <c r="G45" s="523"/>
      <c r="H45" s="524"/>
      <c r="I45" s="525"/>
      <c r="J45" s="526"/>
      <c r="K45" s="543"/>
      <c r="L45" s="527"/>
      <c r="M45" s="528"/>
      <c r="O45" s="542"/>
      <c r="P45" s="542"/>
    </row>
    <row r="46" spans="1:17">
      <c r="A46" s="530"/>
      <c r="B46" s="508"/>
      <c r="C46" s="509"/>
      <c r="D46" s="510"/>
      <c r="E46" s="521"/>
      <c r="F46" s="522"/>
      <c r="G46" s="523"/>
      <c r="H46" s="524"/>
      <c r="I46" s="525"/>
      <c r="J46" s="526"/>
      <c r="K46" s="543"/>
      <c r="L46" s="527"/>
      <c r="M46" s="528"/>
      <c r="O46" s="542"/>
      <c r="P46" s="542"/>
    </row>
    <row r="47" spans="1:17">
      <c r="A47" s="530"/>
      <c r="B47" s="508"/>
      <c r="C47" s="509"/>
      <c r="D47" s="510"/>
      <c r="E47" s="521"/>
      <c r="F47" s="522"/>
      <c r="G47" s="523"/>
      <c r="H47" s="524"/>
      <c r="I47" s="525"/>
      <c r="J47" s="526"/>
      <c r="K47" s="543"/>
      <c r="L47" s="527"/>
      <c r="M47" s="528"/>
      <c r="O47" s="542"/>
      <c r="P47" s="542"/>
    </row>
    <row r="48" spans="1:17">
      <c r="A48" s="530"/>
      <c r="B48" s="508"/>
      <c r="C48" s="509"/>
      <c r="D48" s="510"/>
      <c r="E48" s="521"/>
      <c r="F48" s="522"/>
      <c r="G48" s="523"/>
      <c r="H48" s="524"/>
      <c r="I48" s="525"/>
      <c r="J48" s="526"/>
      <c r="K48" s="543"/>
      <c r="L48" s="527"/>
      <c r="M48" s="528"/>
      <c r="O48" s="542"/>
      <c r="P48" s="542"/>
    </row>
    <row r="49" spans="1:17">
      <c r="A49" s="530"/>
      <c r="B49" s="508"/>
      <c r="C49" s="509"/>
      <c r="D49" s="510"/>
      <c r="E49" s="521"/>
      <c r="F49" s="522"/>
      <c r="G49" s="523"/>
      <c r="H49" s="524"/>
      <c r="I49" s="525"/>
      <c r="J49" s="526"/>
      <c r="K49" s="543"/>
      <c r="L49" s="527"/>
      <c r="M49" s="528"/>
      <c r="O49" s="542"/>
      <c r="P49" s="542"/>
    </row>
    <row r="50" spans="1:17">
      <c r="A50" s="530"/>
      <c r="B50" s="508"/>
      <c r="C50" s="509"/>
      <c r="D50" s="510"/>
      <c r="E50" s="521"/>
      <c r="F50" s="522"/>
      <c r="G50" s="523"/>
      <c r="H50" s="524"/>
      <c r="I50" s="525"/>
      <c r="J50" s="526"/>
      <c r="K50" s="543"/>
      <c r="L50" s="527"/>
      <c r="M50" s="528"/>
      <c r="O50" s="542"/>
      <c r="P50" s="542"/>
    </row>
    <row r="51" spans="1:17">
      <c r="A51" s="530"/>
      <c r="B51" s="508"/>
      <c r="C51" s="509"/>
      <c r="D51" s="510"/>
      <c r="E51" s="521"/>
      <c r="F51" s="522"/>
      <c r="G51" s="523"/>
      <c r="H51" s="524"/>
      <c r="I51" s="525"/>
      <c r="J51" s="526"/>
      <c r="K51" s="543"/>
      <c r="L51" s="527"/>
      <c r="M51" s="528"/>
      <c r="O51" s="542"/>
      <c r="P51" s="542"/>
    </row>
    <row r="52" spans="1:17" ht="12" thickBot="1">
      <c r="A52" s="530"/>
      <c r="B52" s="508"/>
      <c r="C52" s="509"/>
      <c r="D52" s="510"/>
      <c r="E52" s="521"/>
      <c r="F52" s="522"/>
      <c r="G52" s="523"/>
      <c r="H52" s="524"/>
      <c r="I52" s="525"/>
      <c r="J52" s="526"/>
      <c r="K52" s="543"/>
      <c r="L52" s="527"/>
      <c r="M52" s="552"/>
      <c r="O52" s="542"/>
      <c r="P52" s="542"/>
    </row>
    <row r="53" spans="1:17">
      <c r="A53" s="530"/>
      <c r="B53" s="508"/>
      <c r="C53" s="509"/>
      <c r="D53" s="510"/>
      <c r="E53" s="521"/>
      <c r="F53" s="522"/>
      <c r="G53" s="523"/>
      <c r="H53" s="524"/>
      <c r="I53" s="525"/>
      <c r="J53" s="526"/>
      <c r="K53" s="543"/>
      <c r="L53" s="553" t="s">
        <v>140</v>
      </c>
      <c r="M53" s="554">
        <f>AVERAGE(M12:M52)</f>
        <v>110.33333333333333</v>
      </c>
      <c r="O53" s="542"/>
      <c r="P53" s="542"/>
    </row>
    <row r="54" spans="1:17">
      <c r="A54" s="530"/>
      <c r="B54" s="508"/>
      <c r="C54" s="509"/>
      <c r="D54" s="510"/>
      <c r="E54" s="521"/>
      <c r="F54" s="522"/>
      <c r="G54" s="523"/>
      <c r="H54" s="524"/>
      <c r="I54" s="525"/>
      <c r="J54" s="526"/>
      <c r="K54" s="543"/>
      <c r="L54" s="429" t="s">
        <v>141</v>
      </c>
      <c r="M54" s="552">
        <f>STDEV(M12:M52)</f>
        <v>5.6862407030773268</v>
      </c>
      <c r="N54" s="484"/>
      <c r="P54" s="542"/>
    </row>
    <row r="55" spans="1:17">
      <c r="A55" s="555" t="s">
        <v>142</v>
      </c>
      <c r="B55" s="556"/>
      <c r="C55" s="557"/>
      <c r="D55" s="558"/>
      <c r="E55" s="559"/>
      <c r="F55" s="560"/>
      <c r="G55" s="561"/>
      <c r="H55" s="562"/>
      <c r="I55" s="563"/>
      <c r="J55" s="564"/>
      <c r="K55" s="565"/>
      <c r="L55" s="429" t="s">
        <v>143</v>
      </c>
      <c r="M55" s="552">
        <f>M54/SQRT(COUNT(M12:M51))</f>
        <v>3.2829526005987018</v>
      </c>
      <c r="N55" s="550"/>
      <c r="Q55" s="484"/>
    </row>
    <row r="56" spans="1:17">
      <c r="A56" s="566"/>
      <c r="B56" s="567"/>
      <c r="C56" s="568"/>
      <c r="D56" s="569"/>
      <c r="E56" s="570"/>
      <c r="F56" s="571"/>
      <c r="G56" s="572"/>
      <c r="H56" s="573"/>
      <c r="I56" s="574"/>
      <c r="J56" s="575"/>
      <c r="K56" s="576"/>
      <c r="L56" s="429" t="s">
        <v>144</v>
      </c>
      <c r="M56" s="552">
        <f>MAX(M12:M51)</f>
        <v>115</v>
      </c>
      <c r="N56" s="550"/>
      <c r="O56" s="542"/>
      <c r="P56" s="542"/>
    </row>
    <row r="57" spans="1:17" ht="12" thickBot="1">
      <c r="A57" s="577"/>
      <c r="B57" s="578"/>
      <c r="C57" s="579"/>
      <c r="D57" s="580"/>
      <c r="E57" s="581"/>
      <c r="F57" s="582"/>
      <c r="G57" s="583"/>
      <c r="H57" s="584"/>
      <c r="I57" s="585"/>
      <c r="J57" s="586"/>
      <c r="K57" s="587"/>
      <c r="L57" s="588" t="s">
        <v>145</v>
      </c>
      <c r="M57" s="589">
        <f>MIN(M12:M51)</f>
        <v>104</v>
      </c>
      <c r="N57" s="484"/>
      <c r="O57" s="542"/>
      <c r="P57" s="542"/>
    </row>
    <row r="58" spans="1:17">
      <c r="A58" s="590"/>
      <c r="B58" s="590"/>
      <c r="C58" s="591"/>
      <c r="D58" s="592"/>
      <c r="E58" s="592"/>
      <c r="F58" s="592"/>
      <c r="G58" s="593"/>
      <c r="H58" s="594"/>
      <c r="I58" s="595"/>
      <c r="J58" s="596"/>
      <c r="K58" s="597"/>
      <c r="L58" s="598"/>
      <c r="M58" s="484"/>
      <c r="O58" s="542"/>
      <c r="P58" s="542"/>
    </row>
    <row r="59" spans="1:17">
      <c r="A59" s="484"/>
      <c r="B59" s="484"/>
      <c r="C59" s="599"/>
      <c r="D59" s="599"/>
      <c r="E59" s="599"/>
      <c r="F59" s="599"/>
      <c r="G59" s="595"/>
      <c r="H59" s="594"/>
      <c r="I59" s="595"/>
      <c r="J59" s="596"/>
      <c r="K59" s="600"/>
      <c r="L59" s="598"/>
      <c r="M59" s="484"/>
      <c r="O59" s="542"/>
      <c r="P59" s="542"/>
    </row>
    <row r="60" spans="1:17">
      <c r="A60" s="601"/>
      <c r="B60" s="601"/>
      <c r="C60" s="601"/>
      <c r="D60" s="601"/>
      <c r="E60" s="596"/>
      <c r="F60" s="602"/>
      <c r="G60" s="484"/>
      <c r="H60" s="542"/>
      <c r="I60" s="484"/>
      <c r="J60" s="542"/>
      <c r="K60" s="542"/>
      <c r="L60" s="484"/>
      <c r="M60" s="484"/>
      <c r="O60" s="542"/>
      <c r="P60" s="542"/>
    </row>
    <row r="61" spans="1:17">
      <c r="A61" s="603"/>
      <c r="B61" s="603"/>
      <c r="C61" s="601"/>
      <c r="D61" s="601"/>
      <c r="E61" s="596"/>
      <c r="F61" s="602"/>
      <c r="G61" s="542"/>
      <c r="H61" s="542"/>
      <c r="I61" s="484"/>
      <c r="J61" s="542"/>
      <c r="K61" s="542"/>
      <c r="L61" s="484"/>
      <c r="M61" s="484"/>
      <c r="O61" s="542"/>
      <c r="P61" s="542"/>
    </row>
    <row r="62" spans="1:17">
      <c r="A62" s="477"/>
      <c r="B62" s="477"/>
      <c r="C62" s="601"/>
      <c r="D62" s="601"/>
      <c r="E62" s="596"/>
      <c r="F62" s="602"/>
      <c r="G62" s="542"/>
      <c r="H62" s="542"/>
      <c r="I62" s="484"/>
      <c r="J62" s="542"/>
      <c r="K62" s="542"/>
      <c r="L62" s="484"/>
      <c r="M62" s="484"/>
      <c r="O62" s="542"/>
      <c r="P62" s="542"/>
    </row>
    <row r="63" spans="1:17">
      <c r="A63" s="601"/>
      <c r="B63" s="601"/>
      <c r="C63" s="601"/>
      <c r="D63" s="601"/>
      <c r="E63" s="596"/>
      <c r="F63" s="602"/>
      <c r="G63" s="542"/>
      <c r="H63" s="542"/>
      <c r="I63" s="484"/>
      <c r="J63" s="542"/>
      <c r="K63" s="542"/>
      <c r="L63" s="484"/>
      <c r="M63" s="484"/>
      <c r="O63" s="542"/>
      <c r="P63" s="542"/>
    </row>
    <row r="64" spans="1:17">
      <c r="A64" s="601"/>
      <c r="B64" s="601"/>
      <c r="C64" s="601"/>
      <c r="D64" s="601"/>
      <c r="E64" s="596"/>
      <c r="F64" s="602"/>
      <c r="G64" s="542"/>
      <c r="H64" s="542"/>
      <c r="I64" s="484"/>
      <c r="J64" s="595"/>
      <c r="K64" s="542"/>
      <c r="L64" s="484"/>
      <c r="M64" s="484"/>
      <c r="O64" s="542"/>
      <c r="P64" s="542"/>
    </row>
    <row r="65" spans="1:16">
      <c r="A65" s="601"/>
      <c r="B65" s="601"/>
      <c r="C65" s="601"/>
      <c r="D65" s="601"/>
      <c r="E65" s="596"/>
      <c r="F65" s="602"/>
      <c r="G65" s="542"/>
      <c r="H65" s="542"/>
      <c r="I65" s="484"/>
      <c r="J65" s="595"/>
      <c r="K65" s="542"/>
      <c r="L65" s="484"/>
      <c r="M65" s="484"/>
      <c r="O65" s="542"/>
      <c r="P65" s="542"/>
    </row>
    <row r="66" spans="1:16">
      <c r="A66" s="601"/>
      <c r="B66" s="601"/>
      <c r="C66" s="601"/>
      <c r="D66" s="601"/>
      <c r="E66" s="596"/>
      <c r="F66" s="602"/>
      <c r="G66" s="542"/>
      <c r="H66" s="542"/>
      <c r="I66" s="484"/>
      <c r="J66" s="542"/>
      <c r="K66" s="542"/>
      <c r="L66" s="484"/>
      <c r="M66" s="484"/>
      <c r="O66" s="542"/>
      <c r="P66" s="542"/>
    </row>
    <row r="67" spans="1:16">
      <c r="A67" s="601"/>
      <c r="B67" s="601"/>
      <c r="C67" s="601"/>
      <c r="D67" s="601"/>
      <c r="E67" s="596"/>
      <c r="F67" s="602"/>
      <c r="G67" s="542"/>
      <c r="H67" s="542"/>
      <c r="I67" s="484"/>
      <c r="J67" s="542"/>
      <c r="K67" s="542"/>
      <c r="L67" s="484"/>
      <c r="M67" s="484"/>
      <c r="O67" s="542"/>
      <c r="P67" s="542"/>
    </row>
    <row r="68" spans="1:16">
      <c r="A68" s="601"/>
      <c r="B68" s="601"/>
      <c r="C68" s="601"/>
      <c r="D68" s="601"/>
      <c r="E68" s="596"/>
      <c r="F68" s="602"/>
      <c r="G68" s="542"/>
      <c r="H68" s="542"/>
      <c r="I68" s="484"/>
      <c r="J68" s="542"/>
      <c r="K68" s="542"/>
      <c r="L68" s="484"/>
      <c r="M68" s="484"/>
      <c r="O68" s="542"/>
      <c r="P68" s="542"/>
    </row>
    <row r="69" spans="1:16">
      <c r="A69" s="601"/>
      <c r="B69" s="601"/>
      <c r="C69" s="601"/>
      <c r="D69" s="601"/>
      <c r="E69" s="596"/>
      <c r="F69" s="602"/>
      <c r="G69" s="542"/>
      <c r="H69" s="542"/>
      <c r="I69" s="484"/>
      <c r="J69" s="542"/>
      <c r="K69" s="542"/>
      <c r="L69" s="484"/>
      <c r="M69" s="484"/>
      <c r="O69" s="542"/>
      <c r="P69" s="542"/>
    </row>
    <row r="70" spans="1:16">
      <c r="A70" s="601"/>
      <c r="B70" s="601"/>
      <c r="C70" s="601"/>
      <c r="D70" s="601"/>
      <c r="E70" s="596"/>
      <c r="F70" s="602"/>
      <c r="G70" s="542"/>
      <c r="H70" s="542"/>
      <c r="I70" s="484"/>
      <c r="J70" s="542"/>
      <c r="K70" s="542"/>
      <c r="L70" s="484"/>
      <c r="M70" s="484"/>
      <c r="O70" s="542"/>
      <c r="P70" s="542"/>
    </row>
    <row r="71" spans="1:16">
      <c r="A71" s="601"/>
      <c r="B71" s="601"/>
      <c r="C71" s="601"/>
      <c r="D71" s="601"/>
      <c r="E71" s="596"/>
      <c r="F71" s="602"/>
      <c r="G71" s="542"/>
      <c r="H71" s="542"/>
      <c r="I71" s="484"/>
      <c r="J71" s="542"/>
      <c r="K71" s="542"/>
      <c r="L71" s="484"/>
      <c r="O71" s="542"/>
      <c r="P71" s="542"/>
    </row>
    <row r="72" spans="1:16">
      <c r="A72" s="601"/>
      <c r="B72" s="601"/>
      <c r="C72" s="601"/>
      <c r="D72" s="601"/>
      <c r="E72" s="596"/>
      <c r="F72" s="602"/>
      <c r="G72" s="542"/>
      <c r="H72" s="542"/>
      <c r="I72" s="484"/>
      <c r="J72" s="542"/>
      <c r="K72" s="542"/>
      <c r="L72" s="484"/>
      <c r="O72" s="542"/>
      <c r="P72" s="542"/>
    </row>
    <row r="73" spans="1:16">
      <c r="A73" s="601"/>
      <c r="B73" s="601"/>
      <c r="C73" s="601"/>
      <c r="D73" s="601"/>
      <c r="E73" s="596"/>
      <c r="F73" s="602"/>
      <c r="G73" s="542"/>
      <c r="H73" s="542"/>
      <c r="I73" s="484"/>
      <c r="J73" s="542"/>
      <c r="K73" s="542"/>
      <c r="L73" s="542"/>
      <c r="O73" s="542"/>
      <c r="P73" s="542"/>
    </row>
    <row r="74" spans="1:16">
      <c r="A74" s="601"/>
      <c r="B74" s="601"/>
      <c r="C74" s="601"/>
      <c r="D74" s="601"/>
      <c r="E74" s="596"/>
      <c r="F74" s="602"/>
      <c r="G74" s="542"/>
      <c r="H74" s="542"/>
      <c r="I74" s="484"/>
      <c r="J74" s="542"/>
      <c r="K74" s="542"/>
      <c r="L74" s="542"/>
      <c r="O74" s="542"/>
      <c r="P74" s="542"/>
    </row>
    <row r="75" spans="1:16">
      <c r="A75" s="601"/>
      <c r="B75" s="601"/>
      <c r="C75" s="601"/>
      <c r="D75" s="601"/>
      <c r="E75" s="596"/>
      <c r="F75" s="602"/>
      <c r="G75" s="542"/>
      <c r="H75" s="542"/>
      <c r="I75" s="484"/>
      <c r="J75" s="542"/>
      <c r="K75" s="542"/>
      <c r="L75" s="542"/>
      <c r="O75" s="542"/>
      <c r="P75" s="542"/>
    </row>
    <row r="76" spans="1:16">
      <c r="A76" s="601"/>
      <c r="B76" s="601"/>
      <c r="C76" s="601"/>
      <c r="D76" s="601"/>
      <c r="E76" s="596"/>
      <c r="F76" s="602"/>
      <c r="G76" s="542"/>
      <c r="H76" s="542"/>
      <c r="I76" s="484"/>
      <c r="J76" s="542"/>
      <c r="K76" s="542"/>
      <c r="L76" s="542"/>
      <c r="O76" s="542"/>
      <c r="P76" s="542"/>
    </row>
    <row r="77" spans="1:16">
      <c r="A77" s="601"/>
      <c r="B77" s="601"/>
      <c r="C77" s="601"/>
      <c r="D77" s="601"/>
      <c r="E77" s="596"/>
      <c r="F77" s="602"/>
      <c r="G77" s="542"/>
      <c r="H77" s="542"/>
      <c r="I77" s="484"/>
      <c r="J77" s="542"/>
      <c r="K77" s="542"/>
      <c r="L77" s="542"/>
      <c r="O77" s="542"/>
      <c r="P77" s="542"/>
    </row>
    <row r="78" spans="1:16">
      <c r="A78" s="601"/>
      <c r="B78" s="601"/>
      <c r="C78" s="601"/>
      <c r="D78" s="601"/>
      <c r="E78" s="596"/>
      <c r="F78" s="602"/>
      <c r="G78" s="542"/>
      <c r="H78" s="542"/>
      <c r="I78" s="484"/>
      <c r="J78" s="542"/>
      <c r="K78" s="542"/>
      <c r="L78" s="542"/>
      <c r="O78" s="542"/>
      <c r="P78" s="542"/>
    </row>
    <row r="79" spans="1:16">
      <c r="A79" s="601"/>
      <c r="B79" s="601"/>
      <c r="C79" s="601"/>
      <c r="D79" s="601"/>
      <c r="E79" s="596"/>
      <c r="F79" s="602"/>
      <c r="G79" s="542"/>
      <c r="H79" s="542"/>
      <c r="I79" s="484"/>
      <c r="J79" s="542"/>
      <c r="K79" s="542"/>
      <c r="L79" s="542"/>
      <c r="O79" s="542"/>
      <c r="P79" s="542"/>
    </row>
    <row r="80" spans="1:16">
      <c r="A80" s="601"/>
      <c r="B80" s="601"/>
      <c r="C80" s="601"/>
      <c r="D80" s="601"/>
      <c r="E80" s="596"/>
      <c r="F80" s="602"/>
      <c r="G80" s="542"/>
      <c r="H80" s="542"/>
      <c r="I80" s="484"/>
      <c r="J80" s="542"/>
      <c r="K80" s="542"/>
      <c r="L80" s="542"/>
      <c r="O80" s="542"/>
      <c r="P80" s="542"/>
    </row>
    <row r="81" spans="1:17">
      <c r="A81" s="601"/>
      <c r="B81" s="601"/>
      <c r="C81" s="601"/>
      <c r="D81" s="601"/>
      <c r="E81" s="596"/>
      <c r="F81" s="602"/>
      <c r="G81" s="542"/>
      <c r="H81" s="542"/>
      <c r="I81" s="484"/>
      <c r="J81" s="542"/>
      <c r="K81" s="542"/>
      <c r="L81" s="542"/>
      <c r="O81" s="542"/>
      <c r="P81" s="542"/>
    </row>
    <row r="82" spans="1:17">
      <c r="A82" s="601"/>
      <c r="B82" s="601"/>
      <c r="C82" s="601"/>
      <c r="D82" s="601"/>
      <c r="E82" s="596"/>
      <c r="F82" s="602"/>
      <c r="G82" s="542"/>
      <c r="H82" s="542"/>
      <c r="I82" s="484"/>
      <c r="J82" s="542"/>
      <c r="K82" s="542"/>
      <c r="L82" s="542"/>
      <c r="O82" s="542"/>
      <c r="P82" s="542"/>
    </row>
    <row r="83" spans="1:17">
      <c r="A83" s="601"/>
      <c r="B83" s="601"/>
      <c r="C83" s="601"/>
      <c r="D83" s="601"/>
      <c r="E83" s="596"/>
      <c r="F83" s="602"/>
      <c r="G83" s="542"/>
      <c r="H83" s="542"/>
      <c r="I83" s="484"/>
      <c r="J83" s="542"/>
      <c r="K83" s="542"/>
      <c r="L83" s="542"/>
      <c r="O83" s="542"/>
      <c r="P83" s="542"/>
    </row>
    <row r="84" spans="1:17">
      <c r="A84" s="601"/>
      <c r="B84" s="601"/>
      <c r="C84" s="601"/>
      <c r="D84" s="601"/>
      <c r="E84" s="596"/>
      <c r="F84" s="602"/>
      <c r="G84" s="604"/>
      <c r="H84" s="542"/>
      <c r="I84" s="484"/>
      <c r="J84" s="542"/>
      <c r="K84" s="542"/>
      <c r="L84" s="542"/>
      <c r="O84" s="542"/>
      <c r="P84" s="542"/>
    </row>
    <row r="85" spans="1:17">
      <c r="A85" s="601"/>
      <c r="B85" s="601"/>
      <c r="C85" s="601"/>
      <c r="D85" s="601"/>
      <c r="E85" s="596"/>
      <c r="F85" s="602"/>
      <c r="G85" s="604"/>
      <c r="H85" s="542"/>
      <c r="I85" s="484"/>
      <c r="J85" s="542"/>
      <c r="K85" s="542"/>
      <c r="L85" s="542"/>
      <c r="O85" s="542"/>
      <c r="P85" s="542"/>
    </row>
    <row r="86" spans="1:17">
      <c r="A86" s="601"/>
      <c r="B86" s="601"/>
      <c r="C86" s="601"/>
      <c r="D86" s="601"/>
      <c r="E86" s="596"/>
      <c r="F86" s="602"/>
      <c r="G86" s="604"/>
      <c r="H86" s="542"/>
      <c r="I86" s="484"/>
      <c r="J86" s="542"/>
      <c r="K86" s="542"/>
      <c r="L86" s="542"/>
      <c r="O86" s="542"/>
      <c r="P86" s="542"/>
    </row>
    <row r="87" spans="1:17">
      <c r="A87" s="601"/>
      <c r="B87" s="601"/>
      <c r="C87" s="601"/>
      <c r="D87" s="601"/>
      <c r="E87" s="596"/>
      <c r="F87" s="602"/>
      <c r="G87" s="604"/>
      <c r="H87" s="542"/>
      <c r="I87" s="484"/>
      <c r="J87" s="542"/>
      <c r="K87" s="542"/>
      <c r="L87" s="542"/>
      <c r="O87" s="542"/>
      <c r="P87" s="542"/>
    </row>
    <row r="88" spans="1:17">
      <c r="A88" s="601"/>
      <c r="B88" s="601"/>
      <c r="C88" s="601"/>
      <c r="D88" s="601"/>
      <c r="E88" s="596"/>
      <c r="F88" s="602"/>
      <c r="G88" s="542"/>
      <c r="H88" s="542"/>
      <c r="I88" s="484"/>
      <c r="J88" s="542"/>
      <c r="K88" s="542"/>
      <c r="L88" s="542"/>
      <c r="O88" s="542"/>
      <c r="P88" s="542"/>
    </row>
    <row r="89" spans="1:17">
      <c r="A89" s="601"/>
      <c r="B89" s="601"/>
      <c r="C89" s="601"/>
      <c r="D89" s="601"/>
      <c r="E89" s="596"/>
      <c r="F89" s="602"/>
      <c r="G89" s="542"/>
      <c r="H89" s="542"/>
      <c r="I89" s="484"/>
      <c r="J89" s="542"/>
      <c r="K89" s="542"/>
      <c r="L89" s="542"/>
      <c r="O89" s="542"/>
      <c r="P89" s="542"/>
    </row>
    <row r="90" spans="1:17" s="601" customFormat="1">
      <c r="E90" s="596"/>
      <c r="F90" s="602"/>
      <c r="G90" s="542"/>
      <c r="H90" s="542"/>
      <c r="I90" s="484"/>
      <c r="J90" s="542"/>
      <c r="K90" s="542"/>
      <c r="L90" s="542"/>
      <c r="M90" s="542"/>
      <c r="N90" s="542"/>
      <c r="O90" s="542"/>
      <c r="P90" s="542"/>
      <c r="Q90" s="542"/>
    </row>
    <row r="91" spans="1:17" s="601" customFormat="1">
      <c r="E91" s="596"/>
      <c r="F91" s="602"/>
      <c r="G91" s="542"/>
      <c r="H91" s="542"/>
      <c r="I91" s="484"/>
      <c r="J91" s="542"/>
      <c r="K91" s="542"/>
      <c r="L91" s="542"/>
      <c r="M91" s="542"/>
      <c r="N91" s="542"/>
      <c r="O91" s="542"/>
      <c r="P91" s="542"/>
      <c r="Q91" s="542"/>
    </row>
    <row r="92" spans="1:17" s="601" customFormat="1">
      <c r="E92" s="596"/>
      <c r="F92" s="602"/>
      <c r="G92" s="542"/>
      <c r="H92" s="542"/>
      <c r="I92" s="484"/>
      <c r="J92" s="542"/>
      <c r="K92" s="542"/>
      <c r="L92" s="542"/>
      <c r="M92" s="542"/>
      <c r="N92" s="542"/>
      <c r="O92" s="542"/>
      <c r="P92" s="542"/>
      <c r="Q92" s="542"/>
    </row>
    <row r="93" spans="1:17" s="601" customFormat="1">
      <c r="E93" s="596"/>
      <c r="F93" s="602"/>
      <c r="G93" s="542"/>
      <c r="H93" s="542"/>
      <c r="I93" s="484"/>
      <c r="J93" s="542"/>
      <c r="K93" s="542"/>
      <c r="L93" s="542"/>
      <c r="M93" s="542"/>
      <c r="N93" s="542"/>
      <c r="O93" s="542"/>
      <c r="P93" s="542"/>
      <c r="Q93" s="542"/>
    </row>
    <row r="94" spans="1:17" s="601" customFormat="1">
      <c r="E94" s="596"/>
      <c r="F94" s="602"/>
      <c r="G94" s="542"/>
      <c r="H94" s="542"/>
      <c r="I94" s="484"/>
      <c r="J94" s="542"/>
      <c r="K94" s="542"/>
      <c r="L94" s="542"/>
      <c r="M94" s="542"/>
      <c r="N94" s="542"/>
      <c r="O94" s="542"/>
      <c r="P94" s="542"/>
      <c r="Q94" s="542"/>
    </row>
    <row r="95" spans="1:17" s="601" customFormat="1">
      <c r="E95" s="596"/>
      <c r="F95" s="602"/>
      <c r="G95" s="542"/>
      <c r="H95" s="542"/>
      <c r="I95" s="484"/>
      <c r="J95" s="542"/>
      <c r="K95" s="542"/>
      <c r="L95" s="542"/>
      <c r="M95" s="542"/>
    </row>
    <row r="96" spans="1:17" s="601" customFormat="1">
      <c r="E96" s="596"/>
      <c r="F96" s="602"/>
      <c r="G96" s="542"/>
      <c r="H96" s="542"/>
      <c r="I96" s="484"/>
      <c r="J96" s="542"/>
      <c r="K96" s="542"/>
      <c r="L96" s="542"/>
      <c r="M96" s="542"/>
    </row>
    <row r="97" spans="5:13" s="601" customFormat="1">
      <c r="E97" s="596"/>
      <c r="F97" s="602"/>
      <c r="G97" s="542"/>
      <c r="H97" s="542"/>
      <c r="I97" s="484"/>
      <c r="J97" s="542"/>
      <c r="K97" s="542"/>
      <c r="L97" s="542"/>
      <c r="M97" s="542"/>
    </row>
    <row r="98" spans="5:13" s="601" customFormat="1">
      <c r="E98" s="596"/>
      <c r="F98" s="602"/>
      <c r="G98" s="542"/>
      <c r="H98" s="542"/>
      <c r="I98" s="484"/>
      <c r="J98" s="542"/>
      <c r="K98" s="542"/>
      <c r="L98" s="542"/>
      <c r="M98" s="542"/>
    </row>
    <row r="99" spans="5:13" s="601" customFormat="1">
      <c r="E99" s="596"/>
      <c r="F99" s="602"/>
      <c r="G99" s="542"/>
      <c r="H99" s="542"/>
      <c r="I99" s="484"/>
      <c r="J99" s="542"/>
      <c r="K99" s="542"/>
      <c r="L99" s="542"/>
      <c r="M99" s="542"/>
    </row>
    <row r="100" spans="5:13" s="601" customFormat="1">
      <c r="E100" s="596"/>
      <c r="F100" s="602"/>
      <c r="G100" s="542"/>
      <c r="H100" s="542"/>
      <c r="I100" s="484"/>
      <c r="J100" s="542"/>
      <c r="K100" s="542"/>
      <c r="L100" s="542"/>
      <c r="M100" s="542"/>
    </row>
    <row r="101" spans="5:13" s="601" customFormat="1">
      <c r="E101" s="596"/>
      <c r="F101" s="602"/>
      <c r="G101" s="542"/>
      <c r="H101" s="542"/>
      <c r="I101" s="484"/>
      <c r="J101" s="542"/>
      <c r="K101" s="542"/>
      <c r="L101" s="542"/>
      <c r="M101" s="542"/>
    </row>
    <row r="102" spans="5:13" s="601" customFormat="1">
      <c r="E102" s="596"/>
      <c r="F102" s="602"/>
      <c r="G102" s="542"/>
      <c r="H102" s="542"/>
      <c r="I102" s="484"/>
      <c r="J102" s="542"/>
      <c r="K102" s="542"/>
      <c r="L102" s="542"/>
      <c r="M102" s="542"/>
    </row>
    <row r="103" spans="5:13" s="601" customFormat="1">
      <c r="E103" s="596"/>
      <c r="F103" s="602"/>
      <c r="G103" s="542"/>
      <c r="H103" s="542"/>
      <c r="I103" s="484"/>
      <c r="J103" s="542"/>
      <c r="K103" s="542"/>
      <c r="L103" s="542"/>
      <c r="M103" s="542"/>
    </row>
    <row r="104" spans="5:13" s="601" customFormat="1">
      <c r="E104" s="596"/>
      <c r="F104" s="602"/>
      <c r="G104" s="542"/>
      <c r="H104" s="542"/>
      <c r="I104" s="484"/>
      <c r="J104" s="542"/>
      <c r="K104" s="542"/>
      <c r="L104" s="542"/>
      <c r="M104" s="542"/>
    </row>
    <row r="105" spans="5:13" s="601" customFormat="1">
      <c r="E105" s="596"/>
      <c r="F105" s="602"/>
      <c r="G105" s="542"/>
      <c r="H105" s="542"/>
      <c r="I105" s="484"/>
      <c r="J105" s="542"/>
      <c r="K105" s="542"/>
      <c r="L105" s="542"/>
      <c r="M105" s="542"/>
    </row>
    <row r="106" spans="5:13" s="601" customFormat="1">
      <c r="E106" s="596"/>
      <c r="F106" s="602"/>
      <c r="G106" s="542"/>
      <c r="H106" s="542"/>
      <c r="I106" s="484"/>
      <c r="J106" s="542"/>
      <c r="K106" s="542"/>
      <c r="L106" s="542"/>
      <c r="M106" s="542"/>
    </row>
    <row r="107" spans="5:13" s="601" customFormat="1">
      <c r="E107" s="596"/>
      <c r="F107" s="602"/>
      <c r="G107" s="542"/>
      <c r="H107" s="542"/>
      <c r="I107" s="484"/>
      <c r="J107" s="542"/>
      <c r="K107" s="542"/>
      <c r="L107" s="542"/>
      <c r="M107" s="542"/>
    </row>
    <row r="108" spans="5:13" s="601" customFormat="1">
      <c r="E108" s="596"/>
      <c r="F108" s="602"/>
      <c r="G108" s="542"/>
      <c r="H108" s="542"/>
      <c r="I108" s="484"/>
      <c r="J108" s="542"/>
      <c r="K108" s="542"/>
      <c r="L108" s="542"/>
      <c r="M108" s="542"/>
    </row>
    <row r="109" spans="5:13" s="601" customFormat="1">
      <c r="E109" s="596"/>
      <c r="F109" s="602"/>
      <c r="G109" s="542"/>
      <c r="H109" s="542"/>
      <c r="I109" s="484"/>
      <c r="J109" s="542"/>
      <c r="K109" s="542"/>
      <c r="L109" s="542"/>
      <c r="M109" s="542"/>
    </row>
    <row r="110" spans="5:13" s="601" customFormat="1">
      <c r="E110" s="596"/>
      <c r="F110" s="602"/>
      <c r="G110" s="542"/>
      <c r="H110" s="542"/>
      <c r="I110" s="484"/>
      <c r="J110" s="542"/>
      <c r="K110" s="542"/>
      <c r="L110" s="542"/>
    </row>
    <row r="111" spans="5:13" s="601" customFormat="1">
      <c r="E111" s="596"/>
      <c r="F111" s="602"/>
      <c r="G111" s="542"/>
      <c r="H111" s="542"/>
      <c r="I111" s="484"/>
      <c r="J111" s="542"/>
      <c r="K111" s="542"/>
      <c r="L111" s="542"/>
    </row>
    <row r="112" spans="5:13" s="601" customFormat="1">
      <c r="E112" s="596"/>
      <c r="F112" s="602"/>
      <c r="G112" s="542"/>
      <c r="H112" s="542"/>
      <c r="I112" s="484"/>
      <c r="J112" s="542"/>
      <c r="K112" s="542"/>
      <c r="L112" s="542"/>
    </row>
    <row r="113" spans="5:12" s="601" customFormat="1">
      <c r="E113" s="596"/>
      <c r="F113" s="602"/>
      <c r="G113" s="542"/>
      <c r="H113" s="542"/>
      <c r="I113" s="484"/>
      <c r="J113" s="542"/>
      <c r="K113" s="542"/>
      <c r="L113" s="542"/>
    </row>
    <row r="114" spans="5:12" s="601" customFormat="1">
      <c r="E114" s="596"/>
      <c r="F114" s="602"/>
      <c r="G114" s="542"/>
      <c r="H114" s="542"/>
      <c r="I114" s="484"/>
      <c r="J114" s="542"/>
      <c r="K114" s="542"/>
      <c r="L114" s="542"/>
    </row>
    <row r="115" spans="5:12" s="601" customFormat="1">
      <c r="E115" s="596"/>
      <c r="F115" s="602"/>
      <c r="G115" s="542"/>
      <c r="H115" s="542"/>
      <c r="I115" s="484"/>
      <c r="J115" s="542"/>
      <c r="K115" s="542"/>
      <c r="L115" s="542"/>
    </row>
    <row r="116" spans="5:12" s="601" customFormat="1">
      <c r="E116" s="596"/>
      <c r="F116" s="602"/>
      <c r="G116" s="542"/>
      <c r="H116" s="542"/>
      <c r="I116" s="484"/>
      <c r="J116" s="542"/>
      <c r="K116" s="542"/>
      <c r="L116" s="542"/>
    </row>
    <row r="117" spans="5:12" s="601" customFormat="1">
      <c r="E117" s="596"/>
      <c r="F117" s="602"/>
      <c r="G117" s="542"/>
      <c r="H117" s="542"/>
      <c r="I117" s="484"/>
      <c r="J117" s="542"/>
      <c r="K117" s="542"/>
      <c r="L117" s="542"/>
    </row>
    <row r="118" spans="5:12" s="601" customFormat="1">
      <c r="E118" s="596"/>
      <c r="F118" s="602"/>
      <c r="G118" s="542"/>
      <c r="H118" s="542"/>
      <c r="I118" s="484"/>
      <c r="J118" s="542"/>
      <c r="K118" s="542"/>
      <c r="L118" s="542"/>
    </row>
    <row r="119" spans="5:12" s="601" customFormat="1">
      <c r="E119" s="596"/>
      <c r="F119" s="602"/>
      <c r="G119" s="542"/>
      <c r="H119" s="542"/>
      <c r="I119" s="484"/>
      <c r="J119" s="542"/>
      <c r="K119" s="542"/>
      <c r="L119" s="542"/>
    </row>
    <row r="120" spans="5:12" s="601" customFormat="1">
      <c r="E120" s="596"/>
      <c r="F120" s="602"/>
      <c r="G120" s="542"/>
      <c r="H120" s="542"/>
      <c r="I120" s="484"/>
      <c r="J120" s="542"/>
      <c r="K120" s="542"/>
      <c r="L120" s="542"/>
    </row>
    <row r="121" spans="5:12" s="601" customFormat="1">
      <c r="E121" s="596"/>
      <c r="F121" s="602"/>
      <c r="G121" s="542"/>
      <c r="H121" s="542"/>
      <c r="I121" s="484"/>
      <c r="J121" s="542"/>
      <c r="K121" s="542"/>
      <c r="L121" s="542"/>
    </row>
    <row r="122" spans="5:12" s="601" customFormat="1">
      <c r="E122" s="596"/>
      <c r="F122" s="602"/>
      <c r="G122" s="542"/>
      <c r="H122" s="542"/>
      <c r="I122" s="484"/>
      <c r="J122" s="542"/>
      <c r="K122" s="542"/>
      <c r="L122" s="542"/>
    </row>
    <row r="123" spans="5:12" s="601" customFormat="1">
      <c r="E123" s="596"/>
      <c r="F123" s="602"/>
      <c r="G123" s="542"/>
      <c r="H123" s="542"/>
      <c r="I123" s="484"/>
      <c r="J123" s="542"/>
      <c r="K123" s="542"/>
      <c r="L123" s="542"/>
    </row>
    <row r="124" spans="5:12" s="601" customFormat="1">
      <c r="E124" s="596"/>
      <c r="F124" s="602"/>
      <c r="G124" s="542"/>
      <c r="H124" s="542"/>
      <c r="I124" s="484"/>
      <c r="J124" s="542"/>
      <c r="K124" s="542"/>
      <c r="L124" s="542"/>
    </row>
    <row r="125" spans="5:12" s="601" customFormat="1">
      <c r="E125" s="596"/>
      <c r="F125" s="602"/>
      <c r="G125" s="542"/>
      <c r="H125" s="542"/>
      <c r="I125" s="484"/>
      <c r="J125" s="542"/>
      <c r="K125" s="542"/>
      <c r="L125" s="542"/>
    </row>
    <row r="126" spans="5:12" s="601" customFormat="1">
      <c r="E126" s="596"/>
      <c r="F126" s="602"/>
      <c r="G126" s="542"/>
      <c r="H126" s="542"/>
      <c r="I126" s="484"/>
      <c r="J126" s="542"/>
      <c r="K126" s="542"/>
      <c r="L126" s="542"/>
    </row>
    <row r="127" spans="5:12" s="601" customFormat="1">
      <c r="E127" s="596"/>
      <c r="F127" s="602"/>
      <c r="G127" s="542"/>
      <c r="H127" s="542"/>
      <c r="I127" s="484"/>
      <c r="J127" s="542"/>
      <c r="K127" s="542"/>
      <c r="L127" s="542"/>
    </row>
    <row r="128" spans="5:12" s="601" customFormat="1">
      <c r="E128" s="596"/>
      <c r="F128" s="602"/>
      <c r="G128" s="542"/>
      <c r="H128" s="542"/>
      <c r="I128" s="484"/>
      <c r="J128" s="542"/>
      <c r="K128" s="542"/>
      <c r="L128" s="542"/>
    </row>
    <row r="129" spans="5:12" s="601" customFormat="1">
      <c r="E129" s="596"/>
      <c r="F129" s="602"/>
      <c r="G129" s="542"/>
      <c r="H129" s="542"/>
      <c r="I129" s="484"/>
      <c r="J129" s="542"/>
      <c r="K129" s="542"/>
      <c r="L129" s="542"/>
    </row>
    <row r="130" spans="5:12" s="601" customFormat="1">
      <c r="E130" s="596"/>
      <c r="F130" s="602"/>
      <c r="G130" s="542"/>
      <c r="H130" s="542"/>
      <c r="I130" s="484"/>
      <c r="J130" s="542"/>
      <c r="K130" s="542"/>
      <c r="L130" s="542"/>
    </row>
    <row r="131" spans="5:12" s="601" customFormat="1">
      <c r="E131" s="596"/>
      <c r="F131" s="602"/>
      <c r="G131" s="542"/>
      <c r="H131" s="542"/>
      <c r="I131" s="484"/>
      <c r="J131" s="542"/>
      <c r="K131" s="542"/>
      <c r="L131" s="542"/>
    </row>
    <row r="132" spans="5:12" s="601" customFormat="1">
      <c r="E132" s="596"/>
      <c r="F132" s="602"/>
      <c r="G132" s="542"/>
      <c r="H132" s="542"/>
      <c r="I132" s="484"/>
      <c r="J132" s="542"/>
      <c r="K132" s="542"/>
      <c r="L132" s="542"/>
    </row>
    <row r="133" spans="5:12" s="601" customFormat="1">
      <c r="E133" s="596"/>
      <c r="F133" s="602"/>
      <c r="G133" s="542"/>
      <c r="H133" s="542"/>
      <c r="I133" s="484"/>
      <c r="J133" s="542"/>
      <c r="K133" s="542"/>
      <c r="L133" s="542"/>
    </row>
    <row r="134" spans="5:12" s="601" customFormat="1">
      <c r="E134" s="596"/>
      <c r="F134" s="602"/>
      <c r="G134" s="542"/>
      <c r="H134" s="542"/>
      <c r="I134" s="484"/>
      <c r="J134" s="542"/>
      <c r="K134" s="542"/>
      <c r="L134" s="542"/>
    </row>
    <row r="135" spans="5:12" s="601" customFormat="1">
      <c r="E135" s="596"/>
      <c r="F135" s="602"/>
      <c r="G135" s="542"/>
      <c r="H135" s="542"/>
      <c r="I135" s="484"/>
      <c r="J135" s="542"/>
      <c r="K135" s="542"/>
      <c r="L135" s="542"/>
    </row>
    <row r="136" spans="5:12" s="601" customFormat="1">
      <c r="E136" s="596"/>
      <c r="F136" s="602"/>
      <c r="G136" s="542"/>
      <c r="H136" s="542"/>
      <c r="I136" s="484"/>
      <c r="J136" s="542"/>
      <c r="K136" s="542"/>
      <c r="L136" s="542"/>
    </row>
    <row r="137" spans="5:12" s="601" customFormat="1">
      <c r="E137" s="596"/>
      <c r="F137" s="602"/>
      <c r="G137" s="542"/>
      <c r="H137" s="542"/>
      <c r="I137" s="484"/>
      <c r="J137" s="542"/>
      <c r="K137" s="542"/>
      <c r="L137" s="542"/>
    </row>
    <row r="138" spans="5:12" s="601" customFormat="1">
      <c r="E138" s="596"/>
      <c r="F138" s="602"/>
      <c r="G138" s="542"/>
      <c r="H138" s="542"/>
      <c r="I138" s="484"/>
      <c r="J138" s="542"/>
      <c r="K138" s="542"/>
      <c r="L138" s="542"/>
    </row>
    <row r="139" spans="5:12" s="601" customFormat="1">
      <c r="E139" s="596"/>
      <c r="F139" s="602"/>
      <c r="G139" s="542"/>
      <c r="H139" s="542"/>
      <c r="I139" s="484"/>
      <c r="J139" s="542"/>
      <c r="K139" s="542"/>
      <c r="L139" s="542"/>
    </row>
    <row r="140" spans="5:12" s="601" customFormat="1">
      <c r="E140" s="596"/>
      <c r="F140" s="602"/>
      <c r="G140" s="542"/>
      <c r="H140" s="542"/>
      <c r="I140" s="484"/>
      <c r="J140" s="542"/>
      <c r="K140" s="542"/>
      <c r="L140" s="542"/>
    </row>
    <row r="141" spans="5:12" s="601" customFormat="1">
      <c r="E141" s="596"/>
      <c r="F141" s="602"/>
      <c r="G141" s="542"/>
      <c r="H141" s="542"/>
      <c r="I141" s="484"/>
      <c r="J141" s="542"/>
      <c r="K141" s="542"/>
      <c r="L141" s="542"/>
    </row>
    <row r="142" spans="5:12" s="601" customFormat="1">
      <c r="E142" s="596"/>
      <c r="F142" s="602"/>
      <c r="G142" s="542"/>
      <c r="H142" s="542"/>
      <c r="I142" s="484"/>
      <c r="J142" s="542"/>
      <c r="K142" s="542"/>
      <c r="L142" s="542"/>
    </row>
    <row r="143" spans="5:12" s="601" customFormat="1">
      <c r="E143" s="596"/>
      <c r="F143" s="602"/>
      <c r="G143" s="542"/>
      <c r="H143" s="542"/>
      <c r="I143" s="484"/>
      <c r="J143" s="542"/>
      <c r="K143" s="542"/>
      <c r="L143" s="542"/>
    </row>
    <row r="144" spans="5:12" s="601" customFormat="1">
      <c r="E144" s="596"/>
      <c r="F144" s="602"/>
      <c r="G144" s="542"/>
      <c r="H144" s="542"/>
      <c r="I144" s="484"/>
      <c r="J144" s="542"/>
      <c r="K144" s="542"/>
      <c r="L144" s="542"/>
    </row>
    <row r="145" spans="1:17" s="601" customFormat="1">
      <c r="E145" s="596"/>
      <c r="F145" s="602"/>
      <c r="G145" s="542"/>
      <c r="H145" s="542"/>
      <c r="I145" s="484"/>
      <c r="J145" s="542"/>
      <c r="K145" s="542"/>
      <c r="L145" s="542"/>
    </row>
    <row r="146" spans="1:17" s="601" customFormat="1">
      <c r="E146" s="596"/>
      <c r="F146" s="602"/>
      <c r="G146" s="542"/>
      <c r="H146" s="542"/>
      <c r="I146" s="484"/>
      <c r="J146" s="542"/>
      <c r="K146" s="542"/>
      <c r="L146" s="542"/>
    </row>
    <row r="147" spans="1:17">
      <c r="A147" s="601"/>
      <c r="B147" s="601"/>
      <c r="C147" s="601"/>
      <c r="D147" s="601"/>
      <c r="E147" s="596"/>
      <c r="F147" s="602"/>
      <c r="G147" s="542"/>
      <c r="H147" s="542"/>
      <c r="I147" s="484"/>
      <c r="J147" s="542"/>
      <c r="K147" s="542"/>
      <c r="L147" s="542"/>
      <c r="M147" s="601"/>
      <c r="N147" s="601"/>
      <c r="O147" s="601"/>
      <c r="P147" s="601"/>
      <c r="Q147" s="601"/>
    </row>
    <row r="148" spans="1:17">
      <c r="A148" s="601"/>
      <c r="B148" s="601"/>
      <c r="C148" s="601"/>
      <c r="D148" s="601"/>
      <c r="E148" s="596"/>
      <c r="F148" s="602"/>
      <c r="G148" s="542"/>
      <c r="H148" s="542"/>
      <c r="I148" s="484"/>
      <c r="J148" s="542"/>
      <c r="K148" s="542"/>
      <c r="L148" s="542"/>
      <c r="M148" s="601"/>
      <c r="N148" s="601"/>
      <c r="O148" s="601"/>
      <c r="P148" s="601"/>
      <c r="Q148" s="601"/>
    </row>
    <row r="149" spans="1:17">
      <c r="A149" s="601"/>
      <c r="B149" s="601"/>
      <c r="C149" s="601"/>
      <c r="D149" s="601"/>
      <c r="E149" s="596"/>
      <c r="F149" s="602"/>
      <c r="G149" s="542"/>
      <c r="H149" s="542"/>
      <c r="I149" s="484"/>
      <c r="J149" s="542"/>
      <c r="K149" s="542"/>
      <c r="L149" s="542"/>
      <c r="M149" s="601"/>
      <c r="N149" s="601"/>
      <c r="O149" s="601"/>
      <c r="P149" s="601"/>
      <c r="Q149" s="601"/>
    </row>
    <row r="150" spans="1:17">
      <c r="A150" s="601"/>
      <c r="B150" s="601"/>
      <c r="C150" s="601"/>
      <c r="D150" s="601"/>
      <c r="E150" s="596"/>
      <c r="F150" s="602"/>
      <c r="G150" s="542"/>
      <c r="H150" s="542"/>
      <c r="I150" s="484"/>
      <c r="J150" s="542"/>
      <c r="K150" s="542"/>
      <c r="L150" s="542"/>
      <c r="M150" s="601"/>
      <c r="N150" s="601"/>
      <c r="O150" s="601"/>
      <c r="P150" s="601"/>
      <c r="Q150" s="601"/>
    </row>
    <row r="151" spans="1:17">
      <c r="A151" s="601"/>
      <c r="B151" s="601"/>
      <c r="C151" s="601"/>
      <c r="D151" s="601"/>
      <c r="E151" s="596"/>
      <c r="F151" s="602"/>
      <c r="G151" s="542"/>
      <c r="H151" s="542"/>
      <c r="I151" s="484"/>
      <c r="J151" s="542"/>
      <c r="K151" s="542"/>
      <c r="L151" s="542"/>
      <c r="M151" s="601"/>
      <c r="N151" s="601"/>
      <c r="O151" s="601"/>
      <c r="P151" s="601"/>
      <c r="Q151" s="601"/>
    </row>
    <row r="152" spans="1:17">
      <c r="A152" s="601"/>
      <c r="B152" s="601"/>
      <c r="C152" s="601"/>
      <c r="D152" s="601"/>
      <c r="E152" s="596"/>
      <c r="F152" s="602"/>
      <c r="G152" s="542"/>
      <c r="H152" s="542"/>
      <c r="I152" s="484"/>
      <c r="J152" s="542"/>
      <c r="K152" s="542"/>
      <c r="L152" s="542"/>
      <c r="M152" s="601"/>
    </row>
    <row r="153" spans="1:17">
      <c r="A153" s="601"/>
      <c r="B153" s="601"/>
      <c r="C153" s="601"/>
      <c r="D153" s="601"/>
      <c r="E153" s="596"/>
      <c r="F153" s="602"/>
      <c r="G153" s="542"/>
      <c r="H153" s="542"/>
      <c r="I153" s="484"/>
      <c r="J153" s="542"/>
      <c r="K153" s="542"/>
      <c r="L153" s="542"/>
      <c r="M153" s="601"/>
    </row>
    <row r="154" spans="1:17">
      <c r="A154" s="601"/>
      <c r="B154" s="601"/>
      <c r="C154" s="601"/>
      <c r="D154" s="601"/>
      <c r="E154" s="596"/>
      <c r="F154" s="602"/>
      <c r="G154" s="542"/>
      <c r="H154" s="542"/>
      <c r="I154" s="484"/>
      <c r="J154" s="542"/>
      <c r="K154" s="542"/>
      <c r="L154" s="542"/>
      <c r="M154" s="601"/>
    </row>
    <row r="155" spans="1:17">
      <c r="A155" s="601"/>
      <c r="B155" s="601"/>
      <c r="C155" s="601"/>
      <c r="D155" s="601"/>
      <c r="E155" s="596"/>
      <c r="F155" s="602"/>
      <c r="G155" s="542"/>
      <c r="H155" s="542"/>
      <c r="I155" s="484"/>
      <c r="J155" s="542"/>
      <c r="K155" s="542"/>
      <c r="L155" s="542"/>
      <c r="M155" s="601"/>
    </row>
    <row r="156" spans="1:17">
      <c r="J156" s="542"/>
      <c r="K156" s="542"/>
      <c r="L156" s="542"/>
      <c r="M156" s="601"/>
    </row>
    <row r="157" spans="1:17">
      <c r="J157" s="542"/>
      <c r="K157" s="542"/>
      <c r="L157" s="542"/>
      <c r="M157" s="601"/>
    </row>
    <row r="158" spans="1:17">
      <c r="J158" s="542"/>
      <c r="K158" s="542"/>
      <c r="L158" s="542"/>
      <c r="M158" s="601"/>
    </row>
    <row r="159" spans="1:17">
      <c r="J159" s="542"/>
      <c r="K159" s="542"/>
      <c r="L159" s="542"/>
      <c r="M159" s="601"/>
    </row>
    <row r="160" spans="1:17">
      <c r="J160" s="542"/>
      <c r="K160" s="542"/>
      <c r="L160" s="542"/>
      <c r="M160" s="601"/>
    </row>
    <row r="161" spans="10:13">
      <c r="J161" s="542"/>
      <c r="K161" s="542"/>
      <c r="L161" s="542"/>
      <c r="M161" s="601"/>
    </row>
    <row r="162" spans="10:13">
      <c r="K162" s="542"/>
      <c r="L162" s="542"/>
      <c r="M162" s="601"/>
    </row>
    <row r="163" spans="10:13">
      <c r="K163" s="542"/>
      <c r="L163" s="542"/>
      <c r="M163" s="601"/>
    </row>
    <row r="164" spans="10:13">
      <c r="K164" s="542"/>
      <c r="L164" s="542"/>
      <c r="M164" s="601"/>
    </row>
    <row r="165" spans="10:13">
      <c r="L165" s="542"/>
      <c r="M165" s="601"/>
    </row>
    <row r="166" spans="10:13">
      <c r="L166" s="542"/>
      <c r="M166" s="601"/>
    </row>
    <row r="167" spans="10:13">
      <c r="L167" s="542"/>
    </row>
    <row r="168" spans="10:13">
      <c r="L168" s="542"/>
    </row>
    <row r="169" spans="10:13">
      <c r="L169" s="542"/>
    </row>
  </sheetData>
  <mergeCells count="1">
    <mergeCell ref="L7:M7"/>
  </mergeCells>
  <dataValidations count="1">
    <dataValidation type="list" allowBlank="1" showInputMessage="1" showErrorMessage="1" sqref="B5" xr:uid="{B160B875-7B82-485E-99BD-7885BC3A92A3}">
      <formula1>$AB$5:$AB$8</formula1>
    </dataValidation>
  </dataValidations>
  <pageMargins left="0.7" right="0.7" top="0.75" bottom="0.75" header="0.3" footer="0.3"/>
  <pageSetup orientation="portrait" verticalDpi="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20EF2-DF93-464C-9CFB-CF0B7A82D474}">
  <dimension ref="A1:Q169"/>
  <sheetViews>
    <sheetView workbookViewId="0">
      <selection activeCell="M23" sqref="M23"/>
    </sheetView>
  </sheetViews>
  <sheetFormatPr defaultColWidth="7.85546875" defaultRowHeight="11.25"/>
  <cols>
    <col min="1" max="1" width="15.7109375" style="542" bestFit="1" customWidth="1"/>
    <col min="2" max="2" width="9.5703125" style="542" bestFit="1" customWidth="1"/>
    <col min="3" max="3" width="5.140625" style="605" customWidth="1"/>
    <col min="4" max="6" width="7.7109375" style="605" customWidth="1"/>
    <col min="7" max="7" width="6.28515625" style="601" customWidth="1"/>
    <col min="8" max="8" width="6.85546875" style="606" customWidth="1"/>
    <col min="9" max="9" width="9.7109375" style="601" customWidth="1"/>
    <col min="10" max="10" width="8.7109375" style="601" bestFit="1" customWidth="1"/>
    <col min="11" max="11" width="12.5703125" style="596" customWidth="1"/>
    <col min="12" max="12" width="17.28515625" style="602" bestFit="1" customWidth="1"/>
    <col min="13" max="13" width="12.85546875" style="542" customWidth="1"/>
    <col min="14" max="14" width="11.28515625" style="542" customWidth="1"/>
    <col min="15" max="15" width="14.5703125" style="484" customWidth="1"/>
    <col min="16" max="16" width="2.42578125" style="484" customWidth="1"/>
    <col min="17" max="17" width="14" style="542" bestFit="1" customWidth="1"/>
    <col min="18" max="18" width="5.42578125" style="542" customWidth="1"/>
    <col min="19" max="27" width="5.28515625" style="542" customWidth="1"/>
    <col min="28" max="28" width="17" style="542" customWidth="1"/>
    <col min="29" max="16384" width="7.85546875" style="542"/>
  </cols>
  <sheetData>
    <row r="1" spans="1:15" s="430" customFormat="1" ht="12.75">
      <c r="A1" s="420" t="s">
        <v>105</v>
      </c>
      <c r="B1" s="421" t="s">
        <v>152</v>
      </c>
      <c r="C1" s="422"/>
      <c r="D1" s="421"/>
      <c r="E1" s="423"/>
      <c r="F1" s="423"/>
      <c r="G1" s="424"/>
      <c r="H1" s="425" t="s">
        <v>106</v>
      </c>
      <c r="I1" s="426">
        <v>30</v>
      </c>
      <c r="J1" s="427"/>
      <c r="K1" s="421"/>
      <c r="L1" s="421"/>
      <c r="M1" s="428"/>
      <c r="N1" s="429"/>
    </row>
    <row r="2" spans="1:15" s="430" customFormat="1" ht="12.75">
      <c r="A2" s="431" t="s">
        <v>107</v>
      </c>
      <c r="B2" s="432" t="s">
        <v>210</v>
      </c>
      <c r="C2" s="433"/>
      <c r="D2" s="432"/>
      <c r="E2" s="434"/>
      <c r="F2" s="434"/>
      <c r="G2" s="435"/>
      <c r="H2" s="436" t="s">
        <v>108</v>
      </c>
      <c r="I2" s="437">
        <v>33</v>
      </c>
      <c r="J2" s="438"/>
      <c r="K2" s="432"/>
      <c r="L2" s="432"/>
      <c r="M2" s="439"/>
      <c r="N2" s="440"/>
    </row>
    <row r="3" spans="1:15" s="446" customFormat="1" ht="11.25" customHeight="1">
      <c r="A3" s="441" t="s">
        <v>109</v>
      </c>
      <c r="B3" s="607">
        <v>45525</v>
      </c>
      <c r="C3" s="433"/>
      <c r="D3" s="434"/>
      <c r="E3" s="434"/>
      <c r="F3" s="434"/>
      <c r="G3" s="435"/>
      <c r="H3" s="442" t="s">
        <v>110</v>
      </c>
      <c r="I3" s="443">
        <f>M53/100</f>
        <v>0.4018181818181818</v>
      </c>
      <c r="J3" s="438"/>
      <c r="K3" s="432"/>
      <c r="L3" s="432"/>
      <c r="M3" s="444"/>
      <c r="N3" s="445"/>
    </row>
    <row r="4" spans="1:15" s="430" customFormat="1" ht="12.75">
      <c r="A4" s="441" t="s">
        <v>111</v>
      </c>
      <c r="B4" s="432" t="s">
        <v>148</v>
      </c>
      <c r="C4" s="433"/>
      <c r="D4" s="434"/>
      <c r="E4" s="434"/>
      <c r="F4" s="434"/>
      <c r="G4" s="435"/>
      <c r="H4" s="442" t="s">
        <v>112</v>
      </c>
      <c r="I4" s="443">
        <f>J15</f>
        <v>0.54488989271597965</v>
      </c>
      <c r="J4" s="438"/>
      <c r="K4" s="432"/>
      <c r="L4" s="432"/>
      <c r="M4" s="439"/>
      <c r="N4" s="429"/>
    </row>
    <row r="5" spans="1:15" s="451" customFormat="1" ht="12.75">
      <c r="A5" s="431" t="s">
        <v>113</v>
      </c>
      <c r="B5" s="447" t="s">
        <v>114</v>
      </c>
      <c r="C5" s="433"/>
      <c r="D5" s="434"/>
      <c r="E5" s="434"/>
      <c r="F5" s="434"/>
      <c r="G5" s="435"/>
      <c r="H5" s="442"/>
      <c r="I5" s="1005"/>
      <c r="J5" s="438"/>
      <c r="K5" s="432"/>
      <c r="L5" s="432"/>
      <c r="M5" s="449"/>
      <c r="N5" s="450"/>
    </row>
    <row r="6" spans="1:15" s="450" customFormat="1" ht="13.5" thickBot="1">
      <c r="A6" s="452"/>
      <c r="B6" s="453"/>
      <c r="C6" s="454"/>
      <c r="D6" s="455"/>
      <c r="E6" s="455"/>
      <c r="F6" s="455"/>
      <c r="G6" s="456"/>
      <c r="H6" s="457"/>
      <c r="I6" s="458"/>
      <c r="J6" s="456"/>
      <c r="K6" s="459"/>
      <c r="L6" s="453"/>
      <c r="M6" s="460"/>
    </row>
    <row r="7" spans="1:15" s="451" customFormat="1" ht="13.15" customHeight="1">
      <c r="A7" s="461" t="s">
        <v>115</v>
      </c>
      <c r="B7" s="462"/>
      <c r="C7" s="463"/>
      <c r="D7" s="464"/>
      <c r="E7" s="465" t="s">
        <v>116</v>
      </c>
      <c r="F7" s="462"/>
      <c r="G7" s="466" t="s">
        <v>117</v>
      </c>
      <c r="H7" s="467"/>
      <c r="I7" s="468" t="s">
        <v>118</v>
      </c>
      <c r="J7" s="468"/>
      <c r="K7" s="469"/>
      <c r="L7" s="1068" t="s">
        <v>119</v>
      </c>
      <c r="M7" s="1069"/>
      <c r="N7" s="450"/>
      <c r="O7" s="450"/>
    </row>
    <row r="8" spans="1:15" s="480" customFormat="1" ht="11.25" customHeight="1">
      <c r="A8" s="470"/>
      <c r="B8" s="471"/>
      <c r="C8" s="472"/>
      <c r="D8" s="473"/>
      <c r="E8" s="474"/>
      <c r="F8" s="473"/>
      <c r="G8" s="475"/>
      <c r="H8" s="476"/>
      <c r="I8" s="477"/>
      <c r="J8" s="477"/>
      <c r="K8" s="478"/>
      <c r="L8" s="449"/>
      <c r="M8" s="449"/>
      <c r="N8" s="479"/>
    </row>
    <row r="9" spans="1:15" s="481" customFormat="1">
      <c r="C9" s="482"/>
      <c r="D9" s="483"/>
      <c r="E9" s="474" t="s">
        <v>120</v>
      </c>
      <c r="F9" s="473"/>
      <c r="G9" s="475"/>
      <c r="H9" s="476"/>
      <c r="I9" s="484"/>
      <c r="J9" s="484"/>
      <c r="K9" s="478"/>
      <c r="L9" s="485"/>
      <c r="M9" s="486"/>
      <c r="N9" s="487"/>
      <c r="O9" s="488"/>
    </row>
    <row r="10" spans="1:15" s="481" customFormat="1">
      <c r="A10" s="489" t="s">
        <v>121</v>
      </c>
      <c r="B10" s="490" t="s">
        <v>122</v>
      </c>
      <c r="C10" s="491" t="s">
        <v>123</v>
      </c>
      <c r="D10" s="492" t="s">
        <v>124</v>
      </c>
      <c r="E10" s="493" t="s">
        <v>125</v>
      </c>
      <c r="F10" s="492" t="s">
        <v>126</v>
      </c>
      <c r="G10" s="475" t="s">
        <v>127</v>
      </c>
      <c r="H10" s="476" t="s">
        <v>128</v>
      </c>
      <c r="I10" s="477" t="s">
        <v>128</v>
      </c>
      <c r="J10" s="477" t="s">
        <v>127</v>
      </c>
      <c r="K10" s="494" t="s">
        <v>129</v>
      </c>
      <c r="L10" s="485" t="s">
        <v>130</v>
      </c>
      <c r="M10" s="485" t="s">
        <v>131</v>
      </c>
      <c r="N10" s="495"/>
    </row>
    <row r="11" spans="1:15" s="481" customFormat="1" ht="12" thickBot="1">
      <c r="A11" s="496" t="s">
        <v>132</v>
      </c>
      <c r="B11" s="497" t="s">
        <v>132</v>
      </c>
      <c r="C11" s="498" t="s">
        <v>133</v>
      </c>
      <c r="D11" s="499" t="s">
        <v>134</v>
      </c>
      <c r="E11" s="500" t="s">
        <v>133</v>
      </c>
      <c r="F11" s="499" t="s">
        <v>133</v>
      </c>
      <c r="G11" s="501" t="s">
        <v>135</v>
      </c>
      <c r="H11" s="502" t="s">
        <v>136</v>
      </c>
      <c r="I11" s="503" t="s">
        <v>136</v>
      </c>
      <c r="J11" s="503" t="s">
        <v>135</v>
      </c>
      <c r="K11" s="504"/>
      <c r="L11" s="505"/>
      <c r="M11" s="506" t="s">
        <v>133</v>
      </c>
      <c r="N11" s="495"/>
    </row>
    <row r="12" spans="1:15" s="481" customFormat="1">
      <c r="A12" s="507"/>
      <c r="B12" s="508"/>
      <c r="C12" s="509">
        <v>0</v>
      </c>
      <c r="D12" s="510"/>
      <c r="E12" s="511"/>
      <c r="F12" s="512"/>
      <c r="G12" s="513"/>
      <c r="H12" s="514"/>
      <c r="I12" s="515"/>
      <c r="J12" s="516"/>
      <c r="K12" s="517"/>
      <c r="L12" s="518" t="s">
        <v>137</v>
      </c>
      <c r="M12" s="519"/>
      <c r="N12" s="520"/>
    </row>
    <row r="13" spans="1:15" s="481" customFormat="1">
      <c r="A13" s="507">
        <v>495</v>
      </c>
      <c r="B13" s="508">
        <v>0</v>
      </c>
      <c r="C13" s="509">
        <v>10</v>
      </c>
      <c r="D13" s="510">
        <v>966</v>
      </c>
      <c r="E13" s="521">
        <f>C12</f>
        <v>0</v>
      </c>
      <c r="F13" s="522">
        <f>(C13+C14-10)/2</f>
        <v>10</v>
      </c>
      <c r="G13" s="523">
        <f t="shared" ref="G13:G15" si="0">(A13-B13)/966</f>
        <v>0.51242236024844723</v>
      </c>
      <c r="H13" s="524">
        <f>(G13*(F13-E13))/100</f>
        <v>5.124223602484472E-2</v>
      </c>
      <c r="I13" s="525">
        <f>SUM(H$13:H13)</f>
        <v>5.124223602484472E-2</v>
      </c>
      <c r="J13" s="526">
        <f t="shared" ref="J13:J15" si="1">I13/F13*100</f>
        <v>0.51242236024844723</v>
      </c>
      <c r="K13" s="517"/>
      <c r="L13" s="527" t="s">
        <v>211</v>
      </c>
      <c r="M13" s="528">
        <v>43</v>
      </c>
      <c r="N13" s="495"/>
    </row>
    <row r="14" spans="1:15" s="481" customFormat="1">
      <c r="A14" s="507">
        <v>540</v>
      </c>
      <c r="B14" s="508">
        <v>0</v>
      </c>
      <c r="C14" s="509">
        <v>20</v>
      </c>
      <c r="D14" s="510">
        <v>966</v>
      </c>
      <c r="E14" s="521">
        <f>(C13+C14-10)/2</f>
        <v>10</v>
      </c>
      <c r="F14" s="522">
        <f t="shared" ref="F14" si="2">(C14+C15-10)/2</f>
        <v>21.5</v>
      </c>
      <c r="G14" s="523">
        <f t="shared" si="0"/>
        <v>0.55900621118012417</v>
      </c>
      <c r="H14" s="524">
        <f t="shared" ref="H14:H15" si="3">(G14*(F14-E14))/100</f>
        <v>6.4285714285714279E-2</v>
      </c>
      <c r="I14" s="525">
        <f>SUM(H$13:H14)</f>
        <v>0.115527950310559</v>
      </c>
      <c r="J14" s="526">
        <f t="shared" si="1"/>
        <v>0.53733930377004191</v>
      </c>
      <c r="K14" s="517"/>
      <c r="L14" s="527" t="s">
        <v>211</v>
      </c>
      <c r="M14" s="528">
        <v>8</v>
      </c>
      <c r="N14" s="495"/>
    </row>
    <row r="15" spans="1:15" s="481" customFormat="1">
      <c r="A15" s="507">
        <v>540</v>
      </c>
      <c r="B15" s="508">
        <v>0</v>
      </c>
      <c r="C15" s="509">
        <v>33</v>
      </c>
      <c r="D15" s="510">
        <v>966</v>
      </c>
      <c r="E15" s="521">
        <f>(C14+C15-10)/2</f>
        <v>21.5</v>
      </c>
      <c r="F15" s="522">
        <f>C15</f>
        <v>33</v>
      </c>
      <c r="G15" s="523">
        <f t="shared" si="0"/>
        <v>0.55900621118012417</v>
      </c>
      <c r="H15" s="524">
        <f t="shared" si="3"/>
        <v>6.4285714285714279E-2</v>
      </c>
      <c r="I15" s="525">
        <f>SUM(H$13:H15)</f>
        <v>0.17981366459627329</v>
      </c>
      <c r="J15" s="526">
        <f t="shared" si="1"/>
        <v>0.54488989271597965</v>
      </c>
      <c r="K15" s="517"/>
      <c r="L15" s="527" t="s">
        <v>211</v>
      </c>
      <c r="M15" s="529">
        <v>17</v>
      </c>
      <c r="N15" s="495"/>
    </row>
    <row r="16" spans="1:15" s="481" customFormat="1">
      <c r="A16" s="530"/>
      <c r="B16" s="508"/>
      <c r="C16" s="509"/>
      <c r="D16" s="510"/>
      <c r="E16" s="521"/>
      <c r="F16" s="522"/>
      <c r="G16" s="523"/>
      <c r="H16" s="524"/>
      <c r="I16" s="525"/>
      <c r="J16" s="526"/>
      <c r="K16" s="517"/>
      <c r="L16" s="527" t="s">
        <v>211</v>
      </c>
      <c r="M16" s="528">
        <v>18</v>
      </c>
      <c r="N16" s="495"/>
    </row>
    <row r="17" spans="1:16" s="481" customFormat="1">
      <c r="A17" s="530"/>
      <c r="B17" s="508"/>
      <c r="C17" s="509"/>
      <c r="D17" s="510"/>
      <c r="E17" s="521"/>
      <c r="F17" s="522"/>
      <c r="G17" s="523"/>
      <c r="H17" s="524"/>
      <c r="I17" s="525"/>
      <c r="J17" s="526"/>
      <c r="K17" s="531" t="s">
        <v>139</v>
      </c>
      <c r="L17" s="527" t="s">
        <v>211</v>
      </c>
      <c r="M17" s="528">
        <v>40</v>
      </c>
      <c r="N17" s="487"/>
    </row>
    <row r="18" spans="1:16" s="481" customFormat="1">
      <c r="A18" s="530"/>
      <c r="B18" s="508"/>
      <c r="C18" s="509"/>
      <c r="D18" s="510"/>
      <c r="E18" s="521"/>
      <c r="F18" s="522"/>
      <c r="G18" s="523"/>
      <c r="H18" s="524"/>
      <c r="I18" s="525"/>
      <c r="J18" s="526"/>
      <c r="K18" s="532"/>
      <c r="L18" s="527" t="s">
        <v>211</v>
      </c>
      <c r="M18" s="528">
        <v>80</v>
      </c>
      <c r="N18" s="487"/>
    </row>
    <row r="19" spans="1:16" s="481" customFormat="1" ht="10.15" customHeight="1">
      <c r="A19" s="530"/>
      <c r="B19" s="508"/>
      <c r="C19" s="509"/>
      <c r="D19" s="510"/>
      <c r="E19" s="521"/>
      <c r="F19" s="522"/>
      <c r="G19" s="523"/>
      <c r="H19" s="524"/>
      <c r="I19" s="525"/>
      <c r="J19" s="526"/>
      <c r="K19" s="532"/>
      <c r="L19" s="527" t="s">
        <v>211</v>
      </c>
      <c r="M19" s="528">
        <v>81</v>
      </c>
      <c r="N19" s="533"/>
    </row>
    <row r="20" spans="1:16" s="481" customFormat="1">
      <c r="A20" s="530"/>
      <c r="B20" s="508"/>
      <c r="C20" s="509"/>
      <c r="D20" s="510"/>
      <c r="E20" s="521"/>
      <c r="F20" s="522"/>
      <c r="G20" s="523"/>
      <c r="H20" s="524"/>
      <c r="I20" s="525"/>
      <c r="J20" s="526"/>
      <c r="K20" s="517"/>
      <c r="L20" s="527" t="s">
        <v>211</v>
      </c>
      <c r="M20" s="528">
        <v>76</v>
      </c>
      <c r="N20" s="534"/>
    </row>
    <row r="21" spans="1:16" s="536" customFormat="1">
      <c r="A21" s="530"/>
      <c r="B21" s="508"/>
      <c r="C21" s="509"/>
      <c r="D21" s="510"/>
      <c r="E21" s="521"/>
      <c r="F21" s="522"/>
      <c r="G21" s="523"/>
      <c r="H21" s="524"/>
      <c r="I21" s="525"/>
      <c r="J21" s="526"/>
      <c r="K21" s="535"/>
      <c r="L21" s="527" t="s">
        <v>211</v>
      </c>
      <c r="M21" s="528">
        <v>35</v>
      </c>
      <c r="N21" s="534"/>
    </row>
    <row r="22" spans="1:16" s="536" customFormat="1">
      <c r="A22" s="530"/>
      <c r="B22" s="508"/>
      <c r="C22" s="509"/>
      <c r="D22" s="510"/>
      <c r="E22" s="521"/>
      <c r="F22" s="522"/>
      <c r="G22" s="523"/>
      <c r="H22" s="524"/>
      <c r="I22" s="525"/>
      <c r="J22" s="526"/>
      <c r="K22" s="517"/>
      <c r="L22" s="527" t="s">
        <v>137</v>
      </c>
      <c r="M22" s="537">
        <v>33</v>
      </c>
      <c r="N22" s="534"/>
    </row>
    <row r="23" spans="1:16" s="536" customFormat="1">
      <c r="A23" s="530"/>
      <c r="B23" s="508"/>
      <c r="C23" s="509"/>
      <c r="D23" s="510"/>
      <c r="E23" s="521"/>
      <c r="F23" s="522"/>
      <c r="G23" s="523"/>
      <c r="H23" s="524"/>
      <c r="I23" s="525"/>
      <c r="J23" s="526"/>
      <c r="K23" s="538"/>
      <c r="L23" s="527" t="s">
        <v>216</v>
      </c>
      <c r="M23" s="539">
        <v>11</v>
      </c>
      <c r="N23" s="540"/>
    </row>
    <row r="24" spans="1:16" s="536" customFormat="1">
      <c r="A24" s="530"/>
      <c r="B24" s="508"/>
      <c r="C24" s="509"/>
      <c r="D24" s="510"/>
      <c r="E24" s="521"/>
      <c r="F24" s="522"/>
      <c r="G24" s="523"/>
      <c r="H24" s="524"/>
      <c r="I24" s="525"/>
      <c r="J24" s="526"/>
      <c r="K24" s="541"/>
      <c r="L24" s="527"/>
      <c r="M24" s="539"/>
      <c r="N24" s="540"/>
    </row>
    <row r="25" spans="1:16" s="536" customFormat="1">
      <c r="A25" s="530"/>
      <c r="B25" s="508"/>
      <c r="C25" s="509"/>
      <c r="D25" s="510"/>
      <c r="E25" s="521"/>
      <c r="F25" s="522"/>
      <c r="G25" s="523"/>
      <c r="H25" s="524"/>
      <c r="I25" s="525"/>
      <c r="J25" s="526"/>
      <c r="K25" s="541"/>
      <c r="L25" s="527"/>
      <c r="M25" s="539"/>
      <c r="N25" s="540"/>
    </row>
    <row r="26" spans="1:16" s="536" customFormat="1">
      <c r="A26" s="530"/>
      <c r="B26" s="508"/>
      <c r="C26" s="509"/>
      <c r="D26" s="510"/>
      <c r="E26" s="521"/>
      <c r="F26" s="522"/>
      <c r="G26" s="523"/>
      <c r="H26" s="524"/>
      <c r="I26" s="525"/>
      <c r="J26" s="526"/>
      <c r="K26" s="541"/>
      <c r="L26" s="527"/>
      <c r="M26" s="528"/>
      <c r="N26" s="540"/>
    </row>
    <row r="27" spans="1:16" s="536" customFormat="1">
      <c r="A27" s="530"/>
      <c r="B27" s="508"/>
      <c r="C27" s="509"/>
      <c r="D27" s="510"/>
      <c r="E27" s="521"/>
      <c r="F27" s="522"/>
      <c r="G27" s="523"/>
      <c r="H27" s="524"/>
      <c r="I27" s="525"/>
      <c r="J27" s="526"/>
      <c r="K27" s="541"/>
      <c r="L27" s="527"/>
      <c r="M27" s="528"/>
      <c r="N27" s="540"/>
    </row>
    <row r="28" spans="1:16" s="536" customFormat="1">
      <c r="A28" s="530"/>
      <c r="B28" s="508"/>
      <c r="C28" s="509"/>
      <c r="D28" s="510"/>
      <c r="E28" s="521"/>
      <c r="F28" s="522"/>
      <c r="G28" s="523"/>
      <c r="H28" s="524"/>
      <c r="I28" s="525"/>
      <c r="J28" s="526"/>
      <c r="K28" s="541"/>
      <c r="L28" s="527"/>
      <c r="M28" s="528"/>
      <c r="N28" s="540"/>
    </row>
    <row r="29" spans="1:16">
      <c r="A29" s="530"/>
      <c r="B29" s="508"/>
      <c r="C29" s="509"/>
      <c r="D29" s="510"/>
      <c r="E29" s="521"/>
      <c r="F29" s="522"/>
      <c r="G29" s="523"/>
      <c r="H29" s="524"/>
      <c r="I29" s="525"/>
      <c r="J29" s="526"/>
      <c r="K29" s="541"/>
      <c r="L29" s="527"/>
      <c r="M29" s="528"/>
      <c r="N29" s="540"/>
      <c r="O29" s="536"/>
      <c r="P29" s="536"/>
    </row>
    <row r="30" spans="1:16">
      <c r="A30" s="530"/>
      <c r="B30" s="508"/>
      <c r="C30" s="509"/>
      <c r="D30" s="510"/>
      <c r="E30" s="521"/>
      <c r="F30" s="522"/>
      <c r="G30" s="523"/>
      <c r="H30" s="524"/>
      <c r="I30" s="525"/>
      <c r="J30" s="526"/>
      <c r="K30" s="541"/>
      <c r="L30" s="527"/>
      <c r="M30" s="528"/>
      <c r="N30" s="540"/>
      <c r="O30" s="536"/>
      <c r="P30" s="536"/>
    </row>
    <row r="31" spans="1:16">
      <c r="A31" s="530"/>
      <c r="B31" s="508"/>
      <c r="C31" s="509"/>
      <c r="D31" s="510"/>
      <c r="E31" s="521"/>
      <c r="F31" s="522"/>
      <c r="G31" s="523"/>
      <c r="H31" s="524"/>
      <c r="I31" s="525"/>
      <c r="J31" s="526"/>
      <c r="K31" s="541"/>
      <c r="L31" s="527"/>
      <c r="M31" s="528"/>
      <c r="N31" s="540"/>
      <c r="O31" s="536"/>
      <c r="P31" s="536"/>
    </row>
    <row r="32" spans="1:16">
      <c r="A32" s="530"/>
      <c r="B32" s="508"/>
      <c r="C32" s="509"/>
      <c r="D32" s="510"/>
      <c r="E32" s="521"/>
      <c r="F32" s="522"/>
      <c r="G32" s="523"/>
      <c r="H32" s="524"/>
      <c r="I32" s="525"/>
      <c r="J32" s="526"/>
      <c r="K32" s="543"/>
      <c r="L32" s="527"/>
      <c r="M32" s="528"/>
      <c r="N32" s="540"/>
      <c r="O32" s="536"/>
      <c r="P32" s="536"/>
    </row>
    <row r="33" spans="1:17">
      <c r="A33" s="530"/>
      <c r="B33" s="508"/>
      <c r="C33" s="509"/>
      <c r="D33" s="510"/>
      <c r="E33" s="521"/>
      <c r="F33" s="522"/>
      <c r="G33" s="523"/>
      <c r="H33" s="524"/>
      <c r="I33" s="525"/>
      <c r="J33" s="526"/>
      <c r="K33" s="543"/>
      <c r="L33" s="527"/>
      <c r="M33" s="528"/>
      <c r="N33" s="540"/>
      <c r="O33" s="536"/>
      <c r="P33" s="536"/>
    </row>
    <row r="34" spans="1:17">
      <c r="A34" s="530"/>
      <c r="B34" s="508"/>
      <c r="C34" s="509"/>
      <c r="D34" s="510"/>
      <c r="E34" s="521"/>
      <c r="F34" s="522"/>
      <c r="G34" s="523"/>
      <c r="H34" s="524"/>
      <c r="I34" s="525"/>
      <c r="J34" s="526"/>
      <c r="K34" s="543"/>
      <c r="L34" s="527"/>
      <c r="M34" s="528"/>
      <c r="N34" s="544"/>
      <c r="O34" s="542"/>
      <c r="P34" s="542"/>
    </row>
    <row r="35" spans="1:17">
      <c r="A35" s="530"/>
      <c r="B35" s="508"/>
      <c r="C35" s="509"/>
      <c r="D35" s="510"/>
      <c r="E35" s="521"/>
      <c r="F35" s="522"/>
      <c r="G35" s="523"/>
      <c r="H35" s="524"/>
      <c r="I35" s="525"/>
      <c r="J35" s="526"/>
      <c r="K35" s="543"/>
      <c r="L35" s="527"/>
      <c r="M35" s="528"/>
      <c r="N35" s="545"/>
      <c r="O35" s="546"/>
      <c r="P35" s="547"/>
      <c r="Q35" s="546"/>
    </row>
    <row r="36" spans="1:17">
      <c r="A36" s="530"/>
      <c r="B36" s="508"/>
      <c r="C36" s="509"/>
      <c r="D36" s="510"/>
      <c r="E36" s="521"/>
      <c r="F36" s="522"/>
      <c r="G36" s="523"/>
      <c r="H36" s="524"/>
      <c r="I36" s="525"/>
      <c r="J36" s="526"/>
      <c r="K36" s="543"/>
      <c r="L36" s="527"/>
      <c r="M36" s="528"/>
      <c r="N36" s="545"/>
      <c r="O36" s="546"/>
      <c r="P36" s="548"/>
      <c r="Q36" s="546"/>
    </row>
    <row r="37" spans="1:17">
      <c r="A37" s="530"/>
      <c r="B37" s="508"/>
      <c r="C37" s="509"/>
      <c r="D37" s="510"/>
      <c r="E37" s="521"/>
      <c r="F37" s="522"/>
      <c r="G37" s="523"/>
      <c r="H37" s="524"/>
      <c r="I37" s="525"/>
      <c r="J37" s="526"/>
      <c r="K37" s="543"/>
      <c r="L37" s="527"/>
      <c r="M37" s="528"/>
      <c r="N37" s="549"/>
      <c r="O37" s="546"/>
      <c r="P37" s="546"/>
      <c r="Q37" s="546"/>
    </row>
    <row r="38" spans="1:17">
      <c r="A38" s="530"/>
      <c r="B38" s="508"/>
      <c r="C38" s="509"/>
      <c r="D38" s="510"/>
      <c r="E38" s="521"/>
      <c r="F38" s="522"/>
      <c r="G38" s="523"/>
      <c r="H38" s="524"/>
      <c r="I38" s="525"/>
      <c r="J38" s="526"/>
      <c r="K38" s="543"/>
      <c r="L38" s="527"/>
      <c r="M38" s="528"/>
      <c r="N38" s="550"/>
      <c r="O38" s="551"/>
      <c r="P38" s="542"/>
    </row>
    <row r="39" spans="1:17">
      <c r="A39" s="530"/>
      <c r="B39" s="508"/>
      <c r="C39" s="509"/>
      <c r="D39" s="510"/>
      <c r="E39" s="521"/>
      <c r="F39" s="522"/>
      <c r="G39" s="523"/>
      <c r="H39" s="524"/>
      <c r="I39" s="525"/>
      <c r="J39" s="526"/>
      <c r="K39" s="543"/>
      <c r="L39" s="527"/>
      <c r="M39" s="528"/>
      <c r="N39" s="551"/>
      <c r="O39" s="551"/>
      <c r="P39" s="542"/>
    </row>
    <row r="40" spans="1:17">
      <c r="A40" s="530"/>
      <c r="B40" s="508"/>
      <c r="C40" s="509"/>
      <c r="D40" s="510"/>
      <c r="E40" s="521"/>
      <c r="F40" s="522"/>
      <c r="G40" s="523"/>
      <c r="H40" s="524"/>
      <c r="I40" s="525"/>
      <c r="J40" s="526"/>
      <c r="K40" s="543"/>
      <c r="L40" s="527"/>
      <c r="M40" s="528"/>
      <c r="O40" s="542"/>
      <c r="P40" s="542"/>
    </row>
    <row r="41" spans="1:17">
      <c r="A41" s="530"/>
      <c r="B41" s="508"/>
      <c r="C41" s="509"/>
      <c r="D41" s="510"/>
      <c r="E41" s="521"/>
      <c r="F41" s="522"/>
      <c r="G41" s="523"/>
      <c r="H41" s="524"/>
      <c r="I41" s="525"/>
      <c r="J41" s="526"/>
      <c r="K41" s="543"/>
      <c r="L41" s="527"/>
      <c r="M41" s="528"/>
      <c r="O41" s="542"/>
      <c r="P41" s="542"/>
    </row>
    <row r="42" spans="1:17">
      <c r="A42" s="530"/>
      <c r="B42" s="508"/>
      <c r="C42" s="509"/>
      <c r="D42" s="510"/>
      <c r="E42" s="521"/>
      <c r="F42" s="522"/>
      <c r="G42" s="523"/>
      <c r="H42" s="524"/>
      <c r="I42" s="525"/>
      <c r="J42" s="526"/>
      <c r="K42" s="543"/>
      <c r="L42" s="527"/>
      <c r="M42" s="528"/>
      <c r="O42" s="542"/>
      <c r="P42" s="542"/>
    </row>
    <row r="43" spans="1:17">
      <c r="A43" s="530"/>
      <c r="B43" s="508"/>
      <c r="C43" s="509"/>
      <c r="D43" s="510"/>
      <c r="E43" s="521"/>
      <c r="F43" s="522"/>
      <c r="G43" s="523"/>
      <c r="H43" s="524"/>
      <c r="I43" s="525"/>
      <c r="J43" s="526"/>
      <c r="K43" s="543"/>
      <c r="L43" s="527"/>
      <c r="M43" s="528"/>
      <c r="O43" s="542"/>
      <c r="P43" s="542"/>
    </row>
    <row r="44" spans="1:17">
      <c r="A44" s="530"/>
      <c r="B44" s="508"/>
      <c r="C44" s="509"/>
      <c r="D44" s="510"/>
      <c r="E44" s="521"/>
      <c r="F44" s="522"/>
      <c r="G44" s="523"/>
      <c r="H44" s="524"/>
      <c r="I44" s="525"/>
      <c r="J44" s="526"/>
      <c r="K44" s="543"/>
      <c r="L44" s="527"/>
      <c r="M44" s="528"/>
      <c r="O44" s="542"/>
      <c r="P44" s="542"/>
    </row>
    <row r="45" spans="1:17">
      <c r="A45" s="530"/>
      <c r="B45" s="508"/>
      <c r="C45" s="509"/>
      <c r="D45" s="510"/>
      <c r="E45" s="521"/>
      <c r="F45" s="522"/>
      <c r="G45" s="523"/>
      <c r="H45" s="524"/>
      <c r="I45" s="525"/>
      <c r="J45" s="526"/>
      <c r="K45" s="543"/>
      <c r="L45" s="527"/>
      <c r="M45" s="528"/>
      <c r="O45" s="542"/>
      <c r="P45" s="542"/>
    </row>
    <row r="46" spans="1:17">
      <c r="A46" s="530"/>
      <c r="B46" s="508"/>
      <c r="C46" s="509"/>
      <c r="D46" s="510"/>
      <c r="E46" s="521"/>
      <c r="F46" s="522"/>
      <c r="G46" s="523"/>
      <c r="H46" s="524"/>
      <c r="I46" s="525"/>
      <c r="J46" s="526"/>
      <c r="K46" s="543"/>
      <c r="L46" s="527"/>
      <c r="M46" s="528"/>
      <c r="O46" s="542"/>
      <c r="P46" s="542"/>
    </row>
    <row r="47" spans="1:17">
      <c r="A47" s="530"/>
      <c r="B47" s="508"/>
      <c r="C47" s="509"/>
      <c r="D47" s="510"/>
      <c r="E47" s="521"/>
      <c r="F47" s="522"/>
      <c r="G47" s="523"/>
      <c r="H47" s="524"/>
      <c r="I47" s="525"/>
      <c r="J47" s="526"/>
      <c r="K47" s="543"/>
      <c r="L47" s="527"/>
      <c r="M47" s="528"/>
      <c r="O47" s="542"/>
      <c r="P47" s="542"/>
    </row>
    <row r="48" spans="1:17">
      <c r="A48" s="530"/>
      <c r="B48" s="508"/>
      <c r="C48" s="509"/>
      <c r="D48" s="510"/>
      <c r="E48" s="521"/>
      <c r="F48" s="522"/>
      <c r="G48" s="523"/>
      <c r="H48" s="524"/>
      <c r="I48" s="525"/>
      <c r="J48" s="526"/>
      <c r="K48" s="543"/>
      <c r="L48" s="527"/>
      <c r="M48" s="528"/>
      <c r="O48" s="542"/>
      <c r="P48" s="542"/>
    </row>
    <row r="49" spans="1:17">
      <c r="A49" s="530"/>
      <c r="B49" s="508"/>
      <c r="C49" s="509"/>
      <c r="D49" s="510"/>
      <c r="E49" s="521"/>
      <c r="F49" s="522"/>
      <c r="G49" s="523"/>
      <c r="H49" s="524"/>
      <c r="I49" s="525"/>
      <c r="J49" s="526"/>
      <c r="K49" s="543"/>
      <c r="L49" s="527"/>
      <c r="M49" s="528"/>
      <c r="O49" s="542"/>
      <c r="P49" s="542"/>
    </row>
    <row r="50" spans="1:17">
      <c r="A50" s="530"/>
      <c r="B50" s="508"/>
      <c r="C50" s="509"/>
      <c r="D50" s="510"/>
      <c r="E50" s="521"/>
      <c r="F50" s="522"/>
      <c r="G50" s="523"/>
      <c r="H50" s="524"/>
      <c r="I50" s="525"/>
      <c r="J50" s="526"/>
      <c r="K50" s="543"/>
      <c r="L50" s="527"/>
      <c r="M50" s="528"/>
      <c r="O50" s="542"/>
      <c r="P50" s="542"/>
    </row>
    <row r="51" spans="1:17">
      <c r="A51" s="530"/>
      <c r="B51" s="508"/>
      <c r="C51" s="509"/>
      <c r="D51" s="510"/>
      <c r="E51" s="521"/>
      <c r="F51" s="522"/>
      <c r="G51" s="523"/>
      <c r="H51" s="524"/>
      <c r="I51" s="525"/>
      <c r="J51" s="526"/>
      <c r="K51" s="543"/>
      <c r="L51" s="527"/>
      <c r="M51" s="528"/>
      <c r="O51" s="542"/>
      <c r="P51" s="542"/>
    </row>
    <row r="52" spans="1:17" ht="12" thickBot="1">
      <c r="A52" s="530"/>
      <c r="B52" s="508"/>
      <c r="C52" s="509"/>
      <c r="D52" s="510"/>
      <c r="E52" s="521"/>
      <c r="F52" s="522"/>
      <c r="G52" s="523"/>
      <c r="H52" s="524"/>
      <c r="I52" s="525"/>
      <c r="J52" s="526"/>
      <c r="K52" s="543"/>
      <c r="L52" s="527"/>
      <c r="M52" s="552"/>
      <c r="O52" s="542"/>
      <c r="P52" s="542"/>
    </row>
    <row r="53" spans="1:17">
      <c r="A53" s="530"/>
      <c r="B53" s="508"/>
      <c r="C53" s="509"/>
      <c r="D53" s="510"/>
      <c r="E53" s="521"/>
      <c r="F53" s="522"/>
      <c r="G53" s="523"/>
      <c r="H53" s="524"/>
      <c r="I53" s="525"/>
      <c r="J53" s="526"/>
      <c r="K53" s="543"/>
      <c r="L53" s="553" t="s">
        <v>140</v>
      </c>
      <c r="M53" s="554">
        <f>AVERAGE(M12:M52)</f>
        <v>40.18181818181818</v>
      </c>
      <c r="O53" s="542"/>
      <c r="P53" s="542"/>
    </row>
    <row r="54" spans="1:17">
      <c r="A54" s="530"/>
      <c r="B54" s="508"/>
      <c r="C54" s="509"/>
      <c r="D54" s="510"/>
      <c r="E54" s="521"/>
      <c r="F54" s="522"/>
      <c r="G54" s="523"/>
      <c r="H54" s="524"/>
      <c r="I54" s="525"/>
      <c r="J54" s="526"/>
      <c r="K54" s="543"/>
      <c r="L54" s="429" t="s">
        <v>141</v>
      </c>
      <c r="M54" s="552">
        <f>STDEV(M12:M52)</f>
        <v>27.454756170172708</v>
      </c>
      <c r="N54" s="484"/>
      <c r="P54" s="542"/>
    </row>
    <row r="55" spans="1:17">
      <c r="A55" s="555" t="s">
        <v>142</v>
      </c>
      <c r="B55" s="556"/>
      <c r="C55" s="557"/>
      <c r="D55" s="558"/>
      <c r="E55" s="559"/>
      <c r="F55" s="560"/>
      <c r="G55" s="561"/>
      <c r="H55" s="562"/>
      <c r="I55" s="563"/>
      <c r="J55" s="564"/>
      <c r="K55" s="565"/>
      <c r="L55" s="429" t="s">
        <v>143</v>
      </c>
      <c r="M55" s="552">
        <f>M54/SQRT(COUNT(M12:M51))</f>
        <v>8.2779204479234245</v>
      </c>
      <c r="N55" s="550"/>
      <c r="Q55" s="484"/>
    </row>
    <row r="56" spans="1:17">
      <c r="A56" s="566"/>
      <c r="B56" s="567"/>
      <c r="C56" s="568"/>
      <c r="D56" s="569"/>
      <c r="E56" s="570"/>
      <c r="F56" s="571"/>
      <c r="G56" s="572"/>
      <c r="H56" s="573"/>
      <c r="I56" s="574"/>
      <c r="J56" s="575"/>
      <c r="K56" s="576"/>
      <c r="L56" s="429" t="s">
        <v>144</v>
      </c>
      <c r="M56" s="552">
        <f>MAX(M12:M51)</f>
        <v>81</v>
      </c>
      <c r="N56" s="550"/>
      <c r="O56" s="542"/>
      <c r="P56" s="542"/>
    </row>
    <row r="57" spans="1:17" ht="12" thickBot="1">
      <c r="A57" s="577"/>
      <c r="B57" s="578"/>
      <c r="C57" s="579"/>
      <c r="D57" s="580"/>
      <c r="E57" s="581"/>
      <c r="F57" s="582"/>
      <c r="G57" s="583"/>
      <c r="H57" s="584"/>
      <c r="I57" s="585"/>
      <c r="J57" s="586"/>
      <c r="K57" s="587"/>
      <c r="L57" s="588" t="s">
        <v>145</v>
      </c>
      <c r="M57" s="589">
        <f>MIN(M12:M51)</f>
        <v>8</v>
      </c>
      <c r="N57" s="484"/>
      <c r="O57" s="542"/>
      <c r="P57" s="542"/>
    </row>
    <row r="58" spans="1:17">
      <c r="A58" s="590"/>
      <c r="B58" s="590"/>
      <c r="C58" s="591"/>
      <c r="D58" s="592"/>
      <c r="E58" s="592"/>
      <c r="F58" s="592"/>
      <c r="G58" s="593"/>
      <c r="H58" s="594"/>
      <c r="I58" s="595"/>
      <c r="J58" s="596"/>
      <c r="K58" s="597"/>
      <c r="L58" s="598"/>
      <c r="M58" s="484"/>
      <c r="O58" s="542"/>
      <c r="P58" s="542"/>
    </row>
    <row r="59" spans="1:17">
      <c r="A59" s="484"/>
      <c r="B59" s="484"/>
      <c r="C59" s="599"/>
      <c r="D59" s="599"/>
      <c r="E59" s="599"/>
      <c r="F59" s="599"/>
      <c r="G59" s="595"/>
      <c r="H59" s="594"/>
      <c r="I59" s="595"/>
      <c r="J59" s="596"/>
      <c r="K59" s="600"/>
      <c r="L59" s="598"/>
      <c r="M59" s="484"/>
      <c r="O59" s="542"/>
      <c r="P59" s="542"/>
    </row>
    <row r="60" spans="1:17">
      <c r="A60" s="601"/>
      <c r="B60" s="601"/>
      <c r="C60" s="601"/>
      <c r="D60" s="601"/>
      <c r="E60" s="596"/>
      <c r="F60" s="602"/>
      <c r="G60" s="484"/>
      <c r="H60" s="542"/>
      <c r="I60" s="484"/>
      <c r="J60" s="542"/>
      <c r="K60" s="542"/>
      <c r="L60" s="484"/>
      <c r="M60" s="484"/>
      <c r="O60" s="542"/>
      <c r="P60" s="542"/>
    </row>
    <row r="61" spans="1:17">
      <c r="A61" s="603"/>
      <c r="B61" s="603"/>
      <c r="C61" s="601"/>
      <c r="D61" s="601"/>
      <c r="E61" s="596"/>
      <c r="F61" s="602"/>
      <c r="G61" s="542"/>
      <c r="H61" s="542"/>
      <c r="I61" s="484"/>
      <c r="J61" s="542"/>
      <c r="K61" s="542"/>
      <c r="L61" s="484"/>
      <c r="M61" s="484"/>
      <c r="O61" s="542"/>
      <c r="P61" s="542"/>
    </row>
    <row r="62" spans="1:17">
      <c r="A62" s="477"/>
      <c r="B62" s="477"/>
      <c r="C62" s="601"/>
      <c r="D62" s="601"/>
      <c r="E62" s="596"/>
      <c r="F62" s="602"/>
      <c r="G62" s="542"/>
      <c r="H62" s="542"/>
      <c r="I62" s="484"/>
      <c r="J62" s="542"/>
      <c r="K62" s="542"/>
      <c r="L62" s="484"/>
      <c r="M62" s="484"/>
      <c r="O62" s="542"/>
      <c r="P62" s="542"/>
    </row>
    <row r="63" spans="1:17">
      <c r="A63" s="601"/>
      <c r="B63" s="601"/>
      <c r="C63" s="601"/>
      <c r="D63" s="601"/>
      <c r="E63" s="596"/>
      <c r="F63" s="602"/>
      <c r="G63" s="542"/>
      <c r="H63" s="542"/>
      <c r="I63" s="484"/>
      <c r="J63" s="542"/>
      <c r="K63" s="542"/>
      <c r="L63" s="484"/>
      <c r="M63" s="484"/>
      <c r="O63" s="542"/>
      <c r="P63" s="542"/>
    </row>
    <row r="64" spans="1:17">
      <c r="A64" s="601"/>
      <c r="B64" s="601"/>
      <c r="C64" s="601"/>
      <c r="D64" s="601"/>
      <c r="E64" s="596"/>
      <c r="F64" s="602"/>
      <c r="G64" s="542"/>
      <c r="H64" s="542"/>
      <c r="I64" s="484"/>
      <c r="J64" s="595"/>
      <c r="K64" s="542"/>
      <c r="L64" s="484"/>
      <c r="M64" s="484"/>
      <c r="O64" s="542"/>
      <c r="P64" s="542"/>
    </row>
    <row r="65" spans="1:16">
      <c r="A65" s="601"/>
      <c r="B65" s="601"/>
      <c r="C65" s="601"/>
      <c r="D65" s="601"/>
      <c r="E65" s="596"/>
      <c r="F65" s="602"/>
      <c r="G65" s="542"/>
      <c r="H65" s="542"/>
      <c r="I65" s="484"/>
      <c r="J65" s="595"/>
      <c r="K65" s="542"/>
      <c r="L65" s="484"/>
      <c r="M65" s="484"/>
      <c r="O65" s="542"/>
      <c r="P65" s="542"/>
    </row>
    <row r="66" spans="1:16">
      <c r="A66" s="601"/>
      <c r="B66" s="601"/>
      <c r="C66" s="601"/>
      <c r="D66" s="601"/>
      <c r="E66" s="596"/>
      <c r="F66" s="602"/>
      <c r="G66" s="542"/>
      <c r="H66" s="542"/>
      <c r="I66" s="484"/>
      <c r="J66" s="542"/>
      <c r="K66" s="542"/>
      <c r="L66" s="484"/>
      <c r="M66" s="484"/>
      <c r="O66" s="542"/>
      <c r="P66" s="542"/>
    </row>
    <row r="67" spans="1:16">
      <c r="A67" s="601"/>
      <c r="B67" s="601"/>
      <c r="C67" s="601"/>
      <c r="D67" s="601"/>
      <c r="E67" s="596"/>
      <c r="F67" s="602"/>
      <c r="G67" s="542"/>
      <c r="H67" s="542"/>
      <c r="I67" s="484"/>
      <c r="J67" s="542"/>
      <c r="K67" s="542"/>
      <c r="L67" s="484"/>
      <c r="M67" s="484"/>
      <c r="O67" s="542"/>
      <c r="P67" s="542"/>
    </row>
    <row r="68" spans="1:16">
      <c r="A68" s="601"/>
      <c r="B68" s="601"/>
      <c r="C68" s="601"/>
      <c r="D68" s="601"/>
      <c r="E68" s="596"/>
      <c r="F68" s="602"/>
      <c r="G68" s="542"/>
      <c r="H68" s="542"/>
      <c r="I68" s="484"/>
      <c r="J68" s="542"/>
      <c r="K68" s="542"/>
      <c r="L68" s="484"/>
      <c r="M68" s="484"/>
      <c r="O68" s="542"/>
      <c r="P68" s="542"/>
    </row>
    <row r="69" spans="1:16">
      <c r="A69" s="601"/>
      <c r="B69" s="601"/>
      <c r="C69" s="601"/>
      <c r="D69" s="601"/>
      <c r="E69" s="596"/>
      <c r="F69" s="602"/>
      <c r="G69" s="542"/>
      <c r="H69" s="542"/>
      <c r="I69" s="484"/>
      <c r="J69" s="542"/>
      <c r="K69" s="542"/>
      <c r="L69" s="484"/>
      <c r="M69" s="484"/>
      <c r="O69" s="542"/>
      <c r="P69" s="542"/>
    </row>
    <row r="70" spans="1:16">
      <c r="A70" s="601"/>
      <c r="B70" s="601"/>
      <c r="C70" s="601"/>
      <c r="D70" s="601"/>
      <c r="E70" s="596"/>
      <c r="F70" s="602"/>
      <c r="G70" s="542"/>
      <c r="H70" s="542"/>
      <c r="I70" s="484"/>
      <c r="J70" s="542"/>
      <c r="K70" s="542"/>
      <c r="L70" s="484"/>
      <c r="M70" s="484"/>
      <c r="O70" s="542"/>
      <c r="P70" s="542"/>
    </row>
    <row r="71" spans="1:16">
      <c r="A71" s="601"/>
      <c r="B71" s="601"/>
      <c r="C71" s="601"/>
      <c r="D71" s="601"/>
      <c r="E71" s="596"/>
      <c r="F71" s="602"/>
      <c r="G71" s="542"/>
      <c r="H71" s="542"/>
      <c r="I71" s="484"/>
      <c r="J71" s="542"/>
      <c r="K71" s="542"/>
      <c r="L71" s="484"/>
      <c r="O71" s="542"/>
      <c r="P71" s="542"/>
    </row>
    <row r="72" spans="1:16">
      <c r="A72" s="601"/>
      <c r="B72" s="601"/>
      <c r="C72" s="601"/>
      <c r="D72" s="601"/>
      <c r="E72" s="596"/>
      <c r="F72" s="602"/>
      <c r="G72" s="542"/>
      <c r="H72" s="542"/>
      <c r="I72" s="484"/>
      <c r="J72" s="542"/>
      <c r="K72" s="542"/>
      <c r="L72" s="484"/>
      <c r="O72" s="542"/>
      <c r="P72" s="542"/>
    </row>
    <row r="73" spans="1:16">
      <c r="A73" s="601"/>
      <c r="B73" s="601"/>
      <c r="C73" s="601"/>
      <c r="D73" s="601"/>
      <c r="E73" s="596"/>
      <c r="F73" s="602"/>
      <c r="G73" s="542"/>
      <c r="H73" s="542"/>
      <c r="I73" s="484"/>
      <c r="J73" s="542"/>
      <c r="K73" s="542"/>
      <c r="L73" s="542"/>
      <c r="O73" s="542"/>
      <c r="P73" s="542"/>
    </row>
    <row r="74" spans="1:16">
      <c r="A74" s="601"/>
      <c r="B74" s="601"/>
      <c r="C74" s="601"/>
      <c r="D74" s="601"/>
      <c r="E74" s="596"/>
      <c r="F74" s="602"/>
      <c r="G74" s="542"/>
      <c r="H74" s="542"/>
      <c r="I74" s="484"/>
      <c r="J74" s="542"/>
      <c r="K74" s="542"/>
      <c r="L74" s="542"/>
      <c r="O74" s="542"/>
      <c r="P74" s="542"/>
    </row>
    <row r="75" spans="1:16">
      <c r="A75" s="601"/>
      <c r="B75" s="601"/>
      <c r="C75" s="601"/>
      <c r="D75" s="601"/>
      <c r="E75" s="596"/>
      <c r="F75" s="602"/>
      <c r="G75" s="542"/>
      <c r="H75" s="542"/>
      <c r="I75" s="484"/>
      <c r="J75" s="542"/>
      <c r="K75" s="542"/>
      <c r="L75" s="542"/>
      <c r="O75" s="542"/>
      <c r="P75" s="542"/>
    </row>
    <row r="76" spans="1:16">
      <c r="A76" s="601"/>
      <c r="B76" s="601"/>
      <c r="C76" s="601"/>
      <c r="D76" s="601"/>
      <c r="E76" s="596"/>
      <c r="F76" s="602"/>
      <c r="G76" s="542"/>
      <c r="H76" s="542"/>
      <c r="I76" s="484"/>
      <c r="J76" s="542"/>
      <c r="K76" s="542"/>
      <c r="L76" s="542"/>
      <c r="O76" s="542"/>
      <c r="P76" s="542"/>
    </row>
    <row r="77" spans="1:16">
      <c r="A77" s="601"/>
      <c r="B77" s="601"/>
      <c r="C77" s="601"/>
      <c r="D77" s="601"/>
      <c r="E77" s="596"/>
      <c r="F77" s="602"/>
      <c r="G77" s="542"/>
      <c r="H77" s="542"/>
      <c r="I77" s="484"/>
      <c r="J77" s="542"/>
      <c r="K77" s="542"/>
      <c r="L77" s="542"/>
      <c r="O77" s="542"/>
      <c r="P77" s="542"/>
    </row>
    <row r="78" spans="1:16">
      <c r="A78" s="601"/>
      <c r="B78" s="601"/>
      <c r="C78" s="601"/>
      <c r="D78" s="601"/>
      <c r="E78" s="596"/>
      <c r="F78" s="602"/>
      <c r="G78" s="542"/>
      <c r="H78" s="542"/>
      <c r="I78" s="484"/>
      <c r="J78" s="542"/>
      <c r="K78" s="542"/>
      <c r="L78" s="542"/>
      <c r="O78" s="542"/>
      <c r="P78" s="542"/>
    </row>
    <row r="79" spans="1:16">
      <c r="A79" s="601"/>
      <c r="B79" s="601"/>
      <c r="C79" s="601"/>
      <c r="D79" s="601"/>
      <c r="E79" s="596"/>
      <c r="F79" s="602"/>
      <c r="G79" s="542"/>
      <c r="H79" s="542"/>
      <c r="I79" s="484"/>
      <c r="J79" s="542"/>
      <c r="K79" s="542"/>
      <c r="L79" s="542"/>
      <c r="O79" s="542"/>
      <c r="P79" s="542"/>
    </row>
    <row r="80" spans="1:16">
      <c r="A80" s="601"/>
      <c r="B80" s="601"/>
      <c r="C80" s="601"/>
      <c r="D80" s="601"/>
      <c r="E80" s="596"/>
      <c r="F80" s="602"/>
      <c r="G80" s="542"/>
      <c r="H80" s="542"/>
      <c r="I80" s="484"/>
      <c r="J80" s="542"/>
      <c r="K80" s="542"/>
      <c r="L80" s="542"/>
      <c r="O80" s="542"/>
      <c r="P80" s="542"/>
    </row>
    <row r="81" spans="1:17">
      <c r="A81" s="601"/>
      <c r="B81" s="601"/>
      <c r="C81" s="601"/>
      <c r="D81" s="601"/>
      <c r="E81" s="596"/>
      <c r="F81" s="602"/>
      <c r="G81" s="542"/>
      <c r="H81" s="542"/>
      <c r="I81" s="484"/>
      <c r="J81" s="542"/>
      <c r="K81" s="542"/>
      <c r="L81" s="542"/>
      <c r="O81" s="542"/>
      <c r="P81" s="542"/>
    </row>
    <row r="82" spans="1:17">
      <c r="A82" s="601"/>
      <c r="B82" s="601"/>
      <c r="C82" s="601"/>
      <c r="D82" s="601"/>
      <c r="E82" s="596"/>
      <c r="F82" s="602"/>
      <c r="G82" s="542"/>
      <c r="H82" s="542"/>
      <c r="I82" s="484"/>
      <c r="J82" s="542"/>
      <c r="K82" s="542"/>
      <c r="L82" s="542"/>
      <c r="O82" s="542"/>
      <c r="P82" s="542"/>
    </row>
    <row r="83" spans="1:17">
      <c r="A83" s="601"/>
      <c r="B83" s="601"/>
      <c r="C83" s="601"/>
      <c r="D83" s="601"/>
      <c r="E83" s="596"/>
      <c r="F83" s="602"/>
      <c r="G83" s="542"/>
      <c r="H83" s="542"/>
      <c r="I83" s="484"/>
      <c r="J83" s="542"/>
      <c r="K83" s="542"/>
      <c r="L83" s="542"/>
      <c r="O83" s="542"/>
      <c r="P83" s="542"/>
    </row>
    <row r="84" spans="1:17">
      <c r="A84" s="601"/>
      <c r="B84" s="601"/>
      <c r="C84" s="601"/>
      <c r="D84" s="601"/>
      <c r="E84" s="596"/>
      <c r="F84" s="602"/>
      <c r="G84" s="604"/>
      <c r="H84" s="542"/>
      <c r="I84" s="484"/>
      <c r="J84" s="542"/>
      <c r="K84" s="542"/>
      <c r="L84" s="542"/>
      <c r="O84" s="542"/>
      <c r="P84" s="542"/>
    </row>
    <row r="85" spans="1:17">
      <c r="A85" s="601"/>
      <c r="B85" s="601"/>
      <c r="C85" s="601"/>
      <c r="D85" s="601"/>
      <c r="E85" s="596"/>
      <c r="F85" s="602"/>
      <c r="G85" s="604"/>
      <c r="H85" s="542"/>
      <c r="I85" s="484"/>
      <c r="J85" s="542"/>
      <c r="K85" s="542"/>
      <c r="L85" s="542"/>
      <c r="O85" s="542"/>
      <c r="P85" s="542"/>
    </row>
    <row r="86" spans="1:17">
      <c r="A86" s="601"/>
      <c r="B86" s="601"/>
      <c r="C86" s="601"/>
      <c r="D86" s="601"/>
      <c r="E86" s="596"/>
      <c r="F86" s="602"/>
      <c r="G86" s="604"/>
      <c r="H86" s="542"/>
      <c r="I86" s="484"/>
      <c r="J86" s="542"/>
      <c r="K86" s="542"/>
      <c r="L86" s="542"/>
      <c r="O86" s="542"/>
      <c r="P86" s="542"/>
    </row>
    <row r="87" spans="1:17">
      <c r="A87" s="601"/>
      <c r="B87" s="601"/>
      <c r="C87" s="601"/>
      <c r="D87" s="601"/>
      <c r="E87" s="596"/>
      <c r="F87" s="602"/>
      <c r="G87" s="604"/>
      <c r="H87" s="542"/>
      <c r="I87" s="484"/>
      <c r="J87" s="542"/>
      <c r="K87" s="542"/>
      <c r="L87" s="542"/>
      <c r="O87" s="542"/>
      <c r="P87" s="542"/>
    </row>
    <row r="88" spans="1:17">
      <c r="A88" s="601"/>
      <c r="B88" s="601"/>
      <c r="C88" s="601"/>
      <c r="D88" s="601"/>
      <c r="E88" s="596"/>
      <c r="F88" s="602"/>
      <c r="G88" s="542"/>
      <c r="H88" s="542"/>
      <c r="I88" s="484"/>
      <c r="J88" s="542"/>
      <c r="K88" s="542"/>
      <c r="L88" s="542"/>
      <c r="O88" s="542"/>
      <c r="P88" s="542"/>
    </row>
    <row r="89" spans="1:17">
      <c r="A89" s="601"/>
      <c r="B89" s="601"/>
      <c r="C89" s="601"/>
      <c r="D89" s="601"/>
      <c r="E89" s="596"/>
      <c r="F89" s="602"/>
      <c r="G89" s="542"/>
      <c r="H89" s="542"/>
      <c r="I89" s="484"/>
      <c r="J89" s="542"/>
      <c r="K89" s="542"/>
      <c r="L89" s="542"/>
      <c r="O89" s="542"/>
      <c r="P89" s="542"/>
    </row>
    <row r="90" spans="1:17" s="601" customFormat="1">
      <c r="E90" s="596"/>
      <c r="F90" s="602"/>
      <c r="G90" s="542"/>
      <c r="H90" s="542"/>
      <c r="I90" s="484"/>
      <c r="J90" s="542"/>
      <c r="K90" s="542"/>
      <c r="L90" s="542"/>
      <c r="M90" s="542"/>
      <c r="N90" s="542"/>
      <c r="O90" s="542"/>
      <c r="P90" s="542"/>
      <c r="Q90" s="542"/>
    </row>
    <row r="91" spans="1:17" s="601" customFormat="1">
      <c r="E91" s="596"/>
      <c r="F91" s="602"/>
      <c r="G91" s="542"/>
      <c r="H91" s="542"/>
      <c r="I91" s="484"/>
      <c r="J91" s="542"/>
      <c r="K91" s="542"/>
      <c r="L91" s="542"/>
      <c r="M91" s="542"/>
      <c r="N91" s="542"/>
      <c r="O91" s="542"/>
      <c r="P91" s="542"/>
      <c r="Q91" s="542"/>
    </row>
    <row r="92" spans="1:17" s="601" customFormat="1">
      <c r="E92" s="596"/>
      <c r="F92" s="602"/>
      <c r="G92" s="542"/>
      <c r="H92" s="542"/>
      <c r="I92" s="484"/>
      <c r="J92" s="542"/>
      <c r="K92" s="542"/>
      <c r="L92" s="542"/>
      <c r="M92" s="542"/>
      <c r="N92" s="542"/>
      <c r="O92" s="542"/>
      <c r="P92" s="542"/>
      <c r="Q92" s="542"/>
    </row>
    <row r="93" spans="1:17" s="601" customFormat="1">
      <c r="E93" s="596"/>
      <c r="F93" s="602"/>
      <c r="G93" s="542"/>
      <c r="H93" s="542"/>
      <c r="I93" s="484"/>
      <c r="J93" s="542"/>
      <c r="K93" s="542"/>
      <c r="L93" s="542"/>
      <c r="M93" s="542"/>
      <c r="N93" s="542"/>
      <c r="O93" s="542"/>
      <c r="P93" s="542"/>
      <c r="Q93" s="542"/>
    </row>
    <row r="94" spans="1:17" s="601" customFormat="1">
      <c r="E94" s="596"/>
      <c r="F94" s="602"/>
      <c r="G94" s="542"/>
      <c r="H94" s="542"/>
      <c r="I94" s="484"/>
      <c r="J94" s="542"/>
      <c r="K94" s="542"/>
      <c r="L94" s="542"/>
      <c r="M94" s="542"/>
      <c r="N94" s="542"/>
      <c r="O94" s="542"/>
      <c r="P94" s="542"/>
      <c r="Q94" s="542"/>
    </row>
    <row r="95" spans="1:17" s="601" customFormat="1">
      <c r="E95" s="596"/>
      <c r="F95" s="602"/>
      <c r="G95" s="542"/>
      <c r="H95" s="542"/>
      <c r="I95" s="484"/>
      <c r="J95" s="542"/>
      <c r="K95" s="542"/>
      <c r="L95" s="542"/>
      <c r="M95" s="542"/>
    </row>
    <row r="96" spans="1:17" s="601" customFormat="1">
      <c r="E96" s="596"/>
      <c r="F96" s="602"/>
      <c r="G96" s="542"/>
      <c r="H96" s="542"/>
      <c r="I96" s="484"/>
      <c r="J96" s="542"/>
      <c r="K96" s="542"/>
      <c r="L96" s="542"/>
      <c r="M96" s="542"/>
    </row>
    <row r="97" spans="5:13" s="601" customFormat="1">
      <c r="E97" s="596"/>
      <c r="F97" s="602"/>
      <c r="G97" s="542"/>
      <c r="H97" s="542"/>
      <c r="I97" s="484"/>
      <c r="J97" s="542"/>
      <c r="K97" s="542"/>
      <c r="L97" s="542"/>
      <c r="M97" s="542"/>
    </row>
    <row r="98" spans="5:13" s="601" customFormat="1">
      <c r="E98" s="596"/>
      <c r="F98" s="602"/>
      <c r="G98" s="542"/>
      <c r="H98" s="542"/>
      <c r="I98" s="484"/>
      <c r="J98" s="542"/>
      <c r="K98" s="542"/>
      <c r="L98" s="542"/>
      <c r="M98" s="542"/>
    </row>
    <row r="99" spans="5:13" s="601" customFormat="1">
      <c r="E99" s="596"/>
      <c r="F99" s="602"/>
      <c r="G99" s="542"/>
      <c r="H99" s="542"/>
      <c r="I99" s="484"/>
      <c r="J99" s="542"/>
      <c r="K99" s="542"/>
      <c r="L99" s="542"/>
      <c r="M99" s="542"/>
    </row>
    <row r="100" spans="5:13" s="601" customFormat="1">
      <c r="E100" s="596"/>
      <c r="F100" s="602"/>
      <c r="G100" s="542"/>
      <c r="H100" s="542"/>
      <c r="I100" s="484"/>
      <c r="J100" s="542"/>
      <c r="K100" s="542"/>
      <c r="L100" s="542"/>
      <c r="M100" s="542"/>
    </row>
    <row r="101" spans="5:13" s="601" customFormat="1">
      <c r="E101" s="596"/>
      <c r="F101" s="602"/>
      <c r="G101" s="542"/>
      <c r="H101" s="542"/>
      <c r="I101" s="484"/>
      <c r="J101" s="542"/>
      <c r="K101" s="542"/>
      <c r="L101" s="542"/>
      <c r="M101" s="542"/>
    </row>
    <row r="102" spans="5:13" s="601" customFormat="1">
      <c r="E102" s="596"/>
      <c r="F102" s="602"/>
      <c r="G102" s="542"/>
      <c r="H102" s="542"/>
      <c r="I102" s="484"/>
      <c r="J102" s="542"/>
      <c r="K102" s="542"/>
      <c r="L102" s="542"/>
      <c r="M102" s="542"/>
    </row>
    <row r="103" spans="5:13" s="601" customFormat="1">
      <c r="E103" s="596"/>
      <c r="F103" s="602"/>
      <c r="G103" s="542"/>
      <c r="H103" s="542"/>
      <c r="I103" s="484"/>
      <c r="J103" s="542"/>
      <c r="K103" s="542"/>
      <c r="L103" s="542"/>
      <c r="M103" s="542"/>
    </row>
    <row r="104" spans="5:13" s="601" customFormat="1">
      <c r="E104" s="596"/>
      <c r="F104" s="602"/>
      <c r="G104" s="542"/>
      <c r="H104" s="542"/>
      <c r="I104" s="484"/>
      <c r="J104" s="542"/>
      <c r="K104" s="542"/>
      <c r="L104" s="542"/>
      <c r="M104" s="542"/>
    </row>
    <row r="105" spans="5:13" s="601" customFormat="1">
      <c r="E105" s="596"/>
      <c r="F105" s="602"/>
      <c r="G105" s="542"/>
      <c r="H105" s="542"/>
      <c r="I105" s="484"/>
      <c r="J105" s="542"/>
      <c r="K105" s="542"/>
      <c r="L105" s="542"/>
      <c r="M105" s="542"/>
    </row>
    <row r="106" spans="5:13" s="601" customFormat="1">
      <c r="E106" s="596"/>
      <c r="F106" s="602"/>
      <c r="G106" s="542"/>
      <c r="H106" s="542"/>
      <c r="I106" s="484"/>
      <c r="J106" s="542"/>
      <c r="K106" s="542"/>
      <c r="L106" s="542"/>
      <c r="M106" s="542"/>
    </row>
    <row r="107" spans="5:13" s="601" customFormat="1">
      <c r="E107" s="596"/>
      <c r="F107" s="602"/>
      <c r="G107" s="542"/>
      <c r="H107" s="542"/>
      <c r="I107" s="484"/>
      <c r="J107" s="542"/>
      <c r="K107" s="542"/>
      <c r="L107" s="542"/>
      <c r="M107" s="542"/>
    </row>
    <row r="108" spans="5:13" s="601" customFormat="1">
      <c r="E108" s="596"/>
      <c r="F108" s="602"/>
      <c r="G108" s="542"/>
      <c r="H108" s="542"/>
      <c r="I108" s="484"/>
      <c r="J108" s="542"/>
      <c r="K108" s="542"/>
      <c r="L108" s="542"/>
      <c r="M108" s="542"/>
    </row>
    <row r="109" spans="5:13" s="601" customFormat="1">
      <c r="E109" s="596"/>
      <c r="F109" s="602"/>
      <c r="G109" s="542"/>
      <c r="H109" s="542"/>
      <c r="I109" s="484"/>
      <c r="J109" s="542"/>
      <c r="K109" s="542"/>
      <c r="L109" s="542"/>
      <c r="M109" s="542"/>
    </row>
    <row r="110" spans="5:13" s="601" customFormat="1">
      <c r="E110" s="596"/>
      <c r="F110" s="602"/>
      <c r="G110" s="542"/>
      <c r="H110" s="542"/>
      <c r="I110" s="484"/>
      <c r="J110" s="542"/>
      <c r="K110" s="542"/>
      <c r="L110" s="542"/>
    </row>
    <row r="111" spans="5:13" s="601" customFormat="1">
      <c r="E111" s="596"/>
      <c r="F111" s="602"/>
      <c r="G111" s="542"/>
      <c r="H111" s="542"/>
      <c r="I111" s="484"/>
      <c r="J111" s="542"/>
      <c r="K111" s="542"/>
      <c r="L111" s="542"/>
    </row>
    <row r="112" spans="5:13" s="601" customFormat="1">
      <c r="E112" s="596"/>
      <c r="F112" s="602"/>
      <c r="G112" s="542"/>
      <c r="H112" s="542"/>
      <c r="I112" s="484"/>
      <c r="J112" s="542"/>
      <c r="K112" s="542"/>
      <c r="L112" s="542"/>
    </row>
    <row r="113" spans="5:12" s="601" customFormat="1">
      <c r="E113" s="596"/>
      <c r="F113" s="602"/>
      <c r="G113" s="542"/>
      <c r="H113" s="542"/>
      <c r="I113" s="484"/>
      <c r="J113" s="542"/>
      <c r="K113" s="542"/>
      <c r="L113" s="542"/>
    </row>
    <row r="114" spans="5:12" s="601" customFormat="1">
      <c r="E114" s="596"/>
      <c r="F114" s="602"/>
      <c r="G114" s="542"/>
      <c r="H114" s="542"/>
      <c r="I114" s="484"/>
      <c r="J114" s="542"/>
      <c r="K114" s="542"/>
      <c r="L114" s="542"/>
    </row>
    <row r="115" spans="5:12" s="601" customFormat="1">
      <c r="E115" s="596"/>
      <c r="F115" s="602"/>
      <c r="G115" s="542"/>
      <c r="H115" s="542"/>
      <c r="I115" s="484"/>
      <c r="J115" s="542"/>
      <c r="K115" s="542"/>
      <c r="L115" s="542"/>
    </row>
    <row r="116" spans="5:12" s="601" customFormat="1">
      <c r="E116" s="596"/>
      <c r="F116" s="602"/>
      <c r="G116" s="542"/>
      <c r="H116" s="542"/>
      <c r="I116" s="484"/>
      <c r="J116" s="542"/>
      <c r="K116" s="542"/>
      <c r="L116" s="542"/>
    </row>
    <row r="117" spans="5:12" s="601" customFormat="1">
      <c r="E117" s="596"/>
      <c r="F117" s="602"/>
      <c r="G117" s="542"/>
      <c r="H117" s="542"/>
      <c r="I117" s="484"/>
      <c r="J117" s="542"/>
      <c r="K117" s="542"/>
      <c r="L117" s="542"/>
    </row>
    <row r="118" spans="5:12" s="601" customFormat="1">
      <c r="E118" s="596"/>
      <c r="F118" s="602"/>
      <c r="G118" s="542"/>
      <c r="H118" s="542"/>
      <c r="I118" s="484"/>
      <c r="J118" s="542"/>
      <c r="K118" s="542"/>
      <c r="L118" s="542"/>
    </row>
    <row r="119" spans="5:12" s="601" customFormat="1">
      <c r="E119" s="596"/>
      <c r="F119" s="602"/>
      <c r="G119" s="542"/>
      <c r="H119" s="542"/>
      <c r="I119" s="484"/>
      <c r="J119" s="542"/>
      <c r="K119" s="542"/>
      <c r="L119" s="542"/>
    </row>
    <row r="120" spans="5:12" s="601" customFormat="1">
      <c r="E120" s="596"/>
      <c r="F120" s="602"/>
      <c r="G120" s="542"/>
      <c r="H120" s="542"/>
      <c r="I120" s="484"/>
      <c r="J120" s="542"/>
      <c r="K120" s="542"/>
      <c r="L120" s="542"/>
    </row>
    <row r="121" spans="5:12" s="601" customFormat="1">
      <c r="E121" s="596"/>
      <c r="F121" s="602"/>
      <c r="G121" s="542"/>
      <c r="H121" s="542"/>
      <c r="I121" s="484"/>
      <c r="J121" s="542"/>
      <c r="K121" s="542"/>
      <c r="L121" s="542"/>
    </row>
    <row r="122" spans="5:12" s="601" customFormat="1">
      <c r="E122" s="596"/>
      <c r="F122" s="602"/>
      <c r="G122" s="542"/>
      <c r="H122" s="542"/>
      <c r="I122" s="484"/>
      <c r="J122" s="542"/>
      <c r="K122" s="542"/>
      <c r="L122" s="542"/>
    </row>
    <row r="123" spans="5:12" s="601" customFormat="1">
      <c r="E123" s="596"/>
      <c r="F123" s="602"/>
      <c r="G123" s="542"/>
      <c r="H123" s="542"/>
      <c r="I123" s="484"/>
      <c r="J123" s="542"/>
      <c r="K123" s="542"/>
      <c r="L123" s="542"/>
    </row>
    <row r="124" spans="5:12" s="601" customFormat="1">
      <c r="E124" s="596"/>
      <c r="F124" s="602"/>
      <c r="G124" s="542"/>
      <c r="H124" s="542"/>
      <c r="I124" s="484"/>
      <c r="J124" s="542"/>
      <c r="K124" s="542"/>
      <c r="L124" s="542"/>
    </row>
    <row r="125" spans="5:12" s="601" customFormat="1">
      <c r="E125" s="596"/>
      <c r="F125" s="602"/>
      <c r="G125" s="542"/>
      <c r="H125" s="542"/>
      <c r="I125" s="484"/>
      <c r="J125" s="542"/>
      <c r="K125" s="542"/>
      <c r="L125" s="542"/>
    </row>
    <row r="126" spans="5:12" s="601" customFormat="1">
      <c r="E126" s="596"/>
      <c r="F126" s="602"/>
      <c r="G126" s="542"/>
      <c r="H126" s="542"/>
      <c r="I126" s="484"/>
      <c r="J126" s="542"/>
      <c r="K126" s="542"/>
      <c r="L126" s="542"/>
    </row>
    <row r="127" spans="5:12" s="601" customFormat="1">
      <c r="E127" s="596"/>
      <c r="F127" s="602"/>
      <c r="G127" s="542"/>
      <c r="H127" s="542"/>
      <c r="I127" s="484"/>
      <c r="J127" s="542"/>
      <c r="K127" s="542"/>
      <c r="L127" s="542"/>
    </row>
    <row r="128" spans="5:12" s="601" customFormat="1">
      <c r="E128" s="596"/>
      <c r="F128" s="602"/>
      <c r="G128" s="542"/>
      <c r="H128" s="542"/>
      <c r="I128" s="484"/>
      <c r="J128" s="542"/>
      <c r="K128" s="542"/>
      <c r="L128" s="542"/>
    </row>
    <row r="129" spans="5:12" s="601" customFormat="1">
      <c r="E129" s="596"/>
      <c r="F129" s="602"/>
      <c r="G129" s="542"/>
      <c r="H129" s="542"/>
      <c r="I129" s="484"/>
      <c r="J129" s="542"/>
      <c r="K129" s="542"/>
      <c r="L129" s="542"/>
    </row>
    <row r="130" spans="5:12" s="601" customFormat="1">
      <c r="E130" s="596"/>
      <c r="F130" s="602"/>
      <c r="G130" s="542"/>
      <c r="H130" s="542"/>
      <c r="I130" s="484"/>
      <c r="J130" s="542"/>
      <c r="K130" s="542"/>
      <c r="L130" s="542"/>
    </row>
    <row r="131" spans="5:12" s="601" customFormat="1">
      <c r="E131" s="596"/>
      <c r="F131" s="602"/>
      <c r="G131" s="542"/>
      <c r="H131" s="542"/>
      <c r="I131" s="484"/>
      <c r="J131" s="542"/>
      <c r="K131" s="542"/>
      <c r="L131" s="542"/>
    </row>
    <row r="132" spans="5:12" s="601" customFormat="1">
      <c r="E132" s="596"/>
      <c r="F132" s="602"/>
      <c r="G132" s="542"/>
      <c r="H132" s="542"/>
      <c r="I132" s="484"/>
      <c r="J132" s="542"/>
      <c r="K132" s="542"/>
      <c r="L132" s="542"/>
    </row>
    <row r="133" spans="5:12" s="601" customFormat="1">
      <c r="E133" s="596"/>
      <c r="F133" s="602"/>
      <c r="G133" s="542"/>
      <c r="H133" s="542"/>
      <c r="I133" s="484"/>
      <c r="J133" s="542"/>
      <c r="K133" s="542"/>
      <c r="L133" s="542"/>
    </row>
    <row r="134" spans="5:12" s="601" customFormat="1">
      <c r="E134" s="596"/>
      <c r="F134" s="602"/>
      <c r="G134" s="542"/>
      <c r="H134" s="542"/>
      <c r="I134" s="484"/>
      <c r="J134" s="542"/>
      <c r="K134" s="542"/>
      <c r="L134" s="542"/>
    </row>
    <row r="135" spans="5:12" s="601" customFormat="1">
      <c r="E135" s="596"/>
      <c r="F135" s="602"/>
      <c r="G135" s="542"/>
      <c r="H135" s="542"/>
      <c r="I135" s="484"/>
      <c r="J135" s="542"/>
      <c r="K135" s="542"/>
      <c r="L135" s="542"/>
    </row>
    <row r="136" spans="5:12" s="601" customFormat="1">
      <c r="E136" s="596"/>
      <c r="F136" s="602"/>
      <c r="G136" s="542"/>
      <c r="H136" s="542"/>
      <c r="I136" s="484"/>
      <c r="J136" s="542"/>
      <c r="K136" s="542"/>
      <c r="L136" s="542"/>
    </row>
    <row r="137" spans="5:12" s="601" customFormat="1">
      <c r="E137" s="596"/>
      <c r="F137" s="602"/>
      <c r="G137" s="542"/>
      <c r="H137" s="542"/>
      <c r="I137" s="484"/>
      <c r="J137" s="542"/>
      <c r="K137" s="542"/>
      <c r="L137" s="542"/>
    </row>
    <row r="138" spans="5:12" s="601" customFormat="1">
      <c r="E138" s="596"/>
      <c r="F138" s="602"/>
      <c r="G138" s="542"/>
      <c r="H138" s="542"/>
      <c r="I138" s="484"/>
      <c r="J138" s="542"/>
      <c r="K138" s="542"/>
      <c r="L138" s="542"/>
    </row>
    <row r="139" spans="5:12" s="601" customFormat="1">
      <c r="E139" s="596"/>
      <c r="F139" s="602"/>
      <c r="G139" s="542"/>
      <c r="H139" s="542"/>
      <c r="I139" s="484"/>
      <c r="J139" s="542"/>
      <c r="K139" s="542"/>
      <c r="L139" s="542"/>
    </row>
    <row r="140" spans="5:12" s="601" customFormat="1">
      <c r="E140" s="596"/>
      <c r="F140" s="602"/>
      <c r="G140" s="542"/>
      <c r="H140" s="542"/>
      <c r="I140" s="484"/>
      <c r="J140" s="542"/>
      <c r="K140" s="542"/>
      <c r="L140" s="542"/>
    </row>
    <row r="141" spans="5:12" s="601" customFormat="1">
      <c r="E141" s="596"/>
      <c r="F141" s="602"/>
      <c r="G141" s="542"/>
      <c r="H141" s="542"/>
      <c r="I141" s="484"/>
      <c r="J141" s="542"/>
      <c r="K141" s="542"/>
      <c r="L141" s="542"/>
    </row>
    <row r="142" spans="5:12" s="601" customFormat="1">
      <c r="E142" s="596"/>
      <c r="F142" s="602"/>
      <c r="G142" s="542"/>
      <c r="H142" s="542"/>
      <c r="I142" s="484"/>
      <c r="J142" s="542"/>
      <c r="K142" s="542"/>
      <c r="L142" s="542"/>
    </row>
    <row r="143" spans="5:12" s="601" customFormat="1">
      <c r="E143" s="596"/>
      <c r="F143" s="602"/>
      <c r="G143" s="542"/>
      <c r="H143" s="542"/>
      <c r="I143" s="484"/>
      <c r="J143" s="542"/>
      <c r="K143" s="542"/>
      <c r="L143" s="542"/>
    </row>
    <row r="144" spans="5:12" s="601" customFormat="1">
      <c r="E144" s="596"/>
      <c r="F144" s="602"/>
      <c r="G144" s="542"/>
      <c r="H144" s="542"/>
      <c r="I144" s="484"/>
      <c r="J144" s="542"/>
      <c r="K144" s="542"/>
      <c r="L144" s="542"/>
    </row>
    <row r="145" spans="1:17" s="601" customFormat="1">
      <c r="E145" s="596"/>
      <c r="F145" s="602"/>
      <c r="G145" s="542"/>
      <c r="H145" s="542"/>
      <c r="I145" s="484"/>
      <c r="J145" s="542"/>
      <c r="K145" s="542"/>
      <c r="L145" s="542"/>
    </row>
    <row r="146" spans="1:17" s="601" customFormat="1">
      <c r="E146" s="596"/>
      <c r="F146" s="602"/>
      <c r="G146" s="542"/>
      <c r="H146" s="542"/>
      <c r="I146" s="484"/>
      <c r="J146" s="542"/>
      <c r="K146" s="542"/>
      <c r="L146" s="542"/>
    </row>
    <row r="147" spans="1:17">
      <c r="A147" s="601"/>
      <c r="B147" s="601"/>
      <c r="C147" s="601"/>
      <c r="D147" s="601"/>
      <c r="E147" s="596"/>
      <c r="F147" s="602"/>
      <c r="G147" s="542"/>
      <c r="H147" s="542"/>
      <c r="I147" s="484"/>
      <c r="J147" s="542"/>
      <c r="K147" s="542"/>
      <c r="L147" s="542"/>
      <c r="M147" s="601"/>
      <c r="N147" s="601"/>
      <c r="O147" s="601"/>
      <c r="P147" s="601"/>
      <c r="Q147" s="601"/>
    </row>
    <row r="148" spans="1:17">
      <c r="A148" s="601"/>
      <c r="B148" s="601"/>
      <c r="C148" s="601"/>
      <c r="D148" s="601"/>
      <c r="E148" s="596"/>
      <c r="F148" s="602"/>
      <c r="G148" s="542"/>
      <c r="H148" s="542"/>
      <c r="I148" s="484"/>
      <c r="J148" s="542"/>
      <c r="K148" s="542"/>
      <c r="L148" s="542"/>
      <c r="M148" s="601"/>
      <c r="N148" s="601"/>
      <c r="O148" s="601"/>
      <c r="P148" s="601"/>
      <c r="Q148" s="601"/>
    </row>
    <row r="149" spans="1:17">
      <c r="A149" s="601"/>
      <c r="B149" s="601"/>
      <c r="C149" s="601"/>
      <c r="D149" s="601"/>
      <c r="E149" s="596"/>
      <c r="F149" s="602"/>
      <c r="G149" s="542"/>
      <c r="H149" s="542"/>
      <c r="I149" s="484"/>
      <c r="J149" s="542"/>
      <c r="K149" s="542"/>
      <c r="L149" s="542"/>
      <c r="M149" s="601"/>
      <c r="N149" s="601"/>
      <c r="O149" s="601"/>
      <c r="P149" s="601"/>
      <c r="Q149" s="601"/>
    </row>
    <row r="150" spans="1:17">
      <c r="A150" s="601"/>
      <c r="B150" s="601"/>
      <c r="C150" s="601"/>
      <c r="D150" s="601"/>
      <c r="E150" s="596"/>
      <c r="F150" s="602"/>
      <c r="G150" s="542"/>
      <c r="H150" s="542"/>
      <c r="I150" s="484"/>
      <c r="J150" s="542"/>
      <c r="K150" s="542"/>
      <c r="L150" s="542"/>
      <c r="M150" s="601"/>
      <c r="N150" s="601"/>
      <c r="O150" s="601"/>
      <c r="P150" s="601"/>
      <c r="Q150" s="601"/>
    </row>
    <row r="151" spans="1:17">
      <c r="A151" s="601"/>
      <c r="B151" s="601"/>
      <c r="C151" s="601"/>
      <c r="D151" s="601"/>
      <c r="E151" s="596"/>
      <c r="F151" s="602"/>
      <c r="G151" s="542"/>
      <c r="H151" s="542"/>
      <c r="I151" s="484"/>
      <c r="J151" s="542"/>
      <c r="K151" s="542"/>
      <c r="L151" s="542"/>
      <c r="M151" s="601"/>
      <c r="N151" s="601"/>
      <c r="O151" s="601"/>
      <c r="P151" s="601"/>
      <c r="Q151" s="601"/>
    </row>
    <row r="152" spans="1:17">
      <c r="A152" s="601"/>
      <c r="B152" s="601"/>
      <c r="C152" s="601"/>
      <c r="D152" s="601"/>
      <c r="E152" s="596"/>
      <c r="F152" s="602"/>
      <c r="G152" s="542"/>
      <c r="H152" s="542"/>
      <c r="I152" s="484"/>
      <c r="J152" s="542"/>
      <c r="K152" s="542"/>
      <c r="L152" s="542"/>
      <c r="M152" s="601"/>
    </row>
    <row r="153" spans="1:17">
      <c r="A153" s="601"/>
      <c r="B153" s="601"/>
      <c r="C153" s="601"/>
      <c r="D153" s="601"/>
      <c r="E153" s="596"/>
      <c r="F153" s="602"/>
      <c r="G153" s="542"/>
      <c r="H153" s="542"/>
      <c r="I153" s="484"/>
      <c r="J153" s="542"/>
      <c r="K153" s="542"/>
      <c r="L153" s="542"/>
      <c r="M153" s="601"/>
    </row>
    <row r="154" spans="1:17">
      <c r="A154" s="601"/>
      <c r="B154" s="601"/>
      <c r="C154" s="601"/>
      <c r="D154" s="601"/>
      <c r="E154" s="596"/>
      <c r="F154" s="602"/>
      <c r="G154" s="542"/>
      <c r="H154" s="542"/>
      <c r="I154" s="484"/>
      <c r="J154" s="542"/>
      <c r="K154" s="542"/>
      <c r="L154" s="542"/>
      <c r="M154" s="601"/>
    </row>
    <row r="155" spans="1:17">
      <c r="A155" s="601"/>
      <c r="B155" s="601"/>
      <c r="C155" s="601"/>
      <c r="D155" s="601"/>
      <c r="E155" s="596"/>
      <c r="F155" s="602"/>
      <c r="G155" s="542"/>
      <c r="H155" s="542"/>
      <c r="I155" s="484"/>
      <c r="J155" s="542"/>
      <c r="K155" s="542"/>
      <c r="L155" s="542"/>
      <c r="M155" s="601"/>
    </row>
    <row r="156" spans="1:17">
      <c r="J156" s="542"/>
      <c r="K156" s="542"/>
      <c r="L156" s="542"/>
      <c r="M156" s="601"/>
    </row>
    <row r="157" spans="1:17">
      <c r="J157" s="542"/>
      <c r="K157" s="542"/>
      <c r="L157" s="542"/>
      <c r="M157" s="601"/>
    </row>
    <row r="158" spans="1:17">
      <c r="J158" s="542"/>
      <c r="K158" s="542"/>
      <c r="L158" s="542"/>
      <c r="M158" s="601"/>
    </row>
    <row r="159" spans="1:17">
      <c r="J159" s="542"/>
      <c r="K159" s="542"/>
      <c r="L159" s="542"/>
      <c r="M159" s="601"/>
    </row>
    <row r="160" spans="1:17">
      <c r="J160" s="542"/>
      <c r="K160" s="542"/>
      <c r="L160" s="542"/>
      <c r="M160" s="601"/>
    </row>
    <row r="161" spans="10:13">
      <c r="J161" s="542"/>
      <c r="K161" s="542"/>
      <c r="L161" s="542"/>
      <c r="M161" s="601"/>
    </row>
    <row r="162" spans="10:13">
      <c r="K162" s="542"/>
      <c r="L162" s="542"/>
      <c r="M162" s="601"/>
    </row>
    <row r="163" spans="10:13">
      <c r="K163" s="542"/>
      <c r="L163" s="542"/>
      <c r="M163" s="601"/>
    </row>
    <row r="164" spans="10:13">
      <c r="K164" s="542"/>
      <c r="L164" s="542"/>
      <c r="M164" s="601"/>
    </row>
    <row r="165" spans="10:13">
      <c r="L165" s="542"/>
      <c r="M165" s="601"/>
    </row>
    <row r="166" spans="10:13">
      <c r="L166" s="542"/>
      <c r="M166" s="601"/>
    </row>
    <row r="167" spans="10:13">
      <c r="L167" s="542"/>
    </row>
    <row r="168" spans="10:13">
      <c r="L168" s="542"/>
    </row>
    <row r="169" spans="10:13">
      <c r="L169" s="542"/>
    </row>
  </sheetData>
  <mergeCells count="1">
    <mergeCell ref="L7:M7"/>
  </mergeCells>
  <dataValidations count="1">
    <dataValidation type="list" allowBlank="1" showInputMessage="1" showErrorMessage="1" sqref="B5" xr:uid="{1B509AC2-86EF-4A71-9EE5-C5349D7CFE31}">
      <formula1>$AB$5:$AB$8</formula1>
    </dataValidation>
  </dataValidation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6"/>
  <sheetViews>
    <sheetView topLeftCell="A4" zoomScale="80" zoomScaleNormal="80" workbookViewId="0">
      <selection activeCell="C21" sqref="C21"/>
    </sheetView>
  </sheetViews>
  <sheetFormatPr defaultColWidth="17.28515625" defaultRowHeight="15.75" customHeight="1"/>
  <cols>
    <col min="1" max="1" width="12.42578125" style="20" customWidth="1"/>
    <col min="2" max="2" width="27.28515625" style="20" customWidth="1"/>
    <col min="3" max="3" width="11.28515625" style="20" bestFit="1" customWidth="1"/>
    <col min="4" max="4" width="14.140625" style="20" customWidth="1"/>
    <col min="5" max="5" width="11.5703125" style="20" customWidth="1"/>
    <col min="6" max="7" width="13.7109375" style="20" bestFit="1" customWidth="1"/>
    <col min="8" max="8" width="14.42578125" style="20" bestFit="1" customWidth="1"/>
    <col min="9" max="9" width="17.28515625" style="20" bestFit="1" customWidth="1"/>
    <col min="10" max="10" width="19.5703125" style="20" bestFit="1" customWidth="1"/>
    <col min="11" max="11" width="12.42578125" style="20" customWidth="1"/>
    <col min="12" max="12" width="18" style="20" customWidth="1"/>
    <col min="13" max="13" width="16.42578125" style="20" customWidth="1"/>
    <col min="14" max="14" width="11.5703125" style="20" bestFit="1" customWidth="1"/>
    <col min="15" max="15" width="11.28515625" style="20" bestFit="1" customWidth="1"/>
    <col min="16" max="16" width="8.42578125" style="20" bestFit="1" customWidth="1"/>
    <col min="17" max="17" width="7.85546875" style="20" bestFit="1" customWidth="1"/>
    <col min="18" max="18" width="14.7109375" style="20" bestFit="1" customWidth="1"/>
    <col min="19" max="19" width="20.7109375" style="20" bestFit="1" customWidth="1"/>
    <col min="20" max="20" width="15.7109375" style="20" customWidth="1"/>
    <col min="21" max="21" width="14.85546875" style="20" customWidth="1"/>
    <col min="22" max="22" width="12.28515625" style="20" customWidth="1"/>
    <col min="23" max="16384" width="17.28515625" style="20"/>
  </cols>
  <sheetData>
    <row r="1" spans="1:23" ht="15.75" customHeight="1">
      <c r="A1" s="24"/>
      <c r="B1" s="25"/>
      <c r="C1" s="45"/>
      <c r="D1" s="26"/>
      <c r="E1" s="27"/>
      <c r="F1" s="28"/>
      <c r="G1" s="29"/>
      <c r="H1" s="50"/>
      <c r="I1" s="29"/>
      <c r="J1" s="49"/>
      <c r="K1" s="28"/>
      <c r="L1" s="56"/>
      <c r="M1" s="57"/>
      <c r="N1" s="29"/>
      <c r="O1" s="58"/>
      <c r="P1" s="30"/>
      <c r="Q1" s="30"/>
      <c r="R1" s="30"/>
      <c r="S1" s="59"/>
      <c r="T1" s="1024" t="s">
        <v>11</v>
      </c>
      <c r="U1" s="1025"/>
      <c r="V1" s="1026"/>
      <c r="W1" s="54"/>
    </row>
    <row r="2" spans="1:23" ht="15.75" customHeight="1">
      <c r="A2" s="31"/>
      <c r="B2" s="4"/>
      <c r="C2" s="22"/>
      <c r="D2" s="15"/>
      <c r="E2" s="246"/>
      <c r="F2" s="247"/>
      <c r="G2" s="3"/>
      <c r="H2" s="51"/>
      <c r="I2" s="3"/>
      <c r="J2" s="5"/>
      <c r="K2" s="1"/>
      <c r="L2" s="60"/>
      <c r="M2" s="61"/>
      <c r="N2" s="5"/>
      <c r="O2" s="62"/>
      <c r="S2" s="63"/>
      <c r="T2" s="1027" t="s">
        <v>12</v>
      </c>
      <c r="U2" s="1028"/>
      <c r="V2" s="248"/>
      <c r="W2" s="12"/>
    </row>
    <row r="3" spans="1:23" ht="15.75" customHeight="1">
      <c r="A3" s="31"/>
      <c r="B3" s="4"/>
      <c r="C3" s="22"/>
      <c r="D3" s="19"/>
      <c r="E3" s="1029" t="s">
        <v>13</v>
      </c>
      <c r="F3" s="1030"/>
      <c r="G3" s="1031"/>
      <c r="H3" s="52"/>
      <c r="I3" s="247"/>
      <c r="J3" s="5"/>
      <c r="K3" s="247"/>
      <c r="L3" s="55"/>
      <c r="M3" s="2"/>
      <c r="N3" s="5"/>
      <c r="O3" s="64"/>
      <c r="P3" s="5"/>
      <c r="Q3" s="5"/>
      <c r="R3" s="17"/>
      <c r="S3" s="65"/>
      <c r="T3" s="1032" t="s">
        <v>14</v>
      </c>
      <c r="U3" s="1033"/>
      <c r="V3" s="248"/>
      <c r="W3" s="52"/>
    </row>
    <row r="4" spans="1:23" s="74" customFormat="1" ht="38.25">
      <c r="A4" s="32" t="s">
        <v>15</v>
      </c>
      <c r="B4" s="6" t="s">
        <v>16</v>
      </c>
      <c r="C4" s="23" t="s">
        <v>17</v>
      </c>
      <c r="D4" s="66" t="s">
        <v>18</v>
      </c>
      <c r="E4" s="67" t="s">
        <v>19</v>
      </c>
      <c r="F4" s="6" t="s">
        <v>20</v>
      </c>
      <c r="G4" s="10" t="s">
        <v>21</v>
      </c>
      <c r="H4" s="53" t="s">
        <v>22</v>
      </c>
      <c r="I4" s="10" t="s">
        <v>23</v>
      </c>
      <c r="J4" s="10" t="s">
        <v>24</v>
      </c>
      <c r="K4" s="6" t="s">
        <v>25</v>
      </c>
      <c r="L4" s="68" t="s">
        <v>26</v>
      </c>
      <c r="M4" s="68" t="s">
        <v>27</v>
      </c>
      <c r="N4" s="10" t="s">
        <v>28</v>
      </c>
      <c r="O4" s="69" t="s">
        <v>29</v>
      </c>
      <c r="P4" s="10" t="s">
        <v>30</v>
      </c>
      <c r="Q4" s="10" t="s">
        <v>31</v>
      </c>
      <c r="R4" s="70" t="s">
        <v>3</v>
      </c>
      <c r="S4" s="71" t="s">
        <v>4</v>
      </c>
      <c r="T4" s="72" t="s">
        <v>32</v>
      </c>
      <c r="U4" s="72" t="s">
        <v>33</v>
      </c>
      <c r="V4" s="73" t="s">
        <v>0</v>
      </c>
      <c r="W4" s="764" t="s">
        <v>34</v>
      </c>
    </row>
    <row r="5" spans="1:23" ht="15.75" customHeight="1" thickBot="1">
      <c r="A5" s="33" t="s">
        <v>35</v>
      </c>
      <c r="B5" s="34"/>
      <c r="C5" s="46"/>
      <c r="D5" s="35"/>
      <c r="E5" s="37" t="s">
        <v>36</v>
      </c>
      <c r="F5" s="37" t="s">
        <v>36</v>
      </c>
      <c r="G5" s="37" t="s">
        <v>36</v>
      </c>
      <c r="H5" s="111" t="s">
        <v>36</v>
      </c>
      <c r="I5" s="111" t="s">
        <v>36</v>
      </c>
      <c r="J5" s="37" t="s">
        <v>36</v>
      </c>
      <c r="K5" s="36" t="s">
        <v>37</v>
      </c>
      <c r="L5" s="47" t="s">
        <v>36</v>
      </c>
      <c r="M5" s="38" t="s">
        <v>36</v>
      </c>
      <c r="N5" s="38" t="s">
        <v>37</v>
      </c>
      <c r="O5" s="75" t="s">
        <v>38</v>
      </c>
      <c r="P5" s="39" t="s">
        <v>38</v>
      </c>
      <c r="Q5" s="39" t="s">
        <v>38</v>
      </c>
      <c r="R5" s="42" t="s">
        <v>38</v>
      </c>
      <c r="S5" s="76" t="s">
        <v>38</v>
      </c>
      <c r="T5" s="40" t="s">
        <v>36</v>
      </c>
      <c r="U5" s="40" t="s">
        <v>36</v>
      </c>
      <c r="V5" s="41" t="s">
        <v>36</v>
      </c>
      <c r="W5" s="765"/>
    </row>
    <row r="6" spans="1:23" s="318" customFormat="1" ht="15.75" customHeight="1">
      <c r="A6" s="319">
        <v>44669</v>
      </c>
      <c r="B6" s="310" t="s">
        <v>79</v>
      </c>
      <c r="C6" s="311" t="s">
        <v>85</v>
      </c>
      <c r="D6" s="312" t="s">
        <v>39</v>
      </c>
      <c r="E6" s="313">
        <v>9.15</v>
      </c>
      <c r="F6" s="313">
        <v>-2.9</v>
      </c>
      <c r="G6" s="320">
        <f>E6-F6</f>
        <v>12.05</v>
      </c>
      <c r="H6" s="315"/>
      <c r="I6" s="313">
        <v>1.31</v>
      </c>
      <c r="J6" s="310">
        <v>1.34</v>
      </c>
      <c r="K6" s="311">
        <v>0.32</v>
      </c>
      <c r="L6" s="313">
        <f>G6-I6</f>
        <v>10.74</v>
      </c>
      <c r="M6" s="310"/>
      <c r="N6" s="314"/>
      <c r="O6" s="310"/>
      <c r="P6" s="313">
        <f>K6*I6</f>
        <v>0.41920000000000002</v>
      </c>
      <c r="Q6" s="310"/>
      <c r="R6" s="316"/>
      <c r="S6" s="317"/>
      <c r="T6" s="313"/>
      <c r="U6" s="313"/>
      <c r="V6" s="996"/>
      <c r="W6" s="766"/>
    </row>
    <row r="7" spans="1:23" s="309" customFormat="1" ht="15.75" customHeight="1">
      <c r="A7" s="362">
        <v>44797</v>
      </c>
      <c r="B7" s="302" t="s">
        <v>91</v>
      </c>
      <c r="C7" s="303" t="s">
        <v>85</v>
      </c>
      <c r="D7" s="304" t="s">
        <v>40</v>
      </c>
      <c r="E7" s="305">
        <v>9.15</v>
      </c>
      <c r="F7" s="305">
        <v>2.2799999999999998</v>
      </c>
      <c r="G7" s="363">
        <f>E7-F7</f>
        <v>6.870000000000001</v>
      </c>
      <c r="H7" s="307"/>
      <c r="I7" s="305"/>
      <c r="J7" s="302"/>
      <c r="K7" s="303"/>
      <c r="L7" s="302"/>
      <c r="M7" s="302"/>
      <c r="N7" s="306"/>
      <c r="O7" s="305">
        <f>Q7-P6</f>
        <v>-3.9021999999999992</v>
      </c>
      <c r="P7" s="302"/>
      <c r="Q7" s="305">
        <f>(G7-L6)*0.9</f>
        <v>-3.4829999999999992</v>
      </c>
      <c r="R7" s="308"/>
      <c r="S7" s="306">
        <v>0</v>
      </c>
      <c r="T7" s="305"/>
      <c r="U7" s="305"/>
      <c r="V7" s="997"/>
      <c r="W7" s="767"/>
    </row>
    <row r="8" spans="1:23" s="309" customFormat="1" ht="15.75" customHeight="1">
      <c r="A8" s="362">
        <v>45033</v>
      </c>
      <c r="B8" s="302" t="s">
        <v>94</v>
      </c>
      <c r="C8" s="303" t="s">
        <v>85</v>
      </c>
      <c r="D8" s="304" t="s">
        <v>39</v>
      </c>
      <c r="E8" s="305">
        <v>9.15</v>
      </c>
      <c r="F8" s="305">
        <v>1.1000000000000001</v>
      </c>
      <c r="G8" s="363">
        <f>E8-F8</f>
        <v>8.0500000000000007</v>
      </c>
      <c r="H8" s="307"/>
      <c r="I8" s="305">
        <v>1.53</v>
      </c>
      <c r="J8" s="302">
        <v>1.53</v>
      </c>
      <c r="K8" s="756">
        <v>0.39</v>
      </c>
      <c r="L8" s="305">
        <f>G8-J8</f>
        <v>6.5200000000000005</v>
      </c>
      <c r="M8" s="302"/>
      <c r="N8" s="306"/>
      <c r="O8" s="305"/>
      <c r="P8" s="305">
        <f>J8*K8</f>
        <v>0.59670000000000001</v>
      </c>
      <c r="Q8" s="305"/>
      <c r="R8" s="374">
        <f>(L8-G7)*0.9</f>
        <v>-0.3150000000000005</v>
      </c>
      <c r="S8" s="306"/>
      <c r="T8" s="305">
        <v>579467.40899999999</v>
      </c>
      <c r="U8" s="305">
        <v>7016099.1809999999</v>
      </c>
      <c r="V8" s="997">
        <v>1436.6289999999999</v>
      </c>
      <c r="W8" s="767"/>
    </row>
    <row r="9" spans="1:23" s="309" customFormat="1" ht="15.75" customHeight="1">
      <c r="A9" s="362">
        <v>45092</v>
      </c>
      <c r="B9" s="302" t="s">
        <v>95</v>
      </c>
      <c r="C9" s="303" t="s">
        <v>85</v>
      </c>
      <c r="D9" s="304" t="s">
        <v>39</v>
      </c>
      <c r="E9" s="305">
        <v>9.15</v>
      </c>
      <c r="F9" s="305">
        <f>E9-G9</f>
        <v>1.7600000000000007</v>
      </c>
      <c r="G9" s="363">
        <v>7.39</v>
      </c>
      <c r="H9" s="759">
        <f>G9-G8</f>
        <v>-0.66000000000000103</v>
      </c>
      <c r="I9" s="305"/>
      <c r="J9" s="302"/>
      <c r="K9" s="756"/>
      <c r="L9" s="305"/>
      <c r="M9" s="302"/>
      <c r="N9" s="306"/>
      <c r="O9" s="305"/>
      <c r="P9" s="305"/>
      <c r="Q9" s="305"/>
      <c r="R9" s="374"/>
      <c r="S9" s="306"/>
      <c r="T9" s="305"/>
      <c r="U9" s="305"/>
      <c r="V9" s="997"/>
      <c r="W9" s="767"/>
    </row>
    <row r="10" spans="1:23" s="309" customFormat="1" ht="15.75" customHeight="1">
      <c r="A10" s="362">
        <v>45161</v>
      </c>
      <c r="B10" s="302" t="s">
        <v>96</v>
      </c>
      <c r="C10" s="303" t="s">
        <v>85</v>
      </c>
      <c r="D10" s="304" t="s">
        <v>40</v>
      </c>
      <c r="E10" s="305">
        <v>6.1</v>
      </c>
      <c r="F10" s="305">
        <f>E10-G10</f>
        <v>3.0399999999999996</v>
      </c>
      <c r="G10" s="363">
        <v>3.06</v>
      </c>
      <c r="H10" s="759"/>
      <c r="I10" s="305"/>
      <c r="J10" s="302"/>
      <c r="K10" s="756"/>
      <c r="L10" s="305"/>
      <c r="M10" s="302"/>
      <c r="N10" s="306"/>
      <c r="O10" s="305">
        <f>Q10-P8</f>
        <v>-3.7107000000000001</v>
      </c>
      <c r="P10" s="305"/>
      <c r="Q10" s="305">
        <f>(G10-L8)*0.9</f>
        <v>-3.1140000000000003</v>
      </c>
      <c r="R10" s="374"/>
      <c r="S10" s="306"/>
      <c r="T10" s="305"/>
      <c r="U10" s="305"/>
      <c r="V10" s="997"/>
      <c r="W10" s="767"/>
    </row>
    <row r="11" spans="1:23" s="309" customFormat="1" ht="15.75" customHeight="1">
      <c r="A11" s="362">
        <v>45400</v>
      </c>
      <c r="B11" s="302" t="s">
        <v>179</v>
      </c>
      <c r="C11" s="303" t="s">
        <v>85</v>
      </c>
      <c r="D11" s="304" t="s">
        <v>39</v>
      </c>
      <c r="E11" s="305">
        <v>6.1</v>
      </c>
      <c r="F11" s="305">
        <v>1.96</v>
      </c>
      <c r="G11" s="363">
        <f>E11-F11</f>
        <v>4.1399999999999997</v>
      </c>
      <c r="H11" s="759"/>
      <c r="I11" s="305">
        <f>AVERAGE(1.35,1.4,1.25,1.53)</f>
        <v>1.3825000000000001</v>
      </c>
      <c r="J11" s="305">
        <f>'20240418_Pit_AU'!I3</f>
        <v>1.4730000000000001</v>
      </c>
      <c r="K11" s="756">
        <v>0.39</v>
      </c>
      <c r="L11" s="305">
        <f>G11-I11</f>
        <v>2.7574999999999994</v>
      </c>
      <c r="M11" s="302"/>
      <c r="N11" s="306"/>
      <c r="O11" s="305"/>
      <c r="P11" s="305">
        <f>J11*K11</f>
        <v>0.57447000000000004</v>
      </c>
      <c r="Q11" s="305"/>
      <c r="R11" s="374">
        <f>(L11-G10)*0.9</f>
        <v>-0.2722500000000006</v>
      </c>
      <c r="S11" s="306"/>
      <c r="T11" s="305">
        <v>579458.33400000003</v>
      </c>
      <c r="U11" s="305">
        <v>7016086.2800000003</v>
      </c>
      <c r="V11" s="997">
        <v>1432.7070000000001</v>
      </c>
      <c r="W11" s="767"/>
    </row>
    <row r="12" spans="1:23" s="309" customFormat="1" ht="15.75" customHeight="1">
      <c r="A12" s="362"/>
      <c r="B12" s="302"/>
      <c r="C12" s="303"/>
      <c r="D12" s="304"/>
      <c r="E12" s="305"/>
      <c r="F12" s="305"/>
      <c r="G12" s="363"/>
      <c r="H12" s="759"/>
      <c r="I12" s="305"/>
      <c r="J12" s="302"/>
      <c r="K12" s="756"/>
      <c r="L12" s="305"/>
      <c r="M12" s="302"/>
      <c r="N12" s="306"/>
      <c r="O12" s="305"/>
      <c r="P12" s="305"/>
      <c r="Q12" s="305"/>
      <c r="R12" s="374"/>
      <c r="S12" s="306"/>
      <c r="T12" s="305"/>
      <c r="U12" s="305"/>
      <c r="V12" s="997"/>
      <c r="W12" s="767"/>
    </row>
    <row r="13" spans="1:23" ht="15.75" customHeight="1">
      <c r="A13" s="13"/>
      <c r="B13" s="13"/>
      <c r="C13" s="752"/>
      <c r="D13" s="754"/>
      <c r="E13" s="14"/>
      <c r="F13" s="14"/>
      <c r="G13" s="757"/>
      <c r="H13" s="760"/>
      <c r="I13" s="14"/>
      <c r="J13" s="13"/>
      <c r="K13" s="752"/>
      <c r="L13" s="13"/>
      <c r="M13" s="13"/>
      <c r="N13" s="757"/>
      <c r="O13" s="13"/>
      <c r="P13" s="14"/>
      <c r="Q13" s="13"/>
      <c r="R13" s="7"/>
      <c r="S13" s="762"/>
      <c r="T13" s="14"/>
      <c r="U13" s="14"/>
      <c r="V13" s="610"/>
      <c r="W13" s="768"/>
    </row>
    <row r="14" spans="1:23" s="751" customFormat="1" ht="15.75" customHeight="1">
      <c r="A14" s="770">
        <v>45400</v>
      </c>
      <c r="B14" s="748" t="s">
        <v>179</v>
      </c>
      <c r="C14" s="753" t="s">
        <v>180</v>
      </c>
      <c r="D14" s="755" t="s">
        <v>39</v>
      </c>
      <c r="E14" s="749">
        <v>10</v>
      </c>
      <c r="F14" s="749">
        <f>E14-G14</f>
        <v>-1.8900000000000006</v>
      </c>
      <c r="G14" s="758">
        <v>11.89</v>
      </c>
      <c r="H14" s="761"/>
      <c r="I14" s="749">
        <f>AVERAGE(1.53,1.67,1.47,1.55)</f>
        <v>1.5549999999999999</v>
      </c>
      <c r="J14" s="749">
        <f>'20240418_Pit_AU'!I3</f>
        <v>1.4730000000000001</v>
      </c>
      <c r="K14" s="753">
        <v>0.39</v>
      </c>
      <c r="L14" s="749">
        <f>G14-I14</f>
        <v>10.335000000000001</v>
      </c>
      <c r="M14" s="748"/>
      <c r="N14" s="758"/>
      <c r="O14" s="748"/>
      <c r="P14" s="749">
        <f>I14*K14</f>
        <v>0.60645000000000004</v>
      </c>
      <c r="Q14" s="748"/>
      <c r="R14" s="750"/>
      <c r="S14" s="763"/>
      <c r="T14" s="749">
        <v>579475.49199999997</v>
      </c>
      <c r="U14" s="749">
        <v>7016108.1629999997</v>
      </c>
      <c r="V14" s="998">
        <v>1435.6869999999999</v>
      </c>
      <c r="W14" s="769"/>
    </row>
    <row r="15" spans="1:23" s="751" customFormat="1" ht="15.75" customHeight="1">
      <c r="A15" s="770">
        <v>45524</v>
      </c>
      <c r="B15" s="748" t="s">
        <v>204</v>
      </c>
      <c r="C15" s="753" t="s">
        <v>180</v>
      </c>
      <c r="D15" s="755" t="s">
        <v>40</v>
      </c>
      <c r="E15" s="749">
        <v>10</v>
      </c>
      <c r="F15" s="749">
        <v>2.44</v>
      </c>
      <c r="G15" s="1006">
        <f>E15-F15</f>
        <v>7.5600000000000005</v>
      </c>
      <c r="H15" s="1007">
        <f>G15-L14</f>
        <v>-2.7750000000000004</v>
      </c>
      <c r="I15" s="749"/>
      <c r="J15" s="748"/>
      <c r="K15" s="753"/>
      <c r="L15" s="748"/>
      <c r="M15" s="748"/>
      <c r="N15" s="758"/>
      <c r="O15" s="749">
        <f>Q15-P14</f>
        <v>-3.1039500000000007</v>
      </c>
      <c r="P15" s="748"/>
      <c r="Q15" s="749">
        <f>(G15-L14)*0.9</f>
        <v>-2.4975000000000005</v>
      </c>
      <c r="R15" s="750"/>
      <c r="S15" s="763">
        <v>0</v>
      </c>
      <c r="T15" s="749">
        <v>579471.25100000005</v>
      </c>
      <c r="U15" s="749">
        <v>7016102.1320000002</v>
      </c>
      <c r="V15" s="998">
        <v>1431.41</v>
      </c>
      <c r="W15" s="769"/>
    </row>
    <row r="16" spans="1:23" s="751" customFormat="1" ht="15.75" customHeight="1">
      <c r="A16" s="748"/>
      <c r="B16" s="748"/>
      <c r="C16" s="753"/>
      <c r="D16" s="755"/>
      <c r="E16" s="749"/>
      <c r="F16" s="749"/>
      <c r="G16" s="758"/>
      <c r="H16" s="761"/>
      <c r="I16" s="749"/>
      <c r="J16" s="748"/>
      <c r="K16" s="753"/>
      <c r="L16" s="748"/>
      <c r="M16" s="748"/>
      <c r="N16" s="758"/>
      <c r="O16" s="748"/>
      <c r="P16" s="748"/>
      <c r="Q16" s="748"/>
      <c r="R16" s="750"/>
      <c r="S16" s="763"/>
      <c r="T16" s="749"/>
      <c r="U16" s="749"/>
      <c r="V16" s="998"/>
      <c r="W16" s="769"/>
    </row>
    <row r="17" spans="1:21" ht="15.75" customHeight="1" thickBot="1">
      <c r="A17" s="13"/>
      <c r="B17" s="13"/>
      <c r="C17" s="13"/>
      <c r="D17" s="13"/>
      <c r="E17" s="14"/>
      <c r="F17" s="14"/>
      <c r="G17" s="13"/>
      <c r="H17" s="13"/>
      <c r="I17" s="13"/>
      <c r="J17" s="13"/>
      <c r="K17" s="13"/>
      <c r="L17" s="13"/>
      <c r="M17" s="13"/>
      <c r="N17" s="13"/>
      <c r="O17" s="13"/>
      <c r="P17" s="13"/>
      <c r="Q17" s="13"/>
      <c r="R17" s="7"/>
      <c r="S17" s="7"/>
      <c r="T17" s="7"/>
      <c r="U17" s="7"/>
    </row>
    <row r="18" spans="1:21" ht="15.75" customHeight="1">
      <c r="A18" s="1034" t="s">
        <v>42</v>
      </c>
      <c r="B18" s="1035"/>
      <c r="C18" s="1038" t="s">
        <v>43</v>
      </c>
      <c r="D18" s="1039"/>
      <c r="E18" s="77" t="s">
        <v>44</v>
      </c>
      <c r="F18" s="78"/>
      <c r="G18" s="77" t="s">
        <v>45</v>
      </c>
      <c r="H18" s="78"/>
      <c r="I18" s="79" t="s">
        <v>46</v>
      </c>
      <c r="Q18" s="48"/>
      <c r="R18" s="16"/>
      <c r="S18" s="16"/>
      <c r="T18" s="16"/>
      <c r="U18" s="7"/>
    </row>
    <row r="19" spans="1:21" ht="15.75" customHeight="1">
      <c r="A19" s="1036"/>
      <c r="B19" s="1037"/>
      <c r="C19" s="80" t="s">
        <v>47</v>
      </c>
      <c r="D19" s="80" t="s">
        <v>48</v>
      </c>
      <c r="E19" s="81">
        <f>A10</f>
        <v>45161</v>
      </c>
      <c r="F19" s="82"/>
      <c r="G19" s="83">
        <f>A14</f>
        <v>45400</v>
      </c>
      <c r="H19" s="82"/>
      <c r="I19" s="84">
        <v>45524</v>
      </c>
      <c r="Q19" s="48"/>
      <c r="R19" s="21"/>
      <c r="S19" s="21"/>
      <c r="T19" s="16"/>
      <c r="U19" s="7"/>
    </row>
    <row r="20" spans="1:21" ht="15.75" customHeight="1">
      <c r="A20" s="85"/>
      <c r="B20" s="86" t="s">
        <v>50</v>
      </c>
      <c r="C20" s="9">
        <f>AVERAGE(P14,P11)</f>
        <v>0.59045999999999998</v>
      </c>
      <c r="D20" s="9"/>
      <c r="E20" s="8"/>
      <c r="F20" s="8"/>
      <c r="G20" s="87"/>
      <c r="H20" s="9"/>
      <c r="I20" s="88"/>
      <c r="Q20" s="48"/>
      <c r="R20" s="21"/>
      <c r="S20" s="21"/>
      <c r="T20" s="16"/>
      <c r="U20" s="7"/>
    </row>
    <row r="21" spans="1:21" ht="15.75" customHeight="1">
      <c r="A21" s="85"/>
      <c r="B21" s="86" t="s">
        <v>51</v>
      </c>
      <c r="C21" s="9">
        <f>C22-C20</f>
        <v>-3.0879600000000007</v>
      </c>
      <c r="D21" s="9"/>
      <c r="E21" s="8"/>
      <c r="F21" s="8"/>
      <c r="G21" s="87"/>
      <c r="H21" s="9"/>
      <c r="I21" s="88"/>
      <c r="Q21" s="48"/>
      <c r="R21" s="21"/>
      <c r="S21" s="21"/>
      <c r="T21" s="16"/>
      <c r="U21" s="7"/>
    </row>
    <row r="22" spans="1:21" ht="15.75" customHeight="1">
      <c r="A22" s="85"/>
      <c r="B22" s="86" t="s">
        <v>52</v>
      </c>
      <c r="C22" s="9">
        <f>Q15</f>
        <v>-2.4975000000000005</v>
      </c>
      <c r="D22" s="9"/>
      <c r="E22" s="8"/>
      <c r="F22" s="8"/>
      <c r="G22" s="87"/>
      <c r="H22" s="9"/>
      <c r="I22" s="88"/>
      <c r="N22" s="44"/>
      <c r="Q22" s="48"/>
      <c r="R22" s="21"/>
      <c r="S22" s="21"/>
      <c r="T22" s="16"/>
      <c r="U22" s="7"/>
    </row>
    <row r="23" spans="1:21" ht="15.75" customHeight="1">
      <c r="A23" s="85"/>
      <c r="B23" s="89" t="s">
        <v>53</v>
      </c>
      <c r="C23" s="9">
        <v>0</v>
      </c>
      <c r="D23" s="9"/>
      <c r="E23" s="8"/>
      <c r="F23" s="8"/>
      <c r="G23" s="9"/>
      <c r="H23" s="9"/>
      <c r="I23" s="88"/>
      <c r="Q23" s="48"/>
      <c r="R23" s="21"/>
      <c r="S23" s="21"/>
      <c r="T23" s="16"/>
      <c r="U23" s="7"/>
    </row>
    <row r="24" spans="1:21" ht="15.75" customHeight="1">
      <c r="A24" s="85"/>
      <c r="B24" s="90" t="s">
        <v>54</v>
      </c>
      <c r="C24" s="9" t="s">
        <v>187</v>
      </c>
      <c r="D24" s="9"/>
      <c r="E24" s="8"/>
      <c r="F24" s="8"/>
      <c r="G24" s="9"/>
      <c r="H24" s="9"/>
      <c r="I24" s="88"/>
      <c r="Q24" s="48"/>
      <c r="R24" s="21"/>
      <c r="S24" s="21"/>
      <c r="T24" s="16"/>
      <c r="U24" s="7"/>
    </row>
    <row r="25" spans="1:21" ht="15.75" customHeight="1" thickBot="1">
      <c r="A25" s="91"/>
      <c r="B25" s="92" t="s">
        <v>55</v>
      </c>
      <c r="C25" s="93">
        <v>0</v>
      </c>
      <c r="D25" s="93"/>
      <c r="E25" s="94"/>
      <c r="F25" s="94"/>
      <c r="G25" s="95"/>
      <c r="H25" s="95"/>
      <c r="I25" s="96"/>
      <c r="Q25" s="48"/>
      <c r="R25" s="21"/>
      <c r="S25" s="21"/>
      <c r="T25" s="16"/>
      <c r="U25" s="7"/>
    </row>
    <row r="26" spans="1:21" ht="15.75" customHeight="1">
      <c r="A26" s="7"/>
      <c r="B26" s="7"/>
      <c r="C26" s="7"/>
      <c r="D26" s="7"/>
      <c r="E26" s="7"/>
      <c r="F26" s="7"/>
      <c r="G26" s="7"/>
      <c r="H26" s="7"/>
      <c r="I26" s="7"/>
      <c r="J26" s="7"/>
      <c r="K26" s="7"/>
      <c r="L26" s="7"/>
      <c r="M26" s="7"/>
      <c r="N26" s="7"/>
      <c r="O26" s="7"/>
      <c r="P26" s="7"/>
      <c r="Q26" s="16"/>
      <c r="R26" s="16"/>
      <c r="S26" s="16"/>
      <c r="T26" s="16"/>
      <c r="U26" s="7"/>
    </row>
  </sheetData>
  <mergeCells count="6">
    <mergeCell ref="T1:V1"/>
    <mergeCell ref="T2:U2"/>
    <mergeCell ref="E3:G3"/>
    <mergeCell ref="T3:U3"/>
    <mergeCell ref="A18:B19"/>
    <mergeCell ref="C18:D18"/>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W32"/>
  <sheetViews>
    <sheetView zoomScale="85" zoomScaleNormal="85" workbookViewId="0">
      <selection activeCell="C28" sqref="C28"/>
    </sheetView>
  </sheetViews>
  <sheetFormatPr defaultColWidth="17.28515625" defaultRowHeight="15.75" customHeight="1"/>
  <cols>
    <col min="1" max="1" width="12.42578125" style="213" customWidth="1"/>
    <col min="2" max="2" width="28" style="213" bestFit="1" customWidth="1"/>
    <col min="3" max="3" width="11.28515625" style="213" bestFit="1" customWidth="1"/>
    <col min="4" max="4" width="20" style="213" bestFit="1" customWidth="1"/>
    <col min="5" max="5" width="10.5703125" style="213" bestFit="1" customWidth="1"/>
    <col min="6" max="7" width="13.7109375" style="213" bestFit="1" customWidth="1"/>
    <col min="8" max="8" width="14.42578125" style="213" bestFit="1" customWidth="1"/>
    <col min="9" max="9" width="17.28515625" style="213" bestFit="1" customWidth="1"/>
    <col min="10" max="10" width="19.5703125" style="213" bestFit="1" customWidth="1"/>
    <col min="11" max="11" width="16.42578125" style="213" bestFit="1" customWidth="1"/>
    <col min="12" max="12" width="18" style="213" customWidth="1"/>
    <col min="13" max="13" width="22.140625" style="213" customWidth="1"/>
    <col min="14" max="14" width="11.5703125" style="213" bestFit="1" customWidth="1"/>
    <col min="15" max="15" width="11.28515625" style="213" bestFit="1" customWidth="1"/>
    <col min="16" max="16" width="9" style="213" bestFit="1" customWidth="1"/>
    <col min="17" max="17" width="7.85546875" style="213" bestFit="1" customWidth="1"/>
    <col min="18" max="18" width="14.7109375" style="213" bestFit="1" customWidth="1"/>
    <col min="19" max="19" width="20.7109375" style="213" bestFit="1" customWidth="1"/>
    <col min="20" max="20" width="17.140625" style="213" customWidth="1"/>
    <col min="21" max="21" width="13.85546875" style="213" customWidth="1"/>
    <col min="22" max="22" width="12.5703125" style="213" customWidth="1"/>
    <col min="23" max="16384" width="17.28515625" style="213"/>
  </cols>
  <sheetData>
    <row r="3" spans="1:23" ht="35.65" customHeight="1">
      <c r="A3" s="31"/>
      <c r="B3" s="4"/>
      <c r="C3" s="22"/>
      <c r="D3" s="19"/>
      <c r="E3" s="1029" t="s">
        <v>13</v>
      </c>
      <c r="F3" s="1030"/>
      <c r="G3" s="1031"/>
      <c r="H3" s="52"/>
      <c r="I3" s="247"/>
      <c r="J3" s="5"/>
      <c r="K3" s="247"/>
      <c r="L3" s="55"/>
      <c r="M3" s="2"/>
      <c r="N3" s="5"/>
      <c r="O3" s="64"/>
      <c r="P3" s="5"/>
      <c r="Q3" s="5"/>
      <c r="R3" s="17"/>
      <c r="S3" s="65"/>
      <c r="T3" s="1032" t="s">
        <v>14</v>
      </c>
      <c r="U3" s="1033"/>
      <c r="V3" s="248"/>
      <c r="W3" s="18"/>
    </row>
    <row r="4" spans="1:23" s="214" customFormat="1" ht="35.65" customHeight="1">
      <c r="A4" s="32" t="s">
        <v>15</v>
      </c>
      <c r="B4" s="6" t="s">
        <v>16</v>
      </c>
      <c r="C4" s="23" t="s">
        <v>17</v>
      </c>
      <c r="D4" s="66" t="s">
        <v>18</v>
      </c>
      <c r="E4" s="67" t="s">
        <v>19</v>
      </c>
      <c r="F4" s="6" t="s">
        <v>20</v>
      </c>
      <c r="G4" s="10" t="s">
        <v>21</v>
      </c>
      <c r="H4" s="53" t="s">
        <v>22</v>
      </c>
      <c r="I4" s="10" t="s">
        <v>23</v>
      </c>
      <c r="J4" s="10" t="s">
        <v>24</v>
      </c>
      <c r="K4" s="6" t="s">
        <v>25</v>
      </c>
      <c r="L4" s="68" t="s">
        <v>26</v>
      </c>
      <c r="M4" s="68" t="s">
        <v>27</v>
      </c>
      <c r="N4" s="10" t="s">
        <v>28</v>
      </c>
      <c r="O4" s="69" t="s">
        <v>29</v>
      </c>
      <c r="P4" s="10" t="s">
        <v>30</v>
      </c>
      <c r="Q4" s="10" t="s">
        <v>31</v>
      </c>
      <c r="R4" s="70" t="s">
        <v>3</v>
      </c>
      <c r="S4" s="71" t="s">
        <v>4</v>
      </c>
      <c r="T4" s="72" t="s">
        <v>32</v>
      </c>
      <c r="U4" s="72" t="s">
        <v>33</v>
      </c>
      <c r="V4" s="73" t="s">
        <v>0</v>
      </c>
      <c r="W4" s="23" t="s">
        <v>34</v>
      </c>
    </row>
    <row r="5" spans="1:23" ht="15.75" customHeight="1" thickBot="1">
      <c r="A5" s="33" t="s">
        <v>35</v>
      </c>
      <c r="B5" s="34"/>
      <c r="C5" s="46"/>
      <c r="D5" s="35"/>
      <c r="E5" s="37" t="s">
        <v>36</v>
      </c>
      <c r="F5" s="37" t="s">
        <v>36</v>
      </c>
      <c r="G5" s="112" t="s">
        <v>36</v>
      </c>
      <c r="H5" s="112" t="s">
        <v>36</v>
      </c>
      <c r="I5" s="37" t="s">
        <v>36</v>
      </c>
      <c r="J5" s="37" t="s">
        <v>36</v>
      </c>
      <c r="K5" s="36" t="s">
        <v>37</v>
      </c>
      <c r="L5" s="401" t="s">
        <v>36</v>
      </c>
      <c r="M5" s="38" t="s">
        <v>36</v>
      </c>
      <c r="N5" s="38" t="s">
        <v>37</v>
      </c>
      <c r="O5" s="75" t="s">
        <v>38</v>
      </c>
      <c r="P5" s="39" t="s">
        <v>38</v>
      </c>
      <c r="Q5" s="39" t="s">
        <v>38</v>
      </c>
      <c r="R5" s="42" t="s">
        <v>38</v>
      </c>
      <c r="S5" s="76" t="s">
        <v>38</v>
      </c>
      <c r="T5" s="40" t="s">
        <v>36</v>
      </c>
      <c r="U5" s="40" t="s">
        <v>36</v>
      </c>
      <c r="V5" s="41" t="s">
        <v>36</v>
      </c>
      <c r="W5" s="43"/>
    </row>
    <row r="6" spans="1:23" s="328" customFormat="1" ht="15.75" customHeight="1">
      <c r="A6" s="327">
        <v>44669</v>
      </c>
      <c r="B6" s="335" t="s">
        <v>79</v>
      </c>
      <c r="C6" s="336" t="s">
        <v>86</v>
      </c>
      <c r="D6" s="337" t="s">
        <v>39</v>
      </c>
      <c r="E6" s="331">
        <v>9.15</v>
      </c>
      <c r="F6" s="331">
        <v>-1.89</v>
      </c>
      <c r="G6" s="332">
        <f>E6-F6</f>
        <v>11.040000000000001</v>
      </c>
      <c r="H6" s="333"/>
      <c r="I6" s="331">
        <f>AVERAGE(1.73,1.96,1.97,1.74)</f>
        <v>1.85</v>
      </c>
      <c r="J6" s="331">
        <v>1.61</v>
      </c>
      <c r="K6" s="334">
        <f>(0.4+0.32)/2</f>
        <v>0.36</v>
      </c>
      <c r="L6" s="402">
        <f>G6-I6</f>
        <v>9.1900000000000013</v>
      </c>
      <c r="M6" s="324"/>
      <c r="N6" s="332"/>
      <c r="O6" s="331"/>
      <c r="P6" s="331">
        <f>I6*K6</f>
        <v>0.66600000000000004</v>
      </c>
      <c r="Q6" s="331"/>
      <c r="R6" s="331"/>
      <c r="S6" s="332"/>
      <c r="T6" s="331"/>
      <c r="U6" s="331"/>
      <c r="V6" s="332"/>
      <c r="W6" s="403"/>
    </row>
    <row r="7" spans="1:23" s="328" customFormat="1" ht="15.75" customHeight="1">
      <c r="A7" s="327">
        <v>44797</v>
      </c>
      <c r="B7" s="328" t="s">
        <v>91</v>
      </c>
      <c r="C7" s="329" t="s">
        <v>86</v>
      </c>
      <c r="D7" s="330" t="s">
        <v>40</v>
      </c>
      <c r="E7" s="331">
        <v>9.15</v>
      </c>
      <c r="F7" s="331">
        <v>3.08</v>
      </c>
      <c r="G7" s="332">
        <f>E7-F7</f>
        <v>6.07</v>
      </c>
      <c r="H7" s="333"/>
      <c r="I7" s="331"/>
      <c r="J7" s="331"/>
      <c r="K7" s="334"/>
      <c r="L7" s="402"/>
      <c r="M7" s="331"/>
      <c r="N7" s="332"/>
      <c r="O7" s="331">
        <f>Q7-P6</f>
        <v>-3.4740000000000011</v>
      </c>
      <c r="Q7" s="331">
        <f>(G7-L6)*0.9</f>
        <v>-2.8080000000000012</v>
      </c>
      <c r="R7" s="331"/>
      <c r="S7" s="332">
        <v>0</v>
      </c>
      <c r="T7" s="331"/>
      <c r="U7" s="331"/>
      <c r="V7" s="332"/>
      <c r="W7" s="329"/>
    </row>
    <row r="8" spans="1:23" s="328" customFormat="1" ht="15.75" customHeight="1">
      <c r="A8" s="327">
        <v>45033</v>
      </c>
      <c r="B8" s="328" t="s">
        <v>94</v>
      </c>
      <c r="C8" s="329" t="s">
        <v>86</v>
      </c>
      <c r="D8" s="330" t="s">
        <v>39</v>
      </c>
      <c r="E8" s="331">
        <v>8.6</v>
      </c>
      <c r="F8" s="331">
        <v>0.86</v>
      </c>
      <c r="G8" s="332">
        <f>E8-F8</f>
        <v>7.7399999999999993</v>
      </c>
      <c r="H8" s="332"/>
      <c r="I8" s="331">
        <v>1.88</v>
      </c>
      <c r="J8" s="331">
        <v>1.9</v>
      </c>
      <c r="K8" s="334">
        <v>0.39</v>
      </c>
      <c r="L8" s="402">
        <f>G8-I8</f>
        <v>5.8599999999999994</v>
      </c>
      <c r="M8" s="331"/>
      <c r="N8" s="332"/>
      <c r="O8" s="331"/>
      <c r="P8" s="331">
        <f>J8*K8</f>
        <v>0.74099999999999999</v>
      </c>
      <c r="Q8" s="331"/>
      <c r="R8" s="331">
        <f>(L8-G7)*0.9</f>
        <v>-0.18900000000000078</v>
      </c>
      <c r="S8" s="332"/>
      <c r="T8" s="331">
        <v>579444.03799999994</v>
      </c>
      <c r="U8" s="331">
        <v>7016902.6040000003</v>
      </c>
      <c r="V8" s="332">
        <v>1533.3910000000001</v>
      </c>
      <c r="W8" s="329"/>
    </row>
    <row r="9" spans="1:23" s="328" customFormat="1" ht="15.75" customHeight="1">
      <c r="A9" s="327">
        <v>45161</v>
      </c>
      <c r="B9" s="328" t="s">
        <v>101</v>
      </c>
      <c r="C9" s="329" t="s">
        <v>86</v>
      </c>
      <c r="D9" s="330" t="s">
        <v>40</v>
      </c>
      <c r="E9" s="331">
        <f>3.05+5.55</f>
        <v>8.6</v>
      </c>
      <c r="F9" s="331">
        <f>0.14+5.55</f>
        <v>5.6899999999999995</v>
      </c>
      <c r="G9" s="332">
        <f>E9-F9</f>
        <v>2.91</v>
      </c>
      <c r="H9" s="332"/>
      <c r="I9" s="331"/>
      <c r="J9" s="331"/>
      <c r="K9" s="334"/>
      <c r="L9" s="402"/>
      <c r="M9" s="331"/>
      <c r="N9" s="332"/>
      <c r="O9" s="331">
        <f t="shared" ref="O9" si="0">Q9-P8</f>
        <v>-3.3959999999999995</v>
      </c>
      <c r="P9" s="331"/>
      <c r="Q9" s="331">
        <f t="shared" ref="Q9" si="1">(G9-L8)*0.9</f>
        <v>-2.6549999999999994</v>
      </c>
      <c r="R9" s="331"/>
      <c r="S9" s="332">
        <v>0</v>
      </c>
      <c r="T9" s="331"/>
      <c r="U9" s="331"/>
      <c r="V9" s="332"/>
      <c r="W9" s="329"/>
    </row>
    <row r="10" spans="1:23" s="328" customFormat="1" ht="15.75" customHeight="1">
      <c r="A10" s="327">
        <v>45400</v>
      </c>
      <c r="B10" s="328" t="s">
        <v>103</v>
      </c>
      <c r="C10" s="329" t="s">
        <v>86</v>
      </c>
      <c r="D10" s="330" t="s">
        <v>83</v>
      </c>
      <c r="E10" s="1019" t="s">
        <v>177</v>
      </c>
      <c r="F10" s="331"/>
      <c r="G10" s="332"/>
      <c r="H10" s="332"/>
      <c r="I10" s="331"/>
      <c r="J10" s="331"/>
      <c r="K10" s="334"/>
      <c r="L10" s="402"/>
      <c r="M10" s="331"/>
      <c r="N10" s="332"/>
      <c r="O10" s="331"/>
      <c r="P10" s="331"/>
      <c r="Q10" s="331"/>
      <c r="R10" s="331"/>
      <c r="S10" s="332"/>
      <c r="T10" s="331">
        <v>579447.098</v>
      </c>
      <c r="U10" s="331">
        <v>7016881.0429999996</v>
      </c>
      <c r="V10" s="332">
        <v>1529.56</v>
      </c>
      <c r="W10" s="329"/>
    </row>
    <row r="11" spans="1:23" s="215" customFormat="1" ht="15.75" customHeight="1">
      <c r="A11" s="321"/>
      <c r="C11" s="322"/>
      <c r="D11" s="323"/>
      <c r="E11" s="1018"/>
      <c r="F11" s="324"/>
      <c r="G11" s="325"/>
      <c r="H11" s="325"/>
      <c r="I11" s="324"/>
      <c r="J11" s="324"/>
      <c r="K11" s="326"/>
      <c r="L11" s="406"/>
      <c r="M11" s="324"/>
      <c r="N11" s="325"/>
      <c r="O11" s="324"/>
      <c r="P11" s="324"/>
      <c r="Q11" s="324"/>
      <c r="R11" s="324"/>
      <c r="S11" s="325"/>
      <c r="T11" s="324"/>
      <c r="U11" s="324"/>
      <c r="V11" s="325"/>
      <c r="W11" s="322"/>
    </row>
    <row r="12" spans="1:23" s="395" customFormat="1" ht="15.75" customHeight="1">
      <c r="A12" s="394">
        <v>45033</v>
      </c>
      <c r="B12" s="395" t="s">
        <v>100</v>
      </c>
      <c r="C12" s="397" t="s">
        <v>102</v>
      </c>
      <c r="D12" s="398" t="s">
        <v>39</v>
      </c>
      <c r="E12" s="396">
        <v>9.15</v>
      </c>
      <c r="F12" s="396">
        <v>0.96</v>
      </c>
      <c r="G12" s="404">
        <f>E12-F12</f>
        <v>8.1900000000000013</v>
      </c>
      <c r="H12" s="404"/>
      <c r="I12" s="396">
        <f>J12</f>
        <v>1.9</v>
      </c>
      <c r="J12" s="396">
        <v>1.9</v>
      </c>
      <c r="K12" s="399">
        <v>0.39</v>
      </c>
      <c r="L12" s="400">
        <f>G12-I12</f>
        <v>6.2900000000000009</v>
      </c>
      <c r="M12" s="396"/>
      <c r="N12" s="404"/>
      <c r="O12" s="396"/>
      <c r="P12" s="396">
        <f>I12*K12</f>
        <v>0.74099999999999999</v>
      </c>
      <c r="Q12" s="396"/>
      <c r="R12" s="396"/>
      <c r="S12" s="404"/>
      <c r="T12" s="396"/>
      <c r="U12" s="396"/>
      <c r="V12" s="404"/>
      <c r="W12" s="397"/>
    </row>
    <row r="13" spans="1:23" s="395" customFormat="1" ht="15.75" customHeight="1">
      <c r="A13" s="394">
        <v>45161</v>
      </c>
      <c r="B13" s="395" t="s">
        <v>100</v>
      </c>
      <c r="C13" s="397" t="s">
        <v>102</v>
      </c>
      <c r="D13" s="398" t="s">
        <v>40</v>
      </c>
      <c r="E13" s="396">
        <v>9.15</v>
      </c>
      <c r="F13" s="395">
        <f>6.1-0.29</f>
        <v>5.81</v>
      </c>
      <c r="G13" s="404">
        <f>E13-F13</f>
        <v>3.3400000000000007</v>
      </c>
      <c r="H13" s="404">
        <f>G13-G12</f>
        <v>-4.8500000000000005</v>
      </c>
      <c r="I13" s="396">
        <v>0</v>
      </c>
      <c r="J13" s="396">
        <v>0</v>
      </c>
      <c r="K13" s="399"/>
      <c r="L13" s="400">
        <f>L12</f>
        <v>6.2900000000000009</v>
      </c>
      <c r="M13" s="396"/>
      <c r="N13" s="404"/>
      <c r="O13" s="396">
        <f>Q13-P12</f>
        <v>-3.3960000000000004</v>
      </c>
      <c r="Q13" s="396">
        <f>(G13-L13)*0.9</f>
        <v>-2.6550000000000002</v>
      </c>
      <c r="R13" s="396"/>
      <c r="S13" s="404">
        <v>0</v>
      </c>
      <c r="T13" s="396"/>
      <c r="U13" s="396"/>
      <c r="V13" s="404"/>
      <c r="W13" s="397"/>
    </row>
    <row r="14" spans="1:23" s="395" customFormat="1" ht="15.75" customHeight="1">
      <c r="A14" s="394">
        <v>45400</v>
      </c>
      <c r="B14" s="395" t="s">
        <v>103</v>
      </c>
      <c r="C14" s="397" t="s">
        <v>102</v>
      </c>
      <c r="D14" s="398" t="s">
        <v>39</v>
      </c>
      <c r="E14" s="396">
        <v>6.1</v>
      </c>
      <c r="F14" s="396">
        <v>1.71</v>
      </c>
      <c r="G14" s="404">
        <f>E14-F14</f>
        <v>4.3899999999999997</v>
      </c>
      <c r="H14" s="404"/>
      <c r="I14" s="396">
        <f>(1.55+1.56+1.62+1.5)/4</f>
        <v>1.5575000000000001</v>
      </c>
      <c r="J14" s="396">
        <f>(1.55+1.56+1.62+1.5+1.65+1.67+1.7+1.62)/8</f>
        <v>1.6087500000000001</v>
      </c>
      <c r="K14" s="399">
        <v>0.39</v>
      </c>
      <c r="L14" s="400">
        <f>G14-I14</f>
        <v>2.8324999999999996</v>
      </c>
      <c r="M14" s="396"/>
      <c r="N14" s="404"/>
      <c r="O14" s="396"/>
      <c r="P14" s="396">
        <f>K14*J14</f>
        <v>0.62741250000000004</v>
      </c>
      <c r="Q14" s="396"/>
      <c r="R14" s="396">
        <f>(L14-G13)*0.9</f>
        <v>-0.45675000000000104</v>
      </c>
      <c r="S14" s="404"/>
      <c r="T14" s="396">
        <v>579462.84100000001</v>
      </c>
      <c r="U14" s="396">
        <v>7016895.9299999997</v>
      </c>
      <c r="V14" s="404">
        <v>1530.7619999999999</v>
      </c>
      <c r="W14" s="397"/>
    </row>
    <row r="15" spans="1:23" s="395" customFormat="1" ht="15.75" customHeight="1">
      <c r="A15" s="394"/>
      <c r="C15" s="397"/>
      <c r="D15" s="398"/>
      <c r="E15" s="396"/>
      <c r="F15" s="396"/>
      <c r="G15" s="404"/>
      <c r="H15" s="404"/>
      <c r="I15" s="396"/>
      <c r="J15" s="396"/>
      <c r="K15" s="399"/>
      <c r="L15" s="400"/>
      <c r="M15" s="396"/>
      <c r="N15" s="404"/>
      <c r="O15" s="396"/>
      <c r="Q15" s="396"/>
      <c r="R15" s="396"/>
      <c r="S15" s="404"/>
      <c r="T15" s="396"/>
      <c r="U15" s="396"/>
      <c r="V15" s="404"/>
      <c r="W15" s="397"/>
    </row>
    <row r="16" spans="1:23" s="395" customFormat="1" ht="15.75" customHeight="1">
      <c r="A16" s="394"/>
      <c r="C16" s="397"/>
      <c r="D16" s="398"/>
      <c r="E16" s="396"/>
      <c r="F16" s="396"/>
      <c r="G16" s="404"/>
      <c r="H16" s="404"/>
      <c r="I16" s="396"/>
      <c r="J16" s="396"/>
      <c r="K16" s="399"/>
      <c r="L16" s="400"/>
      <c r="M16" s="396"/>
      <c r="N16" s="404"/>
      <c r="O16" s="396"/>
      <c r="Q16" s="396"/>
      <c r="R16" s="396"/>
      <c r="S16" s="404"/>
      <c r="T16" s="396"/>
      <c r="U16" s="396"/>
      <c r="V16" s="404"/>
      <c r="W16" s="397"/>
    </row>
    <row r="17" spans="1:23" s="395" customFormat="1" ht="15.75" customHeight="1">
      <c r="A17" s="394"/>
      <c r="C17" s="397"/>
      <c r="D17" s="398"/>
      <c r="E17" s="396"/>
      <c r="F17" s="396"/>
      <c r="G17" s="404"/>
      <c r="H17" s="404"/>
      <c r="I17" s="396"/>
      <c r="J17" s="396"/>
      <c r="K17" s="399"/>
      <c r="L17" s="400"/>
      <c r="M17" s="396"/>
      <c r="N17" s="404"/>
      <c r="O17" s="396"/>
      <c r="Q17" s="396"/>
      <c r="R17" s="396"/>
      <c r="S17" s="404"/>
      <c r="T17" s="396"/>
      <c r="U17" s="396"/>
      <c r="V17" s="404"/>
      <c r="W17" s="397"/>
    </row>
    <row r="18" spans="1:23" s="215" customFormat="1" ht="15.75" customHeight="1">
      <c r="A18" s="321"/>
      <c r="C18" s="322"/>
      <c r="D18" s="323"/>
      <c r="E18" s="324"/>
      <c r="F18" s="324"/>
      <c r="G18" s="325"/>
      <c r="H18" s="325"/>
      <c r="I18" s="324"/>
      <c r="J18" s="324"/>
      <c r="K18" s="326"/>
      <c r="L18" s="406"/>
      <c r="M18" s="324"/>
      <c r="N18" s="325"/>
      <c r="O18" s="324"/>
      <c r="Q18" s="324"/>
      <c r="R18" s="324"/>
      <c r="S18" s="325"/>
      <c r="T18" s="324"/>
      <c r="U18" s="324"/>
      <c r="V18" s="325"/>
      <c r="W18" s="322"/>
    </row>
    <row r="19" spans="1:23" s="408" customFormat="1" ht="15.75" customHeight="1">
      <c r="A19" s="407">
        <v>45400</v>
      </c>
      <c r="B19" s="408" t="s">
        <v>103</v>
      </c>
      <c r="C19" s="409" t="s">
        <v>178</v>
      </c>
      <c r="D19" s="410" t="s">
        <v>39</v>
      </c>
      <c r="E19" s="411">
        <v>12</v>
      </c>
      <c r="F19" s="411">
        <v>7.0000000000000007E-2</v>
      </c>
      <c r="G19" s="412">
        <f>E19-F19</f>
        <v>11.93</v>
      </c>
      <c r="H19" s="412"/>
      <c r="I19" s="411">
        <f>(1.65+1.67+1.7+1.62)/4</f>
        <v>1.66</v>
      </c>
      <c r="J19" s="411">
        <f>(1.55+1.56+1.62+1.5+1.65+1.67+1.7+1.62)/8</f>
        <v>1.6087500000000001</v>
      </c>
      <c r="K19" s="413">
        <v>0.39</v>
      </c>
      <c r="L19" s="414">
        <f>G19-I19</f>
        <v>10.27</v>
      </c>
      <c r="M19" s="411"/>
      <c r="N19" s="412"/>
      <c r="O19" s="411"/>
      <c r="P19" s="411">
        <f>K19*I19</f>
        <v>0.64739999999999998</v>
      </c>
      <c r="Q19" s="411"/>
      <c r="R19" s="411"/>
      <c r="S19" s="412"/>
      <c r="T19" s="411">
        <v>579454.57200000004</v>
      </c>
      <c r="U19" s="411">
        <v>7016915.2599999998</v>
      </c>
      <c r="V19" s="412">
        <v>1532.681</v>
      </c>
      <c r="W19" s="409"/>
    </row>
    <row r="20" spans="1:23" s="408" customFormat="1" ht="15.75" customHeight="1">
      <c r="A20" s="407">
        <v>45400</v>
      </c>
      <c r="B20" s="408" t="s">
        <v>103</v>
      </c>
      <c r="C20" s="409" t="s">
        <v>178</v>
      </c>
      <c r="D20" s="410"/>
      <c r="E20" s="411">
        <v>10</v>
      </c>
      <c r="F20" s="411">
        <f>E20-G20</f>
        <v>-1.9299999999999997</v>
      </c>
      <c r="G20" s="412">
        <v>11.93</v>
      </c>
      <c r="H20" s="412"/>
      <c r="I20" s="411"/>
      <c r="J20" s="411"/>
      <c r="K20" s="413"/>
      <c r="L20" s="414"/>
      <c r="M20" s="411"/>
      <c r="N20" s="412"/>
      <c r="O20" s="411"/>
      <c r="P20" s="411"/>
      <c r="Q20" s="411"/>
      <c r="R20" s="411"/>
      <c r="S20" s="412"/>
      <c r="T20" s="411"/>
      <c r="U20" s="411"/>
      <c r="V20" s="412"/>
      <c r="W20" s="409"/>
    </row>
    <row r="21" spans="1:23" s="408" customFormat="1" ht="15.75" customHeight="1">
      <c r="A21" s="407">
        <v>45524</v>
      </c>
      <c r="B21" s="408" t="s">
        <v>204</v>
      </c>
      <c r="C21" s="409" t="s">
        <v>178</v>
      </c>
      <c r="D21" s="410" t="s">
        <v>40</v>
      </c>
      <c r="E21" s="411">
        <v>10</v>
      </c>
      <c r="F21" s="411">
        <v>2.31</v>
      </c>
      <c r="G21" s="412">
        <f>E21-F21</f>
        <v>7.6899999999999995</v>
      </c>
      <c r="H21" s="412">
        <f>G21-G19</f>
        <v>-4.24</v>
      </c>
      <c r="I21" s="411"/>
      <c r="J21" s="411"/>
      <c r="K21" s="413"/>
      <c r="L21" s="414"/>
      <c r="M21" s="411"/>
      <c r="N21" s="412"/>
      <c r="O21" s="411">
        <f>Q21-P19</f>
        <v>-2.9694000000000003</v>
      </c>
      <c r="Q21" s="411">
        <f>(G21-L19)*0.9</f>
        <v>-2.3220000000000001</v>
      </c>
      <c r="R21" s="411"/>
      <c r="S21" s="412"/>
      <c r="T21" s="411">
        <v>579455.53</v>
      </c>
      <c r="U21" s="411">
        <v>7016905.7450000001</v>
      </c>
      <c r="V21" s="412">
        <v>1528.376</v>
      </c>
      <c r="W21" s="409"/>
    </row>
    <row r="22" spans="1:23" s="408" customFormat="1" ht="15.75" customHeight="1">
      <c r="A22" s="407"/>
      <c r="C22" s="409"/>
      <c r="D22" s="410"/>
      <c r="E22" s="411"/>
      <c r="F22" s="411"/>
      <c r="G22" s="412"/>
      <c r="H22" s="412"/>
      <c r="I22" s="411"/>
      <c r="J22" s="411"/>
      <c r="K22" s="413"/>
      <c r="L22" s="414"/>
      <c r="M22" s="411"/>
      <c r="N22" s="412"/>
      <c r="O22" s="411"/>
      <c r="Q22" s="411"/>
      <c r="R22" s="411"/>
      <c r="S22" s="412"/>
      <c r="T22" s="411"/>
      <c r="U22" s="411"/>
      <c r="V22" s="412"/>
      <c r="W22" s="409"/>
    </row>
    <row r="23" spans="1:23" ht="15.75" customHeight="1" thickBot="1">
      <c r="A23" s="13"/>
      <c r="B23" s="13"/>
      <c r="C23" s="13"/>
      <c r="D23" s="13"/>
      <c r="E23" s="14"/>
      <c r="F23" s="14"/>
      <c r="G23" s="13"/>
      <c r="H23" s="13"/>
      <c r="I23" s="13"/>
      <c r="J23" s="13"/>
      <c r="K23" s="13"/>
      <c r="L23" s="13"/>
      <c r="M23" s="13"/>
      <c r="N23" s="13"/>
      <c r="O23" s="13"/>
      <c r="P23" s="13"/>
      <c r="Q23" s="13"/>
      <c r="R23" s="13"/>
      <c r="S23" s="13"/>
      <c r="T23" s="13"/>
      <c r="U23" s="13"/>
    </row>
    <row r="24" spans="1:23" ht="15.75" customHeight="1">
      <c r="A24" s="1034" t="s">
        <v>42</v>
      </c>
      <c r="B24" s="1035"/>
      <c r="C24" s="1038" t="s">
        <v>43</v>
      </c>
      <c r="D24" s="1039"/>
      <c r="E24" s="77" t="s">
        <v>44</v>
      </c>
      <c r="F24" s="216"/>
      <c r="G24" s="77" t="s">
        <v>45</v>
      </c>
      <c r="H24" s="216"/>
      <c r="I24" s="79" t="s">
        <v>46</v>
      </c>
      <c r="Q24" s="215"/>
      <c r="R24" s="217"/>
      <c r="S24" s="217"/>
      <c r="T24" s="217"/>
      <c r="U24" s="13"/>
    </row>
    <row r="25" spans="1:23" ht="15.75" customHeight="1">
      <c r="A25" s="1036"/>
      <c r="B25" s="1037"/>
      <c r="C25" s="82" t="s">
        <v>47</v>
      </c>
      <c r="D25" s="82" t="s">
        <v>48</v>
      </c>
      <c r="E25" s="218">
        <f>A13</f>
        <v>45161</v>
      </c>
      <c r="F25" s="82"/>
      <c r="G25" s="219">
        <f>A19</f>
        <v>45400</v>
      </c>
      <c r="H25" s="82"/>
      <c r="I25" s="220">
        <v>45524</v>
      </c>
      <c r="Q25" s="215"/>
      <c r="R25" s="221"/>
      <c r="S25" s="221"/>
      <c r="T25" s="217"/>
      <c r="U25" s="13"/>
    </row>
    <row r="26" spans="1:23" ht="15.75" customHeight="1">
      <c r="A26" s="222"/>
      <c r="B26" s="223" t="s">
        <v>50</v>
      </c>
      <c r="C26" s="224">
        <f>AVERAGE(P14,P19)</f>
        <v>0.63740624999999995</v>
      </c>
      <c r="D26" s="224"/>
      <c r="E26" s="225"/>
      <c r="F26" s="225"/>
      <c r="G26" s="226"/>
      <c r="H26" s="224"/>
      <c r="I26" s="227"/>
      <c r="Q26" s="215"/>
      <c r="R26" s="221"/>
      <c r="S26" s="221"/>
      <c r="T26" s="217"/>
      <c r="U26" s="13"/>
    </row>
    <row r="27" spans="1:23" ht="15.75" customHeight="1">
      <c r="A27" s="222"/>
      <c r="B27" s="223" t="s">
        <v>51</v>
      </c>
      <c r="C27" s="224">
        <f>C28-C26</f>
        <v>-2.9594062499999998</v>
      </c>
      <c r="D27" s="224"/>
      <c r="E27" s="225"/>
      <c r="F27" s="225"/>
      <c r="G27" s="226"/>
      <c r="H27" s="224"/>
      <c r="I27" s="227"/>
      <c r="Q27" s="215"/>
      <c r="R27" s="221"/>
      <c r="S27" s="221"/>
      <c r="T27" s="217"/>
      <c r="U27" s="13"/>
    </row>
    <row r="28" spans="1:23" ht="15.75" customHeight="1">
      <c r="A28" s="222"/>
      <c r="B28" s="223" t="s">
        <v>52</v>
      </c>
      <c r="C28" s="224">
        <f>Q21</f>
        <v>-2.3220000000000001</v>
      </c>
      <c r="D28" s="224"/>
      <c r="E28" s="225"/>
      <c r="F28" s="225"/>
      <c r="G28" s="226"/>
      <c r="H28" s="224"/>
      <c r="I28" s="227"/>
      <c r="Q28" s="215"/>
      <c r="R28" s="221"/>
      <c r="S28" s="221"/>
      <c r="T28" s="217"/>
      <c r="U28" s="13"/>
    </row>
    <row r="29" spans="1:23" ht="15.75" customHeight="1">
      <c r="A29" s="222"/>
      <c r="B29" s="228" t="s">
        <v>53</v>
      </c>
      <c r="C29" s="224">
        <v>0</v>
      </c>
      <c r="D29" s="224"/>
      <c r="E29" s="225"/>
      <c r="F29" s="225"/>
      <c r="G29" s="224"/>
      <c r="H29" s="224"/>
      <c r="I29" s="227"/>
      <c r="Q29" s="215"/>
      <c r="R29" s="221"/>
      <c r="S29" s="221"/>
      <c r="T29" s="217"/>
      <c r="U29" s="13"/>
    </row>
    <row r="30" spans="1:23" ht="15.75" customHeight="1">
      <c r="A30" s="222"/>
      <c r="B30" s="229" t="s">
        <v>54</v>
      </c>
      <c r="C30" s="224">
        <f>R14</f>
        <v>-0.45675000000000104</v>
      </c>
      <c r="D30" s="224"/>
      <c r="E30" s="225"/>
      <c r="F30" s="225"/>
      <c r="G30" s="224"/>
      <c r="H30" s="224"/>
      <c r="I30" s="227"/>
      <c r="Q30" s="215"/>
      <c r="R30" s="221"/>
      <c r="S30" s="221"/>
      <c r="T30" s="217"/>
      <c r="U30" s="13"/>
    </row>
    <row r="31" spans="1:23" ht="15.75" customHeight="1" thickBot="1">
      <c r="A31" s="230"/>
      <c r="B31" s="231" t="s">
        <v>55</v>
      </c>
      <c r="C31" s="232">
        <v>0</v>
      </c>
      <c r="D31" s="232"/>
      <c r="E31" s="233"/>
      <c r="F31" s="233"/>
      <c r="G31" s="234"/>
      <c r="H31" s="234"/>
      <c r="I31" s="235"/>
      <c r="Q31" s="215"/>
      <c r="R31" s="221"/>
      <c r="S31" s="221"/>
      <c r="T31" s="217"/>
      <c r="U31" s="13"/>
    </row>
    <row r="32" spans="1:23" ht="15.75" customHeight="1">
      <c r="A32" s="13"/>
      <c r="B32" s="13"/>
      <c r="C32" s="13"/>
      <c r="D32" s="13"/>
      <c r="E32" s="13"/>
      <c r="F32" s="13"/>
      <c r="G32" s="13"/>
      <c r="H32" s="13"/>
      <c r="I32" s="13"/>
      <c r="J32" s="13"/>
      <c r="K32" s="13"/>
      <c r="L32" s="13"/>
      <c r="M32" s="13"/>
      <c r="N32" s="13"/>
      <c r="O32" s="13"/>
      <c r="P32" s="13"/>
      <c r="Q32" s="217"/>
      <c r="R32" s="217"/>
      <c r="S32" s="217"/>
      <c r="T32" s="217"/>
      <c r="U32" s="13"/>
    </row>
  </sheetData>
  <mergeCells count="4">
    <mergeCell ref="E3:G3"/>
    <mergeCell ref="T3:U3"/>
    <mergeCell ref="A24:B25"/>
    <mergeCell ref="C24:D2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topLeftCell="A2" zoomScale="80" zoomScaleNormal="80" workbookViewId="0">
      <selection activeCell="C34" sqref="C34"/>
    </sheetView>
  </sheetViews>
  <sheetFormatPr defaultColWidth="17.28515625" defaultRowHeight="15.75" customHeight="1"/>
  <cols>
    <col min="1" max="1" width="12.42578125" style="20" customWidth="1"/>
    <col min="2" max="2" width="27.28515625" style="20" customWidth="1"/>
    <col min="3" max="3" width="11.28515625" style="20" bestFit="1" customWidth="1"/>
    <col min="4" max="4" width="20" style="20" bestFit="1" customWidth="1"/>
    <col min="5" max="5" width="12.7109375" style="20" customWidth="1"/>
    <col min="6" max="7" width="13.7109375" style="20" bestFit="1" customWidth="1"/>
    <col min="8" max="8" width="14.42578125" style="20" bestFit="1" customWidth="1"/>
    <col min="9" max="9" width="17.28515625" style="20" bestFit="1" customWidth="1"/>
    <col min="10" max="10" width="19.5703125" style="20" bestFit="1" customWidth="1"/>
    <col min="11" max="11" width="16.42578125" style="20" bestFit="1" customWidth="1"/>
    <col min="12" max="12" width="18" style="20" customWidth="1"/>
    <col min="13" max="13" width="22.140625" style="20" customWidth="1"/>
    <col min="14" max="14" width="11.5703125" style="20" bestFit="1" customWidth="1"/>
    <col min="15" max="15" width="11.28515625" style="20" bestFit="1" customWidth="1"/>
    <col min="16" max="17" width="7.85546875" style="20" bestFit="1" customWidth="1"/>
    <col min="18" max="18" width="14.7109375" style="20" bestFit="1" customWidth="1"/>
    <col min="19" max="19" width="20.7109375" style="20" bestFit="1" customWidth="1"/>
    <col min="20" max="20" width="21" style="20" bestFit="1" customWidth="1"/>
    <col min="21" max="21" width="16" style="20" customWidth="1"/>
    <col min="22" max="16384" width="17.28515625" style="20"/>
  </cols>
  <sheetData>
    <row r="1" spans="1:23" ht="15" customHeight="1">
      <c r="A1" s="24"/>
      <c r="B1" s="25"/>
      <c r="C1" s="45"/>
      <c r="D1" s="26"/>
      <c r="E1" s="27"/>
      <c r="F1" s="28"/>
      <c r="G1" s="29"/>
      <c r="H1" s="50"/>
      <c r="I1" s="29"/>
      <c r="J1" s="49"/>
      <c r="K1" s="28"/>
      <c r="L1" s="56"/>
      <c r="M1" s="57"/>
      <c r="N1" s="29"/>
      <c r="O1" s="58"/>
      <c r="P1" s="30"/>
      <c r="Q1" s="30"/>
      <c r="R1" s="30"/>
      <c r="S1" s="59"/>
      <c r="T1" s="1024" t="s">
        <v>11</v>
      </c>
      <c r="U1" s="1025"/>
      <c r="V1" s="1026"/>
      <c r="W1" s="54"/>
    </row>
    <row r="2" spans="1:23" ht="15" customHeight="1">
      <c r="A2" s="31"/>
      <c r="B2" s="4"/>
      <c r="C2" s="22"/>
      <c r="D2" s="15"/>
      <c r="E2" s="246"/>
      <c r="F2" s="247"/>
      <c r="G2" s="3"/>
      <c r="H2" s="51"/>
      <c r="I2" s="3"/>
      <c r="J2" s="5"/>
      <c r="K2" s="1"/>
      <c r="L2" s="60"/>
      <c r="M2" s="61"/>
      <c r="N2" s="5"/>
      <c r="O2" s="62"/>
      <c r="S2" s="63"/>
      <c r="T2" s="1027" t="s">
        <v>12</v>
      </c>
      <c r="U2" s="1028"/>
      <c r="V2" s="248"/>
      <c r="W2" s="12"/>
    </row>
    <row r="3" spans="1:23" ht="15" customHeight="1">
      <c r="A3" s="31"/>
      <c r="B3" s="4"/>
      <c r="C3" s="22"/>
      <c r="D3" s="19"/>
      <c r="E3" s="1029" t="s">
        <v>13</v>
      </c>
      <c r="F3" s="1030"/>
      <c r="G3" s="1031"/>
      <c r="H3" s="52"/>
      <c r="I3" s="247"/>
      <c r="J3" s="5"/>
      <c r="K3" s="247"/>
      <c r="L3" s="55"/>
      <c r="M3" s="2"/>
      <c r="N3" s="5"/>
      <c r="O3" s="64"/>
      <c r="P3" s="5"/>
      <c r="Q3" s="5"/>
      <c r="R3" s="17"/>
      <c r="S3" s="65"/>
      <c r="T3" s="1032" t="s">
        <v>14</v>
      </c>
      <c r="U3" s="1033"/>
      <c r="V3" s="248"/>
      <c r="W3" s="18"/>
    </row>
    <row r="4" spans="1:23" s="74" customFormat="1" ht="38.25">
      <c r="A4" s="32" t="s">
        <v>15</v>
      </c>
      <c r="B4" s="6" t="s">
        <v>16</v>
      </c>
      <c r="C4" s="23" t="s">
        <v>17</v>
      </c>
      <c r="D4" s="66" t="s">
        <v>18</v>
      </c>
      <c r="E4" s="67" t="s">
        <v>19</v>
      </c>
      <c r="F4" s="6" t="s">
        <v>20</v>
      </c>
      <c r="G4" s="10" t="s">
        <v>21</v>
      </c>
      <c r="H4" s="53" t="s">
        <v>22</v>
      </c>
      <c r="I4" s="10" t="s">
        <v>23</v>
      </c>
      <c r="J4" s="10" t="s">
        <v>24</v>
      </c>
      <c r="K4" s="6" t="s">
        <v>25</v>
      </c>
      <c r="L4" s="68" t="s">
        <v>26</v>
      </c>
      <c r="M4" s="68" t="s">
        <v>27</v>
      </c>
      <c r="N4" s="10" t="s">
        <v>28</v>
      </c>
      <c r="O4" s="69" t="s">
        <v>29</v>
      </c>
      <c r="P4" s="10" t="s">
        <v>30</v>
      </c>
      <c r="Q4" s="10" t="s">
        <v>31</v>
      </c>
      <c r="R4" s="70" t="s">
        <v>3</v>
      </c>
      <c r="S4" s="71" t="s">
        <v>4</v>
      </c>
      <c r="T4" s="72" t="s">
        <v>32</v>
      </c>
      <c r="U4" s="72" t="s">
        <v>33</v>
      </c>
      <c r="V4" s="73" t="s">
        <v>0</v>
      </c>
      <c r="W4" s="23" t="s">
        <v>34</v>
      </c>
    </row>
    <row r="5" spans="1:23" ht="15.75" customHeight="1" thickBot="1">
      <c r="A5" s="33" t="s">
        <v>35</v>
      </c>
      <c r="B5" s="34"/>
      <c r="C5" s="46"/>
      <c r="D5" s="35"/>
      <c r="E5" s="37" t="s">
        <v>36</v>
      </c>
      <c r="F5" s="37" t="s">
        <v>36</v>
      </c>
      <c r="G5" s="37" t="s">
        <v>36</v>
      </c>
      <c r="H5" s="37" t="s">
        <v>36</v>
      </c>
      <c r="I5" s="37" t="s">
        <v>36</v>
      </c>
      <c r="J5" s="37" t="s">
        <v>36</v>
      </c>
      <c r="K5" s="36" t="s">
        <v>37</v>
      </c>
      <c r="L5" s="47" t="s">
        <v>36</v>
      </c>
      <c r="M5" s="38" t="s">
        <v>36</v>
      </c>
      <c r="N5" s="38" t="s">
        <v>37</v>
      </c>
      <c r="O5" s="75" t="s">
        <v>38</v>
      </c>
      <c r="P5" s="39" t="s">
        <v>38</v>
      </c>
      <c r="Q5" s="39" t="s">
        <v>38</v>
      </c>
      <c r="R5" s="42" t="s">
        <v>38</v>
      </c>
      <c r="S5" s="76" t="s">
        <v>38</v>
      </c>
      <c r="T5" s="40" t="s">
        <v>36</v>
      </c>
      <c r="U5" s="40" t="s">
        <v>36</v>
      </c>
      <c r="V5" s="41" t="s">
        <v>36</v>
      </c>
      <c r="W5" s="43"/>
    </row>
    <row r="6" spans="1:23" s="48" customFormat="1" ht="15" customHeight="1">
      <c r="A6" s="103">
        <v>43951</v>
      </c>
      <c r="B6" s="104" t="s">
        <v>41</v>
      </c>
      <c r="C6" s="105" t="s">
        <v>58</v>
      </c>
      <c r="D6" s="106" t="s">
        <v>39</v>
      </c>
      <c r="E6" s="1008">
        <v>12.2</v>
      </c>
      <c r="F6" s="107">
        <v>2.23</v>
      </c>
      <c r="G6" s="107">
        <v>9.9699999999999989</v>
      </c>
      <c r="H6" s="108"/>
      <c r="I6" s="107">
        <v>3.6675</v>
      </c>
      <c r="J6" s="107">
        <v>3.7494117647058824</v>
      </c>
      <c r="K6" s="107">
        <v>0.41</v>
      </c>
      <c r="L6" s="109">
        <v>6.3024999999999984</v>
      </c>
      <c r="M6" s="107"/>
      <c r="N6" s="107"/>
      <c r="O6" s="258"/>
      <c r="P6" s="245">
        <v>1.5036749999999999</v>
      </c>
      <c r="Q6" s="245"/>
      <c r="R6" s="245"/>
      <c r="S6" s="245"/>
      <c r="T6" s="258"/>
      <c r="U6" s="245"/>
      <c r="V6" s="999"/>
      <c r="W6" s="110"/>
    </row>
    <row r="7" spans="1:23" s="48" customFormat="1" ht="15" customHeight="1">
      <c r="A7" s="103">
        <v>44063</v>
      </c>
      <c r="B7" s="104" t="s">
        <v>41</v>
      </c>
      <c r="C7" s="105" t="s">
        <v>58</v>
      </c>
      <c r="D7" s="106" t="s">
        <v>40</v>
      </c>
      <c r="E7" s="1008">
        <v>6.1</v>
      </c>
      <c r="F7" s="107">
        <v>0.31</v>
      </c>
      <c r="G7" s="107">
        <v>5.79</v>
      </c>
      <c r="H7" s="108">
        <v>0</v>
      </c>
      <c r="I7" s="107"/>
      <c r="J7" s="107"/>
      <c r="K7" s="107"/>
      <c r="L7" s="109"/>
      <c r="M7" s="107"/>
      <c r="N7" s="107"/>
      <c r="O7" s="258">
        <v>-1.9649249999999985</v>
      </c>
      <c r="P7" s="245"/>
      <c r="Q7" s="245">
        <v>-0.46124999999999855</v>
      </c>
      <c r="R7" s="245"/>
      <c r="S7" s="245"/>
      <c r="T7" s="258"/>
      <c r="U7" s="245"/>
      <c r="V7" s="999"/>
      <c r="W7" s="110"/>
    </row>
    <row r="8" spans="1:23" s="48" customFormat="1" ht="15" customHeight="1">
      <c r="A8" s="103">
        <v>44313</v>
      </c>
      <c r="B8" s="104" t="s">
        <v>56</v>
      </c>
      <c r="C8" s="105" t="s">
        <v>58</v>
      </c>
      <c r="D8" s="106" t="s">
        <v>39</v>
      </c>
      <c r="E8" s="1008">
        <v>9.15</v>
      </c>
      <c r="F8" s="107">
        <v>1.33</v>
      </c>
      <c r="G8" s="107">
        <v>7.82</v>
      </c>
      <c r="H8" s="108"/>
      <c r="I8" s="107">
        <v>2.2400000000000002</v>
      </c>
      <c r="J8" s="107">
        <v>2.3391666666666664</v>
      </c>
      <c r="K8" s="245">
        <v>0.37</v>
      </c>
      <c r="L8" s="109">
        <v>5.58</v>
      </c>
      <c r="M8" s="107"/>
      <c r="N8" s="107"/>
      <c r="O8" s="258"/>
      <c r="P8" s="245">
        <v>0.82880000000000009</v>
      </c>
      <c r="Q8" s="245"/>
      <c r="R8" s="245">
        <v>-0.18899999999999997</v>
      </c>
      <c r="S8" s="245"/>
      <c r="T8" s="258"/>
      <c r="U8" s="245"/>
      <c r="V8" s="999"/>
      <c r="W8" s="110" t="s">
        <v>59</v>
      </c>
    </row>
    <row r="9" spans="1:23" s="48" customFormat="1" ht="15" customHeight="1">
      <c r="A9" s="103">
        <v>44429</v>
      </c>
      <c r="B9" s="104" t="s">
        <v>69</v>
      </c>
      <c r="C9" s="105" t="s">
        <v>58</v>
      </c>
      <c r="D9" s="106" t="s">
        <v>57</v>
      </c>
      <c r="E9" s="1008">
        <v>6.1</v>
      </c>
      <c r="F9" s="107">
        <v>1.61</v>
      </c>
      <c r="G9" s="107">
        <f>E9-F9</f>
        <v>4.4899999999999993</v>
      </c>
      <c r="H9" s="108"/>
      <c r="I9" s="107">
        <v>0.16</v>
      </c>
      <c r="J9" s="107">
        <v>0.16</v>
      </c>
      <c r="K9" s="245">
        <v>0.37</v>
      </c>
      <c r="L9" s="109"/>
      <c r="M9" s="107"/>
      <c r="N9" s="107"/>
      <c r="O9" s="258"/>
      <c r="P9" s="245"/>
      <c r="Q9" s="245"/>
      <c r="R9" s="245"/>
      <c r="S9" s="245">
        <f>I9*K9</f>
        <v>5.9200000000000003E-2</v>
      </c>
      <c r="T9" s="258"/>
      <c r="U9" s="245"/>
      <c r="V9" s="999"/>
      <c r="W9" s="110"/>
    </row>
    <row r="10" spans="1:23" s="48" customFormat="1" ht="15" customHeight="1">
      <c r="A10" s="103">
        <v>44429</v>
      </c>
      <c r="B10" s="104" t="s">
        <v>69</v>
      </c>
      <c r="C10" s="105" t="s">
        <v>58</v>
      </c>
      <c r="D10" s="106" t="s">
        <v>40</v>
      </c>
      <c r="E10" s="1008">
        <v>6.1</v>
      </c>
      <c r="F10" s="107">
        <f>F9+I9</f>
        <v>1.77</v>
      </c>
      <c r="G10" s="107">
        <f>E10-F10</f>
        <v>4.33</v>
      </c>
      <c r="H10" s="108"/>
      <c r="I10" s="107"/>
      <c r="J10" s="107"/>
      <c r="K10" s="245"/>
      <c r="L10" s="109"/>
      <c r="M10" s="107"/>
      <c r="N10" s="107"/>
      <c r="O10" s="258">
        <f>Q10-P8</f>
        <v>-1.9538000000000002</v>
      </c>
      <c r="P10" s="245"/>
      <c r="Q10" s="245">
        <f>(G10-L8)*0.9</f>
        <v>-1.125</v>
      </c>
      <c r="R10" s="245"/>
      <c r="S10" s="245"/>
      <c r="T10" s="258"/>
      <c r="U10" s="245"/>
      <c r="V10" s="999"/>
      <c r="W10" s="110"/>
    </row>
    <row r="11" spans="1:23" s="48" customFormat="1" ht="15" customHeight="1">
      <c r="A11" s="103">
        <v>44668</v>
      </c>
      <c r="B11" s="104" t="s">
        <v>81</v>
      </c>
      <c r="C11" s="105" t="s">
        <v>58</v>
      </c>
      <c r="D11" s="106" t="s">
        <v>39</v>
      </c>
      <c r="E11" s="1008"/>
      <c r="F11" s="107"/>
      <c r="G11" s="107">
        <v>6.99</v>
      </c>
      <c r="H11" s="108"/>
      <c r="I11" s="107">
        <v>2.77</v>
      </c>
      <c r="J11" s="107">
        <v>2.71</v>
      </c>
      <c r="K11" s="245">
        <v>0.4</v>
      </c>
      <c r="L11" s="109">
        <f>G11-I11</f>
        <v>4.2200000000000006</v>
      </c>
      <c r="M11" s="107"/>
      <c r="N11" s="107"/>
      <c r="O11" s="258"/>
      <c r="P11" s="245">
        <f>I11*K11</f>
        <v>1.1080000000000001</v>
      </c>
      <c r="Q11" s="245"/>
      <c r="R11" s="245">
        <f>(L11-G10)*0.9</f>
        <v>-9.8999999999999491E-2</v>
      </c>
      <c r="S11" s="245"/>
      <c r="T11" s="258"/>
      <c r="U11" s="245"/>
      <c r="V11" s="999"/>
      <c r="W11" s="110"/>
    </row>
    <row r="12" spans="1:23" s="48" customFormat="1" ht="15" customHeight="1">
      <c r="A12" s="103">
        <v>44796</v>
      </c>
      <c r="B12" s="104" t="s">
        <v>79</v>
      </c>
      <c r="C12" s="105" t="s">
        <v>58</v>
      </c>
      <c r="D12" s="106" t="s">
        <v>40</v>
      </c>
      <c r="E12" s="1008">
        <v>6.1</v>
      </c>
      <c r="F12" s="107">
        <v>0.43</v>
      </c>
      <c r="G12" s="107">
        <v>2.62</v>
      </c>
      <c r="H12" s="108"/>
      <c r="I12" s="107"/>
      <c r="J12" s="107"/>
      <c r="K12" s="245"/>
      <c r="L12" s="109"/>
      <c r="M12" s="107"/>
      <c r="N12" s="107"/>
      <c r="O12" s="258">
        <f>Q12-P11</f>
        <v>-2.5480000000000009</v>
      </c>
      <c r="P12" s="245"/>
      <c r="Q12" s="245">
        <f>(G12-L11)*0.9</f>
        <v>-1.4400000000000006</v>
      </c>
      <c r="R12" s="245"/>
      <c r="S12" s="245">
        <v>0</v>
      </c>
      <c r="T12" s="258"/>
      <c r="U12" s="245"/>
      <c r="V12" s="999"/>
      <c r="W12" s="110"/>
    </row>
    <row r="13" spans="1:23" s="48" customFormat="1" ht="15" customHeight="1">
      <c r="A13" s="103">
        <v>45160</v>
      </c>
      <c r="B13" s="104" t="s">
        <v>99</v>
      </c>
      <c r="C13" s="105" t="s">
        <v>58</v>
      </c>
      <c r="D13" s="106" t="s">
        <v>40</v>
      </c>
      <c r="E13" s="1008">
        <v>6.1</v>
      </c>
      <c r="F13" s="107">
        <v>4.3600000000000003</v>
      </c>
      <c r="G13" s="107">
        <f>E13-F13</f>
        <v>1.7399999999999993</v>
      </c>
      <c r="H13" s="108"/>
      <c r="I13" s="107"/>
      <c r="J13" s="107"/>
      <c r="K13" s="245"/>
      <c r="L13" s="109"/>
      <c r="M13" s="107"/>
      <c r="N13" s="107"/>
      <c r="O13" s="258"/>
      <c r="P13" s="245"/>
      <c r="Q13" s="245">
        <f>(G13-G12)*0.9</f>
        <v>-0.7920000000000007</v>
      </c>
      <c r="R13" s="245"/>
      <c r="S13" s="245"/>
      <c r="T13" s="258"/>
      <c r="U13" s="245"/>
      <c r="V13" s="999"/>
      <c r="W13" s="110"/>
    </row>
    <row r="14" spans="1:23" s="48" customFormat="1" ht="15" customHeight="1">
      <c r="A14" s="103">
        <v>45399</v>
      </c>
      <c r="B14" s="104" t="s">
        <v>148</v>
      </c>
      <c r="C14" s="105" t="s">
        <v>58</v>
      </c>
      <c r="D14" s="106" t="s">
        <v>39</v>
      </c>
      <c r="E14" s="1008">
        <v>6.1</v>
      </c>
      <c r="F14" s="107">
        <f>3.05-0.34</f>
        <v>2.71</v>
      </c>
      <c r="G14" s="107">
        <f>E14-F14</f>
        <v>3.3899999999999997</v>
      </c>
      <c r="H14" s="108"/>
      <c r="I14" s="107">
        <v>2.65</v>
      </c>
      <c r="J14" s="107">
        <v>2.7</v>
      </c>
      <c r="K14" s="245">
        <v>0.38</v>
      </c>
      <c r="L14" s="109">
        <f>G14-I14</f>
        <v>0.73999999999999977</v>
      </c>
      <c r="M14" s="107"/>
      <c r="N14" s="107"/>
      <c r="O14" s="258"/>
      <c r="P14" s="245">
        <f>I14*K14</f>
        <v>1.0069999999999999</v>
      </c>
      <c r="Q14" s="245"/>
      <c r="R14" s="245">
        <f>(L14-G13)*0.9</f>
        <v>-0.89999999999999958</v>
      </c>
      <c r="S14" s="245"/>
      <c r="T14" s="258"/>
      <c r="U14" s="245"/>
      <c r="V14" s="999"/>
      <c r="W14" s="110"/>
    </row>
    <row r="15" spans="1:23" s="48" customFormat="1" ht="15" customHeight="1">
      <c r="A15" s="259"/>
      <c r="B15" s="260"/>
      <c r="C15" s="261"/>
      <c r="D15" s="262"/>
      <c r="E15" s="263"/>
      <c r="F15" s="264"/>
      <c r="G15" s="264"/>
      <c r="H15" s="265"/>
      <c r="I15" s="264"/>
      <c r="J15" s="264"/>
      <c r="K15" s="266"/>
      <c r="L15" s="267"/>
      <c r="M15" s="264"/>
      <c r="N15" s="264"/>
      <c r="O15" s="268"/>
      <c r="P15" s="266"/>
      <c r="Q15" s="266"/>
      <c r="R15" s="266"/>
      <c r="S15" s="266"/>
      <c r="T15" s="268"/>
      <c r="U15" s="266"/>
      <c r="V15" s="1000"/>
      <c r="W15" s="269"/>
    </row>
    <row r="16" spans="1:23" s="280" customFormat="1" ht="15" customHeight="1">
      <c r="A16" s="270">
        <v>44668</v>
      </c>
      <c r="B16" s="271" t="s">
        <v>79</v>
      </c>
      <c r="C16" s="272" t="s">
        <v>80</v>
      </c>
      <c r="D16" s="273" t="s">
        <v>39</v>
      </c>
      <c r="E16" s="1009">
        <v>9.15</v>
      </c>
      <c r="F16" s="274">
        <v>-0.85</v>
      </c>
      <c r="G16" s="274">
        <f>E16-F16</f>
        <v>10</v>
      </c>
      <c r="H16" s="275"/>
      <c r="I16" s="274"/>
      <c r="J16" s="274">
        <v>2.71</v>
      </c>
      <c r="K16" s="276">
        <v>0.4</v>
      </c>
      <c r="L16" s="277">
        <f>10.85-2.71</f>
        <v>8.14</v>
      </c>
      <c r="M16" s="274"/>
      <c r="N16" s="274"/>
      <c r="O16" s="278"/>
      <c r="P16" s="276">
        <f>J16*K16</f>
        <v>1.0840000000000001</v>
      </c>
      <c r="Q16" s="276"/>
      <c r="R16" s="276"/>
      <c r="S16" s="276"/>
      <c r="T16" s="278"/>
      <c r="U16" s="276"/>
      <c r="V16" s="1001"/>
      <c r="W16" s="279"/>
    </row>
    <row r="17" spans="1:23" s="280" customFormat="1" ht="15" customHeight="1">
      <c r="A17" s="270">
        <v>44796</v>
      </c>
      <c r="B17" s="271" t="s">
        <v>79</v>
      </c>
      <c r="C17" s="272" t="s">
        <v>80</v>
      </c>
      <c r="D17" s="273" t="s">
        <v>40</v>
      </c>
      <c r="E17" s="1009">
        <v>9.5</v>
      </c>
      <c r="F17" s="274">
        <f>E17-G17</f>
        <v>3.5999999999999996</v>
      </c>
      <c r="G17" s="274">
        <v>5.9</v>
      </c>
      <c r="H17" s="275"/>
      <c r="I17" s="274"/>
      <c r="J17" s="274"/>
      <c r="K17" s="276"/>
      <c r="L17" s="277"/>
      <c r="M17" s="274"/>
      <c r="N17" s="274"/>
      <c r="O17" s="278">
        <f>Q17-P16</f>
        <v>-3.1000000000000005</v>
      </c>
      <c r="P17" s="276"/>
      <c r="Q17" s="276">
        <f>(G17-L16)*0.9</f>
        <v>-2.0160000000000005</v>
      </c>
      <c r="R17" s="276"/>
      <c r="S17" s="276">
        <v>0</v>
      </c>
      <c r="T17" s="278"/>
      <c r="U17" s="276"/>
      <c r="V17" s="1001"/>
      <c r="W17" s="279"/>
    </row>
    <row r="18" spans="1:23" s="280" customFormat="1" ht="15" customHeight="1">
      <c r="A18" s="380">
        <v>45032</v>
      </c>
      <c r="B18" s="381" t="s">
        <v>94</v>
      </c>
      <c r="C18" s="388" t="s">
        <v>80</v>
      </c>
      <c r="D18" s="389" t="s">
        <v>39</v>
      </c>
      <c r="E18" s="382">
        <v>9.5</v>
      </c>
      <c r="F18" s="382">
        <v>0</v>
      </c>
      <c r="G18" s="385">
        <f>E18-F18</f>
        <v>9.5</v>
      </c>
      <c r="H18" s="386"/>
      <c r="I18" s="383">
        <v>3.6</v>
      </c>
      <c r="J18" s="384">
        <v>3.49</v>
      </c>
      <c r="K18" s="390">
        <v>0.4</v>
      </c>
      <c r="L18" s="384">
        <f>G18-J18</f>
        <v>6.01</v>
      </c>
      <c r="M18" s="384"/>
      <c r="N18" s="387"/>
      <c r="O18" s="384"/>
      <c r="P18" s="384">
        <f>J18*K18</f>
        <v>1.3960000000000001</v>
      </c>
      <c r="Q18" s="384"/>
      <c r="R18" s="384">
        <v>0</v>
      </c>
      <c r="S18" s="608"/>
      <c r="T18" s="1002">
        <v>579725.03700000001</v>
      </c>
      <c r="U18" s="1002">
        <v>7018399.4069999997</v>
      </c>
      <c r="V18" s="1003">
        <v>1679.2449999999999</v>
      </c>
      <c r="W18" s="419"/>
    </row>
    <row r="19" spans="1:23" s="280" customFormat="1" ht="15" customHeight="1">
      <c r="A19" s="380">
        <v>45160</v>
      </c>
      <c r="B19" s="381" t="s">
        <v>96</v>
      </c>
      <c r="C19" s="388" t="s">
        <v>80</v>
      </c>
      <c r="D19" s="389" t="s">
        <v>40</v>
      </c>
      <c r="E19" s="382">
        <v>9.5</v>
      </c>
      <c r="F19" s="382">
        <f>E19-G19</f>
        <v>4.53</v>
      </c>
      <c r="G19" s="385">
        <v>4.97</v>
      </c>
      <c r="H19" s="386"/>
      <c r="I19" s="383"/>
      <c r="J19" s="384"/>
      <c r="K19" s="390"/>
      <c r="L19" s="384"/>
      <c r="M19" s="384"/>
      <c r="N19" s="387"/>
      <c r="O19" s="384">
        <f>Q20-P18</f>
        <v>-2.2330000000000005</v>
      </c>
      <c r="P19" s="384"/>
      <c r="Q19" s="384"/>
      <c r="R19" s="384"/>
      <c r="S19" s="608"/>
      <c r="T19" s="1002"/>
      <c r="U19" s="1002"/>
      <c r="V19" s="1003"/>
      <c r="W19" s="419"/>
    </row>
    <row r="20" spans="1:23" s="280" customFormat="1" ht="15" customHeight="1">
      <c r="A20" s="380">
        <v>45160</v>
      </c>
      <c r="B20" s="381" t="s">
        <v>96</v>
      </c>
      <c r="C20" s="388" t="s">
        <v>80</v>
      </c>
      <c r="D20" s="389" t="s">
        <v>40</v>
      </c>
      <c r="E20" s="382">
        <v>9.15</v>
      </c>
      <c r="F20" s="382">
        <f>E20-G20</f>
        <v>4.1800000000000006</v>
      </c>
      <c r="G20" s="385">
        <v>4.97</v>
      </c>
      <c r="H20" s="386"/>
      <c r="I20" s="383"/>
      <c r="J20" s="384"/>
      <c r="K20" s="390"/>
      <c r="L20" s="384"/>
      <c r="M20" s="384"/>
      <c r="N20" s="387"/>
      <c r="O20" s="384"/>
      <c r="P20" s="384"/>
      <c r="Q20" s="384">
        <f>(G20-G17)*0.9</f>
        <v>-0.83700000000000052</v>
      </c>
      <c r="R20" s="384"/>
      <c r="S20" s="608"/>
      <c r="T20" s="1002"/>
      <c r="U20" s="1002"/>
      <c r="V20" s="1003"/>
      <c r="W20" s="419"/>
    </row>
    <row r="21" spans="1:23" s="280" customFormat="1" ht="15" customHeight="1">
      <c r="A21" s="380">
        <v>45399</v>
      </c>
      <c r="B21" s="381" t="s">
        <v>148</v>
      </c>
      <c r="C21" s="388" t="s">
        <v>80</v>
      </c>
      <c r="D21" s="389" t="s">
        <v>39</v>
      </c>
      <c r="E21" s="382">
        <v>9.15</v>
      </c>
      <c r="F21" s="382">
        <v>2.12</v>
      </c>
      <c r="G21" s="385">
        <f>E21-F21</f>
        <v>7.03</v>
      </c>
      <c r="H21" s="386"/>
      <c r="I21" s="383">
        <v>2.68</v>
      </c>
      <c r="J21" s="384">
        <v>2.7</v>
      </c>
      <c r="K21" s="390">
        <v>0.38</v>
      </c>
      <c r="L21" s="384">
        <f>G21-I21</f>
        <v>4.3499999999999996</v>
      </c>
      <c r="M21" s="384"/>
      <c r="N21" s="387"/>
      <c r="O21" s="384"/>
      <c r="P21" s="384">
        <f>K21*I21</f>
        <v>1.0184</v>
      </c>
      <c r="Q21" s="384"/>
      <c r="R21" s="384">
        <f>(L21-G20)*0.9</f>
        <v>-0.55800000000000016</v>
      </c>
      <c r="S21" s="608"/>
      <c r="T21" s="1002"/>
      <c r="U21" s="1002"/>
      <c r="V21" s="1003"/>
      <c r="W21" s="419"/>
    </row>
    <row r="22" spans="1:23" s="280" customFormat="1" ht="15" customHeight="1">
      <c r="A22" s="380">
        <v>45525</v>
      </c>
      <c r="B22" s="381" t="s">
        <v>148</v>
      </c>
      <c r="C22" s="388" t="s">
        <v>80</v>
      </c>
      <c r="D22" s="389" t="s">
        <v>40</v>
      </c>
      <c r="E22" s="382">
        <v>9.15</v>
      </c>
      <c r="F22" s="382">
        <f>(9.15-6.1)+2.1</f>
        <v>5.15</v>
      </c>
      <c r="G22" s="385">
        <f>E22-F22</f>
        <v>4</v>
      </c>
      <c r="H22" s="1010">
        <f>G22-L22</f>
        <v>-0.34999999999999964</v>
      </c>
      <c r="I22" s="383"/>
      <c r="J22" s="384"/>
      <c r="K22" s="390"/>
      <c r="L22" s="384">
        <f>L21</f>
        <v>4.3499999999999996</v>
      </c>
      <c r="M22" s="384"/>
      <c r="N22" s="387"/>
      <c r="O22" s="384"/>
      <c r="P22" s="384"/>
      <c r="Q22" s="384">
        <f>H22*0.9</f>
        <v>-0.31499999999999967</v>
      </c>
      <c r="R22" s="384"/>
      <c r="S22" s="608"/>
      <c r="T22" s="1002">
        <v>579701.64399999997</v>
      </c>
      <c r="U22" s="1002">
        <v>7018354.6699999999</v>
      </c>
      <c r="V22" s="1003">
        <v>1668.28</v>
      </c>
      <c r="W22" s="419"/>
    </row>
    <row r="23" spans="1:23" ht="15" customHeight="1">
      <c r="C23" s="416"/>
      <c r="D23" s="418"/>
      <c r="G23" s="63"/>
      <c r="H23" s="63"/>
      <c r="K23" s="416"/>
      <c r="N23" s="63"/>
      <c r="O23" s="609"/>
      <c r="P23" s="609"/>
      <c r="Q23" s="609"/>
      <c r="R23" s="609"/>
      <c r="S23" s="610"/>
      <c r="T23" s="609"/>
      <c r="U23" s="609"/>
      <c r="V23" s="610"/>
      <c r="W23" s="416"/>
    </row>
    <row r="24" spans="1:23" s="415" customFormat="1" ht="15" customHeight="1">
      <c r="A24" s="394">
        <v>45399</v>
      </c>
      <c r="B24" s="395" t="s">
        <v>103</v>
      </c>
      <c r="C24" s="397" t="s">
        <v>104</v>
      </c>
      <c r="D24" s="398" t="s">
        <v>39</v>
      </c>
      <c r="E24" s="396">
        <v>10</v>
      </c>
      <c r="F24" s="395">
        <v>1.27</v>
      </c>
      <c r="G24" s="405">
        <f>E24-F24</f>
        <v>8.73</v>
      </c>
      <c r="H24" s="405"/>
      <c r="I24" s="395">
        <v>2.74</v>
      </c>
      <c r="J24" s="396">
        <v>2.7</v>
      </c>
      <c r="K24" s="397">
        <v>0.38</v>
      </c>
      <c r="L24" s="395">
        <f>G24-I24</f>
        <v>5.99</v>
      </c>
      <c r="M24" s="395"/>
      <c r="N24" s="405"/>
      <c r="O24" s="396"/>
      <c r="P24" s="396">
        <f>I24*K24</f>
        <v>1.0412000000000001</v>
      </c>
      <c r="Q24" s="396"/>
      <c r="R24" s="396"/>
      <c r="S24" s="404"/>
      <c r="T24" s="396">
        <v>579740.38199999998</v>
      </c>
      <c r="U24" s="396">
        <v>7018413.3559999997</v>
      </c>
      <c r="V24" s="404">
        <v>1679.5309999999999</v>
      </c>
      <c r="W24" s="417"/>
    </row>
    <row r="25" spans="1:23" s="415" customFormat="1" ht="15" customHeight="1">
      <c r="A25" s="394">
        <v>45399</v>
      </c>
      <c r="B25" s="395" t="s">
        <v>103</v>
      </c>
      <c r="C25" s="397" t="s">
        <v>104</v>
      </c>
      <c r="D25" s="398" t="s">
        <v>39</v>
      </c>
      <c r="E25" s="396">
        <v>8</v>
      </c>
      <c r="F25" s="395">
        <f>E25-G25</f>
        <v>-0.73000000000000043</v>
      </c>
      <c r="G25" s="405">
        <v>8.73</v>
      </c>
      <c r="H25" s="405"/>
      <c r="I25" s="395"/>
      <c r="J25" s="395"/>
      <c r="K25" s="397"/>
      <c r="L25" s="395"/>
      <c r="M25" s="395"/>
      <c r="N25" s="405"/>
      <c r="O25" s="396"/>
      <c r="P25" s="396"/>
      <c r="Q25" s="396"/>
      <c r="R25" s="396"/>
      <c r="S25" s="404"/>
      <c r="T25" s="396"/>
      <c r="U25" s="396"/>
      <c r="V25" s="404"/>
      <c r="W25" s="417"/>
    </row>
    <row r="26" spans="1:23" s="415" customFormat="1" ht="15" customHeight="1">
      <c r="A26" s="394">
        <v>45525</v>
      </c>
      <c r="B26" s="395" t="s">
        <v>148</v>
      </c>
      <c r="C26" s="397" t="s">
        <v>104</v>
      </c>
      <c r="D26" s="398" t="s">
        <v>40</v>
      </c>
      <c r="E26" s="396">
        <v>8</v>
      </c>
      <c r="F26" s="395">
        <f>2.87</f>
        <v>2.87</v>
      </c>
      <c r="G26" s="404">
        <f>E26-F26</f>
        <v>5.13</v>
      </c>
      <c r="H26" s="404">
        <f>G26-L26</f>
        <v>-0.86000000000000032</v>
      </c>
      <c r="I26" s="395"/>
      <c r="J26" s="395"/>
      <c r="K26" s="397"/>
      <c r="L26" s="395">
        <f>L24</f>
        <v>5.99</v>
      </c>
      <c r="M26" s="395"/>
      <c r="N26" s="405"/>
      <c r="O26" s="396"/>
      <c r="P26" s="396"/>
      <c r="Q26" s="396">
        <f>H26*0.9</f>
        <v>-0.77400000000000035</v>
      </c>
      <c r="R26" s="396"/>
      <c r="S26" s="404"/>
      <c r="T26" s="396">
        <v>579733.41700000002</v>
      </c>
      <c r="U26" s="396">
        <v>7018400.2570000002</v>
      </c>
      <c r="V26" s="404">
        <v>1674.2539999999999</v>
      </c>
      <c r="W26" s="417"/>
    </row>
    <row r="27" spans="1:23" s="415" customFormat="1" ht="15" customHeight="1">
      <c r="A27" s="395"/>
      <c r="B27" s="395"/>
      <c r="C27" s="397"/>
      <c r="D27" s="398"/>
      <c r="E27" s="395"/>
      <c r="F27" s="395"/>
      <c r="G27" s="405"/>
      <c r="H27" s="405"/>
      <c r="I27" s="395"/>
      <c r="J27" s="395"/>
      <c r="K27" s="397"/>
      <c r="L27" s="395"/>
      <c r="M27" s="395"/>
      <c r="N27" s="405"/>
      <c r="O27" s="396"/>
      <c r="P27" s="396"/>
      <c r="Q27" s="396"/>
      <c r="R27" s="396"/>
      <c r="S27" s="404"/>
      <c r="T27" s="396"/>
      <c r="U27" s="396"/>
      <c r="V27" s="404"/>
      <c r="W27" s="417"/>
    </row>
    <row r="28" spans="1:23" ht="15.75" customHeight="1" thickBot="1">
      <c r="A28" s="13"/>
      <c r="B28" s="13"/>
      <c r="C28" s="13"/>
      <c r="D28" s="13"/>
      <c r="E28" s="14"/>
      <c r="F28" s="14"/>
      <c r="G28" s="13"/>
      <c r="H28" s="13"/>
      <c r="I28" s="13"/>
      <c r="J28" s="13"/>
      <c r="K28" s="13"/>
      <c r="L28" s="13"/>
      <c r="M28" s="13"/>
      <c r="N28" s="13"/>
      <c r="O28" s="13"/>
      <c r="P28" s="13"/>
      <c r="Q28" s="13"/>
      <c r="R28" s="7"/>
      <c r="S28" s="7"/>
      <c r="T28" s="13"/>
      <c r="U28" s="13"/>
      <c r="V28" s="213"/>
    </row>
    <row r="29" spans="1:23" ht="15.75" customHeight="1">
      <c r="A29" s="1034" t="s">
        <v>42</v>
      </c>
      <c r="B29" s="1035"/>
      <c r="C29" s="1038" t="s">
        <v>43</v>
      </c>
      <c r="D29" s="1039"/>
      <c r="E29" s="77" t="s">
        <v>44</v>
      </c>
      <c r="F29" s="78"/>
      <c r="G29" s="77" t="s">
        <v>45</v>
      </c>
      <c r="H29" s="78"/>
      <c r="I29" s="79" t="s">
        <v>46</v>
      </c>
      <c r="Q29" s="48"/>
      <c r="R29" s="16"/>
      <c r="S29" s="16"/>
      <c r="T29" s="16"/>
      <c r="U29" s="7"/>
    </row>
    <row r="30" spans="1:23" ht="15.75" customHeight="1">
      <c r="A30" s="1036"/>
      <c r="B30" s="1037"/>
      <c r="C30" s="80" t="s">
        <v>47</v>
      </c>
      <c r="D30" s="80" t="s">
        <v>48</v>
      </c>
      <c r="E30" s="81">
        <f>A20</f>
        <v>45160</v>
      </c>
      <c r="F30" s="82"/>
      <c r="G30" s="83">
        <f>A24</f>
        <v>45399</v>
      </c>
      <c r="H30" s="82"/>
      <c r="I30" s="84">
        <v>45525</v>
      </c>
      <c r="Q30" s="48"/>
      <c r="R30" s="21"/>
      <c r="S30" s="21"/>
      <c r="T30" s="16"/>
      <c r="U30" s="7"/>
    </row>
    <row r="31" spans="1:23" ht="15.75" customHeight="1">
      <c r="A31" s="85"/>
      <c r="B31" s="86" t="s">
        <v>50</v>
      </c>
      <c r="C31" s="9">
        <f>AVERAGE(P24,P21,P14)</f>
        <v>1.0222</v>
      </c>
      <c r="D31" s="9"/>
      <c r="E31" s="8"/>
      <c r="F31" s="8"/>
      <c r="G31" s="87"/>
      <c r="H31" s="9"/>
      <c r="I31" s="88"/>
      <c r="Q31" s="48"/>
      <c r="R31" s="21"/>
      <c r="S31" s="21"/>
      <c r="T31" s="16"/>
      <c r="U31" s="7"/>
    </row>
    <row r="32" spans="1:23" ht="15.75" customHeight="1">
      <c r="A32" s="85"/>
      <c r="B32" s="86" t="s">
        <v>51</v>
      </c>
      <c r="C32" s="9">
        <f>C33-C31</f>
        <v>-1.7962000000000002</v>
      </c>
      <c r="D32" s="9"/>
      <c r="E32" s="8"/>
      <c r="F32" s="8"/>
      <c r="G32" s="87"/>
      <c r="H32" s="9"/>
      <c r="I32" s="88"/>
      <c r="Q32" s="48"/>
      <c r="R32" s="21"/>
      <c r="S32" s="21"/>
      <c r="T32" s="16"/>
      <c r="U32" s="7"/>
    </row>
    <row r="33" spans="1:21" ht="15.75" customHeight="1">
      <c r="A33" s="85"/>
      <c r="B33" s="86" t="s">
        <v>52</v>
      </c>
      <c r="C33" s="9">
        <f>Q26</f>
        <v>-0.77400000000000035</v>
      </c>
      <c r="D33" s="9"/>
      <c r="E33" s="8"/>
      <c r="F33" s="8"/>
      <c r="G33" s="87"/>
      <c r="H33" s="9"/>
      <c r="I33" s="88"/>
      <c r="Q33" s="48"/>
      <c r="R33" s="21"/>
      <c r="S33" s="21"/>
      <c r="T33" s="16"/>
      <c r="U33" s="7"/>
    </row>
    <row r="34" spans="1:21" ht="15.75" customHeight="1">
      <c r="A34" s="85"/>
      <c r="B34" s="89" t="s">
        <v>53</v>
      </c>
      <c r="C34" s="9">
        <v>0</v>
      </c>
      <c r="D34" s="9"/>
      <c r="E34" s="8"/>
      <c r="F34" s="8"/>
      <c r="G34" s="9"/>
      <c r="H34" s="9"/>
      <c r="I34" s="88"/>
      <c r="Q34" s="48"/>
      <c r="R34" s="21"/>
      <c r="S34" s="21"/>
      <c r="T34" s="16"/>
      <c r="U34" s="7"/>
    </row>
    <row r="35" spans="1:21" ht="15.75" customHeight="1">
      <c r="A35" s="85"/>
      <c r="B35" s="90" t="s">
        <v>54</v>
      </c>
      <c r="C35" s="9">
        <f>R21</f>
        <v>-0.55800000000000016</v>
      </c>
      <c r="D35" s="9"/>
      <c r="E35" s="8"/>
      <c r="F35" s="8"/>
      <c r="G35" s="9"/>
      <c r="H35" s="9"/>
      <c r="I35" s="88"/>
      <c r="Q35" s="48"/>
      <c r="R35" s="21"/>
      <c r="S35" s="21"/>
      <c r="T35" s="16"/>
      <c r="U35" s="7"/>
    </row>
    <row r="36" spans="1:21" ht="15.75" customHeight="1" thickBot="1">
      <c r="A36" s="91"/>
      <c r="B36" s="92" t="s">
        <v>55</v>
      </c>
      <c r="C36" s="93">
        <v>0</v>
      </c>
      <c r="D36" s="93"/>
      <c r="E36" s="94"/>
      <c r="F36" s="94"/>
      <c r="G36" s="95"/>
      <c r="H36" s="95"/>
      <c r="I36" s="96"/>
      <c r="Q36" s="48"/>
      <c r="R36" s="21"/>
      <c r="S36" s="21"/>
      <c r="T36" s="16"/>
      <c r="U36" s="7"/>
    </row>
    <row r="37" spans="1:21" ht="15.75" customHeight="1">
      <c r="A37" s="7"/>
      <c r="B37" s="7"/>
      <c r="C37" s="7"/>
      <c r="D37" s="7"/>
      <c r="E37" s="7"/>
      <c r="F37" s="7"/>
      <c r="G37" s="7"/>
      <c r="H37" s="7"/>
      <c r="I37" s="7"/>
      <c r="J37" s="7"/>
      <c r="K37" s="7"/>
      <c r="L37" s="7"/>
      <c r="M37" s="7"/>
      <c r="N37" s="7"/>
      <c r="O37" s="7"/>
      <c r="P37" s="7"/>
      <c r="Q37" s="16"/>
      <c r="R37" s="16"/>
      <c r="S37" s="16"/>
      <c r="T37" s="16"/>
      <c r="U37" s="7"/>
    </row>
  </sheetData>
  <mergeCells count="6">
    <mergeCell ref="T1:V1"/>
    <mergeCell ref="T2:U2"/>
    <mergeCell ref="E3:G3"/>
    <mergeCell ref="T3:U3"/>
    <mergeCell ref="A29:B30"/>
    <mergeCell ref="C29:D29"/>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Y44"/>
  <sheetViews>
    <sheetView topLeftCell="A3" zoomScale="80" zoomScaleNormal="80" workbookViewId="0">
      <selection activeCell="L39" sqref="L39"/>
    </sheetView>
  </sheetViews>
  <sheetFormatPr defaultColWidth="17.28515625" defaultRowHeight="15.75" customHeight="1"/>
  <cols>
    <col min="1" max="1" width="26.28515625" style="20" customWidth="1"/>
    <col min="2" max="2" width="24" style="20" customWidth="1"/>
    <col min="3" max="3" width="17.7109375" style="20" customWidth="1"/>
    <col min="4" max="4" width="13.85546875" style="20" customWidth="1"/>
    <col min="5" max="5" width="12.140625" style="20" customWidth="1"/>
    <col min="6" max="6" width="9.28515625" style="20" customWidth="1"/>
    <col min="7" max="7" width="12.5703125" style="20" customWidth="1"/>
    <col min="8" max="8" width="10.7109375" style="20" customWidth="1"/>
    <col min="9" max="9" width="12" style="20" customWidth="1"/>
    <col min="10" max="10" width="10.85546875" style="20" customWidth="1"/>
    <col min="11" max="11" width="10.28515625" style="20" customWidth="1"/>
    <col min="12" max="12" width="14.140625" style="20" customWidth="1"/>
    <col min="13" max="13" width="16.42578125" style="20" customWidth="1"/>
    <col min="14" max="14" width="11.42578125" style="20" bestFit="1" customWidth="1"/>
    <col min="15" max="15" width="7.5703125" style="20" bestFit="1" customWidth="1"/>
    <col min="16" max="16" width="8.28515625" style="20" bestFit="1" customWidth="1"/>
    <col min="17" max="17" width="7.5703125" style="20" bestFit="1" customWidth="1"/>
    <col min="18" max="18" width="15.140625" style="20" bestFit="1" customWidth="1"/>
    <col min="19" max="19" width="21.140625" style="20" bestFit="1" customWidth="1"/>
    <col min="20" max="20" width="12.7109375" style="20" bestFit="1" customWidth="1"/>
    <col min="21" max="21" width="13" style="20" customWidth="1"/>
    <col min="22" max="22" width="11.7109375" style="20" customWidth="1"/>
    <col min="23" max="23" width="73.140625" style="20" bestFit="1" customWidth="1"/>
    <col min="24" max="16384" width="17.28515625" style="20"/>
  </cols>
  <sheetData>
    <row r="3" spans="1:51" ht="40.9" customHeight="1">
      <c r="A3" s="115"/>
      <c r="B3" s="116"/>
      <c r="C3" s="117"/>
      <c r="D3" s="118"/>
      <c r="E3" s="249" t="s">
        <v>13</v>
      </c>
      <c r="F3" s="250"/>
      <c r="G3" s="251"/>
      <c r="H3" s="119"/>
      <c r="I3" s="250"/>
      <c r="J3" s="120"/>
      <c r="K3" s="250"/>
      <c r="L3" s="121"/>
      <c r="M3" s="122"/>
      <c r="N3" s="120"/>
      <c r="O3" s="123"/>
      <c r="P3" s="120"/>
      <c r="Q3" s="120"/>
      <c r="R3" s="124"/>
      <c r="S3" s="125"/>
      <c r="T3" s="252" t="s">
        <v>14</v>
      </c>
      <c r="U3" s="252"/>
      <c r="V3" s="251"/>
      <c r="W3" s="126"/>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row>
    <row r="4" spans="1:51" s="746" customFormat="1" ht="60" customHeight="1">
      <c r="A4" s="735" t="s">
        <v>15</v>
      </c>
      <c r="B4" s="734" t="s">
        <v>16</v>
      </c>
      <c r="C4" s="733" t="s">
        <v>17</v>
      </c>
      <c r="D4" s="736" t="s">
        <v>18</v>
      </c>
      <c r="E4" s="737" t="s">
        <v>19</v>
      </c>
      <c r="F4" s="734" t="s">
        <v>20</v>
      </c>
      <c r="G4" s="738" t="s">
        <v>21</v>
      </c>
      <c r="H4" s="739" t="s">
        <v>22</v>
      </c>
      <c r="I4" s="738" t="s">
        <v>23</v>
      </c>
      <c r="J4" s="738" t="s">
        <v>24</v>
      </c>
      <c r="K4" s="734" t="s">
        <v>25</v>
      </c>
      <c r="L4" s="128" t="s">
        <v>26</v>
      </c>
      <c r="M4" s="128" t="s">
        <v>27</v>
      </c>
      <c r="N4" s="738" t="s">
        <v>28</v>
      </c>
      <c r="O4" s="740" t="s">
        <v>60</v>
      </c>
      <c r="P4" s="738" t="s">
        <v>61</v>
      </c>
      <c r="Q4" s="738" t="s">
        <v>62</v>
      </c>
      <c r="R4" s="741" t="s">
        <v>3</v>
      </c>
      <c r="S4" s="742" t="s">
        <v>4</v>
      </c>
      <c r="T4" s="743" t="s">
        <v>32</v>
      </c>
      <c r="U4" s="743" t="s">
        <v>33</v>
      </c>
      <c r="V4" s="744" t="s">
        <v>0</v>
      </c>
      <c r="W4" s="733" t="s">
        <v>34</v>
      </c>
      <c r="X4" s="745"/>
      <c r="Y4" s="745"/>
      <c r="Z4" s="745"/>
      <c r="AA4" s="745"/>
      <c r="AB4" s="745"/>
      <c r="AC4" s="745"/>
      <c r="AD4" s="745"/>
      <c r="AE4" s="745"/>
      <c r="AF4" s="745"/>
      <c r="AG4" s="745"/>
      <c r="AH4" s="745"/>
      <c r="AI4" s="745"/>
      <c r="AJ4" s="745"/>
      <c r="AK4" s="745"/>
      <c r="AL4" s="745"/>
      <c r="AM4" s="745"/>
      <c r="AN4" s="745"/>
      <c r="AO4" s="745"/>
      <c r="AP4" s="745"/>
      <c r="AQ4" s="745"/>
      <c r="AR4" s="745"/>
      <c r="AS4" s="745"/>
      <c r="AT4" s="745"/>
      <c r="AU4" s="745"/>
      <c r="AV4" s="745"/>
      <c r="AW4" s="745"/>
      <c r="AX4" s="745"/>
      <c r="AY4" s="745"/>
    </row>
    <row r="5" spans="1:51" ht="15.75" customHeight="1" thickBot="1">
      <c r="A5" s="129" t="s">
        <v>35</v>
      </c>
      <c r="B5" s="130"/>
      <c r="C5" s="131"/>
      <c r="D5" s="132"/>
      <c r="E5" s="133" t="s">
        <v>36</v>
      </c>
      <c r="F5" s="133" t="s">
        <v>36</v>
      </c>
      <c r="G5" s="134" t="s">
        <v>36</v>
      </c>
      <c r="H5" s="135" t="s">
        <v>36</v>
      </c>
      <c r="I5" s="133" t="s">
        <v>36</v>
      </c>
      <c r="J5" s="133" t="s">
        <v>36</v>
      </c>
      <c r="K5" s="136" t="s">
        <v>37</v>
      </c>
      <c r="L5" s="137" t="s">
        <v>36</v>
      </c>
      <c r="M5" s="138" t="s">
        <v>36</v>
      </c>
      <c r="N5" s="138" t="s">
        <v>37</v>
      </c>
      <c r="O5" s="139" t="s">
        <v>38</v>
      </c>
      <c r="P5" s="140" t="s">
        <v>38</v>
      </c>
      <c r="Q5" s="140" t="s">
        <v>38</v>
      </c>
      <c r="R5" s="141" t="s">
        <v>38</v>
      </c>
      <c r="S5" s="142" t="s">
        <v>38</v>
      </c>
      <c r="T5" s="143" t="s">
        <v>36</v>
      </c>
      <c r="U5" s="143" t="s">
        <v>36</v>
      </c>
      <c r="V5" s="144" t="s">
        <v>36</v>
      </c>
      <c r="W5" s="145"/>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127"/>
      <c r="AX5" s="127"/>
      <c r="AY5" s="127"/>
    </row>
    <row r="6" spans="1:51" ht="15.75" customHeight="1">
      <c r="A6" s="240">
        <v>43951</v>
      </c>
      <c r="B6" s="239" t="s">
        <v>41</v>
      </c>
      <c r="C6" s="238" t="s">
        <v>65</v>
      </c>
      <c r="D6" s="238" t="s">
        <v>39</v>
      </c>
      <c r="E6" s="239">
        <v>9.15</v>
      </c>
      <c r="F6" s="239">
        <v>0.05</v>
      </c>
      <c r="G6" s="241">
        <v>9.1</v>
      </c>
      <c r="H6" s="242"/>
      <c r="I6" s="239">
        <v>4.24</v>
      </c>
      <c r="J6" s="243">
        <v>4.2615384615384615</v>
      </c>
      <c r="K6" s="244">
        <v>0.43526595853292294</v>
      </c>
      <c r="L6" s="239">
        <v>4.8600000000000003</v>
      </c>
      <c r="M6" s="239"/>
      <c r="N6" s="241"/>
      <c r="O6" s="243"/>
      <c r="P6" s="243">
        <v>1.8549026232864563</v>
      </c>
      <c r="Q6" s="243"/>
      <c r="R6" s="243">
        <v>0</v>
      </c>
      <c r="S6" s="977"/>
      <c r="T6" s="243"/>
      <c r="U6" s="243"/>
      <c r="V6" s="977"/>
      <c r="W6" s="23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127"/>
      <c r="AX6" s="127"/>
      <c r="AY6" s="127"/>
    </row>
    <row r="7" spans="1:51" ht="15.75" customHeight="1">
      <c r="A7" s="240">
        <v>44063</v>
      </c>
      <c r="B7" s="239" t="s">
        <v>64</v>
      </c>
      <c r="C7" s="238" t="s">
        <v>65</v>
      </c>
      <c r="D7" s="238" t="s">
        <v>39</v>
      </c>
      <c r="E7" s="239">
        <v>11</v>
      </c>
      <c r="F7" s="239">
        <v>4.67</v>
      </c>
      <c r="G7" s="241">
        <v>6.33</v>
      </c>
      <c r="H7" s="242">
        <v>1.85</v>
      </c>
      <c r="I7" s="243">
        <v>1.2725</v>
      </c>
      <c r="J7" s="243">
        <v>1.3783333333333334</v>
      </c>
      <c r="K7" s="244">
        <v>0.58485043192689368</v>
      </c>
      <c r="L7" s="239"/>
      <c r="M7" s="239"/>
      <c r="N7" s="241"/>
      <c r="O7" s="243">
        <v>-1.1106804486594841</v>
      </c>
      <c r="P7" s="243"/>
      <c r="Q7" s="243">
        <v>0.74422217462697215</v>
      </c>
      <c r="R7" s="243"/>
      <c r="S7" s="977">
        <v>0</v>
      </c>
      <c r="T7" s="243"/>
      <c r="U7" s="243"/>
      <c r="V7" s="977"/>
      <c r="W7" s="23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127"/>
      <c r="AX7" s="127"/>
      <c r="AY7" s="127"/>
    </row>
    <row r="8" spans="1:51" ht="15.75" customHeight="1">
      <c r="A8" s="240">
        <v>44063</v>
      </c>
      <c r="B8" s="239" t="s">
        <v>64</v>
      </c>
      <c r="C8" s="238" t="s">
        <v>65</v>
      </c>
      <c r="D8" s="238" t="s">
        <v>63</v>
      </c>
      <c r="E8" s="239">
        <v>11</v>
      </c>
      <c r="F8" s="239">
        <v>6.14</v>
      </c>
      <c r="G8" s="241">
        <v>4.8600000000000003</v>
      </c>
      <c r="H8" s="242">
        <v>1.85</v>
      </c>
      <c r="I8" s="243"/>
      <c r="J8" s="243"/>
      <c r="K8" s="244"/>
      <c r="L8" s="239"/>
      <c r="M8" s="239"/>
      <c r="N8" s="241"/>
      <c r="O8" s="243"/>
      <c r="P8" s="243"/>
      <c r="Q8" s="243"/>
      <c r="R8" s="243"/>
      <c r="S8" s="977"/>
      <c r="T8" s="243"/>
      <c r="U8" s="243"/>
      <c r="V8" s="977"/>
      <c r="W8" s="237"/>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row>
    <row r="9" spans="1:51" ht="15.75" customHeight="1">
      <c r="A9" s="240">
        <v>44313</v>
      </c>
      <c r="B9" s="239" t="s">
        <v>56</v>
      </c>
      <c r="C9" s="238" t="s">
        <v>65</v>
      </c>
      <c r="D9" s="238" t="s">
        <v>39</v>
      </c>
      <c r="E9" s="239">
        <v>10</v>
      </c>
      <c r="F9" s="239">
        <v>1.06</v>
      </c>
      <c r="G9" s="239">
        <v>8.94</v>
      </c>
      <c r="H9" s="242"/>
      <c r="I9" s="243">
        <v>2.8975</v>
      </c>
      <c r="J9" s="243">
        <v>2.94</v>
      </c>
      <c r="K9" s="244">
        <v>0.37</v>
      </c>
      <c r="L9" s="243">
        <v>6.0424999999999995</v>
      </c>
      <c r="M9" s="239"/>
      <c r="N9" s="241"/>
      <c r="O9" s="243"/>
      <c r="P9" s="243">
        <f>I9*K9</f>
        <v>1.0720749999999999</v>
      </c>
      <c r="Q9" s="243"/>
      <c r="R9" s="243">
        <v>-0.16814449917898225</v>
      </c>
      <c r="S9" s="977"/>
      <c r="T9" s="243"/>
      <c r="U9" s="243"/>
      <c r="V9" s="977"/>
      <c r="W9" s="23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row>
    <row r="10" spans="1:51" ht="15.75" customHeight="1">
      <c r="A10" s="240">
        <v>44429</v>
      </c>
      <c r="B10" s="239" t="s">
        <v>78</v>
      </c>
      <c r="C10" s="238" t="s">
        <v>65</v>
      </c>
      <c r="D10" s="238" t="s">
        <v>66</v>
      </c>
      <c r="E10" s="239">
        <v>10</v>
      </c>
      <c r="F10" s="239">
        <f>E10-G10</f>
        <v>3.34</v>
      </c>
      <c r="G10" s="239">
        <v>6.66</v>
      </c>
      <c r="H10" s="242"/>
      <c r="I10" s="243"/>
      <c r="J10" s="243">
        <v>0.38</v>
      </c>
      <c r="K10" s="244">
        <v>0.53</v>
      </c>
      <c r="L10" s="243"/>
      <c r="M10" s="239"/>
      <c r="N10" s="241"/>
      <c r="O10" s="243">
        <f>Q11-P9</f>
        <v>-0.65607499999999985</v>
      </c>
      <c r="P10" s="243"/>
      <c r="Q10" s="243"/>
      <c r="R10" s="243"/>
      <c r="S10" s="977">
        <f>J10*K10</f>
        <v>0.20140000000000002</v>
      </c>
      <c r="T10" s="243"/>
      <c r="U10" s="243"/>
      <c r="V10" s="977"/>
      <c r="W10" s="23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row>
    <row r="11" spans="1:51" ht="15.75" customHeight="1">
      <c r="A11" s="240">
        <v>44429</v>
      </c>
      <c r="B11" s="239" t="s">
        <v>78</v>
      </c>
      <c r="C11" s="238" t="s">
        <v>65</v>
      </c>
      <c r="D11" s="238" t="s">
        <v>77</v>
      </c>
      <c r="E11" s="239">
        <v>10</v>
      </c>
      <c r="F11" s="239">
        <f>E11-G11</f>
        <v>3.62</v>
      </c>
      <c r="G11" s="241">
        <v>6.38</v>
      </c>
      <c r="H11" s="242"/>
      <c r="I11" s="239"/>
      <c r="J11" s="239">
        <v>0.8</v>
      </c>
      <c r="K11" s="244">
        <v>0.52</v>
      </c>
      <c r="L11" s="239"/>
      <c r="M11" s="239"/>
      <c r="N11" s="241"/>
      <c r="O11" s="243"/>
      <c r="P11" s="243"/>
      <c r="Q11" s="243">
        <f>J11*K11</f>
        <v>0.41600000000000004</v>
      </c>
      <c r="R11" s="243"/>
      <c r="S11" s="977"/>
      <c r="T11" s="243"/>
      <c r="U11" s="243"/>
      <c r="V11" s="977"/>
      <c r="W11" s="23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row>
    <row r="12" spans="1:51" ht="15.75" customHeight="1">
      <c r="A12" s="240">
        <v>44668</v>
      </c>
      <c r="B12" s="239" t="s">
        <v>79</v>
      </c>
      <c r="C12" s="238" t="s">
        <v>65</v>
      </c>
      <c r="D12" s="291" t="s">
        <v>39</v>
      </c>
      <c r="E12" s="239">
        <v>11.16</v>
      </c>
      <c r="F12" s="239"/>
      <c r="G12" s="241"/>
      <c r="H12" s="242"/>
      <c r="I12" s="239"/>
      <c r="J12" s="239"/>
      <c r="K12" s="244"/>
      <c r="L12" s="239"/>
      <c r="M12" s="239"/>
      <c r="N12" s="241"/>
      <c r="O12" s="243"/>
      <c r="P12" s="243"/>
      <c r="Q12" s="243"/>
      <c r="R12" s="243"/>
      <c r="S12" s="977"/>
      <c r="T12" s="243"/>
      <c r="U12" s="243"/>
      <c r="V12" s="977"/>
      <c r="W12" s="236"/>
      <c r="X12" s="127"/>
      <c r="Y12" s="127"/>
      <c r="Z12" s="127"/>
      <c r="AA12" s="127"/>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row>
    <row r="13" spans="1:51" ht="15.75" customHeight="1">
      <c r="A13" s="240">
        <v>44668</v>
      </c>
      <c r="B13" s="239" t="s">
        <v>79</v>
      </c>
      <c r="C13" s="238" t="s">
        <v>65</v>
      </c>
      <c r="D13" s="291" t="s">
        <v>39</v>
      </c>
      <c r="E13" s="239">
        <v>10</v>
      </c>
      <c r="F13" s="239">
        <v>0.49</v>
      </c>
      <c r="G13" s="241">
        <f>E13-F13</f>
        <v>9.51</v>
      </c>
      <c r="H13" s="242">
        <f>G13-G11</f>
        <v>3.13</v>
      </c>
      <c r="I13" s="239"/>
      <c r="J13" s="239">
        <v>3.45</v>
      </c>
      <c r="K13" s="244">
        <v>0.41</v>
      </c>
      <c r="L13" s="239">
        <f>G13-J13</f>
        <v>6.06</v>
      </c>
      <c r="M13" s="239"/>
      <c r="N13" s="241"/>
      <c r="O13" s="243"/>
      <c r="P13" s="243">
        <f>K13*J13</f>
        <v>1.4145000000000001</v>
      </c>
      <c r="Q13" s="243"/>
      <c r="R13" s="243">
        <f>(L13-G11)*K11</f>
        <v>-0.16640000000000016</v>
      </c>
      <c r="S13" s="977"/>
      <c r="T13" s="243"/>
      <c r="U13" s="243"/>
      <c r="V13" s="977"/>
      <c r="W13" s="236"/>
      <c r="X13" s="127"/>
      <c r="Y13" s="127"/>
      <c r="Z13" s="127"/>
      <c r="AA13" s="127"/>
      <c r="AB13" s="127"/>
      <c r="AC13" s="127"/>
      <c r="AD13" s="127"/>
      <c r="AE13" s="127"/>
      <c r="AF13" s="127"/>
      <c r="AG13" s="127"/>
      <c r="AH13" s="127"/>
      <c r="AI13" s="127"/>
      <c r="AJ13" s="127"/>
      <c r="AK13" s="127"/>
      <c r="AL13" s="127"/>
      <c r="AM13" s="127"/>
      <c r="AN13" s="127"/>
      <c r="AO13" s="127"/>
      <c r="AP13" s="127"/>
      <c r="AQ13" s="127"/>
      <c r="AR13" s="127"/>
      <c r="AS13" s="127"/>
      <c r="AT13" s="127"/>
      <c r="AU13" s="127"/>
      <c r="AV13" s="127"/>
      <c r="AW13" s="127"/>
      <c r="AX13" s="127"/>
      <c r="AY13" s="127"/>
    </row>
    <row r="14" spans="1:51" ht="15.75" customHeight="1">
      <c r="A14" s="240">
        <v>45031</v>
      </c>
      <c r="B14" s="239" t="s">
        <v>94</v>
      </c>
      <c r="C14" s="238" t="s">
        <v>65</v>
      </c>
      <c r="D14" s="291" t="s">
        <v>39</v>
      </c>
      <c r="E14" s="239" t="s">
        <v>67</v>
      </c>
      <c r="F14" s="239"/>
      <c r="G14" s="241"/>
      <c r="H14" s="242"/>
      <c r="I14" s="239"/>
      <c r="J14" s="239"/>
      <c r="K14" s="244"/>
      <c r="L14" s="239"/>
      <c r="M14" s="239"/>
      <c r="N14" s="241"/>
      <c r="O14" s="243"/>
      <c r="P14" s="243"/>
      <c r="Q14" s="243"/>
      <c r="R14" s="243"/>
      <c r="S14" s="977"/>
      <c r="T14" s="243"/>
      <c r="U14" s="243"/>
      <c r="V14" s="977"/>
      <c r="W14" s="236"/>
      <c r="X14" s="127"/>
      <c r="Y14" s="127"/>
      <c r="Z14" s="127"/>
      <c r="AA14" s="127"/>
      <c r="AB14" s="127"/>
      <c r="AC14" s="127"/>
      <c r="AD14" s="127"/>
      <c r="AE14" s="127"/>
      <c r="AF14" s="127"/>
      <c r="AG14" s="127"/>
      <c r="AH14" s="127"/>
      <c r="AI14" s="127"/>
      <c r="AJ14" s="127"/>
      <c r="AK14" s="127"/>
      <c r="AL14" s="127"/>
      <c r="AM14" s="127"/>
      <c r="AN14" s="127"/>
      <c r="AO14" s="127"/>
      <c r="AP14" s="127"/>
      <c r="AQ14" s="127"/>
      <c r="AR14" s="127"/>
      <c r="AS14" s="127"/>
      <c r="AT14" s="127"/>
      <c r="AU14" s="127"/>
      <c r="AV14" s="127"/>
      <c r="AW14" s="127"/>
      <c r="AX14" s="127"/>
      <c r="AY14" s="127"/>
    </row>
    <row r="15" spans="1:51" ht="15.75" customHeight="1">
      <c r="A15" s="240">
        <v>45160</v>
      </c>
      <c r="B15" s="239" t="s">
        <v>96</v>
      </c>
      <c r="C15" s="238" t="s">
        <v>65</v>
      </c>
      <c r="D15" s="291" t="s">
        <v>68</v>
      </c>
      <c r="E15" s="239">
        <v>9.15</v>
      </c>
      <c r="F15" s="239">
        <v>2.13</v>
      </c>
      <c r="G15" s="241">
        <f>E15-F15</f>
        <v>7.0200000000000005</v>
      </c>
      <c r="H15" s="242"/>
      <c r="I15" s="239">
        <f>(0.56+0.61+0.58+0.65)/4</f>
        <v>0.6</v>
      </c>
      <c r="J15" s="239"/>
      <c r="K15" s="244"/>
      <c r="L15" s="239">
        <f>G15-I15</f>
        <v>6.4200000000000008</v>
      </c>
      <c r="M15" s="239"/>
      <c r="N15" s="241"/>
      <c r="O15" s="243"/>
      <c r="P15" s="243"/>
      <c r="Q15" s="243"/>
      <c r="R15" s="243"/>
      <c r="S15" s="977"/>
      <c r="T15" s="243"/>
      <c r="U15" s="243"/>
      <c r="V15" s="977"/>
      <c r="W15" s="236"/>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row>
    <row r="16" spans="1:51" ht="15.75" customHeight="1">
      <c r="A16" s="240">
        <v>45160</v>
      </c>
      <c r="B16" s="239" t="s">
        <v>96</v>
      </c>
      <c r="C16" s="238" t="s">
        <v>65</v>
      </c>
      <c r="D16" s="291" t="s">
        <v>68</v>
      </c>
      <c r="E16" s="239">
        <v>10.84</v>
      </c>
      <c r="F16" s="239">
        <f>E16-G16</f>
        <v>3.8200000000000003</v>
      </c>
      <c r="G16" s="241">
        <v>7.02</v>
      </c>
      <c r="H16" s="242"/>
      <c r="I16" s="239"/>
      <c r="J16" s="239"/>
      <c r="K16" s="244"/>
      <c r="L16" s="239"/>
      <c r="M16" s="239"/>
      <c r="N16" s="241"/>
      <c r="O16" s="243"/>
      <c r="P16" s="243"/>
      <c r="Q16" s="243"/>
      <c r="R16" s="243"/>
      <c r="S16" s="977"/>
      <c r="T16" s="243"/>
      <c r="U16" s="243"/>
      <c r="V16" s="977"/>
      <c r="W16" s="236"/>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row>
    <row r="17" spans="1:51" ht="15.75" customHeight="1">
      <c r="A17" s="240">
        <v>45399</v>
      </c>
      <c r="B17" s="239" t="s">
        <v>148</v>
      </c>
      <c r="C17" s="238" t="s">
        <v>65</v>
      </c>
      <c r="D17" s="291" t="s">
        <v>83</v>
      </c>
      <c r="E17" s="239">
        <v>10.84</v>
      </c>
      <c r="F17" s="239">
        <f>E17-G17</f>
        <v>1.5299999999999994</v>
      </c>
      <c r="G17" s="241">
        <v>9.31</v>
      </c>
      <c r="H17" s="242">
        <f>G17-G16</f>
        <v>2.2900000000000009</v>
      </c>
      <c r="I17" s="239">
        <v>3.02</v>
      </c>
      <c r="J17" s="239">
        <v>3.54</v>
      </c>
      <c r="K17" s="244">
        <v>0.43</v>
      </c>
      <c r="L17" s="239">
        <f>G17-I17</f>
        <v>6.2900000000000009</v>
      </c>
      <c r="M17" s="239"/>
      <c r="N17" s="241"/>
      <c r="O17" s="243"/>
      <c r="P17" s="243">
        <f>I17*K17</f>
        <v>1.2986</v>
      </c>
      <c r="Q17" s="243"/>
      <c r="R17" s="243">
        <f>(H17-I17)*K24</f>
        <v>-0.37229999999999952</v>
      </c>
      <c r="S17" s="977"/>
      <c r="T17" s="243">
        <v>580850.27599999995</v>
      </c>
      <c r="U17" s="243">
        <v>7018443.4579999996</v>
      </c>
      <c r="V17" s="977">
        <v>1825.501</v>
      </c>
      <c r="W17" s="236"/>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row>
    <row r="18" spans="1:51" ht="15.75" customHeight="1">
      <c r="A18" s="240"/>
      <c r="B18" s="239"/>
      <c r="C18" s="238"/>
      <c r="D18" s="291"/>
      <c r="E18" s="239"/>
      <c r="F18" s="239"/>
      <c r="G18" s="241"/>
      <c r="H18" s="242"/>
      <c r="I18" s="239"/>
      <c r="J18" s="239"/>
      <c r="K18" s="244"/>
      <c r="L18" s="239"/>
      <c r="M18" s="239"/>
      <c r="N18" s="241"/>
      <c r="O18" s="243"/>
      <c r="P18" s="243"/>
      <c r="Q18" s="243"/>
      <c r="R18" s="243"/>
      <c r="S18" s="977"/>
      <c r="T18" s="243"/>
      <c r="U18" s="243"/>
      <c r="V18" s="977"/>
      <c r="W18" s="236"/>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row>
    <row r="19" spans="1:51" s="48" customFormat="1" ht="15.75" customHeight="1">
      <c r="A19" s="281"/>
      <c r="B19" s="282"/>
      <c r="C19" s="289"/>
      <c r="D19" s="292"/>
      <c r="E19" s="282"/>
      <c r="F19" s="282"/>
      <c r="G19" s="296"/>
      <c r="H19" s="298"/>
      <c r="I19" s="282"/>
      <c r="J19" s="282"/>
      <c r="K19" s="294"/>
      <c r="L19" s="282"/>
      <c r="M19" s="282"/>
      <c r="N19" s="296"/>
      <c r="O19" s="283"/>
      <c r="P19" s="283"/>
      <c r="Q19" s="283"/>
      <c r="R19" s="283"/>
      <c r="S19" s="978"/>
      <c r="T19" s="283"/>
      <c r="U19" s="283"/>
      <c r="V19" s="978"/>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row>
    <row r="20" spans="1:51" s="288" customFormat="1" ht="15.75" customHeight="1">
      <c r="A20" s="284">
        <v>44668</v>
      </c>
      <c r="B20" s="285" t="s">
        <v>81</v>
      </c>
      <c r="C20" s="290" t="s">
        <v>82</v>
      </c>
      <c r="D20" s="293" t="s">
        <v>83</v>
      </c>
      <c r="E20" s="285">
        <v>9.15</v>
      </c>
      <c r="F20" s="285">
        <v>0.03</v>
      </c>
      <c r="G20" s="297">
        <f>E20-F20</f>
        <v>9.120000000000001</v>
      </c>
      <c r="H20" s="299"/>
      <c r="I20" s="285"/>
      <c r="J20" s="285">
        <v>3.45</v>
      </c>
      <c r="K20" s="295">
        <v>0.41</v>
      </c>
      <c r="L20" s="285">
        <f>G20-J20</f>
        <v>5.6700000000000008</v>
      </c>
      <c r="M20" s="285"/>
      <c r="N20" s="297"/>
      <c r="O20" s="286"/>
      <c r="P20" s="286">
        <f>J20*K20</f>
        <v>1.4145000000000001</v>
      </c>
      <c r="Q20" s="286"/>
      <c r="R20" s="286"/>
      <c r="S20" s="979"/>
      <c r="T20" s="286"/>
      <c r="U20" s="286"/>
      <c r="V20" s="979"/>
      <c r="W20" s="287"/>
      <c r="X20" s="287"/>
      <c r="Y20" s="287"/>
      <c r="Z20" s="287"/>
      <c r="AA20" s="287"/>
      <c r="AB20" s="287"/>
      <c r="AC20" s="287"/>
      <c r="AD20" s="287"/>
      <c r="AE20" s="287"/>
      <c r="AF20" s="287"/>
      <c r="AG20" s="287"/>
      <c r="AH20" s="287"/>
      <c r="AI20" s="287"/>
      <c r="AJ20" s="287"/>
      <c r="AK20" s="287"/>
      <c r="AL20" s="287"/>
      <c r="AM20" s="287"/>
      <c r="AN20" s="287"/>
      <c r="AO20" s="287"/>
      <c r="AP20" s="287"/>
      <c r="AQ20" s="287"/>
      <c r="AR20" s="287"/>
      <c r="AS20" s="287"/>
      <c r="AT20" s="287"/>
      <c r="AU20" s="287"/>
      <c r="AV20" s="287"/>
      <c r="AW20" s="287"/>
      <c r="AX20" s="287"/>
      <c r="AY20" s="287"/>
    </row>
    <row r="21" spans="1:51" s="288" customFormat="1" ht="15.75" customHeight="1">
      <c r="A21" s="284">
        <v>44796</v>
      </c>
      <c r="B21" s="285" t="s">
        <v>92</v>
      </c>
      <c r="C21" s="290" t="s">
        <v>82</v>
      </c>
      <c r="D21" s="293" t="s">
        <v>39</v>
      </c>
      <c r="E21" s="285">
        <v>9.1199999999999992</v>
      </c>
      <c r="F21" s="285">
        <f>E21-G21</f>
        <v>2.7099999999999991</v>
      </c>
      <c r="G21" s="297">
        <v>6.41</v>
      </c>
      <c r="H21" s="299"/>
      <c r="I21" s="285"/>
      <c r="J21" s="285">
        <v>0.15</v>
      </c>
      <c r="K21" s="295">
        <v>0.51</v>
      </c>
      <c r="L21" s="285"/>
      <c r="M21" s="285"/>
      <c r="N21" s="297"/>
      <c r="O21" s="286"/>
      <c r="P21" s="286"/>
      <c r="Q21" s="286"/>
      <c r="R21" s="286"/>
      <c r="S21" s="979"/>
      <c r="T21" s="286"/>
      <c r="U21" s="286"/>
      <c r="V21" s="979"/>
      <c r="W21" s="287"/>
      <c r="X21" s="287"/>
      <c r="Y21" s="287"/>
      <c r="Z21" s="287"/>
      <c r="AA21" s="287"/>
      <c r="AB21" s="287"/>
      <c r="AC21" s="287"/>
      <c r="AD21" s="287"/>
      <c r="AE21" s="287"/>
      <c r="AF21" s="287"/>
      <c r="AG21" s="287"/>
      <c r="AH21" s="287"/>
      <c r="AI21" s="287"/>
      <c r="AJ21" s="287"/>
      <c r="AK21" s="287"/>
      <c r="AL21" s="287"/>
      <c r="AM21" s="287"/>
      <c r="AN21" s="287"/>
      <c r="AO21" s="287"/>
      <c r="AP21" s="287"/>
      <c r="AQ21" s="287"/>
      <c r="AR21" s="287"/>
      <c r="AS21" s="287"/>
      <c r="AT21" s="287"/>
      <c r="AU21" s="287"/>
      <c r="AV21" s="287"/>
      <c r="AW21" s="287"/>
      <c r="AX21" s="287"/>
      <c r="AY21" s="287"/>
    </row>
    <row r="22" spans="1:51" s="288" customFormat="1" ht="15.75" customHeight="1">
      <c r="A22" s="284">
        <v>44796</v>
      </c>
      <c r="B22" s="285" t="s">
        <v>92</v>
      </c>
      <c r="C22" s="290" t="s">
        <v>82</v>
      </c>
      <c r="D22" s="293" t="s">
        <v>93</v>
      </c>
      <c r="E22" s="285">
        <v>10.9</v>
      </c>
      <c r="F22" s="285">
        <f>E22-G22</f>
        <v>4.6400000000000006</v>
      </c>
      <c r="G22" s="297">
        <f>6.41-0.15</f>
        <v>6.26</v>
      </c>
      <c r="H22" s="299"/>
      <c r="I22" s="285"/>
      <c r="J22" s="285">
        <v>0.52</v>
      </c>
      <c r="K22" s="295">
        <v>0.56000000000000005</v>
      </c>
      <c r="L22" s="285"/>
      <c r="M22" s="285"/>
      <c r="N22" s="297"/>
      <c r="O22" s="286">
        <f>Q22-P20</f>
        <v>-1.1233</v>
      </c>
      <c r="P22" s="286"/>
      <c r="Q22" s="286">
        <f>J22*K22</f>
        <v>0.29120000000000001</v>
      </c>
      <c r="R22" s="286"/>
      <c r="S22" s="979">
        <f>J21*K21</f>
        <v>7.6499999999999999E-2</v>
      </c>
      <c r="T22" s="286"/>
      <c r="U22" s="286"/>
      <c r="V22" s="979"/>
      <c r="W22" s="287"/>
      <c r="X22" s="287"/>
      <c r="Y22" s="287"/>
      <c r="Z22" s="287"/>
      <c r="AA22" s="287"/>
      <c r="AB22" s="287"/>
      <c r="AC22" s="287"/>
      <c r="AD22" s="287"/>
      <c r="AE22" s="287"/>
      <c r="AF22" s="287"/>
      <c r="AG22" s="287"/>
      <c r="AH22" s="287"/>
      <c r="AI22" s="287"/>
      <c r="AJ22" s="287"/>
      <c r="AK22" s="287"/>
      <c r="AL22" s="287"/>
      <c r="AM22" s="287"/>
      <c r="AN22" s="287"/>
      <c r="AO22" s="287"/>
      <c r="AP22" s="287"/>
      <c r="AQ22" s="287"/>
      <c r="AR22" s="287"/>
      <c r="AS22" s="287"/>
      <c r="AT22" s="287"/>
      <c r="AU22" s="287"/>
      <c r="AV22" s="287"/>
      <c r="AW22" s="287"/>
      <c r="AX22" s="287"/>
      <c r="AY22" s="287"/>
    </row>
    <row r="23" spans="1:51" s="288" customFormat="1" ht="15.75" customHeight="1">
      <c r="A23" s="284">
        <v>45031</v>
      </c>
      <c r="B23" s="285" t="s">
        <v>94</v>
      </c>
      <c r="C23" s="290" t="s">
        <v>82</v>
      </c>
      <c r="D23" s="293" t="s">
        <v>39</v>
      </c>
      <c r="E23" s="285" t="s">
        <v>67</v>
      </c>
      <c r="F23" s="285"/>
      <c r="G23" s="297"/>
      <c r="H23" s="299"/>
      <c r="I23" s="285"/>
      <c r="J23" s="285">
        <v>4.58</v>
      </c>
      <c r="K23" s="295">
        <v>0.42</v>
      </c>
      <c r="L23" s="285"/>
      <c r="M23" s="285"/>
      <c r="N23" s="297"/>
      <c r="O23" s="286"/>
      <c r="P23" s="286">
        <f>J23*K23</f>
        <v>1.9236</v>
      </c>
      <c r="Q23" s="286"/>
      <c r="R23" s="286"/>
      <c r="S23" s="979"/>
      <c r="T23" s="286"/>
      <c r="U23" s="286"/>
      <c r="V23" s="979"/>
      <c r="W23" s="287"/>
      <c r="X23" s="287"/>
      <c r="Y23" s="287"/>
      <c r="Z23" s="287"/>
      <c r="AA23" s="287"/>
      <c r="AB23" s="287"/>
      <c r="AC23" s="287"/>
      <c r="AD23" s="287"/>
      <c r="AE23" s="287"/>
      <c r="AF23" s="287"/>
      <c r="AG23" s="287"/>
      <c r="AH23" s="287"/>
      <c r="AI23" s="287"/>
      <c r="AJ23" s="287"/>
      <c r="AK23" s="287"/>
      <c r="AL23" s="287"/>
      <c r="AM23" s="287"/>
      <c r="AN23" s="287"/>
      <c r="AO23" s="287"/>
      <c r="AP23" s="287"/>
      <c r="AQ23" s="287"/>
      <c r="AR23" s="287"/>
      <c r="AS23" s="287"/>
      <c r="AT23" s="287"/>
      <c r="AU23" s="287"/>
      <c r="AV23" s="287"/>
      <c r="AW23" s="287"/>
      <c r="AX23" s="287"/>
      <c r="AY23" s="287"/>
    </row>
    <row r="24" spans="1:51" s="288" customFormat="1" ht="15.75" customHeight="1">
      <c r="A24" s="284">
        <v>45160</v>
      </c>
      <c r="B24" s="285" t="s">
        <v>96</v>
      </c>
      <c r="C24" s="290" t="s">
        <v>82</v>
      </c>
      <c r="D24" s="293" t="s">
        <v>68</v>
      </c>
      <c r="E24" s="285">
        <v>10.9</v>
      </c>
      <c r="F24" s="285">
        <f>1.69+1.96</f>
        <v>3.65</v>
      </c>
      <c r="G24" s="297">
        <f>E24-F24</f>
        <v>7.25</v>
      </c>
      <c r="H24" s="299">
        <f>G24-G22</f>
        <v>0.99000000000000021</v>
      </c>
      <c r="I24" s="285">
        <v>0.99</v>
      </c>
      <c r="J24" s="285">
        <v>0.99</v>
      </c>
      <c r="K24" s="295">
        <v>0.51</v>
      </c>
      <c r="L24" s="285">
        <f>G24-I24</f>
        <v>6.26</v>
      </c>
      <c r="M24" s="285"/>
      <c r="N24" s="297"/>
      <c r="O24" s="286">
        <f>Q24-P23</f>
        <v>-1.4186999999999999</v>
      </c>
      <c r="P24" s="286"/>
      <c r="Q24" s="286">
        <f>K24*J24</f>
        <v>0.50490000000000002</v>
      </c>
      <c r="R24" s="286"/>
      <c r="S24" s="979"/>
      <c r="T24" s="286"/>
      <c r="U24" s="286"/>
      <c r="V24" s="979"/>
      <c r="W24" s="287"/>
      <c r="X24" s="287"/>
      <c r="Y24" s="287"/>
      <c r="Z24" s="287"/>
      <c r="AA24" s="287"/>
      <c r="AB24" s="287"/>
      <c r="AC24" s="287"/>
      <c r="AD24" s="287"/>
      <c r="AE24" s="287"/>
      <c r="AF24" s="287"/>
      <c r="AG24" s="287"/>
      <c r="AH24" s="287"/>
      <c r="AI24" s="287"/>
      <c r="AJ24" s="287"/>
      <c r="AK24" s="287"/>
      <c r="AL24" s="287"/>
      <c r="AM24" s="287"/>
      <c r="AN24" s="287"/>
      <c r="AO24" s="287"/>
      <c r="AP24" s="287"/>
      <c r="AQ24" s="287"/>
      <c r="AR24" s="287"/>
      <c r="AS24" s="287"/>
      <c r="AT24" s="287"/>
      <c r="AU24" s="287"/>
      <c r="AV24" s="287"/>
      <c r="AW24" s="287"/>
      <c r="AX24" s="287"/>
      <c r="AY24" s="287"/>
    </row>
    <row r="25" spans="1:51" s="288" customFormat="1" ht="15.75" customHeight="1">
      <c r="A25" s="284">
        <v>45160</v>
      </c>
      <c r="B25" s="285" t="s">
        <v>96</v>
      </c>
      <c r="C25" s="290" t="s">
        <v>82</v>
      </c>
      <c r="D25" s="293" t="s">
        <v>68</v>
      </c>
      <c r="E25" s="285">
        <v>12.25</v>
      </c>
      <c r="F25" s="285">
        <f>E25-G25</f>
        <v>5</v>
      </c>
      <c r="G25" s="297">
        <v>7.25</v>
      </c>
      <c r="H25" s="299"/>
      <c r="I25" s="285"/>
      <c r="J25" s="285"/>
      <c r="K25" s="295"/>
      <c r="L25" s="285"/>
      <c r="M25" s="285"/>
      <c r="N25" s="297"/>
      <c r="O25" s="286"/>
      <c r="P25" s="286"/>
      <c r="Q25" s="286"/>
      <c r="R25" s="286"/>
      <c r="S25" s="979"/>
      <c r="T25" s="286"/>
      <c r="U25" s="286"/>
      <c r="V25" s="979"/>
      <c r="W25" s="287"/>
      <c r="X25" s="287"/>
      <c r="Y25" s="287"/>
      <c r="Z25" s="287"/>
      <c r="AA25" s="287"/>
      <c r="AB25" s="287"/>
      <c r="AC25" s="287"/>
      <c r="AD25" s="287"/>
      <c r="AE25" s="287"/>
      <c r="AF25" s="287"/>
      <c r="AG25" s="287"/>
      <c r="AH25" s="287"/>
      <c r="AI25" s="287"/>
      <c r="AJ25" s="287"/>
      <c r="AK25" s="287"/>
      <c r="AL25" s="287"/>
      <c r="AM25" s="287"/>
      <c r="AN25" s="287"/>
      <c r="AO25" s="287"/>
      <c r="AP25" s="287"/>
      <c r="AQ25" s="287"/>
      <c r="AR25" s="287"/>
      <c r="AS25" s="287"/>
      <c r="AT25" s="287"/>
      <c r="AU25" s="287"/>
      <c r="AV25" s="287"/>
      <c r="AW25" s="287"/>
      <c r="AX25" s="287"/>
      <c r="AY25" s="287"/>
    </row>
    <row r="26" spans="1:51" s="288" customFormat="1" ht="15.75" customHeight="1">
      <c r="A26" s="284">
        <v>45399</v>
      </c>
      <c r="B26" s="285" t="s">
        <v>148</v>
      </c>
      <c r="C26" s="290" t="s">
        <v>82</v>
      </c>
      <c r="D26" s="293" t="s">
        <v>39</v>
      </c>
      <c r="E26" s="285">
        <v>12.25</v>
      </c>
      <c r="F26" s="285">
        <v>2.33</v>
      </c>
      <c r="G26" s="297">
        <f>E26-F26</f>
        <v>9.92</v>
      </c>
      <c r="H26" s="299">
        <f>G26-G25</f>
        <v>2.67</v>
      </c>
      <c r="I26" s="285">
        <v>3.25</v>
      </c>
      <c r="J26" s="285">
        <v>3.44</v>
      </c>
      <c r="K26" s="295">
        <v>0.43</v>
      </c>
      <c r="L26" s="285">
        <f>G26-I26</f>
        <v>6.67</v>
      </c>
      <c r="M26" s="285"/>
      <c r="N26" s="297"/>
      <c r="O26" s="286"/>
      <c r="P26" s="286">
        <f>I26*K26</f>
        <v>1.3975</v>
      </c>
      <c r="Q26" s="286"/>
      <c r="R26" s="286">
        <f>(H26-I26)*K24</f>
        <v>-0.29580000000000006</v>
      </c>
      <c r="S26" s="979"/>
      <c r="T26" s="286">
        <v>580931.56900000002</v>
      </c>
      <c r="U26" s="286">
        <v>7018384.2960000001</v>
      </c>
      <c r="V26" s="979">
        <v>1834.1849999999999</v>
      </c>
      <c r="W26" s="287"/>
      <c r="X26" s="287"/>
      <c r="Y26" s="287"/>
      <c r="Z26" s="287"/>
      <c r="AA26" s="287"/>
      <c r="AB26" s="287"/>
      <c r="AC26" s="287"/>
      <c r="AD26" s="287"/>
      <c r="AE26" s="287"/>
      <c r="AF26" s="287"/>
      <c r="AG26" s="287"/>
      <c r="AH26" s="287"/>
      <c r="AI26" s="287"/>
      <c r="AJ26" s="287"/>
      <c r="AK26" s="287"/>
      <c r="AL26" s="287"/>
      <c r="AM26" s="287"/>
      <c r="AN26" s="287"/>
      <c r="AO26" s="287"/>
      <c r="AP26" s="287"/>
      <c r="AQ26" s="287"/>
      <c r="AR26" s="287"/>
      <c r="AS26" s="287"/>
      <c r="AT26" s="287"/>
      <c r="AU26" s="287"/>
      <c r="AV26" s="287"/>
      <c r="AW26" s="287"/>
      <c r="AX26" s="287"/>
      <c r="AY26" s="287"/>
    </row>
    <row r="27" spans="1:51" s="288" customFormat="1" ht="15.75" customHeight="1">
      <c r="A27" s="284">
        <v>45525</v>
      </c>
      <c r="B27" s="285" t="s">
        <v>148</v>
      </c>
      <c r="C27" s="290" t="s">
        <v>82</v>
      </c>
      <c r="D27" s="293" t="s">
        <v>68</v>
      </c>
      <c r="E27" s="286">
        <v>12.25</v>
      </c>
      <c r="F27" s="285">
        <f>(12.25-9.21)+2.65</f>
        <v>5.6899999999999995</v>
      </c>
      <c r="G27" s="297">
        <f>E27-F27</f>
        <v>6.5600000000000005</v>
      </c>
      <c r="H27" s="299">
        <f>G27-L27</f>
        <v>-0.10999999999999943</v>
      </c>
      <c r="I27" s="285"/>
      <c r="J27" s="285"/>
      <c r="K27" s="295">
        <f>'20240821_Pit_D'!I4</f>
        <v>0.54488989271597965</v>
      </c>
      <c r="L27" s="285">
        <f>L26</f>
        <v>6.67</v>
      </c>
      <c r="M27" s="285"/>
      <c r="N27" s="297"/>
      <c r="O27" s="286">
        <f>Q27-P26</f>
        <v>-1.4535999999999998</v>
      </c>
      <c r="P27" s="286"/>
      <c r="Q27" s="286">
        <f>H27*K24</f>
        <v>-5.6099999999999713E-2</v>
      </c>
      <c r="R27" s="286"/>
      <c r="S27" s="979"/>
      <c r="T27" s="286">
        <v>580920.44099999999</v>
      </c>
      <c r="U27" s="286">
        <v>7018391.2810000004</v>
      </c>
      <c r="V27" s="979">
        <v>1829.6079999999999</v>
      </c>
      <c r="W27" s="287"/>
      <c r="X27" s="287"/>
      <c r="Y27" s="287"/>
      <c r="Z27" s="287"/>
      <c r="AA27" s="287"/>
      <c r="AB27" s="287"/>
      <c r="AC27" s="287"/>
      <c r="AD27" s="287"/>
      <c r="AE27" s="287"/>
      <c r="AF27" s="287"/>
      <c r="AG27" s="287"/>
      <c r="AH27" s="287"/>
      <c r="AI27" s="287"/>
      <c r="AJ27" s="287"/>
      <c r="AK27" s="287"/>
      <c r="AL27" s="287"/>
      <c r="AM27" s="287"/>
      <c r="AN27" s="287"/>
      <c r="AO27" s="287"/>
      <c r="AP27" s="287"/>
      <c r="AQ27" s="287"/>
      <c r="AR27" s="287"/>
      <c r="AS27" s="287"/>
      <c r="AT27" s="287"/>
      <c r="AU27" s="287"/>
      <c r="AV27" s="287"/>
      <c r="AW27" s="287"/>
      <c r="AX27" s="287"/>
      <c r="AY27" s="287"/>
    </row>
    <row r="28" spans="1:51" s="288" customFormat="1" ht="15.75" customHeight="1">
      <c r="A28" s="284"/>
      <c r="B28" s="285"/>
      <c r="C28" s="290"/>
      <c r="D28" s="293"/>
      <c r="E28" s="285"/>
      <c r="F28" s="285"/>
      <c r="G28" s="297"/>
      <c r="H28" s="299"/>
      <c r="I28" s="285"/>
      <c r="J28" s="285"/>
      <c r="K28" s="295"/>
      <c r="L28" s="285"/>
      <c r="M28" s="285"/>
      <c r="N28" s="297"/>
      <c r="O28" s="286"/>
      <c r="P28" s="286"/>
      <c r="Q28" s="286"/>
      <c r="R28" s="286"/>
      <c r="S28" s="979"/>
      <c r="T28" s="286"/>
      <c r="U28" s="286"/>
      <c r="V28" s="979"/>
      <c r="W28" s="287"/>
      <c r="X28" s="287"/>
      <c r="Y28" s="287"/>
      <c r="Z28" s="287"/>
      <c r="AA28" s="287"/>
      <c r="AB28" s="287"/>
      <c r="AC28" s="287"/>
      <c r="AD28" s="287"/>
      <c r="AE28" s="287"/>
      <c r="AF28" s="287"/>
      <c r="AG28" s="287"/>
      <c r="AH28" s="287"/>
      <c r="AI28" s="287"/>
      <c r="AJ28" s="287"/>
      <c r="AK28" s="287"/>
      <c r="AL28" s="287"/>
      <c r="AM28" s="287"/>
      <c r="AN28" s="287"/>
      <c r="AO28" s="287"/>
      <c r="AP28" s="287"/>
      <c r="AQ28" s="287"/>
      <c r="AR28" s="287"/>
      <c r="AS28" s="287"/>
      <c r="AT28" s="287"/>
      <c r="AU28" s="287"/>
      <c r="AV28" s="287"/>
      <c r="AW28" s="287"/>
      <c r="AX28" s="287"/>
      <c r="AY28" s="287"/>
    </row>
    <row r="29" spans="1:51" s="48" customFormat="1" ht="15.75" customHeight="1">
      <c r="A29" s="281"/>
      <c r="B29" s="282"/>
      <c r="C29" s="289"/>
      <c r="D29" s="292"/>
      <c r="E29" s="282"/>
      <c r="F29" s="282"/>
      <c r="G29" s="296"/>
      <c r="H29" s="298"/>
      <c r="I29" s="282"/>
      <c r="J29" s="282"/>
      <c r="K29" s="294"/>
      <c r="L29" s="282"/>
      <c r="M29" s="282"/>
      <c r="N29" s="296"/>
      <c r="O29" s="283"/>
      <c r="P29" s="283"/>
      <c r="Q29" s="283"/>
      <c r="R29" s="283"/>
      <c r="S29" s="978"/>
      <c r="T29" s="283"/>
      <c r="U29" s="283"/>
      <c r="V29" s="978"/>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row>
    <row r="30" spans="1:51" s="727" customFormat="1" ht="15.75" customHeight="1">
      <c r="A30" s="723">
        <v>45399</v>
      </c>
      <c r="B30" s="724" t="s">
        <v>148</v>
      </c>
      <c r="C30" s="731" t="s">
        <v>174</v>
      </c>
      <c r="D30" s="732" t="s">
        <v>39</v>
      </c>
      <c r="E30" s="724">
        <v>8</v>
      </c>
      <c r="F30" s="724">
        <v>0.13</v>
      </c>
      <c r="G30" s="728">
        <f>E30-F30</f>
        <v>7.87</v>
      </c>
      <c r="H30" s="729"/>
      <c r="I30" s="724">
        <v>3.54</v>
      </c>
      <c r="J30" s="724">
        <v>3.44</v>
      </c>
      <c r="K30" s="730">
        <v>0.43</v>
      </c>
      <c r="L30" s="724">
        <f>G30-I30</f>
        <v>4.33</v>
      </c>
      <c r="M30" s="724"/>
      <c r="N30" s="728"/>
      <c r="O30" s="725"/>
      <c r="P30" s="725">
        <f>I30*K30</f>
        <v>1.5222</v>
      </c>
      <c r="Q30" s="725"/>
      <c r="R30" s="725"/>
      <c r="S30" s="980"/>
      <c r="T30" s="725">
        <v>581081.1</v>
      </c>
      <c r="U30" s="725">
        <v>7018300.9019999998</v>
      </c>
      <c r="V30" s="980">
        <v>1854.5550000000001</v>
      </c>
      <c r="W30" s="726"/>
      <c r="X30" s="726"/>
      <c r="Y30" s="726"/>
      <c r="Z30" s="726"/>
      <c r="AA30" s="726"/>
      <c r="AB30" s="726"/>
      <c r="AC30" s="726"/>
      <c r="AD30" s="726"/>
      <c r="AE30" s="726"/>
      <c r="AF30" s="726"/>
      <c r="AG30" s="726"/>
      <c r="AH30" s="726"/>
      <c r="AI30" s="726"/>
      <c r="AJ30" s="726"/>
      <c r="AK30" s="726"/>
      <c r="AL30" s="726"/>
      <c r="AM30" s="726"/>
      <c r="AN30" s="726"/>
      <c r="AO30" s="726"/>
      <c r="AP30" s="726"/>
      <c r="AQ30" s="726"/>
      <c r="AR30" s="726"/>
      <c r="AS30" s="726"/>
      <c r="AT30" s="726"/>
      <c r="AU30" s="726"/>
      <c r="AV30" s="726"/>
      <c r="AW30" s="726"/>
      <c r="AX30" s="726"/>
      <c r="AY30" s="726"/>
    </row>
    <row r="31" spans="1:51" s="727" customFormat="1" ht="15.75" customHeight="1">
      <c r="A31" s="723">
        <v>45525</v>
      </c>
      <c r="B31" s="724" t="s">
        <v>204</v>
      </c>
      <c r="C31" s="731" t="s">
        <v>174</v>
      </c>
      <c r="D31" s="732" t="s">
        <v>213</v>
      </c>
      <c r="E31" s="724">
        <v>8</v>
      </c>
      <c r="F31" s="724">
        <v>3.11</v>
      </c>
      <c r="G31" s="728">
        <f>E31-F31</f>
        <v>4.8900000000000006</v>
      </c>
      <c r="H31" s="729"/>
      <c r="I31" s="1081">
        <f>0.4</f>
        <v>0.4</v>
      </c>
      <c r="J31" s="724">
        <v>0</v>
      </c>
      <c r="K31" s="730">
        <v>0.54</v>
      </c>
      <c r="L31" s="724"/>
      <c r="M31" s="724"/>
      <c r="N31" s="728"/>
      <c r="O31" s="725">
        <f>Q31-P31</f>
        <v>0.21600000000000003</v>
      </c>
      <c r="P31" s="725"/>
      <c r="Q31" s="725">
        <f>K31*I31</f>
        <v>0.21600000000000003</v>
      </c>
      <c r="R31" s="725"/>
      <c r="S31" s="980"/>
      <c r="T31" s="725">
        <v>581068.59699999995</v>
      </c>
      <c r="U31" s="725">
        <v>7018308.4029999999</v>
      </c>
      <c r="V31" s="980">
        <v>1850.153</v>
      </c>
      <c r="W31" s="726"/>
      <c r="X31" s="726"/>
      <c r="Y31" s="726"/>
      <c r="Z31" s="726"/>
      <c r="AA31" s="726"/>
      <c r="AB31" s="726"/>
      <c r="AC31" s="726"/>
      <c r="AD31" s="726"/>
      <c r="AE31" s="726"/>
      <c r="AF31" s="726"/>
      <c r="AG31" s="726"/>
      <c r="AH31" s="726"/>
      <c r="AI31" s="726"/>
      <c r="AJ31" s="726"/>
      <c r="AK31" s="726"/>
      <c r="AL31" s="726"/>
      <c r="AM31" s="726"/>
      <c r="AN31" s="726"/>
      <c r="AO31" s="726"/>
      <c r="AP31" s="726"/>
      <c r="AQ31" s="726"/>
      <c r="AR31" s="726"/>
      <c r="AS31" s="726"/>
      <c r="AT31" s="726"/>
      <c r="AU31" s="726"/>
      <c r="AV31" s="726"/>
      <c r="AW31" s="726"/>
      <c r="AX31" s="726"/>
      <c r="AY31" s="726"/>
    </row>
    <row r="32" spans="1:51" s="727" customFormat="1" ht="15.75" customHeight="1">
      <c r="A32" s="723">
        <v>45525</v>
      </c>
      <c r="B32" s="724" t="s">
        <v>204</v>
      </c>
      <c r="C32" s="731" t="s">
        <v>174</v>
      </c>
      <c r="D32" s="732" t="s">
        <v>214</v>
      </c>
      <c r="E32" s="724">
        <v>8</v>
      </c>
      <c r="F32" s="724">
        <v>3.22</v>
      </c>
      <c r="G32" s="728">
        <f>E32-F32</f>
        <v>4.7799999999999994</v>
      </c>
      <c r="H32" s="1017"/>
      <c r="I32" s="724">
        <v>0.11</v>
      </c>
      <c r="J32" s="725"/>
      <c r="K32" s="730"/>
      <c r="L32" s="724"/>
      <c r="M32" s="724"/>
      <c r="N32" s="728"/>
      <c r="O32" s="725"/>
      <c r="P32" s="725"/>
      <c r="Q32" s="725"/>
      <c r="R32" s="725"/>
      <c r="S32" s="980"/>
      <c r="T32" s="725"/>
      <c r="U32" s="725"/>
      <c r="V32" s="980"/>
      <c r="W32" s="726"/>
      <c r="X32" s="726"/>
      <c r="Y32" s="726"/>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row>
    <row r="33" spans="1:51" s="727" customFormat="1" ht="15.75" customHeight="1">
      <c r="A33" s="723"/>
      <c r="B33" s="724"/>
      <c r="C33" s="731"/>
      <c r="D33" s="732"/>
      <c r="E33" s="724"/>
      <c r="F33" s="724"/>
      <c r="G33" s="728"/>
      <c r="H33" s="729"/>
      <c r="I33" s="724"/>
      <c r="J33" s="724"/>
      <c r="K33" s="730"/>
      <c r="L33" s="724"/>
      <c r="M33" s="724"/>
      <c r="N33" s="728"/>
      <c r="O33" s="725"/>
      <c r="P33" s="725"/>
      <c r="Q33" s="725"/>
      <c r="R33" s="725"/>
      <c r="S33" s="980"/>
      <c r="T33" s="725"/>
      <c r="U33" s="725"/>
      <c r="V33" s="980"/>
      <c r="W33" s="726"/>
      <c r="X33" s="726"/>
      <c r="Y33" s="726"/>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row>
    <row r="34" spans="1:51" s="727" customFormat="1" ht="15.75" customHeight="1">
      <c r="A34" s="723"/>
      <c r="B34" s="724"/>
      <c r="C34" s="731"/>
      <c r="D34" s="732"/>
      <c r="E34" s="724"/>
      <c r="F34" s="724"/>
      <c r="G34" s="728"/>
      <c r="H34" s="729"/>
      <c r="I34" s="724"/>
      <c r="J34" s="724"/>
      <c r="K34" s="730"/>
      <c r="L34" s="724"/>
      <c r="M34" s="724"/>
      <c r="N34" s="728"/>
      <c r="O34" s="725"/>
      <c r="P34" s="725"/>
      <c r="Q34" s="725"/>
      <c r="R34" s="725"/>
      <c r="S34" s="980"/>
      <c r="T34" s="725"/>
      <c r="U34" s="725"/>
      <c r="V34" s="980"/>
      <c r="W34" s="726"/>
      <c r="X34" s="726"/>
      <c r="Y34" s="726"/>
      <c r="Z34" s="726"/>
      <c r="AA34" s="726"/>
      <c r="AB34" s="726"/>
      <c r="AC34" s="726"/>
      <c r="AD34" s="726"/>
      <c r="AE34" s="726"/>
      <c r="AF34" s="726"/>
      <c r="AG34" s="726"/>
      <c r="AH34" s="726"/>
      <c r="AI34" s="726"/>
      <c r="AJ34" s="726"/>
      <c r="AK34" s="726"/>
      <c r="AL34" s="726"/>
      <c r="AM34" s="726"/>
      <c r="AN34" s="726"/>
      <c r="AO34" s="726"/>
      <c r="AP34" s="726"/>
      <c r="AQ34" s="726"/>
      <c r="AR34" s="726"/>
      <c r="AS34" s="726"/>
      <c r="AT34" s="726"/>
      <c r="AU34" s="726"/>
      <c r="AV34" s="726"/>
      <c r="AW34" s="726"/>
      <c r="AX34" s="726"/>
      <c r="AY34" s="726"/>
    </row>
    <row r="35" spans="1:51" ht="15.75" customHeight="1" thickBot="1">
      <c r="A35" s="1016"/>
      <c r="B35" s="152"/>
      <c r="C35" s="152"/>
      <c r="D35" s="152"/>
      <c r="E35" s="153"/>
      <c r="F35" s="153"/>
      <c r="G35" s="152"/>
      <c r="H35" s="152"/>
      <c r="I35" s="152"/>
      <c r="J35" s="152"/>
      <c r="K35" s="152"/>
      <c r="L35" s="152"/>
      <c r="M35" s="152"/>
      <c r="N35" s="152"/>
      <c r="O35" s="152"/>
      <c r="P35" s="152"/>
      <c r="Q35" s="152"/>
      <c r="R35" s="154"/>
      <c r="S35" s="300"/>
      <c r="T35" s="154"/>
      <c r="U35" s="154"/>
      <c r="V35" s="127"/>
      <c r="W35" s="127"/>
      <c r="X35" s="127"/>
      <c r="Y35" s="127"/>
      <c r="Z35" s="127"/>
      <c r="AA35" s="127"/>
      <c r="AB35" s="127"/>
      <c r="AC35" s="127"/>
      <c r="AD35" s="127"/>
      <c r="AE35" s="127"/>
      <c r="AF35" s="127"/>
      <c r="AG35" s="127"/>
      <c r="AH35" s="127"/>
      <c r="AI35" s="127"/>
      <c r="AJ35" s="127"/>
      <c r="AK35" s="127"/>
      <c r="AL35" s="127"/>
      <c r="AM35" s="127"/>
      <c r="AN35" s="127"/>
      <c r="AO35" s="127"/>
      <c r="AP35" s="127"/>
      <c r="AQ35" s="127"/>
      <c r="AR35" s="127"/>
      <c r="AS35" s="127"/>
      <c r="AT35" s="127"/>
      <c r="AU35" s="127"/>
      <c r="AV35" s="127"/>
      <c r="AW35" s="127"/>
      <c r="AX35" s="127"/>
      <c r="AY35" s="127"/>
    </row>
    <row r="36" spans="1:51" ht="15.75" customHeight="1">
      <c r="A36" s="253" t="s">
        <v>42</v>
      </c>
      <c r="B36" s="254"/>
      <c r="C36" s="257" t="s">
        <v>43</v>
      </c>
      <c r="D36" s="257"/>
      <c r="E36" s="155" t="s">
        <v>44</v>
      </c>
      <c r="F36" s="156"/>
      <c r="G36" s="155" t="s">
        <v>45</v>
      </c>
      <c r="H36" s="156"/>
      <c r="I36" s="157" t="s">
        <v>46</v>
      </c>
      <c r="J36" s="127"/>
      <c r="K36" s="127"/>
      <c r="L36" s="127"/>
      <c r="M36" s="127"/>
      <c r="N36" s="127"/>
      <c r="O36" s="127"/>
      <c r="P36" s="127"/>
      <c r="Q36" s="146"/>
      <c r="R36" s="147"/>
      <c r="S36" s="147"/>
      <c r="T36" s="147"/>
      <c r="U36" s="154"/>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row>
    <row r="37" spans="1:51" ht="15.75" customHeight="1">
      <c r="A37" s="255"/>
      <c r="B37" s="256"/>
      <c r="C37" s="158" t="s">
        <v>47</v>
      </c>
      <c r="D37" s="158" t="s">
        <v>48</v>
      </c>
      <c r="E37" s="159">
        <f>A25</f>
        <v>45160</v>
      </c>
      <c r="F37" s="160"/>
      <c r="G37" s="161">
        <f>A30</f>
        <v>45399</v>
      </c>
      <c r="H37" s="160"/>
      <c r="I37" s="162">
        <v>45525</v>
      </c>
      <c r="J37" s="127"/>
      <c r="K37" s="127"/>
      <c r="L37" s="127"/>
      <c r="M37" s="127"/>
      <c r="N37" s="127"/>
      <c r="O37" s="127"/>
      <c r="P37" s="127"/>
      <c r="Q37" s="146"/>
      <c r="R37" s="147"/>
      <c r="S37" s="147"/>
      <c r="T37" s="147"/>
      <c r="U37" s="154"/>
      <c r="V37" s="127"/>
      <c r="W37" s="127"/>
      <c r="X37" s="127"/>
      <c r="Y37" s="127"/>
      <c r="Z37" s="127"/>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row>
    <row r="38" spans="1:51" ht="15.75" customHeight="1">
      <c r="A38" s="163"/>
      <c r="B38" s="164" t="s">
        <v>50</v>
      </c>
      <c r="C38" s="165">
        <f>J30*K30</f>
        <v>1.4791999999999998</v>
      </c>
      <c r="D38" s="165"/>
      <c r="E38" s="166"/>
      <c r="F38" s="166"/>
      <c r="G38" s="167"/>
      <c r="H38" s="165"/>
      <c r="I38" s="168"/>
      <c r="J38" s="127"/>
      <c r="K38" s="127"/>
      <c r="L38" s="127"/>
      <c r="M38" s="127"/>
      <c r="N38" s="127"/>
      <c r="O38" s="127"/>
      <c r="P38" s="127"/>
      <c r="Q38" s="146"/>
      <c r="R38" s="147"/>
      <c r="S38" s="147"/>
      <c r="T38" s="147"/>
      <c r="U38" s="154"/>
      <c r="V38" s="127"/>
      <c r="W38" s="127"/>
      <c r="X38" s="127"/>
      <c r="Y38" s="127"/>
      <c r="Z38" s="127"/>
      <c r="AA38" s="127"/>
      <c r="AB38" s="127"/>
      <c r="AC38" s="127"/>
      <c r="AD38" s="127"/>
      <c r="AE38" s="127"/>
      <c r="AF38" s="127"/>
      <c r="AG38" s="127"/>
      <c r="AH38" s="127"/>
      <c r="AI38" s="127"/>
      <c r="AJ38" s="127"/>
      <c r="AK38" s="127"/>
      <c r="AL38" s="127"/>
      <c r="AM38" s="127"/>
      <c r="AN38" s="127"/>
      <c r="AO38" s="127"/>
      <c r="AP38" s="127"/>
      <c r="AQ38" s="127"/>
      <c r="AR38" s="127"/>
      <c r="AS38" s="127"/>
      <c r="AT38" s="127"/>
      <c r="AU38" s="127"/>
      <c r="AV38" s="127"/>
      <c r="AW38" s="127"/>
      <c r="AX38" s="127"/>
      <c r="AY38" s="127"/>
    </row>
    <row r="39" spans="1:51" ht="15.75" customHeight="1">
      <c r="A39" s="163"/>
      <c r="B39" s="164" t="s">
        <v>51</v>
      </c>
      <c r="C39" s="165">
        <f>C40-C38</f>
        <v>-1.4791999999999998</v>
      </c>
      <c r="D39" s="165"/>
      <c r="E39" s="166"/>
      <c r="F39" s="166"/>
      <c r="G39" s="167"/>
      <c r="H39" s="165"/>
      <c r="I39" s="168"/>
      <c r="J39" s="127"/>
      <c r="K39" s="127"/>
      <c r="L39" s="127"/>
      <c r="M39" s="127"/>
      <c r="N39" s="127"/>
      <c r="O39" s="127"/>
      <c r="P39" s="127"/>
      <c r="Q39" s="146"/>
      <c r="R39" s="147"/>
      <c r="S39" s="147"/>
      <c r="T39" s="147"/>
      <c r="U39" s="154"/>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row>
    <row r="40" spans="1:51" ht="15.75" customHeight="1">
      <c r="A40" s="163"/>
      <c r="B40" s="164" t="s">
        <v>52</v>
      </c>
      <c r="C40" s="165">
        <f>J32*K32</f>
        <v>0</v>
      </c>
      <c r="D40" s="165"/>
      <c r="E40" s="166"/>
      <c r="F40" s="166"/>
      <c r="G40" s="167"/>
      <c r="H40" s="165"/>
      <c r="I40" s="168"/>
      <c r="J40" s="127"/>
      <c r="K40" s="127"/>
      <c r="L40" s="127"/>
      <c r="M40" s="127"/>
      <c r="N40" s="127"/>
      <c r="O40" s="127"/>
      <c r="P40" s="127"/>
      <c r="Q40" s="146"/>
      <c r="R40" s="147"/>
      <c r="S40" s="147"/>
      <c r="T40" s="147"/>
      <c r="U40" s="154"/>
      <c r="V40" s="127"/>
      <c r="W40" s="127"/>
      <c r="X40" s="127"/>
      <c r="Y40" s="127"/>
      <c r="Z40" s="127"/>
      <c r="AA40" s="127"/>
      <c r="AB40" s="127"/>
      <c r="AC40" s="127"/>
      <c r="AD40" s="127"/>
      <c r="AE40" s="127"/>
      <c r="AF40" s="127"/>
      <c r="AG40" s="127"/>
      <c r="AH40" s="127"/>
      <c r="AI40" s="127"/>
      <c r="AJ40" s="127"/>
      <c r="AK40" s="127"/>
      <c r="AL40" s="127"/>
      <c r="AM40" s="127"/>
      <c r="AN40" s="127"/>
      <c r="AO40" s="127"/>
      <c r="AP40" s="127"/>
      <c r="AQ40" s="127"/>
      <c r="AR40" s="127"/>
      <c r="AS40" s="127"/>
      <c r="AT40" s="127"/>
      <c r="AU40" s="127"/>
      <c r="AV40" s="127"/>
      <c r="AW40" s="127"/>
      <c r="AX40" s="127"/>
      <c r="AY40" s="127"/>
    </row>
    <row r="41" spans="1:51" ht="15.75" customHeight="1">
      <c r="A41" s="163"/>
      <c r="B41" s="113" t="s">
        <v>53</v>
      </c>
      <c r="C41" s="165">
        <v>0</v>
      </c>
      <c r="D41" s="165"/>
      <c r="E41" s="166"/>
      <c r="F41" s="166"/>
      <c r="G41" s="165"/>
      <c r="H41" s="165"/>
      <c r="I41" s="168"/>
      <c r="J41" s="127"/>
      <c r="K41" s="127"/>
      <c r="L41" s="127"/>
      <c r="M41" s="127"/>
      <c r="N41" s="127"/>
      <c r="O41" s="127"/>
      <c r="P41" s="127"/>
      <c r="Q41" s="146"/>
      <c r="R41" s="147"/>
      <c r="S41" s="147"/>
      <c r="T41" s="147"/>
      <c r="U41" s="154"/>
      <c r="V41" s="127"/>
      <c r="W41" s="127"/>
      <c r="X41" s="127"/>
      <c r="Y41" s="127"/>
      <c r="Z41" s="127"/>
      <c r="AA41" s="127"/>
      <c r="AB41" s="127"/>
      <c r="AC41" s="127"/>
      <c r="AD41" s="127"/>
      <c r="AE41" s="127"/>
      <c r="AF41" s="127"/>
      <c r="AG41" s="127"/>
      <c r="AH41" s="127"/>
      <c r="AI41" s="127"/>
      <c r="AJ41" s="127"/>
      <c r="AK41" s="127"/>
      <c r="AL41" s="127"/>
      <c r="AM41" s="127"/>
      <c r="AN41" s="127"/>
      <c r="AO41" s="127"/>
      <c r="AP41" s="127"/>
      <c r="AQ41" s="127"/>
      <c r="AR41" s="127"/>
      <c r="AS41" s="127"/>
      <c r="AT41" s="127"/>
      <c r="AU41" s="127"/>
      <c r="AV41" s="127"/>
      <c r="AW41" s="127"/>
      <c r="AX41" s="127"/>
      <c r="AY41" s="127"/>
    </row>
    <row r="42" spans="1:51" ht="15.75" customHeight="1">
      <c r="A42" s="163"/>
      <c r="B42" s="113" t="s">
        <v>54</v>
      </c>
      <c r="C42" s="165">
        <f>R26</f>
        <v>-0.29580000000000006</v>
      </c>
      <c r="D42" s="165"/>
      <c r="E42" s="166"/>
      <c r="F42" s="166"/>
      <c r="G42" s="165"/>
      <c r="H42" s="165"/>
      <c r="I42" s="168"/>
      <c r="J42" s="127"/>
      <c r="K42" s="127"/>
      <c r="L42" s="127"/>
      <c r="M42" s="127"/>
      <c r="N42" s="127"/>
      <c r="O42" s="127"/>
      <c r="P42" s="127"/>
      <c r="Q42" s="146"/>
      <c r="R42" s="147"/>
      <c r="S42" s="147"/>
      <c r="T42" s="147"/>
      <c r="U42" s="154"/>
      <c r="V42" s="127"/>
      <c r="W42" s="127"/>
      <c r="X42" s="127"/>
      <c r="Y42" s="127"/>
      <c r="Z42" s="127"/>
      <c r="AA42" s="127"/>
      <c r="AB42" s="127"/>
      <c r="AC42" s="127"/>
      <c r="AD42" s="127"/>
      <c r="AE42" s="127"/>
      <c r="AF42" s="127"/>
      <c r="AG42" s="127"/>
      <c r="AH42" s="127"/>
      <c r="AI42" s="127"/>
      <c r="AJ42" s="127"/>
      <c r="AK42" s="127"/>
      <c r="AL42" s="127"/>
      <c r="AM42" s="127"/>
      <c r="AN42" s="127"/>
      <c r="AO42" s="127"/>
      <c r="AP42" s="127"/>
      <c r="AQ42" s="127"/>
      <c r="AR42" s="127"/>
      <c r="AS42" s="127"/>
      <c r="AT42" s="127"/>
      <c r="AU42" s="127"/>
      <c r="AV42" s="127"/>
      <c r="AW42" s="127"/>
      <c r="AX42" s="127"/>
      <c r="AY42" s="127"/>
    </row>
    <row r="43" spans="1:51" ht="15.75" customHeight="1" thickBot="1">
      <c r="A43" s="91"/>
      <c r="B43" s="114" t="s">
        <v>55</v>
      </c>
      <c r="C43" s="93">
        <v>0</v>
      </c>
      <c r="D43" s="93"/>
      <c r="E43" s="94"/>
      <c r="F43" s="94"/>
      <c r="G43" s="95"/>
      <c r="H43" s="95"/>
      <c r="I43" s="96"/>
      <c r="Q43" s="48"/>
      <c r="R43" s="21"/>
      <c r="S43" s="21"/>
      <c r="T43" s="16"/>
      <c r="U43" s="7"/>
    </row>
    <row r="44" spans="1:51" ht="15.75" customHeight="1">
      <c r="A44" s="7"/>
      <c r="B44" s="7"/>
      <c r="C44" s="7"/>
      <c r="D44" s="7"/>
      <c r="E44" s="7"/>
      <c r="F44" s="7"/>
      <c r="G44" s="7"/>
      <c r="H44" s="7"/>
      <c r="I44" s="7"/>
      <c r="J44" s="7"/>
      <c r="K44" s="7"/>
      <c r="L44" s="7"/>
      <c r="M44" s="7"/>
      <c r="N44" s="7"/>
      <c r="O44" s="7"/>
      <c r="P44" s="7"/>
      <c r="Q44" s="16"/>
      <c r="R44" s="16"/>
      <c r="S44" s="16"/>
      <c r="T44" s="16"/>
      <c r="U44" s="7"/>
    </row>
  </sheetData>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3"/>
  <sheetViews>
    <sheetView zoomScale="90" zoomScaleNormal="90" workbookViewId="0">
      <selection activeCell="P17" sqref="P17"/>
    </sheetView>
  </sheetViews>
  <sheetFormatPr defaultColWidth="17.28515625" defaultRowHeight="15.75" customHeight="1"/>
  <cols>
    <col min="1" max="1" width="11.85546875" style="20" bestFit="1" customWidth="1"/>
    <col min="2" max="2" width="19.85546875" style="20" customWidth="1"/>
    <col min="3" max="3" width="10.85546875" style="20" customWidth="1"/>
    <col min="4" max="4" width="13.85546875" style="20" customWidth="1"/>
    <col min="5" max="5" width="11.7109375" style="20" customWidth="1"/>
    <col min="6" max="6" width="12.5703125" style="20" customWidth="1"/>
    <col min="7" max="7" width="13.5703125" style="20" customWidth="1"/>
    <col min="8" max="8" width="9.7109375" style="20" customWidth="1"/>
    <col min="9" max="9" width="15.28515625" style="20" customWidth="1"/>
    <col min="10" max="10" width="17.85546875" style="20" customWidth="1"/>
    <col min="11" max="11" width="14.7109375" style="20" bestFit="1" customWidth="1"/>
    <col min="12" max="12" width="15.5703125" style="20" customWidth="1"/>
    <col min="13" max="13" width="17.140625" style="20" customWidth="1"/>
    <col min="14" max="14" width="10" style="20" customWidth="1"/>
    <col min="15" max="17" width="7.140625" style="20" bestFit="1" customWidth="1"/>
    <col min="18" max="18" width="10.5703125" style="20" customWidth="1"/>
    <col min="19" max="19" width="13.7109375" style="20" customWidth="1"/>
    <col min="20" max="20" width="12.140625" style="20" customWidth="1"/>
    <col min="21" max="21" width="13.140625" style="20" customWidth="1"/>
    <col min="22" max="22" width="10.7109375" style="20" bestFit="1" customWidth="1"/>
    <col min="23" max="23" width="26.28515625" style="20" bestFit="1" customWidth="1"/>
    <col min="24" max="16384" width="17.28515625" style="20"/>
  </cols>
  <sheetData>
    <row r="1" spans="1:24" ht="15" customHeight="1">
      <c r="A1" s="169"/>
      <c r="B1" s="170"/>
      <c r="C1" s="171"/>
      <c r="D1" s="172"/>
      <c r="E1" s="173"/>
      <c r="F1" s="174"/>
      <c r="G1" s="175"/>
      <c r="H1" s="176"/>
      <c r="I1" s="175"/>
      <c r="J1" s="177"/>
      <c r="K1" s="174"/>
      <c r="L1" s="178"/>
      <c r="M1" s="179"/>
      <c r="N1" s="175"/>
      <c r="O1" s="180"/>
      <c r="P1" s="181"/>
      <c r="Q1" s="181"/>
      <c r="R1" s="181"/>
      <c r="S1" s="182"/>
      <c r="T1" s="1040" t="s">
        <v>11</v>
      </c>
      <c r="U1" s="1041"/>
      <c r="V1" s="1042"/>
      <c r="W1" s="183"/>
      <c r="X1" s="127"/>
    </row>
    <row r="2" spans="1:24" ht="15" customHeight="1">
      <c r="A2" s="115"/>
      <c r="B2" s="116"/>
      <c r="C2" s="117"/>
      <c r="D2" s="184"/>
      <c r="E2" s="249"/>
      <c r="F2" s="250"/>
      <c r="G2" s="185"/>
      <c r="H2" s="186"/>
      <c r="I2" s="185"/>
      <c r="J2" s="120"/>
      <c r="K2" s="152"/>
      <c r="L2" s="187"/>
      <c r="M2" s="188"/>
      <c r="N2" s="120"/>
      <c r="O2" s="151"/>
      <c r="P2" s="127"/>
      <c r="Q2" s="127"/>
      <c r="R2" s="127"/>
      <c r="S2" s="149"/>
      <c r="T2" s="1043" t="s">
        <v>12</v>
      </c>
      <c r="U2" s="1044"/>
      <c r="V2" s="251"/>
      <c r="W2" s="189"/>
      <c r="X2" s="127"/>
    </row>
    <row r="3" spans="1:24" ht="15" customHeight="1">
      <c r="A3" s="115"/>
      <c r="B3" s="116"/>
      <c r="C3" s="117"/>
      <c r="D3" s="118"/>
      <c r="E3" s="1045" t="s">
        <v>13</v>
      </c>
      <c r="F3" s="1046"/>
      <c r="G3" s="1047"/>
      <c r="H3" s="119"/>
      <c r="I3" s="250"/>
      <c r="J3" s="120"/>
      <c r="K3" s="250"/>
      <c r="L3" s="121"/>
      <c r="M3" s="122"/>
      <c r="N3" s="120"/>
      <c r="O3" s="123"/>
      <c r="P3" s="120"/>
      <c r="Q3" s="120"/>
      <c r="R3" s="124"/>
      <c r="S3" s="125"/>
      <c r="T3" s="1048" t="s">
        <v>14</v>
      </c>
      <c r="U3" s="1049"/>
      <c r="V3" s="251"/>
      <c r="W3" s="126"/>
      <c r="X3" s="127"/>
    </row>
    <row r="4" spans="1:24" s="746" customFormat="1" ht="42.75">
      <c r="A4" s="735" t="s">
        <v>15</v>
      </c>
      <c r="B4" s="734" t="s">
        <v>16</v>
      </c>
      <c r="C4" s="733" t="s">
        <v>17</v>
      </c>
      <c r="D4" s="736" t="s">
        <v>18</v>
      </c>
      <c r="E4" s="737" t="s">
        <v>19</v>
      </c>
      <c r="F4" s="734" t="s">
        <v>20</v>
      </c>
      <c r="G4" s="738" t="s">
        <v>21</v>
      </c>
      <c r="H4" s="739" t="s">
        <v>22</v>
      </c>
      <c r="I4" s="738" t="s">
        <v>23</v>
      </c>
      <c r="J4" s="738" t="s">
        <v>24</v>
      </c>
      <c r="K4" s="734" t="s">
        <v>25</v>
      </c>
      <c r="L4" s="190" t="s">
        <v>26</v>
      </c>
      <c r="M4" s="191" t="s">
        <v>27</v>
      </c>
      <c r="N4" s="738" t="s">
        <v>28</v>
      </c>
      <c r="O4" s="740" t="s">
        <v>60</v>
      </c>
      <c r="P4" s="738" t="s">
        <v>61</v>
      </c>
      <c r="Q4" s="738" t="s">
        <v>62</v>
      </c>
      <c r="R4" s="741" t="s">
        <v>3</v>
      </c>
      <c r="S4" s="742" t="s">
        <v>4</v>
      </c>
      <c r="T4" s="743" t="s">
        <v>32</v>
      </c>
      <c r="U4" s="743" t="s">
        <v>33</v>
      </c>
      <c r="V4" s="744" t="s">
        <v>0</v>
      </c>
      <c r="W4" s="733" t="s">
        <v>34</v>
      </c>
      <c r="X4" s="745"/>
    </row>
    <row r="5" spans="1:24" ht="15.75" customHeight="1" thickBot="1">
      <c r="A5" s="129" t="s">
        <v>35</v>
      </c>
      <c r="B5" s="130"/>
      <c r="C5" s="131"/>
      <c r="D5" s="132"/>
      <c r="E5" s="133" t="s">
        <v>36</v>
      </c>
      <c r="F5" s="133" t="s">
        <v>36</v>
      </c>
      <c r="G5" s="133" t="s">
        <v>36</v>
      </c>
      <c r="H5" s="192" t="s">
        <v>36</v>
      </c>
      <c r="I5" s="192" t="s">
        <v>36</v>
      </c>
      <c r="J5" s="133" t="s">
        <v>36</v>
      </c>
      <c r="K5" s="136" t="s">
        <v>37</v>
      </c>
      <c r="L5" s="193" t="s">
        <v>36</v>
      </c>
      <c r="M5" s="138" t="s">
        <v>36</v>
      </c>
      <c r="N5" s="138" t="s">
        <v>37</v>
      </c>
      <c r="O5" s="139" t="s">
        <v>38</v>
      </c>
      <c r="P5" s="140" t="s">
        <v>38</v>
      </c>
      <c r="Q5" s="140" t="s">
        <v>38</v>
      </c>
      <c r="R5" s="141" t="s">
        <v>38</v>
      </c>
      <c r="S5" s="142" t="s">
        <v>38</v>
      </c>
      <c r="T5" s="143" t="s">
        <v>36</v>
      </c>
      <c r="U5" s="143" t="s">
        <v>36</v>
      </c>
      <c r="V5" s="144" t="s">
        <v>36</v>
      </c>
      <c r="W5" s="145"/>
      <c r="X5" s="127"/>
    </row>
    <row r="6" spans="1:24" s="353" customFormat="1" ht="15" customHeight="1">
      <c r="A6" s="338">
        <v>44670</v>
      </c>
      <c r="B6" s="339" t="s">
        <v>79</v>
      </c>
      <c r="C6" s="340" t="s">
        <v>88</v>
      </c>
      <c r="D6" s="341" t="s">
        <v>83</v>
      </c>
      <c r="E6" s="342">
        <v>9.15</v>
      </c>
      <c r="F6" s="342">
        <v>0.12</v>
      </c>
      <c r="G6" s="343">
        <f>E6-F6</f>
        <v>9.0300000000000011</v>
      </c>
      <c r="H6" s="344"/>
      <c r="I6" s="345"/>
      <c r="J6" s="346">
        <v>4</v>
      </c>
      <c r="K6" s="347">
        <v>0.39</v>
      </c>
      <c r="L6" s="348">
        <f>G6-J6</f>
        <v>5.0300000000000011</v>
      </c>
      <c r="M6" s="346"/>
      <c r="N6" s="349"/>
      <c r="O6" s="347"/>
      <c r="P6" s="346">
        <f>J6*K6</f>
        <v>1.56</v>
      </c>
      <c r="Q6" s="347"/>
      <c r="R6" s="346"/>
      <c r="S6" s="350"/>
      <c r="T6" s="346"/>
      <c r="U6" s="346"/>
      <c r="V6" s="350"/>
      <c r="W6" s="351"/>
      <c r="X6" s="352"/>
    </row>
    <row r="7" spans="1:24" s="353" customFormat="1" ht="15" customHeight="1">
      <c r="A7" s="338">
        <v>44795</v>
      </c>
      <c r="B7" s="339" t="s">
        <v>92</v>
      </c>
      <c r="C7" s="340" t="s">
        <v>88</v>
      </c>
      <c r="D7" s="341" t="s">
        <v>57</v>
      </c>
      <c r="E7" s="342">
        <v>9.15</v>
      </c>
      <c r="F7" s="342">
        <f>E7-G7</f>
        <v>2.7200000000000006</v>
      </c>
      <c r="G7" s="343">
        <v>6.43</v>
      </c>
      <c r="H7" s="344"/>
      <c r="I7" s="345"/>
      <c r="J7" s="346">
        <v>0.56000000000000005</v>
      </c>
      <c r="K7" s="347">
        <v>0.5</v>
      </c>
      <c r="L7" s="348"/>
      <c r="M7" s="346"/>
      <c r="N7" s="349"/>
      <c r="O7" s="347"/>
      <c r="P7" s="346"/>
      <c r="Q7" s="347"/>
      <c r="R7" s="346"/>
      <c r="S7" s="350">
        <f>J7*K7</f>
        <v>0.28000000000000003</v>
      </c>
      <c r="T7" s="346"/>
      <c r="U7" s="346"/>
      <c r="V7" s="350"/>
      <c r="W7" s="351"/>
      <c r="X7" s="352"/>
    </row>
    <row r="8" spans="1:24" s="373" customFormat="1" ht="15" customHeight="1">
      <c r="A8" s="364">
        <v>44795</v>
      </c>
      <c r="B8" s="365" t="s">
        <v>92</v>
      </c>
      <c r="C8" s="366" t="s">
        <v>88</v>
      </c>
      <c r="D8" s="367" t="s">
        <v>63</v>
      </c>
      <c r="E8" s="365">
        <v>9.15</v>
      </c>
      <c r="F8" s="371">
        <f>E8-G8</f>
        <v>3.2800000000000011</v>
      </c>
      <c r="G8" s="372">
        <f>G7-J7</f>
        <v>5.8699999999999992</v>
      </c>
      <c r="H8" s="369"/>
      <c r="I8" s="365"/>
      <c r="J8" s="365">
        <v>0.87</v>
      </c>
      <c r="K8" s="370">
        <v>0.72</v>
      </c>
      <c r="L8" s="393">
        <f>G8-J8</f>
        <v>4.9999999999999991</v>
      </c>
      <c r="M8" s="365"/>
      <c r="N8" s="368"/>
      <c r="O8" s="370">
        <f>Q8-P6</f>
        <v>-0.9336000000000001</v>
      </c>
      <c r="P8" s="371"/>
      <c r="Q8" s="370">
        <f>J8*K8</f>
        <v>0.62639999999999996</v>
      </c>
      <c r="R8" s="371"/>
      <c r="S8" s="372"/>
      <c r="T8" s="371"/>
      <c r="U8" s="371"/>
      <c r="V8" s="372"/>
      <c r="W8" s="366"/>
      <c r="X8" s="365"/>
    </row>
    <row r="9" spans="1:24" s="353" customFormat="1" ht="15" customHeight="1">
      <c r="A9" s="364">
        <v>45161</v>
      </c>
      <c r="B9" s="365" t="s">
        <v>96</v>
      </c>
      <c r="C9" s="366" t="s">
        <v>88</v>
      </c>
      <c r="D9" s="367" t="s">
        <v>68</v>
      </c>
      <c r="E9" s="365">
        <v>10.5</v>
      </c>
      <c r="F9" s="365">
        <f>1.35+0.56</f>
        <v>1.9100000000000001</v>
      </c>
      <c r="G9" s="368">
        <f>E9-F9</f>
        <v>8.59</v>
      </c>
      <c r="H9" s="392">
        <f>G9-G8</f>
        <v>2.7200000000000006</v>
      </c>
      <c r="I9" s="352"/>
      <c r="J9" s="365">
        <v>2.0699999999999998</v>
      </c>
      <c r="K9" s="354"/>
      <c r="L9" s="367">
        <f>G9-J9</f>
        <v>6.52</v>
      </c>
      <c r="M9" s="352"/>
      <c r="N9" s="356"/>
      <c r="O9" s="358"/>
      <c r="P9" s="359"/>
      <c r="Q9" s="358"/>
      <c r="R9" s="371"/>
      <c r="S9" s="372"/>
      <c r="T9" s="371"/>
      <c r="U9" s="371"/>
      <c r="V9" s="372"/>
      <c r="W9" s="354"/>
      <c r="X9" s="352"/>
    </row>
    <row r="10" spans="1:24" s="373" customFormat="1" ht="15" customHeight="1">
      <c r="A10" s="364">
        <v>45161</v>
      </c>
      <c r="B10" s="365" t="s">
        <v>96</v>
      </c>
      <c r="C10" s="366" t="s">
        <v>88</v>
      </c>
      <c r="D10" s="367" t="s">
        <v>68</v>
      </c>
      <c r="E10" s="365">
        <v>12.2</v>
      </c>
      <c r="F10" s="365">
        <f>E10-G10</f>
        <v>3.6099999999999994</v>
      </c>
      <c r="G10" s="368">
        <f>G9</f>
        <v>8.59</v>
      </c>
      <c r="H10" s="369"/>
      <c r="I10" s="365"/>
      <c r="J10" s="365"/>
      <c r="K10" s="366">
        <v>0.56999999999999995</v>
      </c>
      <c r="L10" s="367"/>
      <c r="M10" s="365"/>
      <c r="N10" s="368"/>
      <c r="O10" s="370"/>
      <c r="P10" s="371"/>
      <c r="Q10" s="370">
        <f>J9*K10</f>
        <v>1.1798999999999997</v>
      </c>
      <c r="R10" s="371">
        <v>0</v>
      </c>
      <c r="S10" s="372">
        <v>0</v>
      </c>
      <c r="T10" s="371"/>
      <c r="U10" s="371"/>
      <c r="V10" s="372"/>
      <c r="W10" s="365"/>
      <c r="X10" s="365"/>
    </row>
    <row r="11" spans="1:24" s="353" customFormat="1" ht="15" customHeight="1">
      <c r="A11" s="364">
        <v>45401</v>
      </c>
      <c r="B11" s="365" t="s">
        <v>179</v>
      </c>
      <c r="C11" s="366" t="s">
        <v>88</v>
      </c>
      <c r="D11" s="367" t="s">
        <v>39</v>
      </c>
      <c r="E11" s="365">
        <v>12.2</v>
      </c>
      <c r="F11" s="365">
        <v>0.16</v>
      </c>
      <c r="G11" s="368">
        <f>E11-F11</f>
        <v>12.04</v>
      </c>
      <c r="H11" s="369">
        <f>G11-G10</f>
        <v>3.4499999999999993</v>
      </c>
      <c r="I11" s="352"/>
      <c r="J11" s="365">
        <v>3.94</v>
      </c>
      <c r="K11" s="354"/>
      <c r="L11" s="355">
        <f>G11-J11</f>
        <v>8.1</v>
      </c>
      <c r="M11" s="352"/>
      <c r="N11" s="356"/>
      <c r="O11" s="358"/>
      <c r="P11" s="359"/>
      <c r="Q11" s="358"/>
      <c r="R11" s="371">
        <f>(H11-J11)*K10</f>
        <v>-0.27930000000000033</v>
      </c>
      <c r="S11" s="372"/>
      <c r="T11" s="371">
        <v>577242.46400000004</v>
      </c>
      <c r="U11" s="371">
        <v>7017562.3720000004</v>
      </c>
      <c r="V11" s="372">
        <v>1868.075</v>
      </c>
      <c r="W11" s="352"/>
      <c r="X11" s="352"/>
    </row>
    <row r="12" spans="1:24" s="353" customFormat="1" ht="15" customHeight="1">
      <c r="A12" s="364">
        <v>45524</v>
      </c>
      <c r="B12" s="365" t="s">
        <v>103</v>
      </c>
      <c r="C12" s="366" t="s">
        <v>88</v>
      </c>
      <c r="D12" s="367" t="s">
        <v>203</v>
      </c>
      <c r="E12" s="365">
        <v>12.2</v>
      </c>
      <c r="F12" s="365">
        <v>3.07</v>
      </c>
      <c r="G12" s="368">
        <v>9.1300000000000008</v>
      </c>
      <c r="H12" s="369">
        <f>G12-G11</f>
        <v>-2.9099999999999984</v>
      </c>
      <c r="I12" s="365">
        <v>1.1499999999999999</v>
      </c>
      <c r="J12" s="365">
        <v>1.1000000000000001</v>
      </c>
      <c r="K12" s="366">
        <v>0.53</v>
      </c>
      <c r="L12" s="355"/>
      <c r="M12" s="352"/>
      <c r="N12" s="356"/>
      <c r="O12" s="358"/>
      <c r="P12" s="359"/>
      <c r="Q12" s="370">
        <f>K12*I12</f>
        <v>0.60949999999999993</v>
      </c>
      <c r="R12" s="371"/>
      <c r="S12" s="372"/>
      <c r="T12" s="371"/>
      <c r="U12" s="371"/>
      <c r="V12" s="372"/>
      <c r="W12" s="352"/>
      <c r="X12" s="352"/>
    </row>
    <row r="13" spans="1:24" s="353" customFormat="1" ht="15" customHeight="1">
      <c r="A13" s="364">
        <v>45524</v>
      </c>
      <c r="B13" s="365" t="s">
        <v>103</v>
      </c>
      <c r="C13" s="366" t="s">
        <v>88</v>
      </c>
      <c r="D13" s="367" t="s">
        <v>57</v>
      </c>
      <c r="E13" s="365">
        <v>12.2</v>
      </c>
      <c r="F13" s="365">
        <f>E13-G13</f>
        <v>3.0399999999999991</v>
      </c>
      <c r="G13" s="368">
        <v>9.16</v>
      </c>
      <c r="H13" s="369">
        <f>G13-G11</f>
        <v>-2.879999999999999</v>
      </c>
      <c r="I13" s="365">
        <v>0.03</v>
      </c>
      <c r="K13" s="366"/>
      <c r="L13" s="355"/>
      <c r="M13" s="352"/>
      <c r="N13" s="356"/>
      <c r="O13" s="358"/>
      <c r="P13" s="359"/>
      <c r="Q13" s="358"/>
      <c r="R13" s="371"/>
      <c r="S13" s="372">
        <f>I13*0.45</f>
        <v>1.35E-2</v>
      </c>
      <c r="T13" s="371">
        <v>577252.79099999997</v>
      </c>
      <c r="U13" s="371">
        <v>7017557.801</v>
      </c>
      <c r="V13" s="372">
        <v>1864.211</v>
      </c>
      <c r="W13" s="352"/>
      <c r="X13" s="352"/>
    </row>
    <row r="14" spans="1:24" s="353" customFormat="1" ht="15" customHeight="1">
      <c r="A14" s="365"/>
      <c r="B14" s="365"/>
      <c r="C14" s="366"/>
      <c r="D14" s="355"/>
      <c r="E14" s="365"/>
      <c r="F14" s="365"/>
      <c r="G14" s="368"/>
      <c r="H14" s="357"/>
      <c r="I14" s="352"/>
      <c r="J14" s="352"/>
      <c r="K14" s="354"/>
      <c r="L14" s="355"/>
      <c r="M14" s="352"/>
      <c r="N14" s="356"/>
      <c r="O14" s="358"/>
      <c r="P14" s="359"/>
      <c r="Q14" s="358"/>
      <c r="R14" s="371"/>
      <c r="S14" s="372"/>
      <c r="T14" s="371"/>
      <c r="U14" s="371"/>
      <c r="V14" s="372"/>
      <c r="W14" s="352"/>
      <c r="X14" s="352"/>
    </row>
    <row r="15" spans="1:24" s="48" customFormat="1" ht="15" customHeight="1">
      <c r="A15" s="146"/>
      <c r="B15" s="146"/>
      <c r="C15" s="771"/>
      <c r="D15" s="772"/>
      <c r="E15" s="282"/>
      <c r="F15" s="282"/>
      <c r="G15" s="296"/>
      <c r="H15" s="773"/>
      <c r="I15" s="146"/>
      <c r="J15" s="146"/>
      <c r="K15" s="771"/>
      <c r="L15" s="772"/>
      <c r="M15" s="146"/>
      <c r="N15" s="301"/>
      <c r="O15" s="774"/>
      <c r="P15" s="775"/>
      <c r="Q15" s="774"/>
      <c r="R15" s="283"/>
      <c r="S15" s="978"/>
      <c r="T15" s="283"/>
      <c r="U15" s="283"/>
      <c r="V15" s="978"/>
      <c r="W15" s="146"/>
      <c r="X15" s="146"/>
    </row>
    <row r="16" spans="1:24" s="779" customFormat="1" ht="15" customHeight="1">
      <c r="A16" s="240">
        <v>45401</v>
      </c>
      <c r="B16" s="239" t="s">
        <v>103</v>
      </c>
      <c r="C16" s="238" t="s">
        <v>182</v>
      </c>
      <c r="D16" s="291" t="s">
        <v>83</v>
      </c>
      <c r="E16" s="239">
        <v>8</v>
      </c>
      <c r="F16" s="239">
        <v>0.7</v>
      </c>
      <c r="G16" s="241">
        <f>E16-F16</f>
        <v>7.3</v>
      </c>
      <c r="H16" s="778"/>
      <c r="I16" s="239"/>
      <c r="J16" s="239">
        <f>'20240419_PitCore_T'!I3</f>
        <v>3.94</v>
      </c>
      <c r="K16" s="238">
        <v>0.42</v>
      </c>
      <c r="L16" s="291">
        <f>G16-J16</f>
        <v>3.36</v>
      </c>
      <c r="M16" s="239"/>
      <c r="N16" s="241"/>
      <c r="O16" s="244"/>
      <c r="P16" s="243">
        <f>K16*J16</f>
        <v>1.6547999999999998</v>
      </c>
      <c r="Q16" s="244"/>
      <c r="R16" s="243"/>
      <c r="S16" s="977"/>
      <c r="T16" s="243">
        <v>577206.05299999996</v>
      </c>
      <c r="U16" s="243">
        <v>7017605.5630000001</v>
      </c>
      <c r="V16" s="977">
        <v>1872.2829999999999</v>
      </c>
      <c r="W16" s="236"/>
      <c r="X16" s="236"/>
    </row>
    <row r="17" spans="1:24" s="1004" customFormat="1" ht="15" customHeight="1">
      <c r="A17" s="240">
        <v>45524</v>
      </c>
      <c r="B17" s="239" t="s">
        <v>103</v>
      </c>
      <c r="C17" s="238" t="s">
        <v>182</v>
      </c>
      <c r="D17" s="291" t="s">
        <v>203</v>
      </c>
      <c r="E17" s="239">
        <v>8</v>
      </c>
      <c r="F17" s="239">
        <v>3.46</v>
      </c>
      <c r="G17" s="241">
        <f>E17-F17</f>
        <v>4.54</v>
      </c>
      <c r="H17" s="242">
        <f>G17-G16</f>
        <v>-2.76</v>
      </c>
      <c r="I17" s="239">
        <v>1.04</v>
      </c>
      <c r="J17" s="239">
        <v>1.1000000000000001</v>
      </c>
      <c r="K17" s="238">
        <v>0.53</v>
      </c>
      <c r="L17" s="291">
        <f>G17-I17</f>
        <v>3.5</v>
      </c>
      <c r="M17" s="239"/>
      <c r="N17" s="241"/>
      <c r="O17" s="244"/>
      <c r="P17" s="243"/>
      <c r="Q17" s="244">
        <f>I17*K17</f>
        <v>0.55120000000000002</v>
      </c>
      <c r="R17" s="243"/>
      <c r="S17" s="977"/>
      <c r="T17" s="243"/>
      <c r="U17" s="243"/>
      <c r="V17" s="977"/>
      <c r="W17" s="239"/>
      <c r="X17" s="239"/>
    </row>
    <row r="18" spans="1:24" s="779" customFormat="1" ht="15" customHeight="1">
      <c r="A18" s="240">
        <v>45524</v>
      </c>
      <c r="B18" s="239" t="s">
        <v>103</v>
      </c>
      <c r="C18" s="238" t="s">
        <v>182</v>
      </c>
      <c r="D18" s="291" t="s">
        <v>57</v>
      </c>
      <c r="E18" s="239">
        <v>10</v>
      </c>
      <c r="F18" s="239">
        <v>5.33</v>
      </c>
      <c r="G18" s="241">
        <f>E18-F18</f>
        <v>4.67</v>
      </c>
      <c r="H18" s="778"/>
      <c r="I18" s="239">
        <v>0.13</v>
      </c>
      <c r="K18" s="238"/>
      <c r="L18" s="291"/>
      <c r="M18" s="239"/>
      <c r="N18" s="241"/>
      <c r="O18" s="244"/>
      <c r="P18" s="243"/>
      <c r="Q18" s="244"/>
      <c r="R18" s="243"/>
      <c r="S18" s="977">
        <f>I18*0.45</f>
        <v>5.8500000000000003E-2</v>
      </c>
      <c r="T18" s="243">
        <v>577215.83100000001</v>
      </c>
      <c r="U18" s="243">
        <v>7017600.3470000001</v>
      </c>
      <c r="V18" s="977">
        <v>1868.3910000000001</v>
      </c>
      <c r="W18" s="236"/>
      <c r="X18" s="236"/>
    </row>
    <row r="19" spans="1:24" s="779" customFormat="1" ht="15" customHeight="1">
      <c r="A19" s="236"/>
      <c r="B19" s="236"/>
      <c r="C19" s="776"/>
      <c r="D19" s="777"/>
      <c r="E19" s="239"/>
      <c r="F19" s="239"/>
      <c r="G19" s="241"/>
      <c r="H19" s="778"/>
      <c r="I19" s="239"/>
      <c r="J19" s="239"/>
      <c r="K19" s="238"/>
      <c r="L19" s="291"/>
      <c r="M19" s="239"/>
      <c r="N19" s="241"/>
      <c r="O19" s="244"/>
      <c r="P19" s="243"/>
      <c r="Q19" s="244"/>
      <c r="R19" s="243"/>
      <c r="S19" s="977"/>
      <c r="T19" s="243"/>
      <c r="U19" s="243"/>
      <c r="V19" s="977"/>
      <c r="W19" s="236"/>
      <c r="X19" s="236"/>
    </row>
    <row r="20" spans="1:24" ht="15" customHeight="1">
      <c r="A20" s="127"/>
      <c r="B20" s="127"/>
      <c r="C20" s="148"/>
      <c r="D20" s="206"/>
      <c r="E20" s="391"/>
      <c r="F20" s="391"/>
      <c r="G20" s="212"/>
      <c r="H20" s="150"/>
      <c r="I20" s="127"/>
      <c r="J20" s="127"/>
      <c r="K20" s="148"/>
      <c r="L20" s="206"/>
      <c r="M20" s="127"/>
      <c r="N20" s="149"/>
      <c r="O20" s="148"/>
      <c r="P20" s="127"/>
      <c r="Q20" s="148"/>
      <c r="R20" s="981"/>
      <c r="S20" s="982"/>
      <c r="T20" s="981"/>
      <c r="U20" s="981"/>
      <c r="V20" s="982"/>
      <c r="W20" s="127"/>
      <c r="X20" s="127"/>
    </row>
    <row r="21" spans="1:24" ht="15.75" customHeight="1">
      <c r="R21" s="609"/>
      <c r="S21" s="609"/>
      <c r="T21" s="609"/>
      <c r="U21" s="609"/>
      <c r="V21" s="609"/>
    </row>
    <row r="22" spans="1:24" ht="15" customHeight="1">
      <c r="A22" s="127"/>
      <c r="B22" s="127"/>
      <c r="C22" s="127"/>
      <c r="D22" s="127"/>
      <c r="E22" s="127"/>
      <c r="F22" s="127"/>
      <c r="G22" s="127"/>
      <c r="H22" s="127"/>
      <c r="I22" s="127"/>
      <c r="J22" s="127"/>
      <c r="K22" s="127"/>
      <c r="L22" s="127"/>
      <c r="M22" s="127"/>
      <c r="N22" s="127"/>
      <c r="O22" s="127"/>
      <c r="P22" s="127"/>
      <c r="Q22" s="127"/>
      <c r="R22" s="981"/>
      <c r="S22" s="981"/>
      <c r="T22" s="981"/>
      <c r="U22" s="981"/>
      <c r="V22" s="981"/>
      <c r="W22" s="127"/>
      <c r="X22" s="127"/>
    </row>
    <row r="23" spans="1:24" ht="15.75" customHeight="1" thickBot="1">
      <c r="A23" s="152"/>
      <c r="B23" s="152"/>
      <c r="C23" s="152"/>
      <c r="D23" s="152"/>
      <c r="E23" s="153"/>
      <c r="F23" s="153"/>
      <c r="G23" s="152"/>
      <c r="H23" s="152"/>
      <c r="I23" s="152"/>
      <c r="J23" s="152"/>
      <c r="K23" s="152"/>
      <c r="L23" s="152"/>
      <c r="M23" s="152"/>
      <c r="N23" s="152"/>
      <c r="O23" s="152"/>
      <c r="P23" s="152"/>
      <c r="Q23" s="152"/>
      <c r="R23" s="154"/>
      <c r="S23" s="154"/>
      <c r="T23" s="154"/>
      <c r="U23" s="154"/>
      <c r="V23" s="127"/>
      <c r="W23" s="127"/>
      <c r="X23" s="127"/>
    </row>
    <row r="24" spans="1:24" ht="15.75" customHeight="1">
      <c r="A24" s="1050" t="s">
        <v>42</v>
      </c>
      <c r="B24" s="1051"/>
      <c r="C24" s="1054" t="s">
        <v>43</v>
      </c>
      <c r="D24" s="1055"/>
      <c r="E24" s="155" t="s">
        <v>44</v>
      </c>
      <c r="F24" s="156"/>
      <c r="G24" s="155" t="s">
        <v>45</v>
      </c>
      <c r="H24" s="156"/>
      <c r="I24" s="157" t="s">
        <v>46</v>
      </c>
      <c r="J24" s="127"/>
      <c r="K24" s="127"/>
      <c r="L24" s="127"/>
      <c r="M24" s="127"/>
      <c r="N24" s="127"/>
      <c r="O24" s="127"/>
      <c r="P24" s="127"/>
      <c r="Q24" s="146"/>
      <c r="R24" s="147"/>
      <c r="S24" s="147"/>
      <c r="T24" s="147"/>
      <c r="U24" s="154"/>
      <c r="V24" s="127"/>
      <c r="W24" s="127"/>
      <c r="X24" s="127"/>
    </row>
    <row r="25" spans="1:24" ht="15.75" customHeight="1">
      <c r="A25" s="1052"/>
      <c r="B25" s="1053"/>
      <c r="C25" s="158" t="s">
        <v>47</v>
      </c>
      <c r="D25" s="158" t="s">
        <v>48</v>
      </c>
      <c r="E25" s="159">
        <f>A10</f>
        <v>45161</v>
      </c>
      <c r="F25" s="160"/>
      <c r="G25" s="161">
        <f>A16</f>
        <v>45401</v>
      </c>
      <c r="H25" s="160"/>
      <c r="I25" s="162">
        <v>45524</v>
      </c>
      <c r="J25" s="127"/>
      <c r="K25" s="127"/>
      <c r="L25" s="127"/>
      <c r="M25" s="127"/>
      <c r="N25" s="127"/>
      <c r="O25" s="127"/>
      <c r="P25" s="127"/>
      <c r="Q25" s="146"/>
      <c r="R25" s="147"/>
      <c r="S25" s="147"/>
      <c r="T25" s="147"/>
      <c r="U25" s="154"/>
      <c r="V25" s="127"/>
      <c r="W25" s="127"/>
      <c r="X25" s="127"/>
    </row>
    <row r="26" spans="1:24" ht="15.75" customHeight="1">
      <c r="A26" s="163"/>
      <c r="B26" s="164" t="s">
        <v>50</v>
      </c>
      <c r="C26" s="165">
        <f>J16*K16</f>
        <v>1.6547999999999998</v>
      </c>
      <c r="D26" s="165"/>
      <c r="E26" s="166"/>
      <c r="F26" s="166"/>
      <c r="G26" s="167"/>
      <c r="H26" s="165"/>
      <c r="I26" s="168"/>
      <c r="J26" s="127"/>
      <c r="K26" s="127"/>
      <c r="L26" s="127"/>
      <c r="M26" s="127"/>
      <c r="N26" s="127"/>
      <c r="O26" s="127"/>
      <c r="P26" s="127"/>
      <c r="Q26" s="146"/>
      <c r="R26" s="147"/>
      <c r="S26" s="147"/>
      <c r="T26" s="147"/>
      <c r="U26" s="154"/>
      <c r="V26" s="127"/>
      <c r="W26" s="127"/>
      <c r="X26" s="127"/>
    </row>
    <row r="27" spans="1:24" ht="15.75" customHeight="1">
      <c r="A27" s="163"/>
      <c r="B27" s="164" t="s">
        <v>51</v>
      </c>
      <c r="C27" s="165">
        <f>C28-C26</f>
        <v>-1.0717999999999996</v>
      </c>
      <c r="D27" s="165"/>
      <c r="E27" s="166"/>
      <c r="F27" s="166"/>
      <c r="G27" s="167"/>
      <c r="H27" s="165"/>
      <c r="I27" s="168"/>
      <c r="J27" s="127"/>
      <c r="K27" s="127"/>
      <c r="L27" s="127"/>
      <c r="M27" s="127"/>
      <c r="N27" s="127"/>
      <c r="O27" s="127"/>
      <c r="P27" s="127"/>
      <c r="Q27" s="146"/>
      <c r="R27" s="147"/>
      <c r="S27" s="147"/>
      <c r="T27" s="147"/>
      <c r="U27" s="154"/>
      <c r="V27" s="127"/>
      <c r="W27" s="127"/>
      <c r="X27" s="127"/>
    </row>
    <row r="28" spans="1:24" ht="15.75" customHeight="1">
      <c r="A28" s="163"/>
      <c r="B28" s="164" t="s">
        <v>52</v>
      </c>
      <c r="C28" s="165">
        <f>J17*K17</f>
        <v>0.58300000000000007</v>
      </c>
      <c r="D28" s="165"/>
      <c r="E28" s="166"/>
      <c r="F28" s="166"/>
      <c r="G28" s="167"/>
      <c r="H28" s="165"/>
      <c r="I28" s="168"/>
      <c r="J28" s="127"/>
      <c r="K28" s="127"/>
      <c r="L28" s="127"/>
      <c r="M28" s="127"/>
      <c r="N28" s="127"/>
      <c r="O28" s="127"/>
      <c r="P28" s="127"/>
      <c r="Q28" s="146"/>
      <c r="R28" s="147"/>
      <c r="S28" s="147"/>
      <c r="T28" s="147"/>
      <c r="U28" s="154"/>
      <c r="V28" s="127"/>
      <c r="W28" s="127"/>
      <c r="X28" s="127"/>
    </row>
    <row r="29" spans="1:24" ht="15.75" customHeight="1">
      <c r="A29" s="163"/>
      <c r="B29" s="113" t="s">
        <v>53</v>
      </c>
      <c r="C29" s="165">
        <v>0</v>
      </c>
      <c r="D29" s="165"/>
      <c r="E29" s="166"/>
      <c r="F29" s="166"/>
      <c r="G29" s="165"/>
      <c r="H29" s="165"/>
      <c r="I29" s="168"/>
      <c r="J29" s="127"/>
      <c r="K29" s="127"/>
      <c r="L29" s="127"/>
      <c r="M29" s="127"/>
      <c r="N29" s="127"/>
      <c r="O29" s="127"/>
      <c r="P29" s="127"/>
      <c r="Q29" s="146"/>
      <c r="R29" s="147"/>
      <c r="S29" s="147"/>
      <c r="T29" s="147"/>
      <c r="U29" s="154"/>
      <c r="V29" s="127"/>
      <c r="W29" s="127"/>
      <c r="X29" s="127"/>
    </row>
    <row r="30" spans="1:24" ht="15.75" customHeight="1">
      <c r="A30" s="163"/>
      <c r="B30" s="113" t="s">
        <v>54</v>
      </c>
      <c r="C30" s="165">
        <f>R11</f>
        <v>-0.27930000000000033</v>
      </c>
      <c r="D30" s="165"/>
      <c r="E30" s="166"/>
      <c r="F30" s="166"/>
      <c r="G30" s="165"/>
      <c r="H30" s="165"/>
      <c r="I30" s="168"/>
      <c r="J30" s="127"/>
      <c r="K30" s="127"/>
      <c r="L30" s="127"/>
      <c r="M30" s="127"/>
      <c r="N30" s="127"/>
      <c r="O30" s="127"/>
      <c r="P30" s="127"/>
      <c r="Q30" s="146"/>
      <c r="R30" s="147"/>
      <c r="S30" s="147"/>
      <c r="T30" s="147"/>
      <c r="U30" s="154"/>
      <c r="V30" s="127"/>
      <c r="W30" s="127"/>
      <c r="X30" s="127"/>
    </row>
    <row r="31" spans="1:24" ht="15.75" customHeight="1" thickBot="1">
      <c r="A31" s="207"/>
      <c r="B31" s="114" t="s">
        <v>55</v>
      </c>
      <c r="C31" s="208">
        <f>(S18+S13)/2</f>
        <v>3.6000000000000004E-2</v>
      </c>
      <c r="D31" s="208"/>
      <c r="E31" s="209"/>
      <c r="F31" s="209"/>
      <c r="G31" s="210"/>
      <c r="H31" s="210"/>
      <c r="I31" s="211"/>
      <c r="J31" s="127"/>
      <c r="K31" s="127"/>
      <c r="L31" s="127"/>
      <c r="M31" s="127"/>
      <c r="N31" s="127"/>
      <c r="O31" s="127"/>
      <c r="P31" s="127"/>
      <c r="Q31" s="146"/>
      <c r="R31" s="147"/>
      <c r="S31" s="147"/>
      <c r="T31" s="147"/>
      <c r="U31" s="154"/>
      <c r="V31" s="127"/>
      <c r="W31" s="127"/>
      <c r="X31" s="127"/>
    </row>
    <row r="32" spans="1:24" ht="15.75" customHeight="1">
      <c r="A32" s="154"/>
      <c r="B32" s="154"/>
      <c r="C32" s="154"/>
      <c r="D32" s="154"/>
      <c r="E32" s="154"/>
      <c r="F32" s="154"/>
      <c r="G32" s="154"/>
      <c r="H32" s="154"/>
      <c r="I32" s="154"/>
      <c r="J32" s="154"/>
      <c r="K32" s="154"/>
      <c r="L32" s="154"/>
      <c r="M32" s="154"/>
      <c r="N32" s="154"/>
      <c r="O32" s="154"/>
      <c r="P32" s="154"/>
      <c r="Q32" s="147"/>
      <c r="R32" s="147"/>
      <c r="S32" s="147"/>
      <c r="T32" s="147"/>
      <c r="U32" s="154"/>
      <c r="V32" s="127"/>
      <c r="W32" s="127"/>
      <c r="X32" s="127"/>
    </row>
    <row r="33" spans="1:24" ht="15.75" customHeight="1">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row>
  </sheetData>
  <mergeCells count="6">
    <mergeCell ref="T1:V1"/>
    <mergeCell ref="T2:U2"/>
    <mergeCell ref="E3:G3"/>
    <mergeCell ref="T3:U3"/>
    <mergeCell ref="A24:B25"/>
    <mergeCell ref="C24:D24"/>
  </mergeCells>
  <pageMargins left="0.7" right="0.7" top="0.75" bottom="0.75" header="0.3" footer="0.3"/>
  <pageSetup orientation="portrait" verticalDpi="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7"/>
  <sheetViews>
    <sheetView zoomScaleNormal="100" workbookViewId="0">
      <selection activeCell="P10" sqref="P10"/>
    </sheetView>
  </sheetViews>
  <sheetFormatPr defaultColWidth="17.28515625" defaultRowHeight="15.75" customHeight="1"/>
  <cols>
    <col min="1" max="1" width="11.85546875" style="20" bestFit="1" customWidth="1"/>
    <col min="2" max="2" width="9.85546875" style="20" customWidth="1"/>
    <col min="3" max="3" width="9.7109375" style="20" customWidth="1"/>
    <col min="4" max="4" width="13.140625" style="20" customWidth="1"/>
    <col min="5" max="5" width="14.140625" style="20" customWidth="1"/>
    <col min="6" max="6" width="9" style="20" customWidth="1"/>
    <col min="7" max="7" width="12" style="20" customWidth="1"/>
    <col min="8" max="8" width="9.28515625" style="20" customWidth="1"/>
    <col min="9" max="9" width="10.7109375" style="20" customWidth="1"/>
    <col min="10" max="10" width="9.140625" style="20" customWidth="1"/>
    <col min="11" max="11" width="12.28515625" style="20" bestFit="1" customWidth="1"/>
    <col min="12" max="12" width="16.85546875" style="20" bestFit="1" customWidth="1"/>
    <col min="13" max="13" width="14.42578125" style="20" customWidth="1"/>
    <col min="14" max="14" width="10.85546875" style="20" bestFit="1" customWidth="1"/>
    <col min="15" max="15" width="7.140625" style="20" bestFit="1" customWidth="1"/>
    <col min="16" max="16" width="9.28515625" style="20" customWidth="1"/>
    <col min="17" max="17" width="9.42578125" style="20" bestFit="1" customWidth="1"/>
    <col min="18" max="18" width="10.42578125" style="20" customWidth="1"/>
    <col min="19" max="19" width="9.5703125" style="20" customWidth="1"/>
    <col min="20" max="20" width="12" style="20" customWidth="1"/>
    <col min="21" max="21" width="12.140625" style="20" customWidth="1"/>
    <col min="22" max="22" width="12" style="20" customWidth="1"/>
    <col min="23" max="23" width="89.7109375" style="20" bestFit="1" customWidth="1"/>
    <col min="24" max="16384" width="17.28515625" style="20"/>
  </cols>
  <sheetData>
    <row r="1" spans="1:29" ht="15" customHeight="1">
      <c r="A1" s="169"/>
      <c r="B1" s="170"/>
      <c r="C1" s="171"/>
      <c r="D1" s="172"/>
      <c r="E1" s="173"/>
      <c r="F1" s="174"/>
      <c r="G1" s="175"/>
      <c r="H1" s="176"/>
      <c r="I1" s="175"/>
      <c r="J1" s="177"/>
      <c r="K1" s="174"/>
      <c r="L1" s="178"/>
      <c r="M1" s="179"/>
      <c r="N1" s="175"/>
      <c r="O1" s="180"/>
      <c r="P1" s="181"/>
      <c r="Q1" s="181"/>
      <c r="R1" s="181"/>
      <c r="S1" s="182"/>
      <c r="T1" s="1040" t="s">
        <v>11</v>
      </c>
      <c r="U1" s="1041"/>
      <c r="V1" s="1042"/>
      <c r="W1" s="183"/>
      <c r="X1" s="127"/>
      <c r="Y1" s="127"/>
      <c r="Z1" s="127"/>
      <c r="AA1" s="127"/>
      <c r="AB1" s="127"/>
      <c r="AC1" s="127"/>
    </row>
    <row r="2" spans="1:29" ht="15" customHeight="1">
      <c r="A2" s="115"/>
      <c r="B2" s="116"/>
      <c r="C2" s="117"/>
      <c r="D2" s="184"/>
      <c r="E2" s="249"/>
      <c r="F2" s="250"/>
      <c r="G2" s="185"/>
      <c r="H2" s="186"/>
      <c r="I2" s="185"/>
      <c r="J2" s="120"/>
      <c r="K2" s="152"/>
      <c r="L2" s="187"/>
      <c r="M2" s="188"/>
      <c r="N2" s="120"/>
      <c r="O2" s="151"/>
      <c r="P2" s="127"/>
      <c r="Q2" s="127"/>
      <c r="R2" s="127"/>
      <c r="S2" s="149"/>
      <c r="T2" s="1043" t="s">
        <v>12</v>
      </c>
      <c r="U2" s="1044"/>
      <c r="V2" s="251"/>
      <c r="W2" s="189"/>
      <c r="X2" s="127"/>
      <c r="Y2" s="127"/>
      <c r="Z2" s="127"/>
      <c r="AA2" s="127"/>
      <c r="AB2" s="127"/>
      <c r="AC2" s="127"/>
    </row>
    <row r="3" spans="1:29" ht="15" customHeight="1">
      <c r="A3" s="115"/>
      <c r="B3" s="116"/>
      <c r="C3" s="117"/>
      <c r="D3" s="118"/>
      <c r="E3" s="1045" t="s">
        <v>13</v>
      </c>
      <c r="F3" s="1046"/>
      <c r="G3" s="1047"/>
      <c r="H3" s="119"/>
      <c r="I3" s="250"/>
      <c r="J3" s="120"/>
      <c r="K3" s="250"/>
      <c r="L3" s="121"/>
      <c r="M3" s="122"/>
      <c r="N3" s="120"/>
      <c r="O3" s="123"/>
      <c r="P3" s="120"/>
      <c r="Q3" s="120"/>
      <c r="R3" s="124"/>
      <c r="S3" s="125"/>
      <c r="T3" s="1048" t="s">
        <v>14</v>
      </c>
      <c r="U3" s="1049"/>
      <c r="V3" s="251"/>
      <c r="W3" s="126"/>
      <c r="X3" s="127"/>
      <c r="Y3" s="127"/>
      <c r="Z3" s="127"/>
      <c r="AA3" s="127"/>
      <c r="AB3" s="127"/>
      <c r="AC3" s="127"/>
    </row>
    <row r="4" spans="1:29" s="746" customFormat="1" ht="71.25">
      <c r="A4" s="735" t="s">
        <v>15</v>
      </c>
      <c r="B4" s="734" t="s">
        <v>16</v>
      </c>
      <c r="C4" s="733" t="s">
        <v>17</v>
      </c>
      <c r="D4" s="736" t="s">
        <v>18</v>
      </c>
      <c r="E4" s="737" t="s">
        <v>19</v>
      </c>
      <c r="F4" s="734" t="s">
        <v>20</v>
      </c>
      <c r="G4" s="738" t="s">
        <v>21</v>
      </c>
      <c r="H4" s="739" t="s">
        <v>22</v>
      </c>
      <c r="I4" s="738" t="s">
        <v>23</v>
      </c>
      <c r="J4" s="738" t="s">
        <v>24</v>
      </c>
      <c r="K4" s="734" t="s">
        <v>25</v>
      </c>
      <c r="L4" s="128" t="s">
        <v>26</v>
      </c>
      <c r="M4" s="128" t="s">
        <v>27</v>
      </c>
      <c r="N4" s="738" t="s">
        <v>28</v>
      </c>
      <c r="O4" s="740" t="s">
        <v>60</v>
      </c>
      <c r="P4" s="738" t="s">
        <v>61</v>
      </c>
      <c r="Q4" s="738" t="s">
        <v>62</v>
      </c>
      <c r="R4" s="741" t="s">
        <v>3</v>
      </c>
      <c r="S4" s="742" t="s">
        <v>4</v>
      </c>
      <c r="T4" s="743" t="s">
        <v>32</v>
      </c>
      <c r="U4" s="743" t="s">
        <v>33</v>
      </c>
      <c r="V4" s="744" t="s">
        <v>0</v>
      </c>
      <c r="W4" s="733" t="s">
        <v>34</v>
      </c>
      <c r="X4" s="745"/>
      <c r="Y4" s="745"/>
      <c r="Z4" s="745"/>
      <c r="AA4" s="745"/>
      <c r="AB4" s="745"/>
      <c r="AC4" s="745"/>
    </row>
    <row r="5" spans="1:29" ht="15.75" customHeight="1" thickBot="1">
      <c r="A5" s="129" t="s">
        <v>35</v>
      </c>
      <c r="B5" s="130"/>
      <c r="C5" s="131"/>
      <c r="D5" s="132"/>
      <c r="E5" s="133" t="s">
        <v>36</v>
      </c>
      <c r="F5" s="133" t="s">
        <v>36</v>
      </c>
      <c r="G5" s="133" t="s">
        <v>36</v>
      </c>
      <c r="H5" s="192" t="s">
        <v>36</v>
      </c>
      <c r="I5" s="192" t="s">
        <v>36</v>
      </c>
      <c r="J5" s="133" t="s">
        <v>36</v>
      </c>
      <c r="K5" s="136" t="s">
        <v>37</v>
      </c>
      <c r="L5" s="137" t="s">
        <v>36</v>
      </c>
      <c r="M5" s="138" t="s">
        <v>36</v>
      </c>
      <c r="N5" s="138" t="s">
        <v>37</v>
      </c>
      <c r="O5" s="139" t="s">
        <v>38</v>
      </c>
      <c r="P5" s="140" t="s">
        <v>38</v>
      </c>
      <c r="Q5" s="140" t="s">
        <v>38</v>
      </c>
      <c r="R5" s="141" t="s">
        <v>38</v>
      </c>
      <c r="S5" s="142" t="s">
        <v>38</v>
      </c>
      <c r="T5" s="143" t="s">
        <v>36</v>
      </c>
      <c r="U5" s="143" t="s">
        <v>36</v>
      </c>
      <c r="V5" s="144" t="s">
        <v>36</v>
      </c>
      <c r="W5" s="145"/>
      <c r="X5" s="127"/>
      <c r="Y5" s="127"/>
      <c r="Z5" s="127"/>
      <c r="AA5" s="127"/>
      <c r="AB5" s="127"/>
      <c r="AC5" s="127"/>
    </row>
    <row r="6" spans="1:29" ht="15" customHeight="1">
      <c r="A6" s="194">
        <v>44669</v>
      </c>
      <c r="B6" s="195" t="s">
        <v>79</v>
      </c>
      <c r="C6" s="196" t="s">
        <v>84</v>
      </c>
      <c r="D6" s="197" t="s">
        <v>39</v>
      </c>
      <c r="E6" s="198">
        <v>9.15</v>
      </c>
      <c r="F6" s="198">
        <v>-0.09</v>
      </c>
      <c r="G6" s="198">
        <f>E6-F6</f>
        <v>9.24</v>
      </c>
      <c r="H6" s="199"/>
      <c r="I6" s="200">
        <v>3.03</v>
      </c>
      <c r="J6" s="201">
        <v>3.02</v>
      </c>
      <c r="K6" s="202">
        <v>0.41</v>
      </c>
      <c r="L6" s="201">
        <f>G6-I6</f>
        <v>6.2100000000000009</v>
      </c>
      <c r="M6" s="201"/>
      <c r="N6" s="203"/>
      <c r="O6" s="204"/>
      <c r="P6" s="201">
        <f>I6*K6</f>
        <v>1.2422999999999997</v>
      </c>
      <c r="Q6" s="204">
        <f>(G8-L6)*0.9</f>
        <v>-0.27000000000000063</v>
      </c>
      <c r="R6" s="204"/>
      <c r="S6" s="781"/>
      <c r="T6" s="983"/>
      <c r="U6" s="983"/>
      <c r="V6" s="984"/>
      <c r="W6" s="205" t="s">
        <v>97</v>
      </c>
      <c r="X6" s="127"/>
      <c r="Y6" s="127"/>
      <c r="Z6" s="127"/>
      <c r="AA6" s="127"/>
      <c r="AB6" s="127"/>
      <c r="AC6" s="127"/>
    </row>
    <row r="7" spans="1:29" ht="15" customHeight="1">
      <c r="A7" s="194">
        <v>45160</v>
      </c>
      <c r="B7" s="195" t="s">
        <v>96</v>
      </c>
      <c r="C7" s="196" t="s">
        <v>84</v>
      </c>
      <c r="D7" s="197" t="s">
        <v>68</v>
      </c>
      <c r="E7" s="198">
        <v>9.15</v>
      </c>
      <c r="F7" s="198">
        <f>E7-G7</f>
        <v>3.1100000000000003</v>
      </c>
      <c r="G7" s="198">
        <v>6.04</v>
      </c>
      <c r="H7" s="199"/>
      <c r="I7" s="200"/>
      <c r="J7" s="201">
        <f>(0.14+0.16+0.11+0.11)/4</f>
        <v>0.13</v>
      </c>
      <c r="K7" s="202">
        <v>0.56000000000000005</v>
      </c>
      <c r="L7" s="201">
        <f>G7-J7</f>
        <v>5.91</v>
      </c>
      <c r="M7" s="201"/>
      <c r="N7" s="203"/>
      <c r="O7" s="204"/>
      <c r="P7" s="201"/>
      <c r="Q7" s="201">
        <f>K7*J7</f>
        <v>7.2800000000000004E-2</v>
      </c>
      <c r="R7" s="204"/>
      <c r="S7" s="203"/>
      <c r="T7" s="983"/>
      <c r="U7" s="983"/>
      <c r="V7" s="984"/>
      <c r="W7" s="205" t="s">
        <v>98</v>
      </c>
      <c r="X7" s="127"/>
      <c r="Y7" s="127"/>
      <c r="Z7" s="127"/>
      <c r="AA7" s="127"/>
      <c r="AB7" s="127"/>
      <c r="AC7" s="127"/>
    </row>
    <row r="8" spans="1:29" ht="15" customHeight="1">
      <c r="A8" s="194">
        <v>45160</v>
      </c>
      <c r="B8" s="195" t="s">
        <v>96</v>
      </c>
      <c r="C8" s="196" t="s">
        <v>84</v>
      </c>
      <c r="D8" s="197" t="s">
        <v>40</v>
      </c>
      <c r="E8" s="198">
        <v>10.1</v>
      </c>
      <c r="F8" s="198">
        <f>E8-G8</f>
        <v>4.1899999999999995</v>
      </c>
      <c r="G8" s="198">
        <v>5.91</v>
      </c>
      <c r="H8" s="199"/>
      <c r="I8" s="200"/>
      <c r="J8" s="201"/>
      <c r="K8" s="202"/>
      <c r="L8" s="201"/>
      <c r="M8" s="201"/>
      <c r="N8" s="203"/>
      <c r="O8" s="204"/>
      <c r="P8" s="201"/>
      <c r="Q8" s="204"/>
      <c r="R8" s="204"/>
      <c r="S8" s="203">
        <v>0</v>
      </c>
      <c r="T8" s="983"/>
      <c r="U8" s="983"/>
      <c r="V8" s="984"/>
      <c r="W8" s="205"/>
      <c r="X8" s="127"/>
      <c r="Y8" s="127"/>
      <c r="Z8" s="127"/>
      <c r="AA8" s="127"/>
      <c r="AB8" s="127"/>
      <c r="AC8" s="127"/>
    </row>
    <row r="9" spans="1:29" ht="15" customHeight="1">
      <c r="A9" s="194">
        <v>45401</v>
      </c>
      <c r="B9" s="195" t="s">
        <v>103</v>
      </c>
      <c r="C9" s="196" t="s">
        <v>84</v>
      </c>
      <c r="D9" s="197" t="s">
        <v>39</v>
      </c>
      <c r="E9" s="198">
        <v>10.1</v>
      </c>
      <c r="F9" s="198">
        <f>E9-G9</f>
        <v>1.4900000000000002</v>
      </c>
      <c r="G9" s="198">
        <f>9.15-0.54</f>
        <v>8.61</v>
      </c>
      <c r="H9" s="780">
        <f>G9-G8</f>
        <v>2.6999999999999993</v>
      </c>
      <c r="I9" s="200">
        <f>AVERAGE(3.1,3.12,3.19,3.11)</f>
        <v>3.13</v>
      </c>
      <c r="J9" s="201">
        <f>I9</f>
        <v>3.13</v>
      </c>
      <c r="K9" s="202">
        <f>0.43</f>
        <v>0.43</v>
      </c>
      <c r="L9" s="201">
        <f>G9-I9</f>
        <v>5.4799999999999995</v>
      </c>
      <c r="M9" s="201">
        <f>G9-I9</f>
        <v>5.4799999999999995</v>
      </c>
      <c r="N9" s="203"/>
      <c r="O9" s="204"/>
      <c r="P9" s="201">
        <f>K9*I9</f>
        <v>1.3458999999999999</v>
      </c>
      <c r="Q9" s="204"/>
      <c r="R9" s="201">
        <f>((L9-G8)*0.9)-Q7</f>
        <v>-0.45980000000000054</v>
      </c>
      <c r="S9" s="203"/>
      <c r="T9" s="983">
        <v>579190.68099999998</v>
      </c>
      <c r="U9" s="983">
        <v>7019421.8990000002</v>
      </c>
      <c r="V9" s="984">
        <v>1879.1189999999999</v>
      </c>
      <c r="W9" s="205"/>
      <c r="X9" s="127"/>
      <c r="Y9" s="127"/>
      <c r="Z9" s="127"/>
      <c r="AA9" s="127"/>
      <c r="AB9" s="127"/>
      <c r="AC9" s="127"/>
    </row>
    <row r="10" spans="1:29" ht="15" customHeight="1">
      <c r="A10" s="194">
        <v>45525</v>
      </c>
      <c r="B10" s="195" t="s">
        <v>148</v>
      </c>
      <c r="C10" s="196" t="s">
        <v>84</v>
      </c>
      <c r="D10" s="197" t="s">
        <v>40</v>
      </c>
      <c r="E10" s="198">
        <v>10.1</v>
      </c>
      <c r="F10" s="198">
        <f>0.66+(10.1-6.1)</f>
        <v>4.66</v>
      </c>
      <c r="G10" s="198">
        <f>E10-F10</f>
        <v>5.4399999999999995</v>
      </c>
      <c r="H10" s="780">
        <f>G10-L10</f>
        <v>-4.0000000000000036E-2</v>
      </c>
      <c r="I10" s="200"/>
      <c r="J10" s="201"/>
      <c r="K10" s="202"/>
      <c r="L10" s="201">
        <f>L9</f>
        <v>5.4799999999999995</v>
      </c>
      <c r="M10" s="201"/>
      <c r="N10" s="203"/>
      <c r="O10" s="204"/>
      <c r="P10" s="201"/>
      <c r="Q10" s="201">
        <f>H10*0.9</f>
        <v>-3.6000000000000032E-2</v>
      </c>
      <c r="R10" s="201"/>
      <c r="S10" s="203"/>
      <c r="T10" s="983">
        <v>579190.83700000006</v>
      </c>
      <c r="U10" s="983">
        <v>7019421.5269999998</v>
      </c>
      <c r="V10" s="984">
        <v>1875.867</v>
      </c>
      <c r="W10" s="205"/>
      <c r="X10" s="127"/>
      <c r="Y10" s="127"/>
      <c r="Z10" s="127"/>
      <c r="AA10" s="127"/>
      <c r="AB10" s="127"/>
      <c r="AC10" s="127"/>
    </row>
    <row r="11" spans="1:29" ht="15" customHeight="1">
      <c r="A11" s="194"/>
      <c r="B11" s="195"/>
      <c r="C11" s="196"/>
      <c r="D11" s="197"/>
      <c r="E11" s="198"/>
      <c r="F11" s="198"/>
      <c r="G11" s="198"/>
      <c r="H11" s="780"/>
      <c r="I11" s="200"/>
      <c r="J11" s="201"/>
      <c r="K11" s="202"/>
      <c r="L11" s="201"/>
      <c r="M11" s="201"/>
      <c r="N11" s="203"/>
      <c r="O11" s="204"/>
      <c r="P11" s="201"/>
      <c r="Q11" s="204"/>
      <c r="R11" s="201"/>
      <c r="S11" s="203"/>
      <c r="T11" s="983"/>
      <c r="U11" s="983"/>
      <c r="V11" s="984"/>
      <c r="W11" s="205"/>
      <c r="X11" s="127"/>
      <c r="Y11" s="127"/>
      <c r="Z11" s="127"/>
      <c r="AA11" s="127"/>
      <c r="AB11" s="127"/>
      <c r="AC11" s="127"/>
    </row>
    <row r="12" spans="1:29" ht="15" customHeight="1">
      <c r="A12" s="194"/>
      <c r="B12" s="195"/>
      <c r="C12" s="196"/>
      <c r="D12" s="197"/>
      <c r="E12" s="198"/>
      <c r="F12" s="198"/>
      <c r="G12" s="198"/>
      <c r="H12" s="780"/>
      <c r="I12" s="200"/>
      <c r="J12" s="201"/>
      <c r="K12" s="202"/>
      <c r="L12" s="201"/>
      <c r="M12" s="201"/>
      <c r="N12" s="203"/>
      <c r="O12" s="204"/>
      <c r="P12" s="201"/>
      <c r="Q12" s="204"/>
      <c r="R12" s="201"/>
      <c r="S12" s="203"/>
      <c r="T12" s="983"/>
      <c r="U12" s="983"/>
      <c r="V12" s="984"/>
      <c r="W12" s="205"/>
      <c r="X12" s="127"/>
      <c r="Y12" s="127"/>
      <c r="Z12" s="127"/>
      <c r="AA12" s="127"/>
      <c r="AB12" s="127"/>
      <c r="AC12" s="127"/>
    </row>
    <row r="13" spans="1:29" s="48" customFormat="1" ht="15" customHeight="1">
      <c r="A13" s="803"/>
      <c r="B13" s="804"/>
      <c r="C13" s="805"/>
      <c r="D13" s="806"/>
      <c r="E13" s="807"/>
      <c r="F13" s="807"/>
      <c r="G13" s="807"/>
      <c r="H13" s="808"/>
      <c r="I13" s="804"/>
      <c r="J13" s="807"/>
      <c r="K13" s="809"/>
      <c r="L13" s="807"/>
      <c r="M13" s="807"/>
      <c r="N13" s="810"/>
      <c r="O13" s="804"/>
      <c r="P13" s="807"/>
      <c r="Q13" s="804"/>
      <c r="R13" s="807"/>
      <c r="S13" s="810"/>
      <c r="T13" s="147"/>
      <c r="U13" s="147"/>
      <c r="V13" s="811"/>
      <c r="W13" s="812"/>
      <c r="X13" s="146"/>
      <c r="Y13" s="146"/>
      <c r="Z13" s="146"/>
      <c r="AA13" s="146"/>
      <c r="AB13" s="146"/>
      <c r="AC13" s="146"/>
    </row>
    <row r="14" spans="1:29" s="796" customFormat="1" ht="15" customHeight="1">
      <c r="A14" s="782"/>
      <c r="B14" s="783"/>
      <c r="C14" s="784"/>
      <c r="D14" s="785"/>
      <c r="E14" s="786"/>
      <c r="F14" s="786"/>
      <c r="G14" s="786"/>
      <c r="H14" s="787"/>
      <c r="I14" s="788"/>
      <c r="J14" s="789"/>
      <c r="K14" s="790"/>
      <c r="L14" s="789"/>
      <c r="M14" s="789"/>
      <c r="N14" s="791"/>
      <c r="O14" s="788"/>
      <c r="P14" s="789"/>
      <c r="Q14" s="788"/>
      <c r="R14" s="788"/>
      <c r="S14" s="791"/>
      <c r="T14" s="792"/>
      <c r="U14" s="792"/>
      <c r="V14" s="793"/>
      <c r="W14" s="794"/>
      <c r="X14" s="795"/>
      <c r="Y14" s="795"/>
      <c r="Z14" s="795"/>
      <c r="AA14" s="795"/>
      <c r="AB14" s="795"/>
      <c r="AC14" s="795"/>
    </row>
    <row r="15" spans="1:29" s="796" customFormat="1" ht="15" customHeight="1">
      <c r="A15" s="795"/>
      <c r="B15" s="795"/>
      <c r="C15" s="797"/>
      <c r="D15" s="798"/>
      <c r="E15" s="795"/>
      <c r="F15" s="795"/>
      <c r="G15" s="799"/>
      <c r="H15" s="800"/>
      <c r="I15" s="795"/>
      <c r="J15" s="795"/>
      <c r="K15" s="797"/>
      <c r="L15" s="795"/>
      <c r="M15" s="795"/>
      <c r="N15" s="799"/>
      <c r="O15" s="795"/>
      <c r="P15" s="795"/>
      <c r="Q15" s="795"/>
      <c r="R15" s="795"/>
      <c r="S15" s="801"/>
      <c r="T15" s="795"/>
      <c r="U15" s="795"/>
      <c r="V15" s="799"/>
      <c r="W15" s="802"/>
      <c r="X15" s="795"/>
      <c r="Y15" s="795"/>
      <c r="Z15" s="795"/>
      <c r="AA15" s="795"/>
      <c r="AB15" s="795"/>
      <c r="AC15" s="795"/>
    </row>
    <row r="16" spans="1:29" ht="15" customHeight="1" thickBot="1">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row>
    <row r="17" spans="1:29" ht="15.75" customHeight="1">
      <c r="A17" s="1050" t="s">
        <v>42</v>
      </c>
      <c r="B17" s="1051"/>
      <c r="C17" s="1054" t="s">
        <v>43</v>
      </c>
      <c r="D17" s="1055"/>
      <c r="E17" s="155" t="s">
        <v>44</v>
      </c>
      <c r="F17" s="156"/>
      <c r="G17" s="155" t="s">
        <v>45</v>
      </c>
      <c r="H17" s="156"/>
      <c r="I17" s="157" t="s">
        <v>46</v>
      </c>
      <c r="J17" s="127"/>
      <c r="K17" s="127"/>
      <c r="L17" s="127"/>
      <c r="M17" s="127"/>
      <c r="N17" s="127"/>
      <c r="O17" s="127"/>
      <c r="P17" s="127"/>
      <c r="Q17" s="146"/>
      <c r="R17" s="147"/>
      <c r="S17" s="147"/>
      <c r="T17" s="147"/>
      <c r="U17" s="154"/>
      <c r="V17" s="127"/>
      <c r="W17" s="127"/>
      <c r="X17" s="127"/>
      <c r="Y17" s="127"/>
      <c r="Z17" s="127"/>
      <c r="AA17" s="127"/>
      <c r="AB17" s="127"/>
      <c r="AC17" s="127"/>
    </row>
    <row r="18" spans="1:29" ht="15.75" customHeight="1">
      <c r="A18" s="1052"/>
      <c r="B18" s="1053"/>
      <c r="C18" s="158" t="s">
        <v>47</v>
      </c>
      <c r="D18" s="158" t="s">
        <v>48</v>
      </c>
      <c r="E18" s="159">
        <f>A8</f>
        <v>45160</v>
      </c>
      <c r="F18" s="160" t="s">
        <v>49</v>
      </c>
      <c r="G18" s="161">
        <f>A9</f>
        <v>45401</v>
      </c>
      <c r="H18" s="160" t="s">
        <v>49</v>
      </c>
      <c r="I18" s="162">
        <v>45525</v>
      </c>
      <c r="J18" s="127"/>
      <c r="K18" s="127"/>
      <c r="L18" s="127"/>
      <c r="M18" s="127"/>
      <c r="N18" s="127"/>
      <c r="O18" s="127"/>
      <c r="P18" s="127"/>
      <c r="Q18" s="146"/>
      <c r="R18" s="147"/>
      <c r="S18" s="147"/>
      <c r="T18" s="147"/>
      <c r="U18" s="154"/>
      <c r="V18" s="127"/>
      <c r="W18" s="127"/>
      <c r="X18" s="127"/>
      <c r="Y18" s="127"/>
      <c r="Z18" s="127"/>
      <c r="AA18" s="127"/>
      <c r="AB18" s="127"/>
      <c r="AC18" s="127"/>
    </row>
    <row r="19" spans="1:29" ht="15.75" customHeight="1">
      <c r="A19" s="163"/>
      <c r="B19" s="164" t="s">
        <v>50</v>
      </c>
      <c r="C19" s="165">
        <f>P9</f>
        <v>1.3458999999999999</v>
      </c>
      <c r="D19" s="165"/>
      <c r="E19" s="166"/>
      <c r="F19" s="166"/>
      <c r="G19" s="167"/>
      <c r="H19" s="165"/>
      <c r="I19" s="168"/>
      <c r="J19" s="127"/>
      <c r="K19" s="127"/>
      <c r="L19" s="127"/>
      <c r="M19" s="127"/>
      <c r="N19" s="127"/>
      <c r="O19" s="127"/>
      <c r="P19" s="127"/>
      <c r="Q19" s="146"/>
      <c r="R19" s="147"/>
      <c r="S19" s="147"/>
      <c r="T19" s="147"/>
      <c r="U19" s="154"/>
      <c r="V19" s="127"/>
      <c r="W19" s="127"/>
      <c r="X19" s="127"/>
      <c r="Y19" s="127"/>
      <c r="Z19" s="127"/>
      <c r="AA19" s="127"/>
      <c r="AB19" s="127"/>
      <c r="AC19" s="127"/>
    </row>
    <row r="20" spans="1:29" ht="15.75" customHeight="1">
      <c r="A20" s="163"/>
      <c r="B20" s="164" t="s">
        <v>51</v>
      </c>
      <c r="C20" s="165">
        <f>C21-C19</f>
        <v>-1.3818999999999999</v>
      </c>
      <c r="D20" s="165"/>
      <c r="E20" s="166"/>
      <c r="F20" s="166"/>
      <c r="G20" s="167"/>
      <c r="H20" s="165"/>
      <c r="I20" s="168"/>
      <c r="J20" s="127"/>
      <c r="K20" s="127"/>
      <c r="L20" s="127"/>
      <c r="M20" s="976"/>
      <c r="N20" s="976"/>
      <c r="O20" s="127"/>
      <c r="P20" s="127"/>
      <c r="Q20" s="775"/>
      <c r="R20" s="147"/>
      <c r="S20" s="147"/>
      <c r="T20" s="147"/>
      <c r="U20" s="154"/>
      <c r="V20" s="127"/>
      <c r="W20" s="127"/>
      <c r="X20" s="127"/>
      <c r="Y20" s="127"/>
      <c r="Z20" s="127"/>
      <c r="AA20" s="127"/>
      <c r="AB20" s="127"/>
      <c r="AC20" s="127"/>
    </row>
    <row r="21" spans="1:29" ht="15.75" customHeight="1">
      <c r="A21" s="163"/>
      <c r="B21" s="164" t="s">
        <v>52</v>
      </c>
      <c r="C21" s="165">
        <f>Q10</f>
        <v>-3.6000000000000032E-2</v>
      </c>
      <c r="D21" s="165"/>
      <c r="E21" s="166"/>
      <c r="F21" s="166"/>
      <c r="G21" s="167"/>
      <c r="H21" s="165"/>
      <c r="I21" s="168"/>
      <c r="J21" s="127"/>
      <c r="K21" s="127"/>
      <c r="L21" s="127"/>
      <c r="M21" s="127"/>
      <c r="N21" s="127"/>
      <c r="O21" s="127"/>
      <c r="P21" s="127"/>
      <c r="Q21" s="146"/>
      <c r="R21" s="147"/>
      <c r="S21" s="147"/>
      <c r="T21" s="147"/>
      <c r="U21" s="154"/>
      <c r="V21" s="127"/>
      <c r="W21" s="127"/>
      <c r="X21" s="127"/>
      <c r="Y21" s="127"/>
      <c r="Z21" s="127"/>
      <c r="AA21" s="127"/>
      <c r="AB21" s="127"/>
      <c r="AC21" s="127"/>
    </row>
    <row r="22" spans="1:29" ht="15.75" customHeight="1">
      <c r="A22" s="163"/>
      <c r="B22" s="113" t="s">
        <v>53</v>
      </c>
      <c r="C22" s="165">
        <f>S8</f>
        <v>0</v>
      </c>
      <c r="D22" s="165"/>
      <c r="E22" s="166"/>
      <c r="F22" s="166"/>
      <c r="G22" s="165"/>
      <c r="H22" s="165"/>
      <c r="I22" s="168"/>
      <c r="J22" s="127"/>
      <c r="K22" s="127"/>
      <c r="L22" s="127"/>
      <c r="M22" s="127"/>
      <c r="N22" s="127"/>
      <c r="O22" s="127"/>
      <c r="P22" s="127"/>
      <c r="Q22" s="146"/>
      <c r="R22" s="147"/>
      <c r="S22" s="147"/>
      <c r="T22" s="147"/>
      <c r="U22" s="154"/>
      <c r="V22" s="127"/>
      <c r="W22" s="127"/>
      <c r="X22" s="127"/>
      <c r="Y22" s="127"/>
      <c r="Z22" s="127"/>
      <c r="AA22" s="127"/>
      <c r="AB22" s="127"/>
      <c r="AC22" s="127"/>
    </row>
    <row r="23" spans="1:29" ht="15.75" customHeight="1">
      <c r="A23" s="163"/>
      <c r="B23" s="113" t="s">
        <v>54</v>
      </c>
      <c r="C23" s="165">
        <f>R9</f>
        <v>-0.45980000000000054</v>
      </c>
      <c r="D23" s="165"/>
      <c r="E23" s="166"/>
      <c r="F23" s="166"/>
      <c r="G23" s="165"/>
      <c r="H23" s="165"/>
      <c r="I23" s="168"/>
      <c r="J23" s="127"/>
      <c r="K23" s="127"/>
      <c r="L23" s="127"/>
      <c r="M23" s="127"/>
      <c r="N23" s="127"/>
      <c r="O23" s="127"/>
      <c r="P23" s="127"/>
      <c r="Q23" s="146"/>
      <c r="R23" s="147"/>
      <c r="S23" s="147"/>
      <c r="T23" s="147"/>
      <c r="U23" s="154"/>
      <c r="V23" s="127"/>
      <c r="W23" s="127"/>
      <c r="X23" s="127"/>
      <c r="Y23" s="127"/>
      <c r="Z23" s="127"/>
      <c r="AA23" s="127"/>
      <c r="AB23" s="127"/>
      <c r="AC23" s="127"/>
    </row>
    <row r="24" spans="1:29" ht="15.75" customHeight="1" thickBot="1">
      <c r="A24" s="207"/>
      <c r="B24" s="114" t="s">
        <v>55</v>
      </c>
      <c r="C24" s="208">
        <v>0</v>
      </c>
      <c r="D24" s="208"/>
      <c r="E24" s="209"/>
      <c r="F24" s="209"/>
      <c r="G24" s="210"/>
      <c r="H24" s="210"/>
      <c r="I24" s="211"/>
      <c r="J24" s="127"/>
      <c r="K24" s="127"/>
      <c r="L24" s="127"/>
      <c r="M24" s="127"/>
      <c r="N24" s="127"/>
      <c r="O24" s="127"/>
      <c r="P24" s="127"/>
      <c r="Q24" s="146"/>
      <c r="R24" s="147"/>
      <c r="S24" s="147"/>
      <c r="T24" s="147"/>
      <c r="U24" s="154"/>
      <c r="V24" s="127"/>
      <c r="W24" s="127"/>
      <c r="X24" s="127"/>
      <c r="Y24" s="127"/>
      <c r="Z24" s="127"/>
      <c r="AA24" s="127"/>
      <c r="AB24" s="127"/>
      <c r="AC24" s="127"/>
    </row>
    <row r="25" spans="1:29" ht="15.75" customHeight="1">
      <c r="A25" s="154"/>
      <c r="B25" s="154"/>
      <c r="C25" s="154"/>
      <c r="D25" s="154"/>
      <c r="E25" s="154"/>
      <c r="F25" s="154"/>
      <c r="G25" s="154"/>
      <c r="H25" s="154"/>
      <c r="I25" s="154"/>
      <c r="J25" s="154"/>
      <c r="K25" s="154"/>
      <c r="L25" s="154"/>
      <c r="M25" s="154"/>
      <c r="N25" s="154"/>
      <c r="O25" s="154"/>
      <c r="P25" s="154"/>
      <c r="Q25" s="147"/>
      <c r="R25" s="147"/>
      <c r="S25" s="147"/>
      <c r="T25" s="147"/>
      <c r="U25" s="154"/>
      <c r="V25" s="127"/>
      <c r="W25" s="127"/>
      <c r="X25" s="127"/>
      <c r="Y25" s="127"/>
      <c r="Z25" s="127"/>
      <c r="AA25" s="127"/>
      <c r="AB25" s="127"/>
      <c r="AC25" s="127"/>
    </row>
    <row r="26" spans="1:29" ht="15.75" customHeight="1">
      <c r="A26" s="127"/>
      <c r="B26" s="127"/>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row>
    <row r="27" spans="1:29" ht="15.75" customHeight="1">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row>
  </sheetData>
  <mergeCells count="6">
    <mergeCell ref="T1:V1"/>
    <mergeCell ref="T2:U2"/>
    <mergeCell ref="E3:G3"/>
    <mergeCell ref="T3:U3"/>
    <mergeCell ref="A17:B18"/>
    <mergeCell ref="C17:D17"/>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E82B-A59A-42FA-A9EE-AA1D0D9140D2}">
  <dimension ref="A1:AH31"/>
  <sheetViews>
    <sheetView zoomScale="90" zoomScaleNormal="90" workbookViewId="0">
      <selection activeCell="K26" sqref="K26"/>
    </sheetView>
  </sheetViews>
  <sheetFormatPr defaultColWidth="17.28515625" defaultRowHeight="15.75" customHeight="1"/>
  <cols>
    <col min="1" max="1" width="12.42578125" style="360" customWidth="1"/>
    <col min="2" max="2" width="8.28515625" style="360" customWidth="1"/>
    <col min="3" max="3" width="13.42578125" style="360" customWidth="1"/>
    <col min="4" max="4" width="13.28515625" style="360" customWidth="1"/>
    <col min="5" max="5" width="12.7109375" style="360" customWidth="1"/>
    <col min="6" max="7" width="13.7109375" style="360" bestFit="1" customWidth="1"/>
    <col min="8" max="8" width="14.42578125" style="360" bestFit="1" customWidth="1"/>
    <col min="9" max="9" width="17.28515625" style="360" bestFit="1" customWidth="1"/>
    <col min="10" max="10" width="13.140625" style="360" customWidth="1"/>
    <col min="11" max="11" width="11" style="360" customWidth="1"/>
    <col min="12" max="12" width="18" style="360" customWidth="1"/>
    <col min="13" max="13" width="13.7109375" style="360" customWidth="1"/>
    <col min="14" max="14" width="8.7109375" style="360" customWidth="1"/>
    <col min="15" max="15" width="9.42578125" style="360" customWidth="1"/>
    <col min="16" max="17" width="7.85546875" style="360" bestFit="1" customWidth="1"/>
    <col min="18" max="18" width="9.5703125" style="360" customWidth="1"/>
    <col min="19" max="19" width="11.140625" style="360" customWidth="1"/>
    <col min="20" max="20" width="21" style="360" bestFit="1" customWidth="1"/>
    <col min="21" max="21" width="17.140625" style="360" customWidth="1"/>
    <col min="22" max="16384" width="17.28515625" style="360"/>
  </cols>
  <sheetData>
    <row r="1" spans="1:23" s="828" customFormat="1" ht="15" customHeight="1">
      <c r="A1" s="813"/>
      <c r="B1" s="814"/>
      <c r="C1" s="815"/>
      <c r="D1" s="816"/>
      <c r="E1" s="817"/>
      <c r="F1" s="818"/>
      <c r="G1" s="819"/>
      <c r="H1" s="820"/>
      <c r="I1" s="819"/>
      <c r="J1" s="821"/>
      <c r="K1" s="818"/>
      <c r="L1" s="822"/>
      <c r="M1" s="823"/>
      <c r="N1" s="819"/>
      <c r="O1" s="824"/>
      <c r="P1" s="825"/>
      <c r="Q1" s="825"/>
      <c r="R1" s="825"/>
      <c r="S1" s="826"/>
      <c r="T1" s="1056" t="s">
        <v>11</v>
      </c>
      <c r="U1" s="1056"/>
      <c r="V1" s="1057"/>
      <c r="W1" s="827"/>
    </row>
    <row r="2" spans="1:23" s="828" customFormat="1" ht="15" customHeight="1">
      <c r="A2" s="829"/>
      <c r="B2" s="830"/>
      <c r="C2" s="831"/>
      <c r="D2" s="832"/>
      <c r="E2" s="833"/>
      <c r="F2" s="834"/>
      <c r="G2" s="835"/>
      <c r="H2" s="836"/>
      <c r="I2" s="835"/>
      <c r="J2" s="837"/>
      <c r="K2" s="838"/>
      <c r="L2" s="839"/>
      <c r="M2" s="840"/>
      <c r="N2" s="837"/>
      <c r="O2" s="841"/>
      <c r="S2" s="842"/>
      <c r="T2" s="1058" t="s">
        <v>12</v>
      </c>
      <c r="U2" s="1058"/>
      <c r="V2" s="843"/>
      <c r="W2" s="844"/>
    </row>
    <row r="3" spans="1:23" s="828" customFormat="1" ht="15" customHeight="1">
      <c r="A3" s="829"/>
      <c r="B3" s="830"/>
      <c r="C3" s="831"/>
      <c r="D3" s="845"/>
      <c r="E3" s="1059" t="s">
        <v>13</v>
      </c>
      <c r="F3" s="1060"/>
      <c r="G3" s="1061"/>
      <c r="H3" s="846"/>
      <c r="I3" s="834"/>
      <c r="J3" s="837"/>
      <c r="K3" s="834"/>
      <c r="L3" s="847"/>
      <c r="M3" s="848"/>
      <c r="N3" s="837"/>
      <c r="O3" s="849"/>
      <c r="P3" s="837"/>
      <c r="Q3" s="837"/>
      <c r="R3" s="850"/>
      <c r="S3" s="851"/>
      <c r="T3" s="1062" t="s">
        <v>14</v>
      </c>
      <c r="U3" s="1062"/>
      <c r="V3" s="843"/>
      <c r="W3" s="852"/>
    </row>
    <row r="4" spans="1:23" s="866" customFormat="1" ht="59.25" customHeight="1">
      <c r="A4" s="853" t="s">
        <v>15</v>
      </c>
      <c r="B4" s="854" t="s">
        <v>16</v>
      </c>
      <c r="C4" s="855" t="s">
        <v>17</v>
      </c>
      <c r="D4" s="856" t="s">
        <v>18</v>
      </c>
      <c r="E4" s="857" t="s">
        <v>19</v>
      </c>
      <c r="F4" s="854" t="s">
        <v>20</v>
      </c>
      <c r="G4" s="858" t="s">
        <v>21</v>
      </c>
      <c r="H4" s="859" t="s">
        <v>22</v>
      </c>
      <c r="I4" s="858" t="s">
        <v>23</v>
      </c>
      <c r="J4" s="858" t="s">
        <v>24</v>
      </c>
      <c r="K4" s="854" t="s">
        <v>25</v>
      </c>
      <c r="L4" s="860" t="s">
        <v>26</v>
      </c>
      <c r="M4" s="860" t="s">
        <v>27</v>
      </c>
      <c r="N4" s="858" t="s">
        <v>28</v>
      </c>
      <c r="O4" s="861" t="s">
        <v>60</v>
      </c>
      <c r="P4" s="858" t="s">
        <v>61</v>
      </c>
      <c r="Q4" s="858" t="s">
        <v>62</v>
      </c>
      <c r="R4" s="862" t="s">
        <v>3</v>
      </c>
      <c r="S4" s="863" t="s">
        <v>4</v>
      </c>
      <c r="T4" s="864" t="s">
        <v>32</v>
      </c>
      <c r="U4" s="864" t="s">
        <v>33</v>
      </c>
      <c r="V4" s="865" t="s">
        <v>0</v>
      </c>
      <c r="W4" s="855" t="s">
        <v>34</v>
      </c>
    </row>
    <row r="5" spans="1:23" s="828" customFormat="1" ht="15.75" customHeight="1" thickBot="1">
      <c r="A5" s="867" t="s">
        <v>35</v>
      </c>
      <c r="B5" s="868"/>
      <c r="C5" s="869"/>
      <c r="D5" s="870"/>
      <c r="E5" s="871" t="s">
        <v>36</v>
      </c>
      <c r="F5" s="871" t="s">
        <v>36</v>
      </c>
      <c r="G5" s="871" t="s">
        <v>36</v>
      </c>
      <c r="H5" s="871" t="s">
        <v>36</v>
      </c>
      <c r="I5" s="871" t="s">
        <v>36</v>
      </c>
      <c r="J5" s="871" t="s">
        <v>36</v>
      </c>
      <c r="K5" s="872" t="s">
        <v>37</v>
      </c>
      <c r="L5" s="873" t="s">
        <v>36</v>
      </c>
      <c r="M5" s="874" t="s">
        <v>36</v>
      </c>
      <c r="N5" s="874" t="s">
        <v>37</v>
      </c>
      <c r="O5" s="875" t="s">
        <v>38</v>
      </c>
      <c r="P5" s="876" t="s">
        <v>38</v>
      </c>
      <c r="Q5" s="876" t="s">
        <v>38</v>
      </c>
      <c r="R5" s="877" t="s">
        <v>38</v>
      </c>
      <c r="S5" s="878" t="s">
        <v>38</v>
      </c>
      <c r="T5" s="879" t="s">
        <v>36</v>
      </c>
      <c r="U5" s="879" t="s">
        <v>36</v>
      </c>
      <c r="V5" s="880" t="s">
        <v>36</v>
      </c>
      <c r="W5" s="881"/>
    </row>
    <row r="6" spans="1:23" s="828" customFormat="1" ht="15" customHeight="1">
      <c r="A6" s="882">
        <v>44670</v>
      </c>
      <c r="B6" s="883" t="s">
        <v>79</v>
      </c>
      <c r="C6" s="884" t="s">
        <v>90</v>
      </c>
      <c r="D6" s="885" t="s">
        <v>39</v>
      </c>
      <c r="E6" s="886">
        <v>9.7899999999999991</v>
      </c>
      <c r="F6" s="887">
        <v>0.75</v>
      </c>
      <c r="G6" s="887">
        <f>E6-F6</f>
        <v>9.0399999999999991</v>
      </c>
      <c r="H6" s="888"/>
      <c r="I6" s="887" t="s">
        <v>188</v>
      </c>
      <c r="J6" s="887"/>
      <c r="K6" s="887">
        <v>0.26</v>
      </c>
      <c r="L6" s="889">
        <v>4.9000000000000004</v>
      </c>
      <c r="M6" s="887"/>
      <c r="N6" s="887"/>
      <c r="O6" s="890"/>
      <c r="P6" s="887">
        <f>L6*K6</f>
        <v>1.2740000000000002</v>
      </c>
      <c r="Q6" s="887"/>
      <c r="R6" s="985"/>
      <c r="S6" s="985"/>
      <c r="T6" s="986"/>
      <c r="U6" s="985"/>
      <c r="V6" s="987"/>
      <c r="W6" s="891"/>
    </row>
    <row r="7" spans="1:23" s="828" customFormat="1" ht="15" customHeight="1">
      <c r="A7" s="882">
        <v>44795</v>
      </c>
      <c r="B7" s="883" t="s">
        <v>87</v>
      </c>
      <c r="C7" s="884" t="s">
        <v>90</v>
      </c>
      <c r="D7" s="885" t="s">
        <v>57</v>
      </c>
      <c r="E7" s="886">
        <v>9.7899999999999991</v>
      </c>
      <c r="F7" s="887">
        <v>2.15</v>
      </c>
      <c r="G7" s="887">
        <f t="shared" ref="G7:G14" si="0">E7-F7</f>
        <v>7.6399999999999988</v>
      </c>
      <c r="H7" s="888"/>
      <c r="I7" s="887"/>
      <c r="J7" s="887">
        <v>1.1599999999999999</v>
      </c>
      <c r="K7" s="887">
        <v>0.65</v>
      </c>
      <c r="L7" s="889">
        <v>6.42</v>
      </c>
      <c r="M7" s="887"/>
      <c r="N7" s="887"/>
      <c r="O7" s="890"/>
      <c r="P7" s="887"/>
      <c r="Q7" s="887"/>
      <c r="R7" s="985"/>
      <c r="S7" s="985">
        <f>J7*K7</f>
        <v>0.754</v>
      </c>
      <c r="T7" s="986"/>
      <c r="U7" s="985"/>
      <c r="V7" s="987"/>
      <c r="W7" s="891"/>
    </row>
    <row r="8" spans="1:23" s="828" customFormat="1" ht="15" customHeight="1">
      <c r="A8" s="892">
        <v>44795</v>
      </c>
      <c r="B8" s="893" t="s">
        <v>87</v>
      </c>
      <c r="C8" s="894" t="s">
        <v>90</v>
      </c>
      <c r="D8" s="895" t="s">
        <v>93</v>
      </c>
      <c r="E8" s="896">
        <v>10.9</v>
      </c>
      <c r="F8" s="897">
        <f>E8-G8</f>
        <v>4.4200000000000017</v>
      </c>
      <c r="G8" s="887">
        <f>G7-J7</f>
        <v>6.4799999999999986</v>
      </c>
      <c r="H8" s="888"/>
      <c r="I8" s="893"/>
      <c r="J8" s="898">
        <v>1.5</v>
      </c>
      <c r="K8" s="897">
        <v>0.79</v>
      </c>
      <c r="L8" s="896"/>
      <c r="M8" s="897"/>
      <c r="N8" s="893"/>
      <c r="O8" s="899">
        <f>Q8-P6</f>
        <v>-8.900000000000019E-2</v>
      </c>
      <c r="P8" s="887"/>
      <c r="Q8" s="897">
        <f>J8*K8</f>
        <v>1.1850000000000001</v>
      </c>
      <c r="R8" s="897"/>
      <c r="S8" s="897"/>
      <c r="T8" s="899"/>
      <c r="U8" s="897"/>
      <c r="V8" s="987"/>
      <c r="W8" s="900"/>
    </row>
    <row r="9" spans="1:23" s="828" customFormat="1" ht="15" customHeight="1">
      <c r="A9" s="892">
        <v>45161</v>
      </c>
      <c r="B9" s="893" t="s">
        <v>96</v>
      </c>
      <c r="C9" s="894" t="s">
        <v>90</v>
      </c>
      <c r="D9" s="895" t="s">
        <v>68</v>
      </c>
      <c r="E9" s="896">
        <v>10.9</v>
      </c>
      <c r="F9" s="897">
        <f>E9-G9</f>
        <v>0.98000000000000043</v>
      </c>
      <c r="G9" s="887">
        <v>9.92</v>
      </c>
      <c r="H9" s="888">
        <f>G9-G8</f>
        <v>3.4400000000000013</v>
      </c>
      <c r="I9" s="898">
        <f>H9</f>
        <v>3.4400000000000013</v>
      </c>
      <c r="J9" s="898"/>
      <c r="K9" s="897">
        <v>0.56999999999999995</v>
      </c>
      <c r="L9" s="896"/>
      <c r="M9" s="897"/>
      <c r="N9" s="893"/>
      <c r="O9" s="899"/>
      <c r="P9" s="887"/>
      <c r="Q9" s="897">
        <f>K9*I9</f>
        <v>1.9608000000000005</v>
      </c>
      <c r="R9" s="897"/>
      <c r="S9" s="897"/>
      <c r="T9" s="899"/>
      <c r="U9" s="897"/>
      <c r="V9" s="987"/>
      <c r="W9" s="900"/>
    </row>
    <row r="10" spans="1:23" s="828" customFormat="1" ht="15" customHeight="1">
      <c r="A10" s="892">
        <v>45161</v>
      </c>
      <c r="B10" s="893" t="s">
        <v>96</v>
      </c>
      <c r="C10" s="894" t="s">
        <v>90</v>
      </c>
      <c r="D10" s="895" t="s">
        <v>68</v>
      </c>
      <c r="E10" s="896">
        <v>14.65</v>
      </c>
      <c r="F10" s="897">
        <f>E10-G10</f>
        <v>4.7300000000000004</v>
      </c>
      <c r="G10" s="887">
        <f>G9</f>
        <v>9.92</v>
      </c>
      <c r="H10" s="888"/>
      <c r="I10" s="893"/>
      <c r="J10" s="898"/>
      <c r="K10" s="897"/>
      <c r="L10" s="896"/>
      <c r="M10" s="897"/>
      <c r="N10" s="893"/>
      <c r="O10" s="899"/>
      <c r="P10" s="887"/>
      <c r="Q10" s="897"/>
      <c r="R10" s="897"/>
      <c r="S10" s="897">
        <v>0</v>
      </c>
      <c r="T10" s="899"/>
      <c r="U10" s="897"/>
      <c r="V10" s="987"/>
      <c r="W10" s="900"/>
    </row>
    <row r="11" spans="1:23" s="902" customFormat="1" ht="15.75" customHeight="1">
      <c r="A11" s="882">
        <v>45401</v>
      </c>
      <c r="B11" s="883" t="s">
        <v>179</v>
      </c>
      <c r="C11" s="884" t="s">
        <v>90</v>
      </c>
      <c r="D11" s="885" t="s">
        <v>186</v>
      </c>
      <c r="E11" s="886"/>
      <c r="F11" s="883"/>
      <c r="G11" s="887">
        <f t="shared" si="0"/>
        <v>0</v>
      </c>
      <c r="H11" s="888"/>
      <c r="I11" s="893"/>
      <c r="J11" s="893"/>
      <c r="K11" s="893"/>
      <c r="L11" s="896"/>
      <c r="M11" s="897"/>
      <c r="N11" s="893"/>
      <c r="O11" s="901"/>
      <c r="P11" s="887"/>
      <c r="Q11" s="893"/>
      <c r="R11" s="897"/>
      <c r="S11" s="897"/>
      <c r="T11" s="899"/>
      <c r="U11" s="897"/>
      <c r="V11" s="987"/>
      <c r="W11" s="894"/>
    </row>
    <row r="12" spans="1:23" s="828" customFormat="1" ht="15" customHeight="1">
      <c r="A12" s="841"/>
      <c r="C12" s="903"/>
      <c r="D12" s="904"/>
      <c r="E12" s="822"/>
      <c r="H12" s="905"/>
      <c r="I12" s="906"/>
      <c r="J12" s="838"/>
      <c r="K12" s="838"/>
      <c r="L12" s="907"/>
      <c r="M12" s="838"/>
      <c r="N12" s="838"/>
      <c r="O12" s="908"/>
      <c r="P12" s="838"/>
      <c r="Q12" s="906"/>
      <c r="R12" s="906"/>
      <c r="S12" s="906"/>
      <c r="T12" s="908"/>
      <c r="U12" s="906"/>
      <c r="V12" s="988"/>
      <c r="W12" s="910"/>
    </row>
    <row r="13" spans="1:23" s="828" customFormat="1" ht="15" customHeight="1">
      <c r="A13" s="911">
        <v>45401</v>
      </c>
      <c r="B13" s="912" t="s">
        <v>179</v>
      </c>
      <c r="C13" s="913" t="s">
        <v>185</v>
      </c>
      <c r="D13" s="914" t="s">
        <v>39</v>
      </c>
      <c r="E13" s="915">
        <v>8</v>
      </c>
      <c r="F13" s="916">
        <v>0.31</v>
      </c>
      <c r="G13" s="916">
        <f t="shared" si="0"/>
        <v>7.69</v>
      </c>
      <c r="H13" s="917"/>
      <c r="I13" s="916"/>
      <c r="J13" s="916">
        <f>'20240419_PitCore_Z'!I3</f>
        <v>4.4800000000000004</v>
      </c>
      <c r="K13" s="916">
        <f>'20240419_PitCore_Z'!I4</f>
        <v>0.45246702756035551</v>
      </c>
      <c r="L13" s="918">
        <f>G13-J13</f>
        <v>3.21</v>
      </c>
      <c r="M13" s="916"/>
      <c r="N13" s="916"/>
      <c r="O13" s="919"/>
      <c r="P13" s="916">
        <f>J13*K13</f>
        <v>2.0270522834703928</v>
      </c>
      <c r="Q13" s="916"/>
      <c r="R13" s="989"/>
      <c r="S13" s="989"/>
      <c r="T13" s="990">
        <v>576093.51100000006</v>
      </c>
      <c r="U13" s="989">
        <v>7018666.6519999998</v>
      </c>
      <c r="V13" s="991">
        <v>2079.3939999999998</v>
      </c>
      <c r="W13" s="920"/>
    </row>
    <row r="14" spans="1:23" s="828" customFormat="1" ht="15" customHeight="1">
      <c r="A14" s="911">
        <v>45524</v>
      </c>
      <c r="B14" s="912" t="s">
        <v>204</v>
      </c>
      <c r="C14" s="913" t="s">
        <v>185</v>
      </c>
      <c r="D14" s="914" t="s">
        <v>57</v>
      </c>
      <c r="E14" s="915">
        <v>8</v>
      </c>
      <c r="F14" s="916">
        <v>2.19</v>
      </c>
      <c r="G14" s="916">
        <f t="shared" si="0"/>
        <v>5.8100000000000005</v>
      </c>
      <c r="H14" s="917"/>
      <c r="I14" s="916">
        <v>0.15</v>
      </c>
      <c r="J14" s="916">
        <f>AVERAGE(0.15, 0)</f>
        <v>7.4999999999999997E-2</v>
      </c>
      <c r="K14" s="916">
        <v>0.45</v>
      </c>
      <c r="L14" s="918"/>
      <c r="M14" s="916"/>
      <c r="N14" s="916"/>
      <c r="O14" s="919"/>
      <c r="P14" s="916"/>
      <c r="Q14" s="916"/>
      <c r="R14" s="989"/>
      <c r="S14" s="989">
        <f>J14*K14</f>
        <v>3.3750000000000002E-2</v>
      </c>
      <c r="T14" s="990">
        <v>576093.21299999999</v>
      </c>
      <c r="U14" s="989">
        <v>7018659.3569999998</v>
      </c>
      <c r="V14" s="991">
        <v>2076.1239999999998</v>
      </c>
      <c r="W14" s="920"/>
    </row>
    <row r="15" spans="1:23" s="828" customFormat="1" ht="15" customHeight="1">
      <c r="A15" s="911">
        <v>45524</v>
      </c>
      <c r="B15" s="912" t="s">
        <v>204</v>
      </c>
      <c r="C15" s="913" t="s">
        <v>185</v>
      </c>
      <c r="D15" s="914" t="s">
        <v>213</v>
      </c>
      <c r="E15" s="915">
        <v>10</v>
      </c>
      <c r="F15" s="916">
        <f>E15-G15</f>
        <v>4.34</v>
      </c>
      <c r="G15" s="916">
        <f>G14-0.15</f>
        <v>5.66</v>
      </c>
      <c r="H15" s="917"/>
      <c r="I15" s="916">
        <f>G15-L15</f>
        <v>2.4500000000000002</v>
      </c>
      <c r="J15" s="916">
        <f>'20240820_Pit_Z'!I3</f>
        <v>2.12</v>
      </c>
      <c r="K15" s="916">
        <f>'20240820_Pit_Z'!I4</f>
        <v>0.54223309504277517</v>
      </c>
      <c r="L15" s="918">
        <f>L13</f>
        <v>3.21</v>
      </c>
      <c r="M15" s="916"/>
      <c r="N15" s="916"/>
      <c r="O15" s="919"/>
      <c r="P15" s="916"/>
      <c r="Q15" s="916">
        <f>J15*K15</f>
        <v>1.1495341614906833</v>
      </c>
      <c r="R15" s="989"/>
      <c r="S15" s="989"/>
      <c r="T15" s="990"/>
      <c r="U15" s="989"/>
      <c r="V15" s="991"/>
      <c r="W15" s="920"/>
    </row>
    <row r="16" spans="1:23" s="828" customFormat="1" ht="15" customHeight="1">
      <c r="A16" s="921"/>
      <c r="B16" s="922"/>
      <c r="C16" s="923"/>
      <c r="D16" s="924"/>
      <c r="E16" s="925"/>
      <c r="F16" s="926"/>
      <c r="G16" s="926"/>
      <c r="H16" s="917"/>
      <c r="I16" s="916"/>
      <c r="J16" s="916"/>
      <c r="K16" s="916"/>
      <c r="L16" s="918"/>
      <c r="M16" s="916"/>
      <c r="N16" s="916"/>
      <c r="O16" s="919"/>
      <c r="P16" s="916"/>
      <c r="Q16" s="916"/>
      <c r="R16" s="989"/>
      <c r="S16" s="989"/>
      <c r="T16" s="990"/>
      <c r="U16" s="989"/>
      <c r="V16" s="991"/>
      <c r="W16" s="920"/>
    </row>
    <row r="17" spans="1:34" s="828" customFormat="1" ht="15" customHeight="1">
      <c r="A17" s="927"/>
      <c r="B17" s="928"/>
      <c r="C17" s="929"/>
      <c r="D17" s="930"/>
      <c r="E17" s="931"/>
      <c r="F17" s="932"/>
      <c r="G17" s="932"/>
      <c r="H17" s="933"/>
      <c r="I17" s="932"/>
      <c r="J17" s="932"/>
      <c r="K17" s="932"/>
      <c r="L17" s="934"/>
      <c r="M17" s="932"/>
      <c r="N17" s="932"/>
      <c r="O17" s="935"/>
      <c r="P17" s="932"/>
      <c r="Q17" s="932"/>
      <c r="R17" s="992"/>
      <c r="S17" s="992"/>
      <c r="T17" s="993"/>
      <c r="U17" s="992"/>
      <c r="V17" s="988"/>
      <c r="W17" s="936"/>
    </row>
    <row r="18" spans="1:34" s="828" customFormat="1" ht="15" customHeight="1">
      <c r="A18" s="937"/>
      <c r="B18" s="938"/>
      <c r="C18" s="939"/>
      <c r="D18" s="940"/>
      <c r="E18" s="941"/>
      <c r="F18" s="942"/>
      <c r="G18" s="942"/>
      <c r="H18" s="943"/>
      <c r="I18" s="944"/>
      <c r="J18" s="945"/>
      <c r="K18" s="945"/>
      <c r="L18" s="946"/>
      <c r="M18" s="945"/>
      <c r="N18" s="947"/>
      <c r="O18" s="948"/>
      <c r="P18" s="945"/>
      <c r="Q18" s="947"/>
      <c r="R18" s="945"/>
      <c r="S18" s="945"/>
      <c r="T18" s="994"/>
      <c r="U18" s="945"/>
      <c r="V18" s="995"/>
      <c r="W18" s="949"/>
    </row>
    <row r="19" spans="1:34" s="828" customFormat="1" ht="15" customHeight="1" thickBot="1">
      <c r="A19" s="950"/>
      <c r="B19" s="950"/>
      <c r="C19" s="950"/>
      <c r="D19" s="950"/>
      <c r="E19" s="950"/>
      <c r="F19" s="950"/>
      <c r="G19" s="950"/>
      <c r="H19" s="950"/>
      <c r="I19" s="950"/>
      <c r="J19" s="950"/>
      <c r="K19" s="950"/>
      <c r="L19" s="950"/>
      <c r="M19" s="950"/>
      <c r="N19" s="950"/>
      <c r="O19" s="950"/>
      <c r="P19" s="950"/>
      <c r="Q19" s="950"/>
      <c r="R19" s="950"/>
      <c r="S19" s="950"/>
      <c r="T19" s="950"/>
      <c r="U19" s="950"/>
      <c r="V19" s="950"/>
      <c r="W19" s="950"/>
      <c r="X19" s="950"/>
      <c r="Y19" s="950"/>
      <c r="Z19" s="950"/>
      <c r="AA19" s="950"/>
      <c r="AB19" s="950"/>
      <c r="AC19" s="950"/>
      <c r="AD19" s="950"/>
      <c r="AE19" s="950"/>
      <c r="AF19" s="950"/>
      <c r="AG19" s="950"/>
      <c r="AH19" s="950"/>
    </row>
    <row r="20" spans="1:34" s="828" customFormat="1" ht="15.75" customHeight="1">
      <c r="A20" s="1063" t="s">
        <v>42</v>
      </c>
      <c r="B20" s="1064"/>
      <c r="C20" s="1067" t="s">
        <v>43</v>
      </c>
      <c r="D20" s="1067"/>
      <c r="E20" s="951" t="s">
        <v>44</v>
      </c>
      <c r="F20" s="952"/>
      <c r="G20" s="951" t="s">
        <v>45</v>
      </c>
      <c r="H20" s="952"/>
      <c r="I20" s="953" t="s">
        <v>46</v>
      </c>
      <c r="R20" s="909"/>
      <c r="S20" s="909"/>
      <c r="T20" s="909"/>
      <c r="U20" s="909"/>
    </row>
    <row r="21" spans="1:34" s="828" customFormat="1" ht="15.75" customHeight="1">
      <c r="A21" s="1065"/>
      <c r="B21" s="1066"/>
      <c r="C21" s="954" t="s">
        <v>47</v>
      </c>
      <c r="D21" s="954" t="s">
        <v>48</v>
      </c>
      <c r="E21" s="955">
        <f>A10</f>
        <v>45161</v>
      </c>
      <c r="F21" s="956" t="s">
        <v>49</v>
      </c>
      <c r="G21" s="957">
        <f>A13</f>
        <v>45401</v>
      </c>
      <c r="H21" s="956" t="s">
        <v>49</v>
      </c>
      <c r="I21" s="958">
        <v>45524</v>
      </c>
      <c r="R21" s="909"/>
      <c r="S21" s="909"/>
      <c r="T21" s="909"/>
      <c r="U21" s="909"/>
    </row>
    <row r="22" spans="1:34" s="828" customFormat="1" ht="15.75" customHeight="1">
      <c r="A22" s="959"/>
      <c r="B22" s="960" t="s">
        <v>50</v>
      </c>
      <c r="C22" s="961">
        <f>P13</f>
        <v>2.0270522834703928</v>
      </c>
      <c r="D22" s="961"/>
      <c r="E22" s="962"/>
      <c r="F22" s="962"/>
      <c r="G22" s="963"/>
      <c r="H22" s="961"/>
      <c r="I22" s="964"/>
      <c r="R22" s="909"/>
      <c r="S22" s="909"/>
      <c r="T22" s="909"/>
      <c r="U22" s="909"/>
    </row>
    <row r="23" spans="1:34" s="828" customFormat="1" ht="15.75" customHeight="1">
      <c r="A23" s="959"/>
      <c r="B23" s="960" t="s">
        <v>51</v>
      </c>
      <c r="C23" s="961">
        <f>C24-C22</f>
        <v>-0.87751812197970946</v>
      </c>
      <c r="D23" s="961"/>
      <c r="E23" s="962"/>
      <c r="F23" s="962"/>
      <c r="G23" s="963"/>
      <c r="H23" s="961"/>
      <c r="I23" s="964"/>
      <c r="R23" s="909"/>
      <c r="S23" s="909"/>
      <c r="T23" s="909"/>
      <c r="U23" s="909"/>
    </row>
    <row r="24" spans="1:34" s="828" customFormat="1" ht="15.75" customHeight="1">
      <c r="A24" s="959"/>
      <c r="B24" s="960" t="s">
        <v>52</v>
      </c>
      <c r="C24" s="961">
        <f>Q15</f>
        <v>1.1495341614906833</v>
      </c>
      <c r="D24" s="961"/>
      <c r="E24" s="962"/>
      <c r="F24" s="962"/>
      <c r="G24" s="963"/>
      <c r="H24" s="961"/>
      <c r="I24" s="964"/>
      <c r="R24" s="909"/>
      <c r="S24" s="909"/>
      <c r="T24" s="909"/>
      <c r="U24" s="909"/>
    </row>
    <row r="25" spans="1:34" s="828" customFormat="1" ht="15.75" customHeight="1">
      <c r="A25" s="959"/>
      <c r="B25" s="965" t="s">
        <v>53</v>
      </c>
      <c r="C25" s="961">
        <f>S10</f>
        <v>0</v>
      </c>
      <c r="D25" s="961"/>
      <c r="E25" s="962"/>
      <c r="F25" s="962"/>
      <c r="G25" s="961"/>
      <c r="H25" s="961"/>
      <c r="I25" s="964"/>
      <c r="R25" s="909"/>
      <c r="S25" s="909"/>
      <c r="T25" s="909"/>
      <c r="U25" s="909"/>
    </row>
    <row r="26" spans="1:34" s="828" customFormat="1" ht="15.75" customHeight="1">
      <c r="A26" s="959"/>
      <c r="B26" s="965" t="s">
        <v>54</v>
      </c>
      <c r="C26" s="961" t="s">
        <v>187</v>
      </c>
      <c r="D26" s="961"/>
      <c r="E26" s="962"/>
      <c r="F26" s="962"/>
      <c r="G26" s="961"/>
      <c r="H26" s="961"/>
      <c r="I26" s="964"/>
      <c r="R26" s="909"/>
      <c r="S26" s="909"/>
      <c r="T26" s="909"/>
      <c r="U26" s="909"/>
    </row>
    <row r="27" spans="1:34" s="828" customFormat="1" ht="15.75" customHeight="1" thickBot="1">
      <c r="A27" s="966"/>
      <c r="B27" s="967" t="s">
        <v>55</v>
      </c>
      <c r="C27" s="968">
        <f>S14</f>
        <v>3.3750000000000002E-2</v>
      </c>
      <c r="D27" s="968"/>
      <c r="E27" s="969"/>
      <c r="F27" s="969"/>
      <c r="G27" s="970"/>
      <c r="H27" s="970"/>
      <c r="I27" s="971"/>
      <c r="R27" s="909"/>
      <c r="S27" s="909"/>
      <c r="T27" s="909"/>
      <c r="U27" s="909"/>
    </row>
    <row r="28" spans="1:34" s="828" customFormat="1" ht="15.75" customHeight="1">
      <c r="A28" s="909"/>
      <c r="B28" s="909"/>
      <c r="C28" s="909"/>
      <c r="D28" s="909"/>
      <c r="E28" s="909"/>
      <c r="F28" s="909"/>
      <c r="G28" s="909"/>
      <c r="H28" s="909"/>
      <c r="I28" s="909"/>
      <c r="J28" s="909"/>
      <c r="K28" s="909"/>
      <c r="L28" s="909"/>
      <c r="M28" s="909"/>
      <c r="N28" s="909"/>
      <c r="O28" s="909"/>
      <c r="P28" s="909"/>
      <c r="Q28" s="909"/>
      <c r="R28" s="909"/>
      <c r="S28" s="909"/>
      <c r="T28" s="909"/>
      <c r="U28" s="909"/>
    </row>
    <row r="29" spans="1:34" s="828" customFormat="1" ht="15.75" customHeight="1"/>
    <row r="30" spans="1:34" s="828" customFormat="1" ht="15.75" customHeight="1"/>
    <row r="31" spans="1:34" s="828" customFormat="1" ht="15.75" customHeight="1"/>
  </sheetData>
  <mergeCells count="6">
    <mergeCell ref="T1:V1"/>
    <mergeCell ref="T2:U2"/>
    <mergeCell ref="E3:G3"/>
    <mergeCell ref="T3:U3"/>
    <mergeCell ref="A20:B21"/>
    <mergeCell ref="C20:D20"/>
  </mergeCells>
  <pageMargins left="0.7" right="0.7" top="0.75" bottom="0.75" header="0.3" footer="0.3"/>
  <pageSetup orientation="portrait" verticalDpi="12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FBF27-2768-41CB-8C04-467EC34A8E38}">
  <dimension ref="A1:Q151"/>
  <sheetViews>
    <sheetView workbookViewId="0">
      <selection activeCell="I4" sqref="I4"/>
    </sheetView>
  </sheetViews>
  <sheetFormatPr defaultColWidth="7.85546875" defaultRowHeight="11.25"/>
  <cols>
    <col min="1" max="1" width="15.7109375" style="542" bestFit="1" customWidth="1"/>
    <col min="2" max="2" width="9.5703125" style="542" bestFit="1" customWidth="1"/>
    <col min="3" max="3" width="5.140625" style="605" customWidth="1"/>
    <col min="4" max="6" width="7.7109375" style="605" customWidth="1"/>
    <col min="7" max="7" width="6.28515625" style="601" customWidth="1"/>
    <col min="8" max="8" width="6.85546875" style="606" customWidth="1"/>
    <col min="9" max="9" width="9.7109375" style="601" customWidth="1"/>
    <col min="10" max="10" width="8.7109375" style="601" bestFit="1" customWidth="1"/>
    <col min="11" max="11" width="12.5703125" style="596" customWidth="1"/>
    <col min="12" max="12" width="17.28515625" style="602" bestFit="1" customWidth="1"/>
    <col min="13" max="13" width="12.85546875" style="542" customWidth="1"/>
    <col min="14" max="14" width="11.28515625" style="542" customWidth="1"/>
    <col min="15" max="15" width="14.5703125" style="484" customWidth="1"/>
    <col min="16" max="16" width="2.42578125" style="484" customWidth="1"/>
    <col min="17" max="17" width="14" style="542" bestFit="1" customWidth="1"/>
    <col min="18" max="18" width="5.42578125" style="542" customWidth="1"/>
    <col min="19" max="27" width="5.28515625" style="542" customWidth="1"/>
    <col min="28" max="28" width="17" style="542" customWidth="1"/>
    <col min="29" max="16384" width="7.85546875" style="542"/>
  </cols>
  <sheetData>
    <row r="1" spans="1:15" s="430" customFormat="1" ht="12.75">
      <c r="A1" s="420" t="s">
        <v>105</v>
      </c>
      <c r="B1" s="421" t="s">
        <v>152</v>
      </c>
      <c r="C1" s="422"/>
      <c r="D1" s="421"/>
      <c r="E1" s="423"/>
      <c r="F1" s="423"/>
      <c r="G1" s="424"/>
      <c r="H1" s="425" t="s">
        <v>106</v>
      </c>
      <c r="I1" s="426">
        <v>150</v>
      </c>
      <c r="J1" s="427"/>
      <c r="K1" s="421"/>
      <c r="L1" s="421"/>
      <c r="M1" s="428"/>
      <c r="N1" s="429"/>
    </row>
    <row r="2" spans="1:15" s="430" customFormat="1" ht="12.75">
      <c r="A2" s="431" t="s">
        <v>107</v>
      </c>
      <c r="B2" s="432" t="s">
        <v>5</v>
      </c>
      <c r="C2" s="433"/>
      <c r="D2" s="432"/>
      <c r="E2" s="434"/>
      <c r="F2" s="434"/>
      <c r="G2" s="435"/>
      <c r="H2" s="436" t="s">
        <v>108</v>
      </c>
      <c r="I2" s="437">
        <v>150</v>
      </c>
      <c r="J2" s="438"/>
      <c r="K2" s="432"/>
      <c r="L2" s="432"/>
      <c r="M2" s="439"/>
      <c r="N2" s="440"/>
    </row>
    <row r="3" spans="1:15" s="446" customFormat="1" ht="11.25" customHeight="1">
      <c r="A3" s="441" t="s">
        <v>109</v>
      </c>
      <c r="B3" s="607">
        <v>45400</v>
      </c>
      <c r="C3" s="433"/>
      <c r="D3" s="434"/>
      <c r="E3" s="434"/>
      <c r="F3" s="434"/>
      <c r="G3" s="435"/>
      <c r="H3" s="442" t="s">
        <v>110</v>
      </c>
      <c r="I3" s="443">
        <f>M28/100</f>
        <v>1.4730000000000001</v>
      </c>
      <c r="J3" s="438"/>
      <c r="K3" s="432"/>
      <c r="L3" s="432"/>
      <c r="M3" s="444"/>
      <c r="N3" s="445"/>
    </row>
    <row r="4" spans="1:15" s="430" customFormat="1" ht="12.75">
      <c r="A4" s="441" t="s">
        <v>111</v>
      </c>
      <c r="B4" s="432" t="s">
        <v>181</v>
      </c>
      <c r="C4" s="433"/>
      <c r="D4" s="434"/>
      <c r="E4" s="434"/>
      <c r="F4" s="434"/>
      <c r="G4" s="435"/>
      <c r="H4" s="442" t="s">
        <v>112</v>
      </c>
      <c r="I4" s="443">
        <f>J27</f>
        <v>0.3871635610766046</v>
      </c>
      <c r="J4" s="438"/>
      <c r="K4" s="432"/>
      <c r="L4" s="432"/>
      <c r="M4" s="439"/>
      <c r="N4" s="429"/>
    </row>
    <row r="5" spans="1:15" s="451" customFormat="1" ht="12.75">
      <c r="A5" s="431" t="s">
        <v>113</v>
      </c>
      <c r="B5" s="447" t="s">
        <v>114</v>
      </c>
      <c r="C5" s="433"/>
      <c r="D5" s="434"/>
      <c r="E5" s="434"/>
      <c r="F5" s="434"/>
      <c r="G5" s="435"/>
      <c r="H5" s="442"/>
      <c r="I5" s="448"/>
      <c r="J5" s="438"/>
      <c r="K5" s="432"/>
      <c r="L5" s="432"/>
      <c r="M5" s="449"/>
      <c r="N5" s="450"/>
    </row>
    <row r="6" spans="1:15" s="450" customFormat="1" ht="13.5" thickBot="1">
      <c r="A6" s="452"/>
      <c r="B6" s="453"/>
      <c r="C6" s="454"/>
      <c r="D6" s="455"/>
      <c r="E6" s="455"/>
      <c r="F6" s="455"/>
      <c r="G6" s="456"/>
      <c r="H6" s="457"/>
      <c r="I6" s="458"/>
      <c r="J6" s="456"/>
      <c r="K6" s="459"/>
      <c r="L6" s="453"/>
      <c r="M6" s="460"/>
    </row>
    <row r="7" spans="1:15" s="451" customFormat="1" ht="13.15" customHeight="1">
      <c r="A7" s="461" t="s">
        <v>115</v>
      </c>
      <c r="B7" s="462"/>
      <c r="C7" s="463"/>
      <c r="D7" s="464"/>
      <c r="E7" s="465" t="s">
        <v>116</v>
      </c>
      <c r="F7" s="462"/>
      <c r="G7" s="466" t="s">
        <v>117</v>
      </c>
      <c r="H7" s="467"/>
      <c r="I7" s="468" t="s">
        <v>118</v>
      </c>
      <c r="J7" s="468"/>
      <c r="K7" s="469"/>
      <c r="L7" s="1068" t="s">
        <v>119</v>
      </c>
      <c r="M7" s="1069"/>
      <c r="N7" s="450"/>
      <c r="O7" s="450"/>
    </row>
    <row r="8" spans="1:15" s="480" customFormat="1" ht="11.25" customHeight="1">
      <c r="A8" s="470"/>
      <c r="B8" s="471"/>
      <c r="C8" s="472"/>
      <c r="D8" s="473"/>
      <c r="E8" s="474"/>
      <c r="F8" s="473"/>
      <c r="G8" s="475"/>
      <c r="H8" s="476"/>
      <c r="I8" s="477"/>
      <c r="J8" s="477"/>
      <c r="K8" s="478"/>
      <c r="L8" s="449"/>
      <c r="M8" s="449"/>
      <c r="N8" s="479"/>
    </row>
    <row r="9" spans="1:15" s="481" customFormat="1">
      <c r="C9" s="482"/>
      <c r="D9" s="483"/>
      <c r="E9" s="474" t="s">
        <v>120</v>
      </c>
      <c r="F9" s="473"/>
      <c r="G9" s="475"/>
      <c r="H9" s="476"/>
      <c r="I9" s="484"/>
      <c r="J9" s="484"/>
      <c r="K9" s="478"/>
      <c r="L9" s="485"/>
      <c r="M9" s="486"/>
      <c r="N9" s="487"/>
      <c r="O9" s="488"/>
    </row>
    <row r="10" spans="1:15" s="481" customFormat="1">
      <c r="A10" s="489" t="s">
        <v>121</v>
      </c>
      <c r="B10" s="490" t="s">
        <v>122</v>
      </c>
      <c r="C10" s="491" t="s">
        <v>123</v>
      </c>
      <c r="D10" s="492" t="s">
        <v>124</v>
      </c>
      <c r="E10" s="493" t="s">
        <v>125</v>
      </c>
      <c r="F10" s="492" t="s">
        <v>126</v>
      </c>
      <c r="G10" s="475" t="s">
        <v>127</v>
      </c>
      <c r="H10" s="476" t="s">
        <v>128</v>
      </c>
      <c r="I10" s="477" t="s">
        <v>128</v>
      </c>
      <c r="J10" s="477" t="s">
        <v>127</v>
      </c>
      <c r="K10" s="494" t="s">
        <v>129</v>
      </c>
      <c r="L10" s="485" t="s">
        <v>130</v>
      </c>
      <c r="M10" s="485" t="s">
        <v>131</v>
      </c>
      <c r="N10" s="495"/>
    </row>
    <row r="11" spans="1:15" s="481" customFormat="1" ht="12" thickBot="1">
      <c r="A11" s="496" t="s">
        <v>132</v>
      </c>
      <c r="B11" s="497" t="s">
        <v>132</v>
      </c>
      <c r="C11" s="498" t="s">
        <v>133</v>
      </c>
      <c r="D11" s="499" t="s">
        <v>134</v>
      </c>
      <c r="E11" s="500" t="s">
        <v>133</v>
      </c>
      <c r="F11" s="499" t="s">
        <v>133</v>
      </c>
      <c r="G11" s="501" t="s">
        <v>135</v>
      </c>
      <c r="H11" s="502" t="s">
        <v>136</v>
      </c>
      <c r="I11" s="503" t="s">
        <v>136</v>
      </c>
      <c r="J11" s="503" t="s">
        <v>135</v>
      </c>
      <c r="K11" s="504"/>
      <c r="L11" s="505"/>
      <c r="M11" s="506" t="s">
        <v>133</v>
      </c>
      <c r="N11" s="495"/>
    </row>
    <row r="12" spans="1:15" s="481" customFormat="1">
      <c r="A12" s="507"/>
      <c r="B12" s="508"/>
      <c r="C12" s="509">
        <v>0</v>
      </c>
      <c r="D12" s="510"/>
      <c r="E12" s="511"/>
      <c r="F12" s="512"/>
      <c r="G12" s="513"/>
      <c r="H12" s="514"/>
      <c r="I12" s="515"/>
      <c r="J12" s="516"/>
      <c r="K12" s="517"/>
      <c r="L12" s="518" t="s">
        <v>137</v>
      </c>
      <c r="M12" s="519">
        <v>150</v>
      </c>
      <c r="N12" s="520"/>
    </row>
    <row r="13" spans="1:15" s="481" customFormat="1">
      <c r="A13" s="507">
        <v>205</v>
      </c>
      <c r="B13" s="508">
        <v>0</v>
      </c>
      <c r="C13" s="509">
        <v>10</v>
      </c>
      <c r="D13" s="510">
        <v>966</v>
      </c>
      <c r="E13" s="521">
        <f>C12</f>
        <v>0</v>
      </c>
      <c r="F13" s="522">
        <f>(C13+C14-10)/2</f>
        <v>10</v>
      </c>
      <c r="G13" s="523">
        <f t="shared" ref="G13:G27" si="0">(A13-B13)/966</f>
        <v>0.21221532091097309</v>
      </c>
      <c r="H13" s="524">
        <f>(G13*(F13-E13))/100</f>
        <v>2.1221532091097308E-2</v>
      </c>
      <c r="I13" s="525">
        <f>SUM(H$13:H13)</f>
        <v>2.1221532091097308E-2</v>
      </c>
      <c r="J13" s="526">
        <f t="shared" ref="J13:J27" si="1">I13/F13*100</f>
        <v>0.21221532091097306</v>
      </c>
      <c r="K13" s="517"/>
      <c r="L13" s="527" t="s">
        <v>138</v>
      </c>
      <c r="M13" s="528">
        <v>148</v>
      </c>
      <c r="N13" s="495"/>
    </row>
    <row r="14" spans="1:15" s="481" customFormat="1">
      <c r="A14" s="507">
        <v>315</v>
      </c>
      <c r="B14" s="508">
        <v>0</v>
      </c>
      <c r="C14" s="509">
        <v>20</v>
      </c>
      <c r="D14" s="510">
        <v>966</v>
      </c>
      <c r="E14" s="521">
        <f>(C13+C14-10)/2</f>
        <v>10</v>
      </c>
      <c r="F14" s="522">
        <f t="shared" ref="F14:F26" si="2">(C14+C15-10)/2</f>
        <v>20</v>
      </c>
      <c r="G14" s="523">
        <f t="shared" si="0"/>
        <v>0.32608695652173914</v>
      </c>
      <c r="H14" s="524">
        <f t="shared" ref="H14:H27" si="3">(G14*(F14-E14))/100</f>
        <v>3.2608695652173919E-2</v>
      </c>
      <c r="I14" s="525">
        <f>SUM(H$13:H14)</f>
        <v>5.3830227743271231E-2</v>
      </c>
      <c r="J14" s="526">
        <f t="shared" si="1"/>
        <v>0.26915113871635615</v>
      </c>
      <c r="K14" s="517"/>
      <c r="L14" s="527" t="s">
        <v>197</v>
      </c>
      <c r="M14" s="528">
        <v>135</v>
      </c>
      <c r="N14" s="495"/>
    </row>
    <row r="15" spans="1:15" s="481" customFormat="1">
      <c r="A15" s="507">
        <v>315</v>
      </c>
      <c r="B15" s="508">
        <v>0</v>
      </c>
      <c r="C15" s="509">
        <v>30</v>
      </c>
      <c r="D15" s="510">
        <v>966</v>
      </c>
      <c r="E15" s="521">
        <f>(C14+C15-10)/2</f>
        <v>20</v>
      </c>
      <c r="F15" s="522">
        <f t="shared" si="2"/>
        <v>30</v>
      </c>
      <c r="G15" s="523">
        <f t="shared" si="0"/>
        <v>0.32608695652173914</v>
      </c>
      <c r="H15" s="524">
        <f t="shared" si="3"/>
        <v>3.2608695652173919E-2</v>
      </c>
      <c r="I15" s="525">
        <f>SUM(H$13:H15)</f>
        <v>8.643892339544515E-2</v>
      </c>
      <c r="J15" s="526">
        <f t="shared" si="1"/>
        <v>0.28812974465148383</v>
      </c>
      <c r="K15" s="517"/>
      <c r="L15" s="527" t="s">
        <v>197</v>
      </c>
      <c r="M15" s="529">
        <v>140</v>
      </c>
      <c r="N15" s="495"/>
    </row>
    <row r="16" spans="1:15" s="481" customFormat="1">
      <c r="A16" s="530">
        <v>400</v>
      </c>
      <c r="B16" s="508">
        <v>0</v>
      </c>
      <c r="C16" s="509">
        <v>40</v>
      </c>
      <c r="D16" s="510">
        <v>966</v>
      </c>
      <c r="E16" s="521">
        <f t="shared" ref="E16:E27" si="4">(C15+C16-10)/2</f>
        <v>30</v>
      </c>
      <c r="F16" s="522">
        <f t="shared" si="2"/>
        <v>40</v>
      </c>
      <c r="G16" s="523">
        <f t="shared" si="0"/>
        <v>0.41407867494824019</v>
      </c>
      <c r="H16" s="524">
        <f t="shared" si="3"/>
        <v>4.1407867494824016E-2</v>
      </c>
      <c r="I16" s="525">
        <f>SUM(H$13:H16)</f>
        <v>0.12784679089026918</v>
      </c>
      <c r="J16" s="526">
        <f t="shared" si="1"/>
        <v>0.31961697722567295</v>
      </c>
      <c r="K16" s="517"/>
      <c r="L16" s="527" t="s">
        <v>197</v>
      </c>
      <c r="M16" s="528">
        <v>125</v>
      </c>
      <c r="N16" s="495"/>
    </row>
    <row r="17" spans="1:16" s="481" customFormat="1">
      <c r="A17" s="530">
        <v>420</v>
      </c>
      <c r="B17" s="508">
        <v>0</v>
      </c>
      <c r="C17" s="509">
        <v>50</v>
      </c>
      <c r="D17" s="510">
        <v>966</v>
      </c>
      <c r="E17" s="521">
        <f t="shared" si="4"/>
        <v>40</v>
      </c>
      <c r="F17" s="522">
        <f t="shared" si="2"/>
        <v>50</v>
      </c>
      <c r="G17" s="523">
        <f t="shared" si="0"/>
        <v>0.43478260869565216</v>
      </c>
      <c r="H17" s="524">
        <f t="shared" si="3"/>
        <v>4.3478260869565216E-2</v>
      </c>
      <c r="I17" s="525">
        <f>SUM(H$13:H17)</f>
        <v>0.1713250517598344</v>
      </c>
      <c r="J17" s="526">
        <f t="shared" si="1"/>
        <v>0.34265010351966879</v>
      </c>
      <c r="K17" s="531" t="s">
        <v>139</v>
      </c>
      <c r="L17" s="527" t="s">
        <v>197</v>
      </c>
      <c r="M17" s="528">
        <v>153</v>
      </c>
      <c r="N17" s="487"/>
    </row>
    <row r="18" spans="1:16" s="481" customFormat="1">
      <c r="A18" s="530">
        <v>375</v>
      </c>
      <c r="B18" s="508">
        <v>0</v>
      </c>
      <c r="C18" s="509">
        <v>60</v>
      </c>
      <c r="D18" s="510">
        <v>966</v>
      </c>
      <c r="E18" s="521">
        <f t="shared" si="4"/>
        <v>50</v>
      </c>
      <c r="F18" s="522">
        <f t="shared" si="2"/>
        <v>60</v>
      </c>
      <c r="G18" s="523">
        <f t="shared" si="0"/>
        <v>0.38819875776397517</v>
      </c>
      <c r="H18" s="524">
        <f t="shared" si="3"/>
        <v>3.8819875776397519E-2</v>
      </c>
      <c r="I18" s="525">
        <f>SUM(H$13:H18)</f>
        <v>0.21014492753623193</v>
      </c>
      <c r="J18" s="526">
        <f t="shared" si="1"/>
        <v>0.35024154589371986</v>
      </c>
      <c r="K18" s="532"/>
      <c r="L18" s="527" t="s">
        <v>198</v>
      </c>
      <c r="M18" s="528">
        <v>153</v>
      </c>
      <c r="N18" s="487"/>
    </row>
    <row r="19" spans="1:16" s="481" customFormat="1" ht="10.15" customHeight="1">
      <c r="A19" s="530">
        <v>410</v>
      </c>
      <c r="B19" s="508">
        <v>0</v>
      </c>
      <c r="C19" s="509">
        <v>70</v>
      </c>
      <c r="D19" s="510">
        <v>966</v>
      </c>
      <c r="E19" s="521">
        <f t="shared" si="4"/>
        <v>60</v>
      </c>
      <c r="F19" s="522">
        <f t="shared" si="2"/>
        <v>70</v>
      </c>
      <c r="G19" s="523">
        <f t="shared" si="0"/>
        <v>0.42443064182194618</v>
      </c>
      <c r="H19" s="524">
        <f t="shared" si="3"/>
        <v>4.2443064182194616E-2</v>
      </c>
      <c r="I19" s="525">
        <f>SUM(H$13:H19)</f>
        <v>0.25258799171842655</v>
      </c>
      <c r="J19" s="526">
        <f t="shared" si="1"/>
        <v>0.36083998816918084</v>
      </c>
      <c r="K19" s="532"/>
      <c r="L19" s="527" t="s">
        <v>198</v>
      </c>
      <c r="M19" s="528">
        <v>167</v>
      </c>
      <c r="N19" s="533"/>
    </row>
    <row r="20" spans="1:16" s="481" customFormat="1">
      <c r="A20" s="530">
        <v>385</v>
      </c>
      <c r="B20" s="508">
        <v>0</v>
      </c>
      <c r="C20" s="509">
        <v>80</v>
      </c>
      <c r="D20" s="510">
        <v>966</v>
      </c>
      <c r="E20" s="521">
        <f t="shared" si="4"/>
        <v>70</v>
      </c>
      <c r="F20" s="522">
        <f t="shared" si="2"/>
        <v>80</v>
      </c>
      <c r="G20" s="523">
        <f t="shared" si="0"/>
        <v>0.39855072463768115</v>
      </c>
      <c r="H20" s="524">
        <f t="shared" si="3"/>
        <v>3.9855072463768113E-2</v>
      </c>
      <c r="I20" s="525">
        <f>SUM(H$13:H20)</f>
        <v>0.29244306418219468</v>
      </c>
      <c r="J20" s="526">
        <f t="shared" si="1"/>
        <v>0.36555383022774335</v>
      </c>
      <c r="K20" s="517"/>
      <c r="L20" s="527" t="s">
        <v>198</v>
      </c>
      <c r="M20" s="528">
        <v>147</v>
      </c>
      <c r="N20" s="534"/>
    </row>
    <row r="21" spans="1:16" s="536" customFormat="1">
      <c r="A21" s="530">
        <v>395</v>
      </c>
      <c r="B21" s="508">
        <v>0</v>
      </c>
      <c r="C21" s="509">
        <v>90</v>
      </c>
      <c r="D21" s="510">
        <v>966</v>
      </c>
      <c r="E21" s="521">
        <f t="shared" si="4"/>
        <v>80</v>
      </c>
      <c r="F21" s="522">
        <f t="shared" si="2"/>
        <v>90</v>
      </c>
      <c r="G21" s="523">
        <f t="shared" si="0"/>
        <v>0.40890269151138714</v>
      </c>
      <c r="H21" s="524">
        <f t="shared" si="3"/>
        <v>4.0890269151138713E-2</v>
      </c>
      <c r="I21" s="525">
        <f>SUM(H$13:H21)</f>
        <v>0.33333333333333337</v>
      </c>
      <c r="J21" s="526">
        <f t="shared" si="1"/>
        <v>0.37037037037037041</v>
      </c>
      <c r="K21" s="535"/>
      <c r="L21" s="527" t="s">
        <v>198</v>
      </c>
      <c r="M21" s="528">
        <v>155</v>
      </c>
      <c r="N21" s="534"/>
    </row>
    <row r="22" spans="1:16" s="536" customFormat="1">
      <c r="A22" s="530">
        <v>485</v>
      </c>
      <c r="B22" s="508">
        <v>0</v>
      </c>
      <c r="C22" s="509">
        <v>100</v>
      </c>
      <c r="D22" s="510">
        <v>966</v>
      </c>
      <c r="E22" s="521">
        <f t="shared" si="4"/>
        <v>90</v>
      </c>
      <c r="F22" s="522">
        <f t="shared" si="2"/>
        <v>100</v>
      </c>
      <c r="G22" s="523">
        <f t="shared" si="0"/>
        <v>0.50207039337474124</v>
      </c>
      <c r="H22" s="524">
        <f t="shared" si="3"/>
        <v>5.0207039337474127E-2</v>
      </c>
      <c r="I22" s="525">
        <f>SUM(H$13:H22)</f>
        <v>0.38354037267080748</v>
      </c>
      <c r="J22" s="526">
        <f t="shared" si="1"/>
        <v>0.38354037267080748</v>
      </c>
      <c r="K22" s="517"/>
      <c r="L22" s="527"/>
      <c r="M22" s="537"/>
      <c r="N22" s="534"/>
    </row>
    <row r="23" spans="1:16" s="536" customFormat="1">
      <c r="A23" s="530">
        <v>475</v>
      </c>
      <c r="B23" s="508">
        <v>0</v>
      </c>
      <c r="C23" s="509">
        <v>110</v>
      </c>
      <c r="D23" s="510">
        <v>966</v>
      </c>
      <c r="E23" s="521">
        <f t="shared" si="4"/>
        <v>100</v>
      </c>
      <c r="F23" s="522">
        <f t="shared" si="2"/>
        <v>110</v>
      </c>
      <c r="G23" s="523">
        <f t="shared" si="0"/>
        <v>0.4917184265010352</v>
      </c>
      <c r="H23" s="524">
        <f t="shared" si="3"/>
        <v>4.917184265010352E-2</v>
      </c>
      <c r="I23" s="525">
        <f>SUM(H$13:H23)</f>
        <v>0.43271221532091098</v>
      </c>
      <c r="J23" s="526">
        <f t="shared" si="1"/>
        <v>0.3933747412008281</v>
      </c>
      <c r="K23" s="538"/>
      <c r="L23" s="527"/>
      <c r="M23" s="539"/>
      <c r="N23" s="540"/>
    </row>
    <row r="24" spans="1:16" s="536" customFormat="1">
      <c r="A24" s="530">
        <v>345</v>
      </c>
      <c r="B24" s="508">
        <v>0</v>
      </c>
      <c r="C24" s="509">
        <v>120</v>
      </c>
      <c r="D24" s="510">
        <v>966</v>
      </c>
      <c r="E24" s="521">
        <f t="shared" si="4"/>
        <v>110</v>
      </c>
      <c r="F24" s="522">
        <f t="shared" si="2"/>
        <v>120</v>
      </c>
      <c r="G24" s="523">
        <f t="shared" si="0"/>
        <v>0.35714285714285715</v>
      </c>
      <c r="H24" s="524">
        <f t="shared" si="3"/>
        <v>3.5714285714285719E-2</v>
      </c>
      <c r="I24" s="525">
        <f>SUM(H$13:H24)</f>
        <v>0.46842650103519667</v>
      </c>
      <c r="J24" s="526">
        <f t="shared" si="1"/>
        <v>0.39035541752933056</v>
      </c>
      <c r="K24" s="541"/>
      <c r="L24" s="527"/>
      <c r="M24" s="539"/>
      <c r="N24" s="540"/>
    </row>
    <row r="25" spans="1:16" s="536" customFormat="1">
      <c r="A25" s="530">
        <v>340</v>
      </c>
      <c r="B25" s="508">
        <v>0</v>
      </c>
      <c r="C25" s="509">
        <v>130</v>
      </c>
      <c r="D25" s="510">
        <v>966</v>
      </c>
      <c r="E25" s="521">
        <f t="shared" si="4"/>
        <v>120</v>
      </c>
      <c r="F25" s="522">
        <f t="shared" si="2"/>
        <v>130</v>
      </c>
      <c r="G25" s="523">
        <f t="shared" si="0"/>
        <v>0.35196687370600416</v>
      </c>
      <c r="H25" s="524">
        <f t="shared" si="3"/>
        <v>3.5196687370600416E-2</v>
      </c>
      <c r="I25" s="525">
        <f>SUM(H$13:H25)</f>
        <v>0.50362318840579712</v>
      </c>
      <c r="J25" s="526">
        <f t="shared" si="1"/>
        <v>0.38740245261984391</v>
      </c>
      <c r="K25" s="541"/>
      <c r="L25" s="527"/>
      <c r="M25" s="539"/>
      <c r="N25" s="540"/>
    </row>
    <row r="26" spans="1:16" s="536" customFormat="1">
      <c r="A26" s="530">
        <v>370</v>
      </c>
      <c r="B26" s="508">
        <v>0</v>
      </c>
      <c r="C26" s="509">
        <v>140</v>
      </c>
      <c r="D26" s="510">
        <v>966</v>
      </c>
      <c r="E26" s="521">
        <f t="shared" si="4"/>
        <v>130</v>
      </c>
      <c r="F26" s="522">
        <f t="shared" si="2"/>
        <v>140</v>
      </c>
      <c r="G26" s="523">
        <f t="shared" si="0"/>
        <v>0.38302277432712217</v>
      </c>
      <c r="H26" s="524">
        <f t="shared" si="3"/>
        <v>3.8302277432712216E-2</v>
      </c>
      <c r="I26" s="525">
        <f>SUM(H$13:H26)</f>
        <v>0.54192546583850931</v>
      </c>
      <c r="J26" s="526">
        <f t="shared" si="1"/>
        <v>0.38708961845607809</v>
      </c>
      <c r="K26" s="541"/>
      <c r="L26" s="527"/>
      <c r="M26" s="528"/>
      <c r="N26" s="540"/>
    </row>
    <row r="27" spans="1:16" s="536" customFormat="1" ht="12" thickBot="1">
      <c r="A27" s="530">
        <v>375</v>
      </c>
      <c r="B27" s="508">
        <v>0</v>
      </c>
      <c r="C27" s="509">
        <v>150</v>
      </c>
      <c r="D27" s="510">
        <v>966</v>
      </c>
      <c r="E27" s="521">
        <f t="shared" si="4"/>
        <v>140</v>
      </c>
      <c r="F27" s="522">
        <f>C27</f>
        <v>150</v>
      </c>
      <c r="G27" s="523">
        <f t="shared" si="0"/>
        <v>0.38819875776397517</v>
      </c>
      <c r="H27" s="524">
        <f t="shared" si="3"/>
        <v>3.8819875776397519E-2</v>
      </c>
      <c r="I27" s="525">
        <f>SUM(H$13:H27)</f>
        <v>0.58074534161490687</v>
      </c>
      <c r="J27" s="526">
        <f t="shared" si="1"/>
        <v>0.3871635610766046</v>
      </c>
      <c r="K27" s="541"/>
      <c r="L27" s="527"/>
      <c r="M27" s="528"/>
      <c r="N27" s="540"/>
    </row>
    <row r="28" spans="1:16" s="536" customFormat="1">
      <c r="A28" s="530"/>
      <c r="B28" s="508"/>
      <c r="C28" s="509"/>
      <c r="D28" s="510"/>
      <c r="E28" s="521"/>
      <c r="F28" s="522"/>
      <c r="G28" s="523"/>
      <c r="H28" s="524"/>
      <c r="I28" s="525"/>
      <c r="J28" s="526"/>
      <c r="K28" s="543"/>
      <c r="L28" s="553" t="s">
        <v>140</v>
      </c>
      <c r="M28" s="554">
        <f>AVERAGE(M12:M27)</f>
        <v>147.30000000000001</v>
      </c>
      <c r="N28" s="540"/>
    </row>
    <row r="29" spans="1:16">
      <c r="A29" s="530"/>
      <c r="B29" s="508"/>
      <c r="C29" s="509"/>
      <c r="D29" s="510"/>
      <c r="E29" s="521"/>
      <c r="F29" s="522"/>
      <c r="G29" s="523"/>
      <c r="H29" s="524"/>
      <c r="I29" s="525"/>
      <c r="J29" s="526"/>
      <c r="K29" s="543"/>
      <c r="L29" s="429" t="s">
        <v>141</v>
      </c>
      <c r="M29" s="552">
        <f>STDEV(M12:M27)</f>
        <v>11.652848960185183</v>
      </c>
      <c r="N29" s="540"/>
      <c r="O29" s="536"/>
      <c r="P29" s="536"/>
    </row>
    <row r="30" spans="1:16">
      <c r="A30" s="555" t="s">
        <v>142</v>
      </c>
      <c r="B30" s="556"/>
      <c r="C30" s="557"/>
      <c r="D30" s="558"/>
      <c r="E30" s="559"/>
      <c r="F30" s="560"/>
      <c r="G30" s="561"/>
      <c r="H30" s="562"/>
      <c r="I30" s="563"/>
      <c r="J30" s="564"/>
      <c r="K30" s="565"/>
      <c r="L30" s="429" t="s">
        <v>143</v>
      </c>
      <c r="M30" s="552">
        <f>M29/SQRT(COUNT(M12:M27))</f>
        <v>3.684954394410993</v>
      </c>
      <c r="N30" s="540"/>
      <c r="O30" s="536"/>
      <c r="P30" s="536"/>
    </row>
    <row r="31" spans="1:16">
      <c r="A31" s="566"/>
      <c r="B31" s="567"/>
      <c r="C31" s="568"/>
      <c r="D31" s="569"/>
      <c r="E31" s="570"/>
      <c r="F31" s="571"/>
      <c r="G31" s="572"/>
      <c r="H31" s="573"/>
      <c r="I31" s="574"/>
      <c r="J31" s="575"/>
      <c r="K31" s="576"/>
      <c r="L31" s="429" t="s">
        <v>144</v>
      </c>
      <c r="M31" s="552">
        <f>MAX(M12:M27)</f>
        <v>167</v>
      </c>
      <c r="N31" s="540"/>
      <c r="O31" s="536"/>
      <c r="P31" s="536"/>
    </row>
    <row r="32" spans="1:16" ht="12" thickBot="1">
      <c r="A32" s="577"/>
      <c r="B32" s="578"/>
      <c r="C32" s="579"/>
      <c r="D32" s="580"/>
      <c r="E32" s="581"/>
      <c r="F32" s="582"/>
      <c r="G32" s="583"/>
      <c r="H32" s="584"/>
      <c r="I32" s="585"/>
      <c r="J32" s="586"/>
      <c r="K32" s="587"/>
      <c r="L32" s="588" t="s">
        <v>145</v>
      </c>
      <c r="M32" s="589">
        <f>MIN(M12:M27)</f>
        <v>125</v>
      </c>
      <c r="N32" s="540"/>
      <c r="O32" s="536"/>
      <c r="P32" s="536"/>
    </row>
    <row r="33" spans="1:17">
      <c r="A33" s="590"/>
      <c r="B33" s="590"/>
      <c r="C33" s="591"/>
      <c r="D33" s="592"/>
      <c r="E33" s="592"/>
      <c r="F33" s="592"/>
      <c r="G33" s="593"/>
      <c r="H33" s="594"/>
      <c r="I33" s="595"/>
      <c r="J33" s="596"/>
      <c r="K33" s="597"/>
      <c r="L33" s="598"/>
      <c r="M33" s="484"/>
      <c r="N33" s="540"/>
      <c r="O33" s="536"/>
      <c r="P33" s="536"/>
    </row>
    <row r="34" spans="1:17">
      <c r="A34" s="484"/>
      <c r="B34" s="484"/>
      <c r="C34" s="599"/>
      <c r="D34" s="599"/>
      <c r="E34" s="599"/>
      <c r="F34" s="599"/>
      <c r="G34" s="595"/>
      <c r="H34" s="594"/>
      <c r="I34" s="595"/>
      <c r="J34" s="596"/>
      <c r="K34" s="600"/>
      <c r="L34" s="598"/>
      <c r="M34" s="484"/>
      <c r="N34" s="544"/>
      <c r="O34" s="542"/>
      <c r="P34" s="542"/>
    </row>
    <row r="35" spans="1:17">
      <c r="A35" s="601"/>
      <c r="B35" s="601"/>
      <c r="C35" s="601"/>
      <c r="D35" s="601"/>
      <c r="E35" s="596"/>
      <c r="F35" s="602"/>
      <c r="G35" s="484"/>
      <c r="H35" s="542"/>
      <c r="I35" s="484"/>
      <c r="J35" s="542"/>
      <c r="K35" s="542"/>
      <c r="L35" s="484"/>
      <c r="M35" s="484"/>
      <c r="N35" s="545"/>
      <c r="O35" s="546"/>
      <c r="P35" s="547"/>
      <c r="Q35" s="546"/>
    </row>
    <row r="36" spans="1:17">
      <c r="A36" s="603"/>
      <c r="B36" s="603"/>
      <c r="C36" s="601"/>
      <c r="D36" s="601"/>
      <c r="E36" s="596"/>
      <c r="F36" s="602"/>
      <c r="G36" s="542"/>
      <c r="H36" s="542"/>
      <c r="I36" s="484"/>
      <c r="J36" s="542"/>
      <c r="K36" s="542"/>
      <c r="L36" s="484"/>
      <c r="M36" s="484"/>
      <c r="N36" s="545"/>
      <c r="O36" s="546"/>
      <c r="P36" s="548"/>
      <c r="Q36" s="546"/>
    </row>
    <row r="37" spans="1:17">
      <c r="A37" s="477"/>
      <c r="B37" s="477"/>
      <c r="C37" s="601"/>
      <c r="D37" s="601"/>
      <c r="E37" s="596"/>
      <c r="F37" s="602"/>
      <c r="G37" s="542"/>
      <c r="H37" s="542"/>
      <c r="I37" s="484"/>
      <c r="J37" s="542"/>
      <c r="K37" s="542"/>
      <c r="L37" s="484"/>
      <c r="M37" s="484"/>
      <c r="N37" s="549"/>
      <c r="O37" s="546"/>
      <c r="P37" s="546"/>
      <c r="Q37" s="546"/>
    </row>
    <row r="38" spans="1:17">
      <c r="A38" s="601"/>
      <c r="B38" s="601"/>
      <c r="C38" s="601"/>
      <c r="D38" s="601"/>
      <c r="E38" s="596"/>
      <c r="F38" s="602"/>
      <c r="G38" s="542"/>
      <c r="H38" s="542"/>
      <c r="I38" s="484"/>
      <c r="J38" s="542"/>
      <c r="K38" s="542"/>
      <c r="L38" s="484"/>
      <c r="M38" s="484"/>
      <c r="N38" s="550"/>
      <c r="O38" s="551"/>
      <c r="P38" s="542"/>
    </row>
    <row r="39" spans="1:17">
      <c r="A39" s="601"/>
      <c r="B39" s="601"/>
      <c r="C39" s="601"/>
      <c r="D39" s="601"/>
      <c r="E39" s="596"/>
      <c r="F39" s="602"/>
      <c r="G39" s="542"/>
      <c r="H39" s="542"/>
      <c r="I39" s="484"/>
      <c r="J39" s="595"/>
      <c r="K39" s="542"/>
      <c r="L39" s="484"/>
      <c r="M39" s="484"/>
      <c r="N39" s="551"/>
      <c r="O39" s="551"/>
      <c r="P39" s="542"/>
    </row>
    <row r="40" spans="1:17">
      <c r="A40" s="601"/>
      <c r="B40" s="601"/>
      <c r="C40" s="601"/>
      <c r="D40" s="601"/>
      <c r="E40" s="596"/>
      <c r="F40" s="602"/>
      <c r="G40" s="542"/>
      <c r="H40" s="542"/>
      <c r="I40" s="484"/>
      <c r="J40" s="595"/>
      <c r="K40" s="542"/>
      <c r="L40" s="484"/>
      <c r="M40" s="484"/>
      <c r="O40" s="542"/>
      <c r="P40" s="542"/>
    </row>
    <row r="41" spans="1:17">
      <c r="A41" s="601"/>
      <c r="B41" s="601"/>
      <c r="C41" s="601"/>
      <c r="D41" s="601"/>
      <c r="E41" s="596"/>
      <c r="F41" s="602"/>
      <c r="G41" s="542"/>
      <c r="H41" s="542"/>
      <c r="I41" s="484"/>
      <c r="J41" s="542"/>
      <c r="K41" s="542"/>
      <c r="L41" s="484"/>
      <c r="M41" s="484"/>
      <c r="O41" s="542"/>
      <c r="P41" s="542"/>
    </row>
    <row r="42" spans="1:17">
      <c r="A42" s="601"/>
      <c r="B42" s="601"/>
      <c r="C42" s="601"/>
      <c r="D42" s="601"/>
      <c r="E42" s="596"/>
      <c r="F42" s="602"/>
      <c r="G42" s="542"/>
      <c r="H42" s="542"/>
      <c r="I42" s="484"/>
      <c r="J42" s="542"/>
      <c r="K42" s="542"/>
      <c r="L42" s="484"/>
      <c r="M42" s="484"/>
      <c r="O42" s="542"/>
      <c r="P42" s="542"/>
    </row>
    <row r="43" spans="1:17">
      <c r="A43" s="601"/>
      <c r="B43" s="601"/>
      <c r="C43" s="601"/>
      <c r="D43" s="601"/>
      <c r="E43" s="596"/>
      <c r="F43" s="602"/>
      <c r="G43" s="542"/>
      <c r="H43" s="542"/>
      <c r="I43" s="484"/>
      <c r="J43" s="542"/>
      <c r="K43" s="542"/>
      <c r="L43" s="484"/>
      <c r="M43" s="484"/>
      <c r="O43" s="542"/>
      <c r="P43" s="542"/>
    </row>
    <row r="44" spans="1:17">
      <c r="A44" s="601"/>
      <c r="B44" s="601"/>
      <c r="C44" s="601"/>
      <c r="D44" s="601"/>
      <c r="E44" s="596"/>
      <c r="F44" s="602"/>
      <c r="G44" s="542"/>
      <c r="H44" s="542"/>
      <c r="I44" s="484"/>
      <c r="J44" s="542"/>
      <c r="K44" s="542"/>
      <c r="L44" s="484"/>
      <c r="M44" s="484"/>
      <c r="O44" s="542"/>
      <c r="P44" s="542"/>
    </row>
    <row r="45" spans="1:17">
      <c r="A45" s="601"/>
      <c r="B45" s="601"/>
      <c r="C45" s="601"/>
      <c r="D45" s="601"/>
      <c r="E45" s="596"/>
      <c r="F45" s="602"/>
      <c r="G45" s="542"/>
      <c r="H45" s="542"/>
      <c r="I45" s="484"/>
      <c r="J45" s="542"/>
      <c r="K45" s="542"/>
      <c r="L45" s="484"/>
      <c r="M45" s="484"/>
      <c r="O45" s="542"/>
      <c r="P45" s="542"/>
    </row>
    <row r="46" spans="1:17">
      <c r="A46" s="601"/>
      <c r="B46" s="601"/>
      <c r="C46" s="601"/>
      <c r="D46" s="601"/>
      <c r="E46" s="596"/>
      <c r="F46" s="602"/>
      <c r="G46" s="542"/>
      <c r="H46" s="542"/>
      <c r="I46" s="484"/>
      <c r="J46" s="542"/>
      <c r="K46" s="542"/>
      <c r="L46" s="484"/>
      <c r="O46" s="542"/>
      <c r="P46" s="542"/>
    </row>
    <row r="47" spans="1:17">
      <c r="A47" s="601"/>
      <c r="B47" s="601"/>
      <c r="C47" s="601"/>
      <c r="D47" s="601"/>
      <c r="E47" s="596"/>
      <c r="F47" s="602"/>
      <c r="G47" s="542"/>
      <c r="H47" s="542"/>
      <c r="I47" s="484"/>
      <c r="J47" s="542"/>
      <c r="K47" s="542"/>
      <c r="L47" s="484"/>
      <c r="O47" s="542"/>
      <c r="P47" s="542"/>
    </row>
    <row r="48" spans="1:17">
      <c r="A48" s="601"/>
      <c r="B48" s="601"/>
      <c r="C48" s="601"/>
      <c r="D48" s="601"/>
      <c r="E48" s="596"/>
      <c r="F48" s="602"/>
      <c r="G48" s="542"/>
      <c r="H48" s="542"/>
      <c r="I48" s="484"/>
      <c r="J48" s="542"/>
      <c r="K48" s="542"/>
      <c r="L48" s="542"/>
      <c r="O48" s="542"/>
      <c r="P48" s="542"/>
    </row>
    <row r="49" spans="1:17">
      <c r="A49" s="601"/>
      <c r="B49" s="601"/>
      <c r="C49" s="601"/>
      <c r="D49" s="601"/>
      <c r="E49" s="596"/>
      <c r="F49" s="602"/>
      <c r="G49" s="542"/>
      <c r="H49" s="542"/>
      <c r="I49" s="484"/>
      <c r="J49" s="542"/>
      <c r="K49" s="542"/>
      <c r="L49" s="542"/>
      <c r="O49" s="542"/>
      <c r="P49" s="542"/>
    </row>
    <row r="50" spans="1:17">
      <c r="A50" s="601"/>
      <c r="B50" s="601"/>
      <c r="C50" s="601"/>
      <c r="D50" s="601"/>
      <c r="E50" s="596"/>
      <c r="F50" s="602"/>
      <c r="G50" s="542"/>
      <c r="H50" s="542"/>
      <c r="I50" s="484"/>
      <c r="J50" s="542"/>
      <c r="K50" s="542"/>
      <c r="L50" s="542"/>
      <c r="O50" s="542"/>
      <c r="P50" s="542"/>
    </row>
    <row r="51" spans="1:17">
      <c r="A51" s="601"/>
      <c r="B51" s="601"/>
      <c r="C51" s="601"/>
      <c r="D51" s="601"/>
      <c r="E51" s="596"/>
      <c r="F51" s="602"/>
      <c r="G51" s="542"/>
      <c r="H51" s="542"/>
      <c r="I51" s="484"/>
      <c r="J51" s="542"/>
      <c r="K51" s="542"/>
      <c r="L51" s="542"/>
      <c r="O51" s="542"/>
      <c r="P51" s="542"/>
    </row>
    <row r="52" spans="1:17">
      <c r="A52" s="601"/>
      <c r="B52" s="601"/>
      <c r="C52" s="601"/>
      <c r="D52" s="601"/>
      <c r="E52" s="596"/>
      <c r="F52" s="602"/>
      <c r="G52" s="542"/>
      <c r="H52" s="542"/>
      <c r="I52" s="484"/>
      <c r="J52" s="542"/>
      <c r="K52" s="542"/>
      <c r="L52" s="542"/>
      <c r="O52" s="542"/>
      <c r="P52" s="542"/>
    </row>
    <row r="53" spans="1:17">
      <c r="A53" s="601"/>
      <c r="B53" s="601"/>
      <c r="C53" s="601"/>
      <c r="D53" s="601"/>
      <c r="E53" s="596"/>
      <c r="F53" s="602"/>
      <c r="G53" s="542"/>
      <c r="H53" s="542"/>
      <c r="I53" s="484"/>
      <c r="J53" s="542"/>
      <c r="K53" s="542"/>
      <c r="L53" s="542"/>
      <c r="O53" s="542"/>
      <c r="P53" s="542"/>
    </row>
    <row r="54" spans="1:17">
      <c r="A54" s="601"/>
      <c r="B54" s="601"/>
      <c r="C54" s="601"/>
      <c r="D54" s="601"/>
      <c r="E54" s="596"/>
      <c r="F54" s="602"/>
      <c r="G54" s="542"/>
      <c r="H54" s="542"/>
      <c r="I54" s="484"/>
      <c r="J54" s="542"/>
      <c r="K54" s="542"/>
      <c r="L54" s="542"/>
      <c r="N54" s="484"/>
      <c r="P54" s="542"/>
    </row>
    <row r="55" spans="1:17">
      <c r="A55" s="601"/>
      <c r="B55" s="601"/>
      <c r="C55" s="601"/>
      <c r="D55" s="601"/>
      <c r="E55" s="596"/>
      <c r="F55" s="602"/>
      <c r="G55" s="542"/>
      <c r="H55" s="542"/>
      <c r="I55" s="484"/>
      <c r="J55" s="542"/>
      <c r="K55" s="542"/>
      <c r="L55" s="542"/>
      <c r="N55" s="550"/>
      <c r="Q55" s="484"/>
    </row>
    <row r="56" spans="1:17">
      <c r="A56" s="601"/>
      <c r="B56" s="601"/>
      <c r="C56" s="601"/>
      <c r="D56" s="601"/>
      <c r="E56" s="596"/>
      <c r="F56" s="602"/>
      <c r="G56" s="542"/>
      <c r="H56" s="542"/>
      <c r="I56" s="484"/>
      <c r="J56" s="542"/>
      <c r="K56" s="542"/>
      <c r="L56" s="542"/>
      <c r="N56" s="550"/>
      <c r="O56" s="542"/>
      <c r="P56" s="542"/>
    </row>
    <row r="57" spans="1:17">
      <c r="A57" s="601"/>
      <c r="B57" s="601"/>
      <c r="C57" s="601"/>
      <c r="D57" s="601"/>
      <c r="E57" s="596"/>
      <c r="F57" s="602"/>
      <c r="G57" s="542"/>
      <c r="H57" s="542"/>
      <c r="I57" s="484"/>
      <c r="J57" s="542"/>
      <c r="K57" s="542"/>
      <c r="L57" s="542"/>
      <c r="N57" s="484"/>
      <c r="O57" s="542"/>
      <c r="P57" s="542"/>
    </row>
    <row r="58" spans="1:17">
      <c r="A58" s="601"/>
      <c r="B58" s="601"/>
      <c r="C58" s="601"/>
      <c r="D58" s="601"/>
      <c r="E58" s="596"/>
      <c r="F58" s="602"/>
      <c r="G58" s="542"/>
      <c r="H58" s="542"/>
      <c r="I58" s="484"/>
      <c r="J58" s="542"/>
      <c r="K58" s="542"/>
      <c r="L58" s="542"/>
      <c r="O58" s="542"/>
      <c r="P58" s="542"/>
    </row>
    <row r="59" spans="1:17">
      <c r="A59" s="601"/>
      <c r="B59" s="601"/>
      <c r="C59" s="601"/>
      <c r="D59" s="601"/>
      <c r="E59" s="596"/>
      <c r="F59" s="602"/>
      <c r="G59" s="604"/>
      <c r="H59" s="542"/>
      <c r="I59" s="484"/>
      <c r="J59" s="542"/>
      <c r="K59" s="542"/>
      <c r="L59" s="542"/>
      <c r="O59" s="542"/>
      <c r="P59" s="542"/>
    </row>
    <row r="60" spans="1:17">
      <c r="A60" s="601"/>
      <c r="B60" s="601"/>
      <c r="C60" s="601"/>
      <c r="D60" s="601"/>
      <c r="E60" s="596"/>
      <c r="F60" s="602"/>
      <c r="G60" s="604"/>
      <c r="H60" s="542"/>
      <c r="I60" s="484"/>
      <c r="J60" s="542"/>
      <c r="K60" s="542"/>
      <c r="L60" s="542"/>
      <c r="O60" s="542"/>
      <c r="P60" s="542"/>
    </row>
    <row r="61" spans="1:17">
      <c r="A61" s="601"/>
      <c r="B61" s="601"/>
      <c r="C61" s="601"/>
      <c r="D61" s="601"/>
      <c r="E61" s="596"/>
      <c r="F61" s="602"/>
      <c r="G61" s="604"/>
      <c r="H61" s="542"/>
      <c r="I61" s="484"/>
      <c r="J61" s="542"/>
      <c r="K61" s="542"/>
      <c r="L61" s="542"/>
      <c r="O61" s="542"/>
      <c r="P61" s="542"/>
    </row>
    <row r="62" spans="1:17">
      <c r="A62" s="601"/>
      <c r="B62" s="601"/>
      <c r="C62" s="601"/>
      <c r="D62" s="601"/>
      <c r="E62" s="596"/>
      <c r="F62" s="602"/>
      <c r="G62" s="604"/>
      <c r="H62" s="542"/>
      <c r="I62" s="484"/>
      <c r="J62" s="542"/>
      <c r="K62" s="542"/>
      <c r="L62" s="542"/>
      <c r="O62" s="542"/>
      <c r="P62" s="542"/>
    </row>
    <row r="63" spans="1:17">
      <c r="A63" s="601"/>
      <c r="B63" s="601"/>
      <c r="C63" s="601"/>
      <c r="D63" s="601"/>
      <c r="E63" s="596"/>
      <c r="F63" s="602"/>
      <c r="G63" s="542"/>
      <c r="H63" s="542"/>
      <c r="I63" s="484"/>
      <c r="J63" s="542"/>
      <c r="K63" s="542"/>
      <c r="L63" s="542"/>
      <c r="O63" s="542"/>
      <c r="P63" s="542"/>
    </row>
    <row r="64" spans="1:17">
      <c r="A64" s="601"/>
      <c r="B64" s="601"/>
      <c r="C64" s="601"/>
      <c r="D64" s="601"/>
      <c r="E64" s="596"/>
      <c r="F64" s="602"/>
      <c r="G64" s="542"/>
      <c r="H64" s="542"/>
      <c r="I64" s="484"/>
      <c r="J64" s="542"/>
      <c r="K64" s="542"/>
      <c r="L64" s="542"/>
      <c r="O64" s="542"/>
      <c r="P64" s="542"/>
    </row>
    <row r="65" spans="1:16">
      <c r="A65" s="601"/>
      <c r="B65" s="601"/>
      <c r="C65" s="601"/>
      <c r="D65" s="601"/>
      <c r="E65" s="596"/>
      <c r="F65" s="602"/>
      <c r="G65" s="542"/>
      <c r="H65" s="542"/>
      <c r="I65" s="484"/>
      <c r="J65" s="542"/>
      <c r="K65" s="542"/>
      <c r="L65" s="542"/>
      <c r="O65" s="542"/>
      <c r="P65" s="542"/>
    </row>
    <row r="66" spans="1:16">
      <c r="A66" s="601"/>
      <c r="B66" s="601"/>
      <c r="C66" s="601"/>
      <c r="D66" s="601"/>
      <c r="E66" s="596"/>
      <c r="F66" s="602"/>
      <c r="G66" s="542"/>
      <c r="H66" s="542"/>
      <c r="I66" s="484"/>
      <c r="J66" s="542"/>
      <c r="K66" s="542"/>
      <c r="L66" s="542"/>
      <c r="O66" s="542"/>
      <c r="P66" s="542"/>
    </row>
    <row r="67" spans="1:16">
      <c r="A67" s="601"/>
      <c r="B67" s="601"/>
      <c r="C67" s="601"/>
      <c r="D67" s="601"/>
      <c r="E67" s="596"/>
      <c r="F67" s="602"/>
      <c r="G67" s="542"/>
      <c r="H67" s="542"/>
      <c r="I67" s="484"/>
      <c r="J67" s="542"/>
      <c r="K67" s="542"/>
      <c r="L67" s="542"/>
      <c r="O67" s="542"/>
      <c r="P67" s="542"/>
    </row>
    <row r="68" spans="1:16">
      <c r="A68" s="601"/>
      <c r="B68" s="601"/>
      <c r="C68" s="601"/>
      <c r="D68" s="601"/>
      <c r="E68" s="596"/>
      <c r="F68" s="602"/>
      <c r="G68" s="542"/>
      <c r="H68" s="542"/>
      <c r="I68" s="484"/>
      <c r="J68" s="542"/>
      <c r="K68" s="542"/>
      <c r="L68" s="542"/>
      <c r="O68" s="542"/>
      <c r="P68" s="542"/>
    </row>
    <row r="69" spans="1:16">
      <c r="A69" s="601"/>
      <c r="B69" s="601"/>
      <c r="C69" s="601"/>
      <c r="D69" s="601"/>
      <c r="E69" s="596"/>
      <c r="F69" s="602"/>
      <c r="G69" s="542"/>
      <c r="H69" s="542"/>
      <c r="I69" s="484"/>
      <c r="J69" s="542"/>
      <c r="K69" s="542"/>
      <c r="L69" s="542"/>
      <c r="O69" s="542"/>
      <c r="P69" s="542"/>
    </row>
    <row r="70" spans="1:16">
      <c r="A70" s="601"/>
      <c r="B70" s="601"/>
      <c r="C70" s="601"/>
      <c r="D70" s="601"/>
      <c r="E70" s="596"/>
      <c r="F70" s="602"/>
      <c r="G70" s="542"/>
      <c r="H70" s="542"/>
      <c r="I70" s="484"/>
      <c r="J70" s="542"/>
      <c r="K70" s="542"/>
      <c r="L70" s="542"/>
      <c r="O70" s="542"/>
      <c r="P70" s="542"/>
    </row>
    <row r="71" spans="1:16">
      <c r="A71" s="601"/>
      <c r="B71" s="601"/>
      <c r="C71" s="601"/>
      <c r="D71" s="601"/>
      <c r="E71" s="596"/>
      <c r="F71" s="602"/>
      <c r="G71" s="542"/>
      <c r="H71" s="542"/>
      <c r="I71" s="484"/>
      <c r="J71" s="542"/>
      <c r="K71" s="542"/>
      <c r="L71" s="542"/>
      <c r="O71" s="542"/>
      <c r="P71" s="542"/>
    </row>
    <row r="72" spans="1:16">
      <c r="A72" s="601"/>
      <c r="B72" s="601"/>
      <c r="C72" s="601"/>
      <c r="D72" s="601"/>
      <c r="E72" s="596"/>
      <c r="F72" s="602"/>
      <c r="G72" s="542"/>
      <c r="H72" s="542"/>
      <c r="I72" s="484"/>
      <c r="J72" s="542"/>
      <c r="K72" s="542"/>
      <c r="L72" s="542"/>
      <c r="O72" s="542"/>
      <c r="P72" s="542"/>
    </row>
    <row r="73" spans="1:16">
      <c r="A73" s="601"/>
      <c r="B73" s="601"/>
      <c r="C73" s="601"/>
      <c r="D73" s="601"/>
      <c r="E73" s="596"/>
      <c r="F73" s="602"/>
      <c r="G73" s="542"/>
      <c r="H73" s="542"/>
      <c r="I73" s="484"/>
      <c r="J73" s="542"/>
      <c r="K73" s="542"/>
      <c r="L73" s="542"/>
      <c r="O73" s="542"/>
      <c r="P73" s="542"/>
    </row>
    <row r="74" spans="1:16">
      <c r="A74" s="601"/>
      <c r="B74" s="601"/>
      <c r="C74" s="601"/>
      <c r="D74" s="601"/>
      <c r="E74" s="596"/>
      <c r="F74" s="602"/>
      <c r="G74" s="542"/>
      <c r="H74" s="542"/>
      <c r="I74" s="484"/>
      <c r="J74" s="542"/>
      <c r="K74" s="542"/>
      <c r="L74" s="542"/>
      <c r="O74" s="542"/>
      <c r="P74" s="542"/>
    </row>
    <row r="75" spans="1:16">
      <c r="A75" s="601"/>
      <c r="B75" s="601"/>
      <c r="C75" s="601"/>
      <c r="D75" s="601"/>
      <c r="E75" s="596"/>
      <c r="F75" s="602"/>
      <c r="G75" s="542"/>
      <c r="H75" s="542"/>
      <c r="I75" s="484"/>
      <c r="J75" s="542"/>
      <c r="K75" s="542"/>
      <c r="L75" s="542"/>
      <c r="O75" s="542"/>
      <c r="P75" s="542"/>
    </row>
    <row r="76" spans="1:16">
      <c r="A76" s="601"/>
      <c r="B76" s="601"/>
      <c r="C76" s="601"/>
      <c r="D76" s="601"/>
      <c r="E76" s="596"/>
      <c r="F76" s="602"/>
      <c r="G76" s="542"/>
      <c r="H76" s="542"/>
      <c r="I76" s="484"/>
      <c r="J76" s="542"/>
      <c r="K76" s="542"/>
      <c r="L76" s="542"/>
      <c r="O76" s="542"/>
      <c r="P76" s="542"/>
    </row>
    <row r="77" spans="1:16">
      <c r="A77" s="601"/>
      <c r="B77" s="601"/>
      <c r="C77" s="601"/>
      <c r="D77" s="601"/>
      <c r="E77" s="596"/>
      <c r="F77" s="602"/>
      <c r="G77" s="542"/>
      <c r="H77" s="542"/>
      <c r="I77" s="484"/>
      <c r="J77" s="542"/>
      <c r="K77" s="542"/>
      <c r="L77" s="542"/>
      <c r="O77" s="542"/>
      <c r="P77" s="542"/>
    </row>
    <row r="78" spans="1:16">
      <c r="A78" s="601"/>
      <c r="B78" s="601"/>
      <c r="C78" s="601"/>
      <c r="D78" s="601"/>
      <c r="E78" s="596"/>
      <c r="F78" s="602"/>
      <c r="G78" s="542"/>
      <c r="H78" s="542"/>
      <c r="I78" s="484"/>
      <c r="J78" s="542"/>
      <c r="K78" s="542"/>
      <c r="L78" s="542"/>
      <c r="O78" s="542"/>
      <c r="P78" s="542"/>
    </row>
    <row r="79" spans="1:16">
      <c r="A79" s="601"/>
      <c r="B79" s="601"/>
      <c r="C79" s="601"/>
      <c r="D79" s="601"/>
      <c r="E79" s="596"/>
      <c r="F79" s="602"/>
      <c r="G79" s="542"/>
      <c r="H79" s="542"/>
      <c r="I79" s="484"/>
      <c r="J79" s="542"/>
      <c r="K79" s="542"/>
      <c r="L79" s="542"/>
      <c r="O79" s="542"/>
      <c r="P79" s="542"/>
    </row>
    <row r="80" spans="1:16">
      <c r="A80" s="601"/>
      <c r="B80" s="601"/>
      <c r="C80" s="601"/>
      <c r="D80" s="601"/>
      <c r="E80" s="596"/>
      <c r="F80" s="602"/>
      <c r="G80" s="542"/>
      <c r="H80" s="542"/>
      <c r="I80" s="484"/>
      <c r="J80" s="542"/>
      <c r="K80" s="542"/>
      <c r="L80" s="542"/>
      <c r="O80" s="542"/>
      <c r="P80" s="542"/>
    </row>
    <row r="81" spans="1:17">
      <c r="A81" s="601"/>
      <c r="B81" s="601"/>
      <c r="C81" s="601"/>
      <c r="D81" s="601"/>
      <c r="E81" s="596"/>
      <c r="F81" s="602"/>
      <c r="G81" s="542"/>
      <c r="H81" s="542"/>
      <c r="I81" s="484"/>
      <c r="J81" s="542"/>
      <c r="K81" s="542"/>
      <c r="L81" s="542"/>
      <c r="O81" s="542"/>
      <c r="P81" s="542"/>
    </row>
    <row r="82" spans="1:17">
      <c r="A82" s="601"/>
      <c r="B82" s="601"/>
      <c r="C82" s="601"/>
      <c r="D82" s="601"/>
      <c r="E82" s="596"/>
      <c r="F82" s="602"/>
      <c r="G82" s="542"/>
      <c r="H82" s="542"/>
      <c r="I82" s="484"/>
      <c r="J82" s="542"/>
      <c r="K82" s="542"/>
      <c r="L82" s="542"/>
      <c r="O82" s="542"/>
      <c r="P82" s="542"/>
    </row>
    <row r="83" spans="1:17">
      <c r="A83" s="601"/>
      <c r="B83" s="601"/>
      <c r="C83" s="601"/>
      <c r="D83" s="601"/>
      <c r="E83" s="596"/>
      <c r="F83" s="602"/>
      <c r="G83" s="542"/>
      <c r="H83" s="542"/>
      <c r="I83" s="484"/>
      <c r="J83" s="542"/>
      <c r="K83" s="542"/>
      <c r="L83" s="542"/>
      <c r="O83" s="542"/>
      <c r="P83" s="542"/>
    </row>
    <row r="84" spans="1:17">
      <c r="A84" s="601"/>
      <c r="B84" s="601"/>
      <c r="C84" s="601"/>
      <c r="D84" s="601"/>
      <c r="E84" s="596"/>
      <c r="F84" s="602"/>
      <c r="G84" s="542"/>
      <c r="H84" s="542"/>
      <c r="I84" s="484"/>
      <c r="J84" s="542"/>
      <c r="K84" s="542"/>
      <c r="L84" s="542"/>
      <c r="O84" s="542"/>
      <c r="P84" s="542"/>
    </row>
    <row r="85" spans="1:17">
      <c r="A85" s="601"/>
      <c r="B85" s="601"/>
      <c r="C85" s="601"/>
      <c r="D85" s="601"/>
      <c r="E85" s="596"/>
      <c r="F85" s="602"/>
      <c r="G85" s="542"/>
      <c r="H85" s="542"/>
      <c r="I85" s="484"/>
      <c r="J85" s="542"/>
      <c r="K85" s="542"/>
      <c r="L85" s="542"/>
      <c r="M85" s="601"/>
      <c r="O85" s="542"/>
      <c r="P85" s="542"/>
    </row>
    <row r="86" spans="1:17">
      <c r="A86" s="601"/>
      <c r="B86" s="601"/>
      <c r="C86" s="601"/>
      <c r="D86" s="601"/>
      <c r="E86" s="596"/>
      <c r="F86" s="602"/>
      <c r="G86" s="542"/>
      <c r="H86" s="542"/>
      <c r="I86" s="484"/>
      <c r="J86" s="542"/>
      <c r="K86" s="542"/>
      <c r="L86" s="542"/>
      <c r="M86" s="601"/>
      <c r="O86" s="542"/>
      <c r="P86" s="542"/>
    </row>
    <row r="87" spans="1:17">
      <c r="A87" s="601"/>
      <c r="B87" s="601"/>
      <c r="C87" s="601"/>
      <c r="D87" s="601"/>
      <c r="E87" s="596"/>
      <c r="F87" s="602"/>
      <c r="G87" s="542"/>
      <c r="H87" s="542"/>
      <c r="I87" s="484"/>
      <c r="J87" s="542"/>
      <c r="K87" s="542"/>
      <c r="L87" s="542"/>
      <c r="M87" s="601"/>
      <c r="O87" s="542"/>
      <c r="P87" s="542"/>
    </row>
    <row r="88" spans="1:17">
      <c r="A88" s="601"/>
      <c r="B88" s="601"/>
      <c r="C88" s="601"/>
      <c r="D88" s="601"/>
      <c r="E88" s="596"/>
      <c r="F88" s="602"/>
      <c r="G88" s="542"/>
      <c r="H88" s="542"/>
      <c r="I88" s="484"/>
      <c r="J88" s="542"/>
      <c r="K88" s="542"/>
      <c r="L88" s="542"/>
      <c r="M88" s="601"/>
      <c r="O88" s="542"/>
      <c r="P88" s="542"/>
    </row>
    <row r="89" spans="1:17">
      <c r="A89" s="601"/>
      <c r="B89" s="601"/>
      <c r="C89" s="601"/>
      <c r="D89" s="601"/>
      <c r="E89" s="596"/>
      <c r="F89" s="602"/>
      <c r="G89" s="542"/>
      <c r="H89" s="542"/>
      <c r="I89" s="484"/>
      <c r="J89" s="542"/>
      <c r="K89" s="542"/>
      <c r="L89" s="542"/>
      <c r="M89" s="601"/>
      <c r="O89" s="542"/>
      <c r="P89" s="542"/>
    </row>
    <row r="90" spans="1:17" s="601" customFormat="1">
      <c r="E90" s="596"/>
      <c r="F90" s="602"/>
      <c r="G90" s="542"/>
      <c r="H90" s="542"/>
      <c r="I90" s="484"/>
      <c r="J90" s="542"/>
      <c r="K90" s="542"/>
      <c r="L90" s="542"/>
      <c r="N90" s="542"/>
      <c r="O90" s="542"/>
      <c r="P90" s="542"/>
      <c r="Q90" s="542"/>
    </row>
    <row r="91" spans="1:17" s="601" customFormat="1">
      <c r="E91" s="596"/>
      <c r="F91" s="602"/>
      <c r="G91" s="542"/>
      <c r="H91" s="542"/>
      <c r="I91" s="484"/>
      <c r="J91" s="542"/>
      <c r="K91" s="542"/>
      <c r="L91" s="542"/>
      <c r="N91" s="542"/>
      <c r="O91" s="542"/>
      <c r="P91" s="542"/>
      <c r="Q91" s="542"/>
    </row>
    <row r="92" spans="1:17" s="601" customFormat="1">
      <c r="E92" s="596"/>
      <c r="F92" s="602"/>
      <c r="G92" s="542"/>
      <c r="H92" s="542"/>
      <c r="I92" s="484"/>
      <c r="J92" s="542"/>
      <c r="K92" s="542"/>
      <c r="L92" s="542"/>
      <c r="N92" s="542"/>
      <c r="O92" s="542"/>
      <c r="P92" s="542"/>
      <c r="Q92" s="542"/>
    </row>
    <row r="93" spans="1:17" s="601" customFormat="1">
      <c r="E93" s="596"/>
      <c r="F93" s="602"/>
      <c r="G93" s="542"/>
      <c r="H93" s="542"/>
      <c r="I93" s="484"/>
      <c r="J93" s="542"/>
      <c r="K93" s="542"/>
      <c r="L93" s="542"/>
      <c r="N93" s="542"/>
      <c r="O93" s="542"/>
      <c r="P93" s="542"/>
      <c r="Q93" s="542"/>
    </row>
    <row r="94" spans="1:17" s="601" customFormat="1">
      <c r="E94" s="596"/>
      <c r="F94" s="602"/>
      <c r="G94" s="542"/>
      <c r="H94" s="542"/>
      <c r="I94" s="484"/>
      <c r="J94" s="542"/>
      <c r="K94" s="542"/>
      <c r="L94" s="542"/>
      <c r="N94" s="542"/>
      <c r="O94" s="542"/>
      <c r="P94" s="542"/>
      <c r="Q94" s="542"/>
    </row>
    <row r="95" spans="1:17" s="601" customFormat="1">
      <c r="E95" s="596"/>
      <c r="F95" s="602"/>
      <c r="G95" s="542"/>
      <c r="H95" s="542"/>
      <c r="I95" s="484"/>
      <c r="J95" s="542"/>
      <c r="K95" s="542"/>
      <c r="L95" s="542"/>
    </row>
    <row r="96" spans="1:17" s="601" customFormat="1">
      <c r="E96" s="596"/>
      <c r="F96" s="602"/>
      <c r="G96" s="542"/>
      <c r="H96" s="542"/>
      <c r="I96" s="484"/>
      <c r="J96" s="542"/>
      <c r="K96" s="542"/>
      <c r="L96" s="542"/>
    </row>
    <row r="97" spans="5:12" s="601" customFormat="1">
      <c r="E97" s="596"/>
      <c r="F97" s="602"/>
      <c r="G97" s="542"/>
      <c r="H97" s="542"/>
      <c r="I97" s="484"/>
      <c r="J97" s="542"/>
      <c r="K97" s="542"/>
      <c r="L97" s="542"/>
    </row>
    <row r="98" spans="5:12" s="601" customFormat="1">
      <c r="E98" s="596"/>
      <c r="F98" s="602"/>
      <c r="G98" s="542"/>
      <c r="H98" s="542"/>
      <c r="I98" s="484"/>
      <c r="J98" s="542"/>
      <c r="K98" s="542"/>
      <c r="L98" s="542"/>
    </row>
    <row r="99" spans="5:12" s="601" customFormat="1">
      <c r="E99" s="596"/>
      <c r="F99" s="602"/>
      <c r="G99" s="542"/>
      <c r="H99" s="542"/>
      <c r="I99" s="484"/>
      <c r="J99" s="542"/>
      <c r="K99" s="542"/>
      <c r="L99" s="542"/>
    </row>
    <row r="100" spans="5:12" s="601" customFormat="1">
      <c r="E100" s="596"/>
      <c r="F100" s="602"/>
      <c r="G100" s="542"/>
      <c r="H100" s="542"/>
      <c r="I100" s="484"/>
      <c r="J100" s="542"/>
      <c r="K100" s="542"/>
      <c r="L100" s="542"/>
    </row>
    <row r="101" spans="5:12" s="601" customFormat="1">
      <c r="E101" s="596"/>
      <c r="F101" s="602"/>
      <c r="G101" s="542"/>
      <c r="H101" s="542"/>
      <c r="I101" s="484"/>
      <c r="J101" s="542"/>
      <c r="K101" s="542"/>
      <c r="L101" s="542"/>
    </row>
    <row r="102" spans="5:12" s="601" customFormat="1">
      <c r="E102" s="596"/>
      <c r="F102" s="602"/>
      <c r="G102" s="542"/>
      <c r="H102" s="542"/>
      <c r="I102" s="484"/>
      <c r="J102" s="542"/>
      <c r="K102" s="542"/>
      <c r="L102" s="542"/>
    </row>
    <row r="103" spans="5:12" s="601" customFormat="1">
      <c r="E103" s="596"/>
      <c r="F103" s="602"/>
      <c r="G103" s="542"/>
      <c r="H103" s="542"/>
      <c r="I103" s="484"/>
      <c r="J103" s="542"/>
      <c r="K103" s="542"/>
      <c r="L103" s="542"/>
    </row>
    <row r="104" spans="5:12" s="601" customFormat="1">
      <c r="E104" s="596"/>
      <c r="F104" s="602"/>
      <c r="G104" s="542"/>
      <c r="H104" s="542"/>
      <c r="I104" s="484"/>
      <c r="J104" s="542"/>
      <c r="K104" s="542"/>
      <c r="L104" s="542"/>
    </row>
    <row r="105" spans="5:12" s="601" customFormat="1">
      <c r="E105" s="596"/>
      <c r="F105" s="602"/>
      <c r="G105" s="542"/>
      <c r="H105" s="542"/>
      <c r="I105" s="484"/>
      <c r="J105" s="542"/>
      <c r="K105" s="542"/>
      <c r="L105" s="542"/>
    </row>
    <row r="106" spans="5:12" s="601" customFormat="1">
      <c r="E106" s="596"/>
      <c r="F106" s="602"/>
      <c r="G106" s="542"/>
      <c r="H106" s="542"/>
      <c r="I106" s="484"/>
      <c r="J106" s="542"/>
      <c r="K106" s="542"/>
      <c r="L106" s="542"/>
    </row>
    <row r="107" spans="5:12" s="601" customFormat="1">
      <c r="E107" s="596"/>
      <c r="F107" s="602"/>
      <c r="G107" s="542"/>
      <c r="H107" s="542"/>
      <c r="I107" s="484"/>
      <c r="J107" s="542"/>
      <c r="K107" s="542"/>
      <c r="L107" s="542"/>
    </row>
    <row r="108" spans="5:12" s="601" customFormat="1">
      <c r="E108" s="596"/>
      <c r="F108" s="602"/>
      <c r="G108" s="542"/>
      <c r="H108" s="542"/>
      <c r="I108" s="484"/>
      <c r="J108" s="542"/>
      <c r="K108" s="542"/>
      <c r="L108" s="542"/>
    </row>
    <row r="109" spans="5:12" s="601" customFormat="1">
      <c r="E109" s="596"/>
      <c r="F109" s="602"/>
      <c r="G109" s="542"/>
      <c r="H109" s="542"/>
      <c r="I109" s="484"/>
      <c r="J109" s="542"/>
      <c r="K109" s="542"/>
      <c r="L109" s="542"/>
    </row>
    <row r="110" spans="5:12" s="601" customFormat="1">
      <c r="E110" s="596"/>
      <c r="F110" s="602"/>
      <c r="G110" s="542"/>
      <c r="H110" s="542"/>
      <c r="I110" s="484"/>
      <c r="J110" s="542"/>
      <c r="K110" s="542"/>
      <c r="L110" s="542"/>
    </row>
    <row r="111" spans="5:12" s="601" customFormat="1">
      <c r="E111" s="596"/>
      <c r="F111" s="602"/>
      <c r="G111" s="542"/>
      <c r="H111" s="542"/>
      <c r="I111" s="484"/>
      <c r="J111" s="542"/>
      <c r="K111" s="542"/>
      <c r="L111" s="542"/>
    </row>
    <row r="112" spans="5:12" s="601" customFormat="1">
      <c r="E112" s="596"/>
      <c r="F112" s="602"/>
      <c r="G112" s="542"/>
      <c r="H112" s="542"/>
      <c r="I112" s="484"/>
      <c r="J112" s="542"/>
      <c r="K112" s="542"/>
      <c r="L112" s="542"/>
    </row>
    <row r="113" spans="5:12" s="601" customFormat="1">
      <c r="E113" s="596"/>
      <c r="F113" s="602"/>
      <c r="G113" s="542"/>
      <c r="H113" s="542"/>
      <c r="I113" s="484"/>
      <c r="J113" s="542"/>
      <c r="K113" s="542"/>
      <c r="L113" s="542"/>
    </row>
    <row r="114" spans="5:12" s="601" customFormat="1">
      <c r="E114" s="596"/>
      <c r="F114" s="602"/>
      <c r="G114" s="542"/>
      <c r="H114" s="542"/>
      <c r="I114" s="484"/>
      <c r="J114" s="542"/>
      <c r="K114" s="542"/>
      <c r="L114" s="542"/>
    </row>
    <row r="115" spans="5:12" s="601" customFormat="1">
      <c r="E115" s="596"/>
      <c r="F115" s="602"/>
      <c r="G115" s="542"/>
      <c r="H115" s="542"/>
      <c r="I115" s="484"/>
      <c r="J115" s="542"/>
      <c r="K115" s="542"/>
      <c r="L115" s="542"/>
    </row>
    <row r="116" spans="5:12" s="601" customFormat="1">
      <c r="E116" s="596"/>
      <c r="F116" s="602"/>
      <c r="G116" s="542"/>
      <c r="H116" s="542"/>
      <c r="I116" s="484"/>
      <c r="J116" s="542"/>
      <c r="K116" s="542"/>
      <c r="L116" s="542"/>
    </row>
    <row r="117" spans="5:12" s="601" customFormat="1">
      <c r="E117" s="596"/>
      <c r="F117" s="602"/>
      <c r="G117" s="542"/>
      <c r="H117" s="542"/>
      <c r="I117" s="484"/>
      <c r="J117" s="542"/>
      <c r="K117" s="542"/>
      <c r="L117" s="542"/>
    </row>
    <row r="118" spans="5:12" s="601" customFormat="1">
      <c r="E118" s="596"/>
      <c r="F118" s="602"/>
      <c r="G118" s="542"/>
      <c r="H118" s="542"/>
      <c r="I118" s="484"/>
      <c r="J118" s="542"/>
      <c r="K118" s="542"/>
      <c r="L118" s="542"/>
    </row>
    <row r="119" spans="5:12" s="601" customFormat="1">
      <c r="E119" s="596"/>
      <c r="F119" s="602"/>
      <c r="G119" s="542"/>
      <c r="H119" s="542"/>
      <c r="I119" s="484"/>
      <c r="J119" s="542"/>
      <c r="K119" s="542"/>
      <c r="L119" s="542"/>
    </row>
    <row r="120" spans="5:12" s="601" customFormat="1">
      <c r="E120" s="596"/>
      <c r="F120" s="602"/>
      <c r="G120" s="542"/>
      <c r="H120" s="542"/>
      <c r="I120" s="484"/>
      <c r="J120" s="542"/>
      <c r="K120" s="542"/>
      <c r="L120" s="542"/>
    </row>
    <row r="121" spans="5:12" s="601" customFormat="1">
      <c r="E121" s="596"/>
      <c r="F121" s="602"/>
      <c r="G121" s="542"/>
      <c r="H121" s="542"/>
      <c r="I121" s="484"/>
      <c r="J121" s="542"/>
      <c r="K121" s="542"/>
      <c r="L121" s="542"/>
    </row>
    <row r="122" spans="5:12" s="601" customFormat="1">
      <c r="E122" s="596"/>
      <c r="F122" s="602"/>
      <c r="G122" s="542"/>
      <c r="H122" s="542"/>
      <c r="I122" s="484"/>
      <c r="J122" s="542"/>
      <c r="K122" s="542"/>
      <c r="L122" s="542"/>
    </row>
    <row r="123" spans="5:12" s="601" customFormat="1">
      <c r="E123" s="596"/>
      <c r="F123" s="602"/>
      <c r="G123" s="542"/>
      <c r="H123" s="542"/>
      <c r="I123" s="484"/>
      <c r="J123" s="542"/>
      <c r="K123" s="542"/>
      <c r="L123" s="542"/>
    </row>
    <row r="124" spans="5:12" s="601" customFormat="1">
      <c r="E124" s="596"/>
      <c r="F124" s="602"/>
      <c r="G124" s="542"/>
      <c r="H124" s="542"/>
      <c r="I124" s="484"/>
      <c r="J124" s="542"/>
      <c r="K124" s="542"/>
      <c r="L124" s="542"/>
    </row>
    <row r="125" spans="5:12" s="601" customFormat="1">
      <c r="E125" s="596"/>
      <c r="F125" s="602"/>
      <c r="G125" s="542"/>
      <c r="H125" s="542"/>
      <c r="I125" s="484"/>
      <c r="J125" s="542"/>
      <c r="K125" s="542"/>
      <c r="L125" s="542"/>
    </row>
    <row r="126" spans="5:12" s="601" customFormat="1">
      <c r="E126" s="596"/>
      <c r="F126" s="602"/>
      <c r="G126" s="542"/>
      <c r="H126" s="542"/>
      <c r="I126" s="484"/>
      <c r="J126" s="542"/>
      <c r="K126" s="542"/>
      <c r="L126" s="542"/>
    </row>
    <row r="127" spans="5:12" s="601" customFormat="1">
      <c r="E127" s="596"/>
      <c r="F127" s="602"/>
      <c r="G127" s="542"/>
      <c r="H127" s="542"/>
      <c r="I127" s="484"/>
      <c r="J127" s="542"/>
      <c r="K127" s="542"/>
      <c r="L127" s="542"/>
    </row>
    <row r="128" spans="5:12" s="601" customFormat="1">
      <c r="E128" s="596"/>
      <c r="F128" s="602"/>
      <c r="G128" s="542"/>
      <c r="H128" s="542"/>
      <c r="I128" s="484"/>
      <c r="J128" s="542"/>
      <c r="K128" s="542"/>
      <c r="L128" s="542"/>
    </row>
    <row r="129" spans="1:13" s="601" customFormat="1">
      <c r="E129" s="596"/>
      <c r="F129" s="602"/>
      <c r="G129" s="542"/>
      <c r="H129" s="542"/>
      <c r="I129" s="484"/>
      <c r="J129" s="542"/>
      <c r="K129" s="542"/>
      <c r="L129" s="542"/>
    </row>
    <row r="130" spans="1:13" s="601" customFormat="1">
      <c r="E130" s="596"/>
      <c r="F130" s="602"/>
      <c r="G130" s="542"/>
      <c r="H130" s="542"/>
      <c r="I130" s="484"/>
      <c r="J130" s="542"/>
      <c r="K130" s="542"/>
      <c r="L130" s="542"/>
    </row>
    <row r="131" spans="1:13" s="601" customFormat="1">
      <c r="A131" s="542"/>
      <c r="B131" s="542"/>
      <c r="C131" s="605"/>
      <c r="D131" s="605"/>
      <c r="E131" s="605"/>
      <c r="F131" s="605"/>
      <c r="H131" s="606"/>
      <c r="J131" s="542"/>
      <c r="K131" s="542"/>
      <c r="L131" s="542"/>
    </row>
    <row r="132" spans="1:13" s="601" customFormat="1">
      <c r="A132" s="542"/>
      <c r="B132" s="542"/>
      <c r="C132" s="605"/>
      <c r="D132" s="605"/>
      <c r="E132" s="605"/>
      <c r="F132" s="605"/>
      <c r="H132" s="606"/>
      <c r="J132" s="542"/>
      <c r="K132" s="542"/>
      <c r="L132" s="542"/>
    </row>
    <row r="133" spans="1:13" s="601" customFormat="1">
      <c r="A133" s="542"/>
      <c r="B133" s="542"/>
      <c r="C133" s="605"/>
      <c r="D133" s="605"/>
      <c r="E133" s="605"/>
      <c r="F133" s="605"/>
      <c r="H133" s="606"/>
      <c r="J133" s="542"/>
      <c r="K133" s="542"/>
      <c r="L133" s="542"/>
    </row>
    <row r="134" spans="1:13" s="601" customFormat="1">
      <c r="A134" s="542"/>
      <c r="B134" s="542"/>
      <c r="C134" s="605"/>
      <c r="D134" s="605"/>
      <c r="E134" s="605"/>
      <c r="F134" s="605"/>
      <c r="H134" s="606"/>
      <c r="J134" s="542"/>
      <c r="K134" s="542"/>
      <c r="L134" s="542"/>
    </row>
    <row r="135" spans="1:13" s="601" customFormat="1">
      <c r="A135" s="542"/>
      <c r="B135" s="542"/>
      <c r="C135" s="605"/>
      <c r="D135" s="605"/>
      <c r="E135" s="605"/>
      <c r="F135" s="605"/>
      <c r="H135" s="606"/>
      <c r="J135" s="542"/>
      <c r="K135" s="542"/>
      <c r="L135" s="542"/>
    </row>
    <row r="136" spans="1:13" s="601" customFormat="1">
      <c r="A136" s="542"/>
      <c r="B136" s="542"/>
      <c r="C136" s="605"/>
      <c r="D136" s="605"/>
      <c r="E136" s="605"/>
      <c r="F136" s="605"/>
      <c r="H136" s="606"/>
      <c r="J136" s="542"/>
      <c r="K136" s="542"/>
      <c r="L136" s="542"/>
    </row>
    <row r="137" spans="1:13" s="601" customFormat="1">
      <c r="A137" s="542"/>
      <c r="B137" s="542"/>
      <c r="C137" s="605"/>
      <c r="D137" s="605"/>
      <c r="E137" s="605"/>
      <c r="F137" s="605"/>
      <c r="H137" s="606"/>
      <c r="K137" s="542"/>
      <c r="L137" s="542"/>
    </row>
    <row r="138" spans="1:13" s="601" customFormat="1">
      <c r="A138" s="542"/>
      <c r="B138" s="542"/>
      <c r="C138" s="605"/>
      <c r="D138" s="605"/>
      <c r="E138" s="605"/>
      <c r="F138" s="605"/>
      <c r="H138" s="606"/>
      <c r="K138" s="542"/>
      <c r="L138" s="542"/>
    </row>
    <row r="139" spans="1:13" s="601" customFormat="1">
      <c r="A139" s="542"/>
      <c r="B139" s="542"/>
      <c r="C139" s="605"/>
      <c r="D139" s="605"/>
      <c r="E139" s="605"/>
      <c r="F139" s="605"/>
      <c r="H139" s="606"/>
      <c r="K139" s="542"/>
      <c r="L139" s="542"/>
    </row>
    <row r="140" spans="1:13" s="601" customFormat="1">
      <c r="A140" s="542"/>
      <c r="B140" s="542"/>
      <c r="C140" s="605"/>
      <c r="D140" s="605"/>
      <c r="E140" s="605"/>
      <c r="F140" s="605"/>
      <c r="H140" s="606"/>
      <c r="K140" s="596"/>
      <c r="L140" s="542"/>
    </row>
    <row r="141" spans="1:13" s="601" customFormat="1">
      <c r="A141" s="542"/>
      <c r="B141" s="542"/>
      <c r="C141" s="605"/>
      <c r="D141" s="605"/>
      <c r="E141" s="605"/>
      <c r="F141" s="605"/>
      <c r="H141" s="606"/>
      <c r="K141" s="596"/>
      <c r="L141" s="542"/>
    </row>
    <row r="142" spans="1:13" s="601" customFormat="1">
      <c r="A142" s="542"/>
      <c r="B142" s="542"/>
      <c r="C142" s="605"/>
      <c r="D142" s="605"/>
      <c r="E142" s="605"/>
      <c r="F142" s="605"/>
      <c r="H142" s="606"/>
      <c r="K142" s="596"/>
      <c r="L142" s="542"/>
      <c r="M142" s="542"/>
    </row>
    <row r="143" spans="1:13" s="601" customFormat="1">
      <c r="A143" s="542"/>
      <c r="B143" s="542"/>
      <c r="C143" s="605"/>
      <c r="D143" s="605"/>
      <c r="E143" s="605"/>
      <c r="F143" s="605"/>
      <c r="H143" s="606"/>
      <c r="K143" s="596"/>
      <c r="L143" s="542"/>
      <c r="M143" s="542"/>
    </row>
    <row r="144" spans="1:13" s="601" customFormat="1">
      <c r="A144" s="542"/>
      <c r="B144" s="542"/>
      <c r="C144" s="605"/>
      <c r="D144" s="605"/>
      <c r="E144" s="605"/>
      <c r="F144" s="605"/>
      <c r="H144" s="606"/>
      <c r="K144" s="596"/>
      <c r="L144" s="542"/>
      <c r="M144" s="542"/>
    </row>
    <row r="145" spans="1:17" s="601" customFormat="1">
      <c r="A145" s="542"/>
      <c r="B145" s="542"/>
      <c r="C145" s="605"/>
      <c r="D145" s="605"/>
      <c r="E145" s="605"/>
      <c r="F145" s="605"/>
      <c r="H145" s="606"/>
      <c r="K145" s="596"/>
      <c r="L145" s="602"/>
      <c r="M145" s="542"/>
    </row>
    <row r="146" spans="1:17" s="601" customFormat="1">
      <c r="A146" s="542"/>
      <c r="B146" s="542"/>
      <c r="C146" s="605"/>
      <c r="D146" s="605"/>
      <c r="E146" s="605"/>
      <c r="F146" s="605"/>
      <c r="H146" s="606"/>
      <c r="K146" s="596"/>
      <c r="L146" s="602"/>
      <c r="M146" s="542"/>
    </row>
    <row r="147" spans="1:17">
      <c r="N147" s="601"/>
      <c r="O147" s="601"/>
      <c r="P147" s="601"/>
      <c r="Q147" s="601"/>
    </row>
    <row r="148" spans="1:17">
      <c r="N148" s="601"/>
      <c r="O148" s="601"/>
      <c r="P148" s="601"/>
      <c r="Q148" s="601"/>
    </row>
    <row r="149" spans="1:17">
      <c r="N149" s="601"/>
      <c r="O149" s="601"/>
      <c r="P149" s="601"/>
      <c r="Q149" s="601"/>
    </row>
    <row r="150" spans="1:17">
      <c r="N150" s="601"/>
      <c r="O150" s="601"/>
      <c r="P150" s="601"/>
      <c r="Q150" s="601"/>
    </row>
    <row r="151" spans="1:17">
      <c r="N151" s="601"/>
      <c r="O151" s="601"/>
      <c r="P151" s="601"/>
      <c r="Q151" s="601"/>
    </row>
  </sheetData>
  <mergeCells count="1">
    <mergeCell ref="L7:M7"/>
  </mergeCells>
  <dataValidations count="1">
    <dataValidation type="list" allowBlank="1" showInputMessage="1" showErrorMessage="1" sqref="B5" xr:uid="{17655D37-5DDC-4AF6-A21E-8EC6FDBCEC9D}">
      <formula1>$AB$5:$AB$8</formula1>
    </dataValidation>
  </dataValidation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GUI Input</vt:lpstr>
      <vt:lpstr>AU</vt:lpstr>
      <vt:lpstr>AB</vt:lpstr>
      <vt:lpstr>B</vt:lpstr>
      <vt:lpstr>D</vt:lpstr>
      <vt:lpstr>T</vt:lpstr>
      <vt:lpstr>V</vt:lpstr>
      <vt:lpstr>Z</vt:lpstr>
      <vt:lpstr>20240418_Pit_AU</vt:lpstr>
      <vt:lpstr>20240417_Pit_B</vt:lpstr>
      <vt:lpstr>20240417_PitCore_D</vt:lpstr>
      <vt:lpstr>20240419_PitCore_T</vt:lpstr>
      <vt:lpstr>20240419_PitCore_Z</vt:lpstr>
      <vt:lpstr>20240820_Pit_Z</vt:lpstr>
      <vt:lpstr>20240820_Pit_T</vt:lpstr>
      <vt:lpstr>20240821_Pit_D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dc:creator>
  <cp:keywords/>
  <dc:description/>
  <cp:lastModifiedBy>Sass, Louis</cp:lastModifiedBy>
  <cp:revision/>
  <dcterms:created xsi:type="dcterms:W3CDTF">2014-09-30T04:14:01Z</dcterms:created>
  <dcterms:modified xsi:type="dcterms:W3CDTF">2025-05-02T20:38:26Z</dcterms:modified>
  <cp:category/>
  <cp:contentStatus/>
</cp:coreProperties>
</file>