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threadedComments/threadedComment1.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charts/chart2.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3.xml" ContentType="application/vnd.openxmlformats-officedocument.drawingml.chart+xml"/>
  <Override PartName="/xl/drawings/drawing13.xml" ContentType="application/vnd.openxmlformats-officedocument.drawing+xml"/>
  <Override PartName="/xl/comments13.xml" ContentType="application/vnd.openxmlformats-officedocument.spreadsheetml.comments+xml"/>
  <Override PartName="/xl/charts/chart4.xml" ContentType="application/vnd.openxmlformats-officedocument.drawingml.chart+xml"/>
  <Override PartName="/xl/drawings/drawing14.xml" ContentType="application/vnd.openxmlformats-officedocument.drawing+xml"/>
  <Override PartName="/xl/comments14.xml" ContentType="application/vnd.openxmlformats-officedocument.spreadsheetml.comments+xml"/>
  <Override PartName="/xl/charts/chart5.xml" ContentType="application/vnd.openxmlformats-officedocument.drawingml.chart+xml"/>
  <Override PartName="/xl/drawings/drawing15.xml" ContentType="application/vnd.openxmlformats-officedocument.drawing+xml"/>
  <Override PartName="/xl/comments15.xml" ContentType="application/vnd.openxmlformats-officedocument.spreadsheetml.comments+xml"/>
  <Override PartName="/xl/charts/chart6.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charts/chart7.xml" ContentType="application/vnd.openxmlformats-officedocument.drawingml.chart+xml"/>
  <Override PartName="/xl/drawings/drawing17.xml" ContentType="application/vnd.openxmlformats-officedocument.drawing+xml"/>
  <Override PartName="/xl/comments17.xml" ContentType="application/vnd.openxmlformats-officedocument.spreadsheetml.comments+xml"/>
  <Override PartName="/xl/charts/chart8.xml" ContentType="application/vnd.openxmlformats-officedocument.drawingml.chart+xml"/>
  <Override PartName="/xl/drawings/drawing18.xml" ContentType="application/vnd.openxmlformats-officedocument.drawing+xml"/>
  <Override PartName="/xl/comments18.xml" ContentType="application/vnd.openxmlformats-officedocument.spreadsheetml.comments+xml"/>
  <Override PartName="/xl/charts/chart9.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Q:\Project Data\GlacierData\Benchmark_Program\Data\Gulkana\2025\"/>
    </mc:Choice>
  </mc:AlternateContent>
  <xr:revisionPtr revIDLastSave="0" documentId="13_ncr:1_{34317AFB-D16E-4FCF-A8D7-6D60FE68B732}" xr6:coauthVersionLast="47" xr6:coauthVersionMax="47" xr10:uidLastSave="{00000000-0000-0000-0000-000000000000}"/>
  <bookViews>
    <workbookView xWindow="-38520" yWindow="1935" windowWidth="38640" windowHeight="21120" tabRatio="775" activeTab="17" xr2:uid="{00000000-000D-0000-FFFF-FFFF00000000}"/>
  </bookViews>
  <sheets>
    <sheet name="GUI Input" sheetId="19" r:id="rId1"/>
    <sheet name="AU" sheetId="2" r:id="rId2"/>
    <sheet name="AB" sheetId="1" r:id="rId3"/>
    <sheet name="ABB" sheetId="57" r:id="rId4"/>
    <sheet name="B" sheetId="3" r:id="rId5"/>
    <sheet name="BD" sheetId="56" r:id="rId6"/>
    <sheet name="D" sheetId="4" r:id="rId7"/>
    <sheet name="T" sheetId="6" r:id="rId8"/>
    <sheet name="V" sheetId="7" r:id="rId9"/>
    <sheet name="Z" sheetId="36" r:id="rId10"/>
    <sheet name="20250421_Probes_AU" sheetId="48" r:id="rId11"/>
    <sheet name="20250421_Pit_AB" sheetId="47" r:id="rId12"/>
    <sheet name="20250419_Pit_B" sheetId="37" r:id="rId13"/>
    <sheet name="20250419_PitCore_D" sheetId="38" r:id="rId14"/>
    <sheet name="20250420_FirnCore_T" sheetId="50" r:id="rId15"/>
    <sheet name="20250420_FirnCore_Z" sheetId="49" r:id="rId16"/>
    <sheet name="20250822_Pit_D" sheetId="54" r:id="rId17"/>
    <sheet name="20250822_Pit_T" sheetId="55" r:id="rId18"/>
    <sheet name="20250823_Pit_Z" sheetId="52" r:id="rId19"/>
    <sheet name="QAQC" sheetId="46" r:id="rId20"/>
  </sheets>
  <externalReferences>
    <externalReference r:id="rId21"/>
    <externalReference r:id="rId22"/>
    <externalReference r:id="rId23"/>
    <externalReference r:id="rId24"/>
    <externalReference r:id="rId25"/>
  </externalReferences>
  <definedNames>
    <definedName name="a" localSheetId="12">#REF!</definedName>
    <definedName name="a" localSheetId="13">#REF!</definedName>
    <definedName name="a" localSheetId="14">#REF!</definedName>
    <definedName name="a" localSheetId="15">#REF!</definedName>
    <definedName name="a" localSheetId="11">#REF!</definedName>
    <definedName name="a" localSheetId="10">#REF!</definedName>
    <definedName name="a" localSheetId="16">#REF!</definedName>
    <definedName name="a" localSheetId="17">#REF!</definedName>
    <definedName name="a" localSheetId="18">#REF!</definedName>
    <definedName name="a" localSheetId="9">#REF!</definedName>
    <definedName name="a">#REF!</definedName>
    <definedName name="b" localSheetId="12">#REF!</definedName>
    <definedName name="b" localSheetId="13">#REF!</definedName>
    <definedName name="b" localSheetId="14">#REF!</definedName>
    <definedName name="b" localSheetId="15">#REF!</definedName>
    <definedName name="b" localSheetId="11">#REF!</definedName>
    <definedName name="b" localSheetId="10">#REF!</definedName>
    <definedName name="b" localSheetId="16">#REF!</definedName>
    <definedName name="b" localSheetId="17">#REF!</definedName>
    <definedName name="b" localSheetId="18">#REF!</definedName>
    <definedName name="b" localSheetId="9">#REF!</definedName>
    <definedName name="b">#REF!</definedName>
    <definedName name="b?">#REF!</definedName>
    <definedName name="BasAlt" localSheetId="12">{1181,1250,1350,1450,1550,1650,1750,1850,1950,2050,2150,2250,2350,2436.5}</definedName>
    <definedName name="BasAlt" localSheetId="13">{1181,1250,1350,1450,1550,1650,1750,1850,1950,2050,2150,2250,2350,2436.5}</definedName>
    <definedName name="BasAlt" localSheetId="14">{1181,1250,1350,1450,1550,1650,1750,1850,1950,2050,2150,2250,2350,2436.5}</definedName>
    <definedName name="BasAlt" localSheetId="15">{1181,1250,1350,1450,1550,1650,1750,1850,1950,2050,2150,2250,2350,2436.5}</definedName>
    <definedName name="BasAlt" localSheetId="11">{1181,1250,1350,1450,1550,1650,1750,1850,1950,2050,2150,2250,2350,2436.5}</definedName>
    <definedName name="BasAlt" localSheetId="10">{1181,1250,1350,1450,1550,1650,1750,1850,1950,2050,2150,2250,2350,2436.5}</definedName>
    <definedName name="BasAlt" localSheetId="16">{1181,1250,1350,1450,1550,1650,1750,1850,1950,2050,2150,2250,2350,2436.5}</definedName>
    <definedName name="BasAlt" localSheetId="17">{1181,1250,1350,1450,1550,1650,1750,1850,1950,2050,2150,2250,2350,2436.5}</definedName>
    <definedName name="BasAlt" localSheetId="18">{1181,1250,1350,1450,1550,1650,1750,1850,1950,2050,2150,2250,2350,2436.5}</definedName>
    <definedName name="BasAlt" localSheetId="19">{1181,1250,1350,1450,1550,1650,1750,1850,1950,2050,2150,2250,2350,2436.5}</definedName>
    <definedName name="BasAlt" localSheetId="9">{1181,1250,1350,1450,1550,1650,1750,1850,1950,2050,2150,2250,2350,2436.5}</definedName>
    <definedName name="BasAlt">{1181,1250,1350,1450,1550,1650,1750,1850,1950,2050,2150,2250,2350,2436.5}</definedName>
    <definedName name="BasAlt2009" localSheetId="12">{1181,1250,1350,1450,1550,1650,1750,1850,1950,2050,2150,2250,2350,2436.5}</definedName>
    <definedName name="BasAlt2009" localSheetId="13">{1181,1250,1350,1450,1550,1650,1750,1850,1950,2050,2150,2250,2350,2436.5}</definedName>
    <definedName name="BasAlt2009" localSheetId="14">{1181,1250,1350,1450,1550,1650,1750,1850,1950,2050,2150,2250,2350,2436.5}</definedName>
    <definedName name="BasAlt2009" localSheetId="15">{1181,1250,1350,1450,1550,1650,1750,1850,1950,2050,2150,2250,2350,2436.5}</definedName>
    <definedName name="BasAlt2009" localSheetId="11">{1181,1250,1350,1450,1550,1650,1750,1850,1950,2050,2150,2250,2350,2436.5}</definedName>
    <definedName name="BasAlt2009" localSheetId="10">{1181,1250,1350,1450,1550,1650,1750,1850,1950,2050,2150,2250,2350,2436.5}</definedName>
    <definedName name="BasAlt2009" localSheetId="16">{1181,1250,1350,1450,1550,1650,1750,1850,1950,2050,2150,2250,2350,2436.5}</definedName>
    <definedName name="BasAlt2009" localSheetId="17">{1181,1250,1350,1450,1550,1650,1750,1850,1950,2050,2150,2250,2350,2436.5}</definedName>
    <definedName name="BasAlt2009" localSheetId="18">{1181,1250,1350,1450,1550,1650,1750,1850,1950,2050,2150,2250,2350,2436.5}</definedName>
    <definedName name="BasAlt2009" localSheetId="19">{1181,1250,1350,1450,1550,1650,1750,1850,1950,2050,2150,2250,2350,2436.5}</definedName>
    <definedName name="BasAlt2009" localSheetId="9">{1181,1250,1350,1450,1550,1650,1750,1850,1950,2050,2150,2250,2350,2436.5}</definedName>
    <definedName name="BasAlt2009">{1181,1250,1350,1450,1550,1650,1750,1850,1950,2050,2150,2250,2350,2436.5}</definedName>
    <definedName name="Cerr">5</definedName>
    <definedName name="CSerr">10</definedName>
    <definedName name="DATA">'[1]Stake A'!$A$103:$CC$165</definedName>
    <definedName name="_xlnm.Data_Form">#NAME?</definedName>
    <definedName name="GlacAlt" localSheetId="12">{1181,1250,1350,1450,1550,1650,1750,1850,1950,2050,2150,2250,2350,2436.5}</definedName>
    <definedName name="GlacAlt" localSheetId="13">{1181,1250,1350,1450,1550,1650,1750,1850,1950,2050,2150,2250,2350,2436.5}</definedName>
    <definedName name="GlacAlt" localSheetId="14">{1181,1250,1350,1450,1550,1650,1750,1850,1950,2050,2150,2250,2350,2436.5}</definedName>
    <definedName name="GlacAlt" localSheetId="15">{1181,1250,1350,1450,1550,1650,1750,1850,1950,2050,2150,2250,2350,2436.5}</definedName>
    <definedName name="GlacAlt" localSheetId="11">{1181,1250,1350,1450,1550,1650,1750,1850,1950,2050,2150,2250,2350,2436.5}</definedName>
    <definedName name="GlacAlt" localSheetId="10">{1181,1250,1350,1450,1550,1650,1750,1850,1950,2050,2150,2250,2350,2436.5}</definedName>
    <definedName name="GlacAlt" localSheetId="16">{1181,1250,1350,1450,1550,1650,1750,1850,1950,2050,2150,2250,2350,2436.5}</definedName>
    <definedName name="GlacAlt" localSheetId="17">{1181,1250,1350,1450,1550,1650,1750,1850,1950,2050,2150,2250,2350,2436.5}</definedName>
    <definedName name="GlacAlt" localSheetId="18">{1181,1250,1350,1450,1550,1650,1750,1850,1950,2050,2150,2250,2350,2436.5}</definedName>
    <definedName name="GlacAlt" localSheetId="19">{1181,1250,1350,1450,1550,1650,1750,1850,1950,2050,2150,2250,2350,2436.5}</definedName>
    <definedName name="GlacAlt" localSheetId="9">{1181,1250,1350,1450,1550,1650,1750,1850,1950,2050,2150,2250,2350,2436.5}</definedName>
    <definedName name="GlacAlt">{1181,1250,1350,1450,1550,1650,1750,1850,1950,2050,2150,2250,2350,2436.5}</definedName>
    <definedName name="LapPer100mAvg">-0.55</definedName>
    <definedName name="LapPer100mDry">-0.986</definedName>
    <definedName name="LapPer100mWet">-0.66</definedName>
    <definedName name="name" localSheetId="12">{1181,1250,1350,1450,1550,1650,1750,1850,1950,2050,2150,2250,2350,2436.5}</definedName>
    <definedName name="name" localSheetId="13">{1181,1250,1350,1450,1550,1650,1750,1850,1950,2050,2150,2250,2350,2436.5}</definedName>
    <definedName name="name" localSheetId="14">{1181,1250,1350,1450,1550,1650,1750,1850,1950,2050,2150,2250,2350,2436.5}</definedName>
    <definedName name="name" localSheetId="15">{1181,1250,1350,1450,1550,1650,1750,1850,1950,2050,2150,2250,2350,2436.5}</definedName>
    <definedName name="name" localSheetId="11">{1181,1250,1350,1450,1550,1650,1750,1850,1950,2050,2150,2250,2350,2436.5}</definedName>
    <definedName name="name" localSheetId="10">{1181,1250,1350,1450,1550,1650,1750,1850,1950,2050,2150,2250,2350,2436.5}</definedName>
    <definedName name="name" localSheetId="16">{1181,1250,1350,1450,1550,1650,1750,1850,1950,2050,2150,2250,2350,2436.5}</definedName>
    <definedName name="name" localSheetId="17">{1181,1250,1350,1450,1550,1650,1750,1850,1950,2050,2150,2250,2350,2436.5}</definedName>
    <definedName name="name" localSheetId="18">{1181,1250,1350,1450,1550,1650,1750,1850,1950,2050,2150,2250,2350,2436.5}</definedName>
    <definedName name="name" localSheetId="19">{1181,1250,1350,1450,1550,1650,1750,1850,1950,2050,2150,2250,2350,2436.5}</definedName>
    <definedName name="name" localSheetId="9">{1181,1250,1350,1450,1550,1650,1750,1850,1950,2050,2150,2250,2350,2436.5}</definedName>
    <definedName name="name">{1181,1250,1350,1450,1550,1650,1750,1850,1950,2050,2150,2250,2350,2436.5}</definedName>
    <definedName name="Print_Area_A">'[1]Stake A'!$F$103:$CC$199</definedName>
    <definedName name="Radiuserr">0.1</definedName>
    <definedName name="Sample_TypeAu" localSheetId="12">'20250419_Pit_B'!#REF!</definedName>
    <definedName name="Sample_TypeAu" localSheetId="13">[2]Pit_Sheet!#REF!</definedName>
    <definedName name="Sample_TypeAu" localSheetId="14">[3]Pit_Sheet!#REF!</definedName>
    <definedName name="Sample_TypeAu" localSheetId="15">[3]Pit_Sheet!#REF!</definedName>
    <definedName name="Sample_TypeAu" localSheetId="11">'20250421_Pit_AB'!#REF!</definedName>
    <definedName name="Sample_TypeAu" localSheetId="10">[3]Pit_Sheet!#REF!</definedName>
    <definedName name="Sample_TypeAu" localSheetId="16">'20250822_Pit_D'!#REF!</definedName>
    <definedName name="Sample_TypeAu" localSheetId="17">'20250822_Pit_T'!#REF!</definedName>
    <definedName name="Sample_TypeAu" localSheetId="18">'20250823_Pit_Z'!#REF!</definedName>
    <definedName name="Sample_TypeAu" localSheetId="19">#REF!</definedName>
    <definedName name="Sample_TypeAu" localSheetId="9">#REF!</definedName>
    <definedName name="Sample_TypeAu">#REF!</definedName>
    <definedName name="SampleType" localSheetId="12">#REF!</definedName>
    <definedName name="SampleType" localSheetId="13">#REF!</definedName>
    <definedName name="SampleType" localSheetId="14">#REF!</definedName>
    <definedName name="SampleType" localSheetId="15">#REF!</definedName>
    <definedName name="SampleType" localSheetId="11">#REF!</definedName>
    <definedName name="SampleType" localSheetId="10">#REF!</definedName>
    <definedName name="SampleType" localSheetId="16">#REF!</definedName>
    <definedName name="SampleType" localSheetId="17">#REF!</definedName>
    <definedName name="SampleType" localSheetId="18">#REF!</definedName>
    <definedName name="SampleType" localSheetId="9">#REF!</definedName>
    <definedName name="SampleType">#REF!</definedName>
    <definedName name="SampleType1" localSheetId="12">#REF!</definedName>
    <definedName name="SampleType1" localSheetId="13">#REF!</definedName>
    <definedName name="SampleType1" localSheetId="14">#REF!</definedName>
    <definedName name="SampleType1" localSheetId="15">#REF!</definedName>
    <definedName name="SampleType1" localSheetId="11">#REF!</definedName>
    <definedName name="SampleType1" localSheetId="10">#REF!</definedName>
    <definedName name="SampleType1" localSheetId="16">#REF!</definedName>
    <definedName name="SampleType1" localSheetId="17">#REF!</definedName>
    <definedName name="SampleType1" localSheetId="18">#REF!</definedName>
    <definedName name="SampleType1" localSheetId="9">#REF!</definedName>
    <definedName name="SampleType1">#REF!</definedName>
    <definedName name="SampleTypeAU" localSheetId="12">#REF!</definedName>
    <definedName name="SampleTypeAU" localSheetId="13">#REF!</definedName>
    <definedName name="SampleTypeAU" localSheetId="14">#REF!</definedName>
    <definedName name="SampleTypeAU" localSheetId="15">#REF!</definedName>
    <definedName name="SampleTypeAU" localSheetId="11">#REF!</definedName>
    <definedName name="SampleTypeAU" localSheetId="10">#REF!</definedName>
    <definedName name="SampleTypeAU" localSheetId="16">#REF!</definedName>
    <definedName name="SampleTypeAU" localSheetId="17">#REF!</definedName>
    <definedName name="SampleTypeAU" localSheetId="18">#REF!</definedName>
    <definedName name="SampleTypeAU" localSheetId="9">#REF!</definedName>
    <definedName name="SampleTypeAU">#REF!</definedName>
    <definedName name="SampleTypeC">#REF!</definedName>
    <definedName name="SampletypeD">#REF!</definedName>
    <definedName name="SampletypeS">#REF!</definedName>
    <definedName name="SampleTypeX">#REF!</definedName>
    <definedName name="SampleTypeY">#REF!</definedName>
    <definedName name="SBDerr">0.5</definedName>
    <definedName name="Serr">5</definedName>
    <definedName name="Sipri_xsection">'[4]99.05.14'!$M$3</definedName>
    <definedName name="SipriXsection">'[4]00.05.12'!$M$3</definedName>
    <definedName name="SiteA">'[1]Stake A'!$A$103:$CC$165</definedName>
    <definedName name="SKit_XSection">'[5]SCD May 97, 1998'!$K$4</definedName>
    <definedName name="TempArray">[4]SNOWPIT!$P$9:$Q$20</definedName>
    <definedName name="TempArray2006">'[5]2006.5.12 Pit'!$P$9:$Q$23</definedName>
    <definedName name="TempArray2008">'[5]2008.09.28 Pit'!$P$9:$Q$23</definedName>
    <definedName name="XSECTAREA">[4]SNOWPIT!$Q$1</definedName>
    <definedName name="XSECTION">'[4]98.05.27'!$K$3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56" l="1"/>
  <c r="C49" i="4"/>
  <c r="L20" i="36"/>
  <c r="L21" i="36"/>
  <c r="C28" i="36"/>
  <c r="Q17" i="36"/>
  <c r="Q43" i="4"/>
  <c r="Q30" i="6"/>
  <c r="H21" i="36"/>
  <c r="Q21" i="36"/>
  <c r="Q12" i="7"/>
  <c r="L11" i="7"/>
  <c r="L19" i="6"/>
  <c r="L21" i="6"/>
  <c r="L28" i="6"/>
  <c r="C36" i="6"/>
  <c r="C47" i="4"/>
  <c r="C40" i="1"/>
  <c r="Q29" i="1"/>
  <c r="Q28" i="1"/>
  <c r="Q19" i="1"/>
  <c r="P17" i="1"/>
  <c r="P26" i="1"/>
  <c r="P27" i="3"/>
  <c r="P34" i="3"/>
  <c r="C45" i="3"/>
  <c r="C47" i="3"/>
  <c r="Q36" i="3"/>
  <c r="H17" i="2"/>
  <c r="Q17" i="2"/>
  <c r="O17" i="2"/>
  <c r="G17" i="2"/>
  <c r="I4" i="54"/>
  <c r="I5" i="54"/>
  <c r="L23" i="6"/>
  <c r="J26" i="6"/>
  <c r="O9" i="56"/>
  <c r="H8" i="56"/>
  <c r="Q8" i="56"/>
  <c r="P7" i="56"/>
  <c r="O43" i="4"/>
  <c r="O39" i="4"/>
  <c r="P38" i="4"/>
  <c r="P42" i="4"/>
  <c r="L43" i="4"/>
  <c r="I38" i="4"/>
  <c r="L39" i="4"/>
  <c r="F22" i="36"/>
  <c r="F12" i="7"/>
  <c r="J38" i="4"/>
  <c r="K38" i="4"/>
  <c r="G38" i="4"/>
  <c r="H17" i="4"/>
  <c r="R17" i="4" s="1"/>
  <c r="L34" i="4"/>
  <c r="K42" i="4"/>
  <c r="I42" i="4"/>
  <c r="G42" i="4"/>
  <c r="L42" i="4" s="1"/>
  <c r="F25" i="6"/>
  <c r="G23" i="6" l="1"/>
  <c r="H36" i="3"/>
  <c r="H28" i="3"/>
  <c r="H26" i="3"/>
  <c r="H22" i="3"/>
  <c r="H19" i="1"/>
  <c r="H20" i="1"/>
  <c r="L26" i="1"/>
  <c r="L17" i="1"/>
  <c r="L14" i="1"/>
  <c r="F22" i="1"/>
  <c r="I33" i="1"/>
  <c r="C46" i="3"/>
  <c r="G14" i="56"/>
  <c r="O35" i="3"/>
  <c r="Q39" i="4"/>
  <c r="K7" i="56"/>
  <c r="I34" i="3"/>
  <c r="I7" i="56"/>
  <c r="G7" i="56"/>
  <c r="L7" i="56" s="1"/>
  <c r="G9" i="56"/>
  <c r="F8" i="56"/>
  <c r="F7" i="56"/>
  <c r="F31" i="3"/>
  <c r="G16" i="57"/>
  <c r="E16" i="57"/>
  <c r="I37" i="1"/>
  <c r="G37" i="1"/>
  <c r="E37" i="1"/>
  <c r="Q12" i="57"/>
  <c r="C19" i="57" s="1"/>
  <c r="H28" i="1"/>
  <c r="H12" i="57"/>
  <c r="K10" i="57"/>
  <c r="P10" i="57" s="1"/>
  <c r="C17" i="57" s="1"/>
  <c r="F10" i="57"/>
  <c r="F5" i="57"/>
  <c r="I4" i="52"/>
  <c r="Q18" i="4"/>
  <c r="F18" i="4"/>
  <c r="C25" i="2"/>
  <c r="C23" i="2"/>
  <c r="P14" i="2"/>
  <c r="I22" i="2"/>
  <c r="G11" i="2"/>
  <c r="I16" i="57"/>
  <c r="F12" i="57"/>
  <c r="G11" i="57"/>
  <c r="F8" i="57"/>
  <c r="G7" i="57"/>
  <c r="F30" i="1"/>
  <c r="G20" i="1"/>
  <c r="G29" i="1"/>
  <c r="F41" i="3"/>
  <c r="I44" i="3"/>
  <c r="I14" i="56"/>
  <c r="E14" i="56"/>
  <c r="C48" i="4"/>
  <c r="G43" i="4"/>
  <c r="Q34" i="4"/>
  <c r="Q28" i="4"/>
  <c r="G39" i="4"/>
  <c r="G28" i="4"/>
  <c r="C31" i="36"/>
  <c r="C20" i="7"/>
  <c r="C21" i="7"/>
  <c r="H33" i="52"/>
  <c r="F17" i="36"/>
  <c r="F21" i="36"/>
  <c r="M32" i="55"/>
  <c r="M31" i="55"/>
  <c r="M29" i="55"/>
  <c r="M30" i="55" s="1"/>
  <c r="M28" i="55"/>
  <c r="G24" i="55"/>
  <c r="E24" i="55"/>
  <c r="G23" i="55"/>
  <c r="F23" i="55"/>
  <c r="E23" i="55"/>
  <c r="G22" i="55"/>
  <c r="H22" i="55" s="1"/>
  <c r="F22" i="55"/>
  <c r="E22" i="55"/>
  <c r="G21" i="55"/>
  <c r="F21" i="55"/>
  <c r="E21" i="55"/>
  <c r="G20" i="55"/>
  <c r="F20" i="55"/>
  <c r="E20" i="55"/>
  <c r="G19" i="55"/>
  <c r="F19" i="55"/>
  <c r="E19" i="55"/>
  <c r="G18" i="55"/>
  <c r="H18" i="55" s="1"/>
  <c r="F18" i="55"/>
  <c r="E18" i="55"/>
  <c r="G17" i="55"/>
  <c r="F17" i="55"/>
  <c r="E17" i="55"/>
  <c r="G16" i="55"/>
  <c r="F16" i="55"/>
  <c r="E16" i="55"/>
  <c r="G15" i="55"/>
  <c r="F15" i="55"/>
  <c r="E15" i="55"/>
  <c r="G14" i="55"/>
  <c r="H14" i="55" s="1"/>
  <c r="F14" i="55"/>
  <c r="E14" i="55"/>
  <c r="G13" i="55"/>
  <c r="F13" i="55"/>
  <c r="H13" i="55" s="1"/>
  <c r="E13" i="55"/>
  <c r="G12" i="55"/>
  <c r="F12" i="55"/>
  <c r="F34" i="4"/>
  <c r="C16" i="56" l="1"/>
  <c r="C15" i="56"/>
  <c r="C18" i="57"/>
  <c r="O12" i="57"/>
  <c r="G30" i="1"/>
  <c r="H24" i="55"/>
  <c r="H23" i="55"/>
  <c r="H21" i="55"/>
  <c r="H20" i="55"/>
  <c r="H19" i="55"/>
  <c r="H17" i="55"/>
  <c r="H16" i="55"/>
  <c r="H15" i="55"/>
  <c r="H12" i="55"/>
  <c r="I12" i="55" s="1"/>
  <c r="J12" i="55" s="1"/>
  <c r="I13" i="55" l="1"/>
  <c r="J13" i="55" s="1"/>
  <c r="F9" i="2"/>
  <c r="G30" i="6"/>
  <c r="G29" i="6"/>
  <c r="H29" i="6" s="1"/>
  <c r="G21" i="6"/>
  <c r="G20" i="6"/>
  <c r="M32" i="54"/>
  <c r="M31" i="54"/>
  <c r="M29" i="54"/>
  <c r="M30" i="54" s="1"/>
  <c r="M28" i="54"/>
  <c r="I3" i="54" s="1"/>
  <c r="G15" i="54"/>
  <c r="E15" i="54"/>
  <c r="G14" i="54"/>
  <c r="F14" i="54"/>
  <c r="E14" i="54"/>
  <c r="H13" i="54"/>
  <c r="G13" i="54"/>
  <c r="F13" i="54"/>
  <c r="E13" i="54"/>
  <c r="G12" i="54"/>
  <c r="F12" i="54"/>
  <c r="I3" i="52"/>
  <c r="G33" i="52"/>
  <c r="E33" i="52"/>
  <c r="G32" i="52"/>
  <c r="H32" i="52" s="1"/>
  <c r="F32" i="52"/>
  <c r="E32" i="52"/>
  <c r="N31" i="52"/>
  <c r="G31" i="52"/>
  <c r="H31" i="52" s="1"/>
  <c r="F31" i="52"/>
  <c r="E31" i="52"/>
  <c r="G30" i="52"/>
  <c r="F30" i="52"/>
  <c r="E30" i="52"/>
  <c r="G29" i="52"/>
  <c r="H29" i="52" s="1"/>
  <c r="F29" i="52"/>
  <c r="E29" i="52"/>
  <c r="G28" i="52"/>
  <c r="F28" i="52"/>
  <c r="E28" i="52"/>
  <c r="G27" i="52"/>
  <c r="H27" i="52" s="1"/>
  <c r="F27" i="52"/>
  <c r="E27" i="52"/>
  <c r="G26" i="52"/>
  <c r="F26" i="52"/>
  <c r="E26" i="52"/>
  <c r="G25" i="52"/>
  <c r="H25" i="52" s="1"/>
  <c r="F25" i="52"/>
  <c r="E25" i="52"/>
  <c r="G24" i="52"/>
  <c r="F24" i="52"/>
  <c r="H24" i="52" s="1"/>
  <c r="E24" i="52"/>
  <c r="G23" i="52"/>
  <c r="H23" i="52" s="1"/>
  <c r="F23" i="52"/>
  <c r="E23" i="52"/>
  <c r="G22" i="52"/>
  <c r="H22" i="52" s="1"/>
  <c r="F22" i="52"/>
  <c r="E22" i="52"/>
  <c r="M43" i="52"/>
  <c r="G21" i="52"/>
  <c r="F21" i="52"/>
  <c r="E21" i="52"/>
  <c r="G20" i="52"/>
  <c r="H20" i="52" s="1"/>
  <c r="F20" i="52"/>
  <c r="E20" i="52"/>
  <c r="G19" i="52"/>
  <c r="F19" i="52"/>
  <c r="E19" i="52"/>
  <c r="G18" i="52"/>
  <c r="H18" i="52" s="1"/>
  <c r="F18" i="52"/>
  <c r="E18" i="52"/>
  <c r="G17" i="52"/>
  <c r="F17" i="52"/>
  <c r="H17" i="52" s="1"/>
  <c r="E17" i="52"/>
  <c r="N16" i="52"/>
  <c r="G16" i="52"/>
  <c r="H16" i="52" s="1"/>
  <c r="F16" i="52"/>
  <c r="E16" i="52"/>
  <c r="G15" i="52"/>
  <c r="H15" i="52" s="1"/>
  <c r="F15" i="52"/>
  <c r="E15" i="52"/>
  <c r="G14" i="52"/>
  <c r="H14" i="52" s="1"/>
  <c r="F14" i="52"/>
  <c r="E14" i="52"/>
  <c r="G13" i="52"/>
  <c r="H13" i="52" s="1"/>
  <c r="F13" i="52"/>
  <c r="E13" i="52"/>
  <c r="H15" i="54" l="1"/>
  <c r="I14" i="55"/>
  <c r="J14" i="55" s="1"/>
  <c r="H14" i="54"/>
  <c r="H12" i="54"/>
  <c r="I12" i="54" s="1"/>
  <c r="J12" i="54" s="1"/>
  <c r="H30" i="52"/>
  <c r="H28" i="52"/>
  <c r="H26" i="52"/>
  <c r="H21" i="52"/>
  <c r="H19" i="52"/>
  <c r="I15" i="52"/>
  <c r="J15" i="52" s="1"/>
  <c r="I14" i="52"/>
  <c r="J14" i="52" s="1"/>
  <c r="I17" i="52"/>
  <c r="J17" i="52" s="1"/>
  <c r="I16" i="52"/>
  <c r="J16" i="52" s="1"/>
  <c r="I13" i="52"/>
  <c r="J13" i="52" s="1"/>
  <c r="I18" i="52"/>
  <c r="J18" i="52" s="1"/>
  <c r="M39" i="52"/>
  <c r="M40" i="52"/>
  <c r="M41" i="52" s="1"/>
  <c r="M42" i="52"/>
  <c r="G16" i="1"/>
  <c r="N17" i="47"/>
  <c r="N21" i="47"/>
  <c r="J19" i="6"/>
  <c r="J28" i="6"/>
  <c r="H30" i="6" s="1"/>
  <c r="G19" i="6"/>
  <c r="J20" i="36"/>
  <c r="I33" i="4"/>
  <c r="P33" i="4" s="1"/>
  <c r="O34" i="4" s="1"/>
  <c r="R17" i="1" l="1"/>
  <c r="C42" i="1" s="1"/>
  <c r="I15" i="55"/>
  <c r="J15" i="55" s="1"/>
  <c r="I13" i="54"/>
  <c r="J13" i="54" s="1"/>
  <c r="I5" i="52"/>
  <c r="I28" i="52"/>
  <c r="J28" i="52" s="1"/>
  <c r="I33" i="52"/>
  <c r="J33" i="52" s="1"/>
  <c r="I21" i="52"/>
  <c r="J21" i="52" s="1"/>
  <c r="I25" i="52"/>
  <c r="J25" i="52" s="1"/>
  <c r="I19" i="52"/>
  <c r="J19" i="52" s="1"/>
  <c r="I32" i="52"/>
  <c r="J32" i="52" s="1"/>
  <c r="I29" i="52"/>
  <c r="J29" i="52" s="1"/>
  <c r="I24" i="52"/>
  <c r="J24" i="52" s="1"/>
  <c r="I27" i="52"/>
  <c r="J27" i="52" s="1"/>
  <c r="I31" i="52"/>
  <c r="J31" i="52" s="1"/>
  <c r="I26" i="52"/>
  <c r="J26" i="52" s="1"/>
  <c r="I20" i="52"/>
  <c r="J20" i="52" s="1"/>
  <c r="I30" i="52"/>
  <c r="J30" i="52" s="1"/>
  <c r="I23" i="52"/>
  <c r="J23" i="52" s="1"/>
  <c r="I22" i="52"/>
  <c r="J22" i="52" s="1"/>
  <c r="I3" i="49"/>
  <c r="K20" i="36"/>
  <c r="P20" i="36" s="1"/>
  <c r="C26" i="36" s="1"/>
  <c r="I11" i="7"/>
  <c r="J11" i="7" s="1"/>
  <c r="P28" i="6"/>
  <c r="C34" i="6"/>
  <c r="C35" i="6" s="1"/>
  <c r="I2" i="50"/>
  <c r="I5" i="50" s="1"/>
  <c r="I5" i="47"/>
  <c r="I5" i="49"/>
  <c r="I5" i="38"/>
  <c r="I5" i="37"/>
  <c r="I5" i="48"/>
  <c r="I2" i="48"/>
  <c r="I3" i="48"/>
  <c r="I16" i="55" l="1"/>
  <c r="J16" i="55" s="1"/>
  <c r="P11" i="7"/>
  <c r="C19" i="7" s="1"/>
  <c r="I14" i="54"/>
  <c r="J14" i="54" s="1"/>
  <c r="I15" i="54"/>
  <c r="R38" i="50"/>
  <c r="R30" i="50"/>
  <c r="I17" i="55" l="1"/>
  <c r="J17" i="55" s="1"/>
  <c r="J15" i="54"/>
  <c r="O21" i="38"/>
  <c r="N24" i="38"/>
  <c r="I1" i="50"/>
  <c r="S20" i="49"/>
  <c r="S21" i="49"/>
  <c r="O21" i="49"/>
  <c r="N24" i="49"/>
  <c r="N25" i="50"/>
  <c r="O25" i="50"/>
  <c r="O20" i="50"/>
  <c r="O24" i="38"/>
  <c r="I3" i="37"/>
  <c r="I4" i="49"/>
  <c r="N26" i="50"/>
  <c r="V31" i="38"/>
  <c r="I3" i="38"/>
  <c r="I4" i="47"/>
  <c r="I4" i="38"/>
  <c r="I27" i="3"/>
  <c r="I17" i="1"/>
  <c r="I26" i="1"/>
  <c r="I14" i="2"/>
  <c r="S18" i="6"/>
  <c r="C37" i="6" s="1"/>
  <c r="S47" i="50"/>
  <c r="R47" i="50"/>
  <c r="R44" i="50"/>
  <c r="R45" i="50" s="1"/>
  <c r="S43" i="50"/>
  <c r="S44" i="50"/>
  <c r="R43" i="50"/>
  <c r="S42" i="50"/>
  <c r="R42" i="50"/>
  <c r="S41" i="50"/>
  <c r="R41" i="50"/>
  <c r="S40" i="50"/>
  <c r="R40" i="50"/>
  <c r="S39" i="50"/>
  <c r="R39" i="50"/>
  <c r="S38" i="50"/>
  <c r="S37" i="50"/>
  <c r="R37" i="50"/>
  <c r="S36" i="50"/>
  <c r="R36" i="50"/>
  <c r="R35" i="50"/>
  <c r="S35" i="50" s="1"/>
  <c r="S34" i="50"/>
  <c r="R34" i="50"/>
  <c r="S33" i="50"/>
  <c r="R33" i="50"/>
  <c r="S32" i="50"/>
  <c r="R32" i="50"/>
  <c r="S31" i="50"/>
  <c r="R31" i="50"/>
  <c r="L14" i="2" l="1"/>
  <c r="I18" i="55"/>
  <c r="J18" i="55" s="1"/>
  <c r="C38" i="1"/>
  <c r="S45" i="50"/>
  <c r="R46" i="50"/>
  <c r="S46" i="50" s="1"/>
  <c r="S38" i="38"/>
  <c r="R38" i="38"/>
  <c r="H29" i="1" l="1"/>
  <c r="O29" i="1" s="1"/>
  <c r="C24" i="2"/>
  <c r="I19" i="55"/>
  <c r="J19" i="55" s="1"/>
  <c r="I25" i="36"/>
  <c r="I18" i="7"/>
  <c r="G18" i="7"/>
  <c r="E18" i="7"/>
  <c r="I33" i="6"/>
  <c r="G33" i="6"/>
  <c r="E33" i="6"/>
  <c r="R38" i="49"/>
  <c r="R37" i="49"/>
  <c r="R32" i="49"/>
  <c r="C38" i="6"/>
  <c r="P16" i="6"/>
  <c r="AA16" i="50"/>
  <c r="W41" i="50"/>
  <c r="P20" i="50"/>
  <c r="O20" i="49"/>
  <c r="O19" i="50"/>
  <c r="W47" i="50"/>
  <c r="C46" i="50"/>
  <c r="C44" i="50"/>
  <c r="C43" i="50" s="1"/>
  <c r="C41" i="50"/>
  <c r="C39" i="50"/>
  <c r="W38" i="50"/>
  <c r="C37" i="50"/>
  <c r="W36" i="50"/>
  <c r="C35" i="50"/>
  <c r="C33" i="50"/>
  <c r="W32" i="50"/>
  <c r="C31" i="50"/>
  <c r="C28" i="50"/>
  <c r="C32" i="49"/>
  <c r="O27" i="49"/>
  <c r="O25" i="49"/>
  <c r="C24" i="49"/>
  <c r="C70" i="49"/>
  <c r="P13" i="49"/>
  <c r="C27" i="36"/>
  <c r="R71" i="49"/>
  <c r="S71" i="49" s="1"/>
  <c r="P71" i="49"/>
  <c r="S70" i="49"/>
  <c r="R70" i="49"/>
  <c r="R63" i="49"/>
  <c r="S63" i="49" s="1"/>
  <c r="S65" i="49"/>
  <c r="S66" i="49"/>
  <c r="S67" i="49"/>
  <c r="S68" i="49"/>
  <c r="S69" i="49"/>
  <c r="S64" i="49"/>
  <c r="R65" i="49"/>
  <c r="R66" i="49"/>
  <c r="R67" i="49"/>
  <c r="R68" i="49"/>
  <c r="R69" i="49"/>
  <c r="R64" i="49"/>
  <c r="S62" i="49"/>
  <c r="R54" i="49"/>
  <c r="S54" i="49" s="1"/>
  <c r="S57" i="49"/>
  <c r="R57" i="49"/>
  <c r="R56" i="49"/>
  <c r="S56" i="49" s="1"/>
  <c r="R58" i="49"/>
  <c r="S58" i="49" s="1"/>
  <c r="R59" i="49"/>
  <c r="S59" i="49"/>
  <c r="R60" i="49"/>
  <c r="S60" i="49" s="1"/>
  <c r="R61" i="49"/>
  <c r="S61" i="49" s="1"/>
  <c r="R62" i="49"/>
  <c r="S55" i="49"/>
  <c r="R55" i="49"/>
  <c r="R45" i="49"/>
  <c r="S45" i="49" s="1"/>
  <c r="R44" i="49"/>
  <c r="S44" i="49" s="1"/>
  <c r="R43" i="49"/>
  <c r="S43" i="49" s="1"/>
  <c r="R42" i="49"/>
  <c r="S42" i="49" s="1"/>
  <c r="R41" i="49"/>
  <c r="S41" i="49" s="1"/>
  <c r="R40" i="49"/>
  <c r="S49" i="49"/>
  <c r="R49" i="49"/>
  <c r="S46" i="49"/>
  <c r="S47" i="49"/>
  <c r="S48" i="49"/>
  <c r="R46" i="49"/>
  <c r="R47" i="49"/>
  <c r="R48" i="49"/>
  <c r="S51" i="49"/>
  <c r="S52" i="49"/>
  <c r="S53" i="49"/>
  <c r="S50" i="49"/>
  <c r="R51" i="49"/>
  <c r="R52" i="49"/>
  <c r="R53" i="49"/>
  <c r="R50" i="49"/>
  <c r="S40" i="49"/>
  <c r="S39" i="49"/>
  <c r="R39" i="49"/>
  <c r="O19" i="1" l="1"/>
  <c r="Q20" i="1"/>
  <c r="O28" i="1"/>
  <c r="I20" i="55"/>
  <c r="J20" i="55" s="1"/>
  <c r="X65" i="49"/>
  <c r="X66" i="49"/>
  <c r="X67" i="49"/>
  <c r="X68" i="49"/>
  <c r="X69" i="49"/>
  <c r="X70" i="49"/>
  <c r="X71" i="49"/>
  <c r="X24" i="49"/>
  <c r="X25" i="49"/>
  <c r="X26" i="49"/>
  <c r="X27" i="49"/>
  <c r="X28" i="49"/>
  <c r="X29" i="49"/>
  <c r="X30" i="49"/>
  <c r="X31" i="49"/>
  <c r="X32" i="49"/>
  <c r="X33" i="49"/>
  <c r="X34" i="49"/>
  <c r="X35" i="49"/>
  <c r="X36" i="49"/>
  <c r="X37" i="49"/>
  <c r="X38" i="49"/>
  <c r="X39" i="49"/>
  <c r="X40" i="49"/>
  <c r="X41" i="49"/>
  <c r="X42" i="49"/>
  <c r="X43" i="49"/>
  <c r="X44" i="49"/>
  <c r="X45" i="49"/>
  <c r="X46" i="49"/>
  <c r="X47" i="49"/>
  <c r="X48" i="49"/>
  <c r="X49" i="49"/>
  <c r="X50" i="49"/>
  <c r="X51" i="49"/>
  <c r="X52" i="49"/>
  <c r="X53" i="49"/>
  <c r="X54" i="49"/>
  <c r="X55" i="49"/>
  <c r="Y55" i="49" s="1"/>
  <c r="X56" i="49"/>
  <c r="X57" i="49"/>
  <c r="X58" i="49"/>
  <c r="X59" i="49"/>
  <c r="X60" i="49"/>
  <c r="X61" i="49"/>
  <c r="X62" i="49"/>
  <c r="X63" i="49"/>
  <c r="Y64" i="49"/>
  <c r="X64" i="49"/>
  <c r="AA49" i="49"/>
  <c r="AA54" i="49"/>
  <c r="I1" i="49"/>
  <c r="C68" i="49"/>
  <c r="N69" i="49" s="1"/>
  <c r="N70" i="49"/>
  <c r="Z52" i="50"/>
  <c r="Z51" i="50"/>
  <c r="Z49" i="50"/>
  <c r="Z50" i="50" s="1"/>
  <c r="Z48" i="50"/>
  <c r="I3" i="50" s="1"/>
  <c r="L47" i="50"/>
  <c r="G47" i="50"/>
  <c r="L46" i="50"/>
  <c r="G46" i="50"/>
  <c r="N46" i="50" s="1"/>
  <c r="L45" i="50"/>
  <c r="G45" i="50"/>
  <c r="L44" i="50"/>
  <c r="G44" i="50"/>
  <c r="L43" i="50"/>
  <c r="G43" i="50"/>
  <c r="L42" i="50"/>
  <c r="G42" i="50"/>
  <c r="L41" i="50"/>
  <c r="G41" i="50"/>
  <c r="O40" i="50" s="1"/>
  <c r="L40" i="50"/>
  <c r="G40" i="50"/>
  <c r="N40" i="50" s="1"/>
  <c r="L39" i="50"/>
  <c r="G39" i="50"/>
  <c r="O38" i="50" s="1"/>
  <c r="L38" i="50"/>
  <c r="G38" i="50"/>
  <c r="O37" i="50" s="1"/>
  <c r="L37" i="50"/>
  <c r="G37" i="50"/>
  <c r="O36" i="50" s="1"/>
  <c r="L36" i="50"/>
  <c r="G36" i="50"/>
  <c r="O35" i="50" s="1"/>
  <c r="L35" i="50"/>
  <c r="G35" i="50"/>
  <c r="O34" i="50" s="1"/>
  <c r="L34" i="50"/>
  <c r="G34" i="50"/>
  <c r="O33" i="50" s="1"/>
  <c r="L33" i="50"/>
  <c r="G33" i="50"/>
  <c r="O32" i="50" s="1"/>
  <c r="L32" i="50"/>
  <c r="G32" i="50"/>
  <c r="L31" i="50"/>
  <c r="G31" i="50"/>
  <c r="O30" i="50" s="1"/>
  <c r="L30" i="50"/>
  <c r="G30" i="50"/>
  <c r="L29" i="50"/>
  <c r="G29" i="50"/>
  <c r="N29" i="50" s="1"/>
  <c r="L28" i="50"/>
  <c r="G28" i="50"/>
  <c r="N28" i="50" s="1"/>
  <c r="L27" i="50"/>
  <c r="G27" i="50"/>
  <c r="L26" i="50"/>
  <c r="G26" i="50"/>
  <c r="L25" i="50"/>
  <c r="G25" i="50"/>
  <c r="N20" i="50"/>
  <c r="Q20" i="50" s="1"/>
  <c r="P19" i="50"/>
  <c r="N19" i="50"/>
  <c r="P18" i="50"/>
  <c r="O18" i="50"/>
  <c r="N18" i="50"/>
  <c r="P17" i="50"/>
  <c r="O17" i="50"/>
  <c r="N17" i="50"/>
  <c r="P16" i="50"/>
  <c r="O16" i="50"/>
  <c r="N16" i="50"/>
  <c r="P15" i="50"/>
  <c r="O15" i="50"/>
  <c r="N15" i="50"/>
  <c r="P14" i="50"/>
  <c r="O14" i="50"/>
  <c r="N14" i="50"/>
  <c r="P13" i="50"/>
  <c r="O13" i="50"/>
  <c r="N13" i="50"/>
  <c r="G25" i="36"/>
  <c r="E25" i="36"/>
  <c r="O79" i="49"/>
  <c r="L79" i="49"/>
  <c r="G79" i="49"/>
  <c r="N79" i="49" s="1"/>
  <c r="O78" i="49"/>
  <c r="L78" i="49"/>
  <c r="X78" i="49" s="1"/>
  <c r="G78" i="49"/>
  <c r="N78" i="49" s="1"/>
  <c r="O77" i="49"/>
  <c r="L77" i="49"/>
  <c r="X77" i="49" s="1"/>
  <c r="G77" i="49"/>
  <c r="O76" i="49"/>
  <c r="L76" i="49"/>
  <c r="X76" i="49" s="1"/>
  <c r="G76" i="49"/>
  <c r="N76" i="49" s="1"/>
  <c r="O75" i="49"/>
  <c r="L75" i="49"/>
  <c r="X75" i="49" s="1"/>
  <c r="G75" i="49"/>
  <c r="O74" i="49"/>
  <c r="L74" i="49"/>
  <c r="X74" i="49" s="1"/>
  <c r="G74" i="49"/>
  <c r="O73" i="49"/>
  <c r="L73" i="49"/>
  <c r="X73" i="49" s="1"/>
  <c r="G73" i="49"/>
  <c r="O72" i="49"/>
  <c r="L72" i="49"/>
  <c r="X72" i="49" s="1"/>
  <c r="G72" i="49"/>
  <c r="N72" i="49" s="1"/>
  <c r="G71" i="49"/>
  <c r="G70" i="49"/>
  <c r="M70" i="49" s="1"/>
  <c r="P70" i="49" s="1"/>
  <c r="G69" i="49"/>
  <c r="Y68" i="49"/>
  <c r="G68" i="49"/>
  <c r="M68" i="49" s="1"/>
  <c r="P68" i="49" s="1"/>
  <c r="G67" i="49"/>
  <c r="G66" i="49"/>
  <c r="Y65" i="49"/>
  <c r="G65" i="49"/>
  <c r="M65" i="49" s="1"/>
  <c r="P65" i="49" s="1"/>
  <c r="G64" i="49"/>
  <c r="G63" i="49"/>
  <c r="G62" i="49"/>
  <c r="G61" i="49"/>
  <c r="G60" i="49"/>
  <c r="G59" i="49"/>
  <c r="G58" i="49"/>
  <c r="G57" i="49"/>
  <c r="AD56" i="49"/>
  <c r="G56" i="49"/>
  <c r="AD55" i="49"/>
  <c r="G55" i="49"/>
  <c r="M55" i="49" s="1"/>
  <c r="P55" i="49" s="1"/>
  <c r="G54" i="49"/>
  <c r="AD53" i="49"/>
  <c r="AD54" i="49" s="1"/>
  <c r="Y53" i="49"/>
  <c r="G53" i="49"/>
  <c r="M53" i="49" s="1"/>
  <c r="P53" i="49" s="1"/>
  <c r="AD52" i="49"/>
  <c r="G52" i="49"/>
  <c r="G51" i="49"/>
  <c r="Y50" i="49"/>
  <c r="G50" i="49"/>
  <c r="M50" i="49" s="1"/>
  <c r="P50" i="49" s="1"/>
  <c r="G49" i="49"/>
  <c r="G48" i="49"/>
  <c r="G47" i="49"/>
  <c r="G46" i="49"/>
  <c r="G45" i="49"/>
  <c r="G44" i="49"/>
  <c r="G43" i="49"/>
  <c r="M43" i="49" s="1"/>
  <c r="G42" i="49"/>
  <c r="G41" i="49"/>
  <c r="Y40" i="49"/>
  <c r="G40" i="49"/>
  <c r="M40" i="49" s="1"/>
  <c r="P40" i="49" s="1"/>
  <c r="G39" i="49"/>
  <c r="G38" i="49"/>
  <c r="G37" i="49"/>
  <c r="G36" i="49"/>
  <c r="G35" i="49"/>
  <c r="M35" i="49" s="1"/>
  <c r="P35" i="49" s="1"/>
  <c r="G34" i="49"/>
  <c r="G33" i="49"/>
  <c r="Y32" i="49"/>
  <c r="G32" i="49"/>
  <c r="M32" i="49" s="1"/>
  <c r="P32" i="49" s="1"/>
  <c r="G31" i="49"/>
  <c r="G30" i="49"/>
  <c r="G29" i="49"/>
  <c r="G28" i="49"/>
  <c r="G27" i="49"/>
  <c r="M27" i="49" s="1"/>
  <c r="P27" i="49" s="1"/>
  <c r="G26" i="49"/>
  <c r="G25" i="49"/>
  <c r="G24" i="49"/>
  <c r="X21" i="49"/>
  <c r="Y21" i="49" s="1"/>
  <c r="P21" i="49"/>
  <c r="N21" i="49"/>
  <c r="X20" i="49"/>
  <c r="Y20" i="49" s="1"/>
  <c r="P20" i="49"/>
  <c r="Q20" i="49" s="1"/>
  <c r="N20" i="49"/>
  <c r="X19" i="49"/>
  <c r="Y19" i="49" s="1"/>
  <c r="P19" i="49"/>
  <c r="O19" i="49"/>
  <c r="N19" i="49"/>
  <c r="X18" i="49"/>
  <c r="Y18" i="49" s="1"/>
  <c r="P18" i="49"/>
  <c r="Q18" i="49" s="1"/>
  <c r="O18" i="49"/>
  <c r="N18" i="49"/>
  <c r="X17" i="49"/>
  <c r="Y17" i="49" s="1"/>
  <c r="P17" i="49"/>
  <c r="O17" i="49"/>
  <c r="N17" i="49"/>
  <c r="X16" i="49"/>
  <c r="Y16" i="49" s="1"/>
  <c r="P16" i="49"/>
  <c r="Q16" i="49" s="1"/>
  <c r="O16" i="49"/>
  <c r="N16" i="49"/>
  <c r="X15" i="49"/>
  <c r="Y15" i="49" s="1"/>
  <c r="P15" i="49"/>
  <c r="O15" i="49"/>
  <c r="N15" i="49"/>
  <c r="X14" i="49"/>
  <c r="Y14" i="49" s="1"/>
  <c r="P14" i="49"/>
  <c r="O14" i="49"/>
  <c r="N14" i="49"/>
  <c r="X13" i="49"/>
  <c r="Y13" i="49" s="1"/>
  <c r="O13" i="49"/>
  <c r="N13" i="49"/>
  <c r="O20" i="1" l="1"/>
  <c r="C39" i="1"/>
  <c r="I21" i="55"/>
  <c r="I22" i="55" s="1"/>
  <c r="O39" i="50"/>
  <c r="O45" i="50"/>
  <c r="N47" i="50"/>
  <c r="O46" i="50"/>
  <c r="N43" i="50"/>
  <c r="O42" i="50"/>
  <c r="N44" i="50"/>
  <c r="O43" i="50"/>
  <c r="N45" i="50"/>
  <c r="O44" i="50"/>
  <c r="M45" i="50"/>
  <c r="P45" i="50" s="1"/>
  <c r="N42" i="50"/>
  <c r="O41" i="50"/>
  <c r="N31" i="50"/>
  <c r="Q15" i="50"/>
  <c r="N32" i="50"/>
  <c r="O31" i="50"/>
  <c r="N36" i="50"/>
  <c r="Q17" i="50"/>
  <c r="Q19" i="50"/>
  <c r="M33" i="50"/>
  <c r="P33" i="50" s="1"/>
  <c r="N30" i="50"/>
  <c r="O29" i="50"/>
  <c r="N37" i="50"/>
  <c r="N27" i="50"/>
  <c r="O26" i="50"/>
  <c r="N38" i="50"/>
  <c r="N34" i="50"/>
  <c r="O28" i="50"/>
  <c r="N35" i="50"/>
  <c r="M39" i="50"/>
  <c r="P39" i="50" s="1"/>
  <c r="O27" i="50"/>
  <c r="Q14" i="50"/>
  <c r="Q16" i="50"/>
  <c r="Q18" i="50"/>
  <c r="M41" i="50"/>
  <c r="P41" i="50" s="1"/>
  <c r="N41" i="50"/>
  <c r="Q13" i="50"/>
  <c r="M25" i="50"/>
  <c r="P25" i="50" s="1"/>
  <c r="Q25" i="50" s="1"/>
  <c r="S30" i="50" s="1"/>
  <c r="M31" i="50"/>
  <c r="P31" i="50" s="1"/>
  <c r="M34" i="50"/>
  <c r="P34" i="50" s="1"/>
  <c r="N39" i="50"/>
  <c r="M37" i="50"/>
  <c r="P37" i="50" s="1"/>
  <c r="N33" i="50"/>
  <c r="M42" i="50"/>
  <c r="P42" i="50" s="1"/>
  <c r="M44" i="50"/>
  <c r="P44" i="50" s="1"/>
  <c r="M47" i="50"/>
  <c r="P47" i="50" s="1"/>
  <c r="M36" i="50"/>
  <c r="P36" i="50" s="1"/>
  <c r="M28" i="50"/>
  <c r="P28" i="50" s="1"/>
  <c r="M29" i="50"/>
  <c r="P29" i="50" s="1"/>
  <c r="M26" i="50"/>
  <c r="P26" i="50" s="1"/>
  <c r="Q19" i="49"/>
  <c r="Y27" i="49"/>
  <c r="Y35" i="49"/>
  <c r="Y43" i="49"/>
  <c r="M75" i="49"/>
  <c r="P75" i="49" s="1"/>
  <c r="Y70" i="49"/>
  <c r="Q17" i="49"/>
  <c r="Y39" i="49"/>
  <c r="N68" i="49"/>
  <c r="O69" i="49"/>
  <c r="AA70" i="49"/>
  <c r="O68" i="49"/>
  <c r="N75" i="49"/>
  <c r="Q75" i="49" s="1"/>
  <c r="N71" i="49"/>
  <c r="O67" i="49"/>
  <c r="O70" i="49"/>
  <c r="Q70" i="49"/>
  <c r="P43" i="49"/>
  <c r="M46" i="49"/>
  <c r="P46" i="49" s="1"/>
  <c r="Q14" i="49"/>
  <c r="M24" i="49"/>
  <c r="M26" i="49"/>
  <c r="P26" i="49" s="1"/>
  <c r="M34" i="49"/>
  <c r="P34" i="49" s="1"/>
  <c r="M38" i="49"/>
  <c r="M58" i="49"/>
  <c r="P58" i="49" s="1"/>
  <c r="M63" i="49"/>
  <c r="P63" i="49" s="1"/>
  <c r="M67" i="49"/>
  <c r="P67" i="49" s="1"/>
  <c r="M74" i="49"/>
  <c r="P74" i="49" s="1"/>
  <c r="M79" i="49"/>
  <c r="P79" i="49" s="1"/>
  <c r="Q79" i="49" s="1"/>
  <c r="M30" i="49"/>
  <c r="Y78" i="49"/>
  <c r="M51" i="49"/>
  <c r="P51" i="49" s="1"/>
  <c r="M57" i="49"/>
  <c r="M60" i="49"/>
  <c r="P60" i="49" s="1"/>
  <c r="M62" i="49"/>
  <c r="P62" i="49" s="1"/>
  <c r="M73" i="49"/>
  <c r="P73" i="49" s="1"/>
  <c r="M76" i="49"/>
  <c r="P76" i="49" s="1"/>
  <c r="Q76" i="49" s="1"/>
  <c r="M78" i="49"/>
  <c r="P78" i="49" s="1"/>
  <c r="Q78" i="49" s="1"/>
  <c r="M42" i="49"/>
  <c r="P42" i="49" s="1"/>
  <c r="Y75" i="49"/>
  <c r="Q13" i="49"/>
  <c r="R13" i="49" s="1"/>
  <c r="S13" i="49" s="1"/>
  <c r="Q15" i="49"/>
  <c r="M45" i="49"/>
  <c r="P45" i="49" s="1"/>
  <c r="M48" i="49"/>
  <c r="M59" i="49"/>
  <c r="P59" i="49" s="1"/>
  <c r="M66" i="49"/>
  <c r="M71" i="49"/>
  <c r="N73" i="49"/>
  <c r="M32" i="50"/>
  <c r="P32" i="50" s="1"/>
  <c r="M40" i="50"/>
  <c r="P40" i="50" s="1"/>
  <c r="Q40" i="50" s="1"/>
  <c r="M27" i="50"/>
  <c r="P27" i="50" s="1"/>
  <c r="M35" i="50"/>
  <c r="P35" i="50" s="1"/>
  <c r="M43" i="50"/>
  <c r="P43" i="50" s="1"/>
  <c r="M30" i="50"/>
  <c r="P30" i="50" s="1"/>
  <c r="M38" i="50"/>
  <c r="P38" i="50" s="1"/>
  <c r="M46" i="50"/>
  <c r="P46" i="50" s="1"/>
  <c r="M25" i="49"/>
  <c r="P25" i="49" s="1"/>
  <c r="M28" i="49"/>
  <c r="P28" i="49" s="1"/>
  <c r="M31" i="49"/>
  <c r="P31" i="49" s="1"/>
  <c r="M33" i="49"/>
  <c r="P33" i="49" s="1"/>
  <c r="M41" i="49"/>
  <c r="P41" i="49" s="1"/>
  <c r="M36" i="49"/>
  <c r="P36" i="49" s="1"/>
  <c r="M49" i="49"/>
  <c r="P49" i="49" s="1"/>
  <c r="M44" i="49"/>
  <c r="P44" i="49" s="1"/>
  <c r="M52" i="49"/>
  <c r="P52" i="49" s="1"/>
  <c r="M54" i="49"/>
  <c r="P54" i="49" s="1"/>
  <c r="M56" i="49"/>
  <c r="P56" i="49" s="1"/>
  <c r="M61" i="49"/>
  <c r="P61" i="49" s="1"/>
  <c r="M69" i="49"/>
  <c r="P69" i="49" s="1"/>
  <c r="N74" i="49"/>
  <c r="M77" i="49"/>
  <c r="P77" i="49" s="1"/>
  <c r="M39" i="49"/>
  <c r="P39" i="49" s="1"/>
  <c r="M47" i="49"/>
  <c r="P47" i="49" s="1"/>
  <c r="M64" i="49"/>
  <c r="P64" i="49" s="1"/>
  <c r="M72" i="49"/>
  <c r="P72" i="49" s="1"/>
  <c r="Q72" i="49" s="1"/>
  <c r="N77" i="49"/>
  <c r="Y45" i="49"/>
  <c r="M29" i="49"/>
  <c r="P29" i="49" s="1"/>
  <c r="M37" i="49"/>
  <c r="P37" i="49" s="1"/>
  <c r="Y63" i="49"/>
  <c r="Y71" i="49"/>
  <c r="X79" i="49"/>
  <c r="Y79" i="49" s="1"/>
  <c r="J21" i="55" l="1"/>
  <c r="J22" i="55"/>
  <c r="I23" i="55"/>
  <c r="Q29" i="50"/>
  <c r="R13" i="50"/>
  <c r="S13" i="50" s="1"/>
  <c r="Q46" i="50"/>
  <c r="Q45" i="50"/>
  <c r="Q42" i="50"/>
  <c r="Q41" i="50"/>
  <c r="Q38" i="50"/>
  <c r="R15" i="50"/>
  <c r="S15" i="50" s="1"/>
  <c r="R16" i="50"/>
  <c r="S16" i="50" s="1"/>
  <c r="R14" i="50"/>
  <c r="S14" i="50" s="1"/>
  <c r="Q31" i="50"/>
  <c r="Q36" i="50"/>
  <c r="Q39" i="50"/>
  <c r="R20" i="50"/>
  <c r="S20" i="50" s="1"/>
  <c r="Q44" i="50"/>
  <c r="R17" i="50"/>
  <c r="S17" i="50" s="1"/>
  <c r="Q47" i="50"/>
  <c r="Q30" i="50"/>
  <c r="R19" i="50"/>
  <c r="S19" i="50" s="1"/>
  <c r="Q27" i="50"/>
  <c r="Q43" i="50"/>
  <c r="R18" i="50"/>
  <c r="S18" i="50" s="1"/>
  <c r="Q37" i="50"/>
  <c r="Q33" i="50"/>
  <c r="Q28" i="50"/>
  <c r="Q35" i="50"/>
  <c r="Q34" i="50"/>
  <c r="Q32" i="50"/>
  <c r="Q26" i="50"/>
  <c r="I4" i="50" s="1"/>
  <c r="R25" i="50"/>
  <c r="S25" i="50" s="1"/>
  <c r="Y37" i="49"/>
  <c r="Y33" i="49"/>
  <c r="Y54" i="49"/>
  <c r="Y25" i="49"/>
  <c r="Y41" i="49"/>
  <c r="Y74" i="49"/>
  <c r="Y56" i="49"/>
  <c r="Q74" i="49"/>
  <c r="Y36" i="49"/>
  <c r="Y28" i="49"/>
  <c r="Y31" i="49"/>
  <c r="P57" i="49"/>
  <c r="Y57" i="49"/>
  <c r="Y59" i="49"/>
  <c r="Y61" i="49"/>
  <c r="Q71" i="49"/>
  <c r="P38" i="49"/>
  <c r="Y38" i="49"/>
  <c r="Y29" i="49"/>
  <c r="Y67" i="49"/>
  <c r="Y51" i="49"/>
  <c r="Y46" i="49"/>
  <c r="P66" i="49"/>
  <c r="Y66" i="49"/>
  <c r="Y69" i="49"/>
  <c r="Y47" i="49"/>
  <c r="P30" i="49"/>
  <c r="Y30" i="49"/>
  <c r="Y62" i="49"/>
  <c r="Y42" i="49"/>
  <c r="P48" i="49"/>
  <c r="Y48" i="49"/>
  <c r="P24" i="49"/>
  <c r="Y24" i="49"/>
  <c r="Y49" i="49"/>
  <c r="Y58" i="49"/>
  <c r="Y34" i="49"/>
  <c r="Q73" i="49"/>
  <c r="Y60" i="49"/>
  <c r="Y44" i="49"/>
  <c r="Y52" i="49"/>
  <c r="Y26" i="49"/>
  <c r="Q68" i="49"/>
  <c r="C66" i="49"/>
  <c r="R14" i="49"/>
  <c r="S14" i="49" s="1"/>
  <c r="R18" i="49"/>
  <c r="S18" i="49" s="1"/>
  <c r="Y76" i="49"/>
  <c r="Y73" i="49"/>
  <c r="R19" i="49"/>
  <c r="S19" i="49" s="1"/>
  <c r="R16" i="49"/>
  <c r="S16" i="49" s="1"/>
  <c r="R20" i="49"/>
  <c r="R15" i="49"/>
  <c r="S15" i="49" s="1"/>
  <c r="Q77" i="49"/>
  <c r="R17" i="49"/>
  <c r="S17" i="49" s="1"/>
  <c r="Y77" i="49"/>
  <c r="Q69" i="49"/>
  <c r="Y72" i="49"/>
  <c r="J23" i="55" l="1"/>
  <c r="I24" i="55"/>
  <c r="R29" i="50"/>
  <c r="S29" i="50" s="1"/>
  <c r="R27" i="50"/>
  <c r="S27" i="50" s="1"/>
  <c r="R28" i="50"/>
  <c r="S28" i="50" s="1"/>
  <c r="R26" i="50"/>
  <c r="S26" i="50" s="1"/>
  <c r="O66" i="49"/>
  <c r="N67" i="49"/>
  <c r="C65" i="49"/>
  <c r="Q67" i="49"/>
  <c r="J24" i="55" l="1"/>
  <c r="I4" i="55" s="1"/>
  <c r="I5" i="55" s="1"/>
  <c r="O65" i="49"/>
  <c r="N66" i="49"/>
  <c r="N65" i="49"/>
  <c r="O64" i="49"/>
  <c r="Q66" i="49"/>
  <c r="C63" i="49" l="1"/>
  <c r="Q65" i="49"/>
  <c r="N63" i="49" l="1"/>
  <c r="N64" i="49"/>
  <c r="O62" i="49"/>
  <c r="AA63" i="49"/>
  <c r="O63" i="49"/>
  <c r="Q64" i="49"/>
  <c r="C61" i="49" l="1"/>
  <c r="Q63" i="49"/>
  <c r="N61" i="49" l="1"/>
  <c r="N62" i="49"/>
  <c r="O60" i="49"/>
  <c r="O61" i="49"/>
  <c r="Q62" i="49"/>
  <c r="C59" i="49" l="1"/>
  <c r="Q61" i="49"/>
  <c r="O59" i="49" l="1"/>
  <c r="N60" i="49"/>
  <c r="C58" i="49"/>
  <c r="Q60" i="49"/>
  <c r="O57" i="49" l="1"/>
  <c r="O58" i="49"/>
  <c r="N58" i="49"/>
  <c r="N59" i="49"/>
  <c r="Q59" i="49" s="1"/>
  <c r="C56" i="49" l="1"/>
  <c r="Q58" i="49"/>
  <c r="N57" i="49" l="1"/>
  <c r="Q57" i="49" s="1"/>
  <c r="O56" i="49"/>
  <c r="C55" i="49"/>
  <c r="N55" i="49" l="1"/>
  <c r="N56" i="49"/>
  <c r="Q56" i="49" s="1"/>
  <c r="O54" i="49"/>
  <c r="O55" i="49"/>
  <c r="C53" i="49" l="1"/>
  <c r="Q55" i="49"/>
  <c r="N53" i="49" l="1"/>
  <c r="N54" i="49"/>
  <c r="O52" i="49"/>
  <c r="O53" i="49"/>
  <c r="Q54" i="49"/>
  <c r="C51" i="49" l="1"/>
  <c r="Q53" i="49"/>
  <c r="O51" i="49" l="1"/>
  <c r="N52" i="49"/>
  <c r="C50" i="49"/>
  <c r="Q52" i="49"/>
  <c r="O49" i="49" l="1"/>
  <c r="O50" i="49"/>
  <c r="N50" i="49"/>
  <c r="N51" i="49"/>
  <c r="Q51" i="49"/>
  <c r="C48" i="49" l="1"/>
  <c r="Q50" i="49"/>
  <c r="N48" i="49" l="1"/>
  <c r="N49" i="49"/>
  <c r="O47" i="49"/>
  <c r="O48" i="49"/>
  <c r="Q49" i="49"/>
  <c r="Q48" i="49" l="1"/>
  <c r="C46" i="49"/>
  <c r="N46" i="49" l="1"/>
  <c r="N47" i="49"/>
  <c r="O46" i="49"/>
  <c r="O45" i="49"/>
  <c r="Q47" i="49"/>
  <c r="C44" i="49" l="1"/>
  <c r="Q46" i="49"/>
  <c r="N45" i="49" l="1"/>
  <c r="O44" i="49"/>
  <c r="C43" i="49"/>
  <c r="Q45" i="49"/>
  <c r="O42" i="49" l="1"/>
  <c r="O43" i="49"/>
  <c r="N43" i="49"/>
  <c r="N44" i="49"/>
  <c r="Q44" i="49"/>
  <c r="C41" i="49" l="1"/>
  <c r="Q43" i="49"/>
  <c r="O41" i="49" l="1"/>
  <c r="N42" i="49"/>
  <c r="N41" i="49"/>
  <c r="AA41" i="49"/>
  <c r="O40" i="49"/>
  <c r="Q42" i="49"/>
  <c r="C39" i="49" l="1"/>
  <c r="Q41" i="49"/>
  <c r="N40" i="49" l="1"/>
  <c r="O39" i="49"/>
  <c r="C38" i="49"/>
  <c r="Q40" i="49"/>
  <c r="N38" i="49" l="1"/>
  <c r="N39" i="49"/>
  <c r="O37" i="49"/>
  <c r="O38" i="49"/>
  <c r="AA38" i="49"/>
  <c r="Q39" i="49"/>
  <c r="C36" i="49" l="1"/>
  <c r="Q38" i="49"/>
  <c r="N37" i="49" l="1"/>
  <c r="O35" i="49"/>
  <c r="O36" i="49"/>
  <c r="N36" i="49"/>
  <c r="Q37" i="49"/>
  <c r="C34" i="49" l="1"/>
  <c r="Q36" i="49"/>
  <c r="O33" i="49" l="1"/>
  <c r="O34" i="49"/>
  <c r="N34" i="49"/>
  <c r="N35" i="49"/>
  <c r="Q35" i="49" s="1"/>
  <c r="Q34" i="49" l="1"/>
  <c r="AA32" i="49" l="1"/>
  <c r="N32" i="49"/>
  <c r="N33" i="49"/>
  <c r="O31" i="49"/>
  <c r="O32" i="49"/>
  <c r="Q33" i="49"/>
  <c r="S38" i="49" l="1"/>
  <c r="S37" i="49"/>
  <c r="R33" i="49"/>
  <c r="S33" i="49" s="1"/>
  <c r="R34" i="49"/>
  <c r="S34" i="49" s="1"/>
  <c r="R35" i="49"/>
  <c r="S35" i="49" s="1"/>
  <c r="R36" i="49"/>
  <c r="S36" i="49" s="1"/>
  <c r="I2" i="49"/>
  <c r="C30" i="49"/>
  <c r="Q32" i="49"/>
  <c r="N30" i="49" l="1"/>
  <c r="O30" i="49"/>
  <c r="N31" i="49"/>
  <c r="Q31" i="49" s="1"/>
  <c r="S32" i="49" s="1"/>
  <c r="O29" i="49"/>
  <c r="C28" i="49" l="1"/>
  <c r="Q30" i="49"/>
  <c r="I46" i="4"/>
  <c r="G46" i="4"/>
  <c r="E46" i="4"/>
  <c r="G22" i="2"/>
  <c r="E22" i="2"/>
  <c r="D25" i="48"/>
  <c r="B56" i="48"/>
  <c r="B55" i="48"/>
  <c r="B53" i="48"/>
  <c r="B54" i="48" s="1"/>
  <c r="B52" i="48"/>
  <c r="N29" i="49" l="1"/>
  <c r="Q29" i="49" s="1"/>
  <c r="O28" i="49"/>
  <c r="N28" i="49"/>
  <c r="C26" i="49" l="1"/>
  <c r="Q28" i="49"/>
  <c r="O26" i="49" l="1"/>
  <c r="N27" i="49"/>
  <c r="Q27" i="49"/>
  <c r="N26" i="49" l="1"/>
  <c r="Q26" i="49" s="1"/>
  <c r="Q21" i="49" l="1"/>
  <c r="N25" i="49"/>
  <c r="Q25" i="49" s="1"/>
  <c r="O24" i="49"/>
  <c r="Q24" i="49" l="1"/>
  <c r="R21" i="49"/>
  <c r="R28" i="49" l="1"/>
  <c r="S28" i="49" s="1"/>
  <c r="R72" i="49"/>
  <c r="S72" i="49" s="1"/>
  <c r="R31" i="49"/>
  <c r="S31" i="49" s="1"/>
  <c r="R30" i="49"/>
  <c r="S30" i="49" s="1"/>
  <c r="R77" i="49"/>
  <c r="S77" i="49" s="1"/>
  <c r="R75" i="49"/>
  <c r="S75" i="49" s="1"/>
  <c r="R25" i="49"/>
  <c r="S25" i="49" s="1"/>
  <c r="R24" i="49"/>
  <c r="S24" i="49" s="1"/>
  <c r="R78" i="49"/>
  <c r="S78" i="49" s="1"/>
  <c r="R27" i="49"/>
  <c r="S27" i="49" s="1"/>
  <c r="R73" i="49"/>
  <c r="S73" i="49" s="1"/>
  <c r="R29" i="49"/>
  <c r="S29" i="49" s="1"/>
  <c r="R79" i="49"/>
  <c r="S79" i="49" s="1"/>
  <c r="R74" i="49"/>
  <c r="S74" i="49" s="1"/>
  <c r="R76" i="49"/>
  <c r="S76" i="49" s="1"/>
  <c r="R26" i="49"/>
  <c r="S26" i="49" s="1"/>
  <c r="J13" i="47" l="1"/>
  <c r="J14" i="47"/>
  <c r="J15" i="47"/>
  <c r="J16" i="47"/>
  <c r="J17" i="47"/>
  <c r="J18" i="47"/>
  <c r="J19" i="47"/>
  <c r="J20" i="47"/>
  <c r="J21" i="47"/>
  <c r="J22" i="47"/>
  <c r="J23" i="47"/>
  <c r="J24" i="47"/>
  <c r="J25" i="47"/>
  <c r="J26" i="47"/>
  <c r="J27" i="47"/>
  <c r="J12" i="47"/>
  <c r="I14" i="47"/>
  <c r="I15" i="47"/>
  <c r="I16" i="47"/>
  <c r="I17" i="47" s="1"/>
  <c r="I18" i="47" s="1"/>
  <c r="I19" i="47" s="1"/>
  <c r="I20" i="47" s="1"/>
  <c r="I21" i="47" s="1"/>
  <c r="I22" i="47" s="1"/>
  <c r="I23" i="47" s="1"/>
  <c r="I24" i="47" s="1"/>
  <c r="I25" i="47" s="1"/>
  <c r="I26" i="47" s="1"/>
  <c r="I27" i="47" s="1"/>
  <c r="I13" i="47"/>
  <c r="I12" i="47"/>
  <c r="H13" i="47"/>
  <c r="H14" i="47"/>
  <c r="H15" i="47"/>
  <c r="H16" i="47"/>
  <c r="H17" i="47"/>
  <c r="H18" i="47"/>
  <c r="H19" i="47"/>
  <c r="H20" i="47"/>
  <c r="H21" i="47"/>
  <c r="H22" i="47"/>
  <c r="H23" i="47"/>
  <c r="H24" i="47"/>
  <c r="H25" i="47"/>
  <c r="H26" i="47"/>
  <c r="H27" i="47"/>
  <c r="H12" i="47"/>
  <c r="G13" i="47"/>
  <c r="G14" i="47"/>
  <c r="G15" i="47"/>
  <c r="G16" i="47"/>
  <c r="G17" i="47"/>
  <c r="G18" i="47"/>
  <c r="G19" i="47"/>
  <c r="G20" i="47"/>
  <c r="G21" i="47"/>
  <c r="G22" i="47"/>
  <c r="G23" i="47"/>
  <c r="G24" i="47"/>
  <c r="G25" i="47"/>
  <c r="G26" i="47"/>
  <c r="G27" i="47"/>
  <c r="G12" i="47"/>
  <c r="E14" i="47"/>
  <c r="E15" i="47"/>
  <c r="E16" i="47"/>
  <c r="E17" i="47"/>
  <c r="E18" i="47"/>
  <c r="E19" i="47"/>
  <c r="E20" i="47"/>
  <c r="E21" i="47"/>
  <c r="E22" i="47"/>
  <c r="E23" i="47"/>
  <c r="E24" i="47"/>
  <c r="E25" i="47"/>
  <c r="E26" i="47"/>
  <c r="E27" i="47"/>
  <c r="E13" i="47"/>
  <c r="F13" i="47"/>
  <c r="F14" i="47"/>
  <c r="F15" i="47"/>
  <c r="F16" i="47"/>
  <c r="F17" i="47"/>
  <c r="F18" i="47"/>
  <c r="F19" i="47"/>
  <c r="F20" i="47"/>
  <c r="F21" i="47"/>
  <c r="F22" i="47"/>
  <c r="F23" i="47"/>
  <c r="F24" i="47"/>
  <c r="F25" i="47"/>
  <c r="F26" i="47"/>
  <c r="F12" i="47"/>
  <c r="M32" i="47"/>
  <c r="M31" i="47"/>
  <c r="M29" i="47"/>
  <c r="M30" i="47" s="1"/>
  <c r="M28" i="47"/>
  <c r="I3" i="47" s="1"/>
  <c r="N16" i="37"/>
  <c r="O29" i="38"/>
  <c r="O18" i="38"/>
  <c r="O19" i="38"/>
  <c r="O20" i="38"/>
  <c r="N20" i="38"/>
  <c r="P20" i="38"/>
  <c r="Q20" i="38" s="1"/>
  <c r="N21" i="38"/>
  <c r="P21" i="38"/>
  <c r="G33" i="4"/>
  <c r="L33" i="4" s="1"/>
  <c r="G44" i="3"/>
  <c r="E44" i="3"/>
  <c r="G34" i="3"/>
  <c r="L34" i="3" s="1"/>
  <c r="N31" i="37"/>
  <c r="M22" i="37"/>
  <c r="M21" i="37"/>
  <c r="Q21" i="38" l="1"/>
  <c r="C48" i="3"/>
  <c r="G27" i="3"/>
  <c r="L27" i="3" s="1"/>
  <c r="K9" i="7"/>
  <c r="G11" i="7"/>
  <c r="P30" i="4"/>
  <c r="Q28" i="3" l="1"/>
  <c r="P24" i="3"/>
  <c r="Q17" i="6"/>
  <c r="P26" i="4"/>
  <c r="P21" i="3"/>
  <c r="F15" i="1"/>
  <c r="G14" i="1"/>
  <c r="E8" i="19"/>
  <c r="E7" i="19"/>
  <c r="E6" i="19"/>
  <c r="E5" i="19"/>
  <c r="E4" i="19"/>
  <c r="E3" i="19"/>
  <c r="E2" i="19"/>
  <c r="C22" i="7"/>
  <c r="J14" i="1"/>
  <c r="J12" i="1"/>
  <c r="P12" i="1" s="1"/>
  <c r="P6" i="6"/>
  <c r="S13" i="6"/>
  <c r="Q12" i="6"/>
  <c r="H16" i="1" l="1"/>
  <c r="O28" i="3"/>
  <c r="G32" i="4"/>
  <c r="G31" i="4"/>
  <c r="R33" i="4" s="1"/>
  <c r="J14" i="36"/>
  <c r="S14" i="36" s="1"/>
  <c r="C29" i="36" s="1"/>
  <c r="S7" i="36"/>
  <c r="F22" i="3"/>
  <c r="G22" i="3" s="1"/>
  <c r="F26" i="3"/>
  <c r="G26" i="3" s="1"/>
  <c r="F10" i="7"/>
  <c r="G10" i="7" s="1"/>
  <c r="F27" i="4"/>
  <c r="G27" i="4" s="1"/>
  <c r="G7" i="2"/>
  <c r="R27" i="3" l="1"/>
  <c r="C49" i="3" s="1"/>
  <c r="H28" i="4"/>
  <c r="Q15" i="36"/>
  <c r="F13" i="6" l="1"/>
  <c r="G17" i="6"/>
  <c r="G18" i="6"/>
  <c r="M9" i="7"/>
  <c r="L17" i="4"/>
  <c r="I9" i="7"/>
  <c r="G9" i="7"/>
  <c r="L9" i="7" s="1"/>
  <c r="G11" i="6"/>
  <c r="H13" i="6" s="1"/>
  <c r="G16" i="6"/>
  <c r="L16" i="6" s="1"/>
  <c r="I6" i="2"/>
  <c r="P6" i="2" s="1"/>
  <c r="F6" i="2"/>
  <c r="I14" i="1"/>
  <c r="Q16" i="1" s="1"/>
  <c r="I12" i="1"/>
  <c r="G12" i="1"/>
  <c r="P17" i="4"/>
  <c r="O18" i="4" s="1"/>
  <c r="C25" i="38"/>
  <c r="N19" i="38"/>
  <c r="F17" i="4"/>
  <c r="G26" i="4"/>
  <c r="L26" i="4" s="1"/>
  <c r="L27" i="4" s="1"/>
  <c r="H27" i="4" s="1"/>
  <c r="G30" i="4"/>
  <c r="L30" i="4" s="1"/>
  <c r="V35" i="38"/>
  <c r="V34" i="38"/>
  <c r="V32" i="38"/>
  <c r="V33" i="38" s="1"/>
  <c r="L29" i="38"/>
  <c r="G29" i="38"/>
  <c r="L28" i="38"/>
  <c r="G28" i="38"/>
  <c r="L27" i="38"/>
  <c r="G27" i="38"/>
  <c r="L26" i="38"/>
  <c r="G26" i="38"/>
  <c r="L25" i="38"/>
  <c r="G25" i="38"/>
  <c r="G24" i="38"/>
  <c r="P19" i="38"/>
  <c r="P18" i="38"/>
  <c r="N18" i="38"/>
  <c r="P17" i="38"/>
  <c r="O17" i="38"/>
  <c r="N17" i="38"/>
  <c r="P16" i="38"/>
  <c r="O16" i="38"/>
  <c r="N16" i="38"/>
  <c r="P15" i="38"/>
  <c r="O15" i="38"/>
  <c r="N15" i="38"/>
  <c r="P14" i="38"/>
  <c r="O14" i="38"/>
  <c r="N14" i="38"/>
  <c r="P13" i="38"/>
  <c r="O13" i="38"/>
  <c r="N13" i="38"/>
  <c r="P14" i="3"/>
  <c r="F14" i="3"/>
  <c r="G14" i="3" s="1"/>
  <c r="L14" i="3" s="1"/>
  <c r="M39" i="37"/>
  <c r="M40" i="37"/>
  <c r="M41" i="37" s="1"/>
  <c r="F25" i="3"/>
  <c r="G21" i="3"/>
  <c r="L21" i="3" s="1"/>
  <c r="R21" i="3" s="1"/>
  <c r="M43" i="37"/>
  <c r="M42" i="37"/>
  <c r="G39" i="37"/>
  <c r="E39" i="37"/>
  <c r="G38" i="37"/>
  <c r="F38" i="37"/>
  <c r="E38" i="37"/>
  <c r="G37" i="37"/>
  <c r="F37" i="37"/>
  <c r="E37" i="37"/>
  <c r="G36" i="37"/>
  <c r="F36" i="37"/>
  <c r="E36" i="37"/>
  <c r="G35" i="37"/>
  <c r="F35" i="37"/>
  <c r="E35" i="37"/>
  <c r="G34" i="37"/>
  <c r="F34" i="37"/>
  <c r="E34" i="37"/>
  <c r="G33" i="37"/>
  <c r="F33" i="37"/>
  <c r="E33" i="37"/>
  <c r="G32" i="37"/>
  <c r="F32" i="37"/>
  <c r="E32" i="37"/>
  <c r="G31" i="37"/>
  <c r="F31" i="37"/>
  <c r="E31" i="37"/>
  <c r="G30" i="37"/>
  <c r="F30" i="37"/>
  <c r="E30" i="37"/>
  <c r="G29" i="37"/>
  <c r="F29" i="37"/>
  <c r="E29" i="37"/>
  <c r="G28" i="37"/>
  <c r="F28" i="37"/>
  <c r="E28" i="37"/>
  <c r="G27" i="37"/>
  <c r="F27" i="37"/>
  <c r="E27" i="37"/>
  <c r="G26" i="37"/>
  <c r="F26" i="37"/>
  <c r="E26" i="37"/>
  <c r="G25" i="37"/>
  <c r="F25" i="37"/>
  <c r="E25" i="37"/>
  <c r="G24" i="37"/>
  <c r="F24" i="37"/>
  <c r="E24" i="37"/>
  <c r="G23" i="37"/>
  <c r="F23" i="37"/>
  <c r="E23" i="37"/>
  <c r="G22" i="37"/>
  <c r="F22" i="37"/>
  <c r="E22" i="37"/>
  <c r="G21" i="37"/>
  <c r="F21" i="37"/>
  <c r="E21" i="37"/>
  <c r="G20" i="37"/>
  <c r="F20" i="37"/>
  <c r="E20" i="37"/>
  <c r="G19" i="37"/>
  <c r="F19" i="37"/>
  <c r="E19" i="37"/>
  <c r="G18" i="37"/>
  <c r="F18" i="37"/>
  <c r="E18" i="37"/>
  <c r="G17" i="37"/>
  <c r="F17" i="37"/>
  <c r="E17" i="37"/>
  <c r="G16" i="37"/>
  <c r="F16" i="37"/>
  <c r="E16" i="37"/>
  <c r="G15" i="37"/>
  <c r="F15" i="37"/>
  <c r="E15" i="37"/>
  <c r="G14" i="37"/>
  <c r="F14" i="37"/>
  <c r="E14" i="37"/>
  <c r="G13" i="37"/>
  <c r="F13" i="37"/>
  <c r="E13" i="37"/>
  <c r="G24" i="3"/>
  <c r="L24" i="3" s="1"/>
  <c r="L26" i="3" s="1"/>
  <c r="H21" i="6" l="1"/>
  <c r="H19" i="6"/>
  <c r="L17" i="6"/>
  <c r="L12" i="1"/>
  <c r="Q26" i="3"/>
  <c r="F9" i="7"/>
  <c r="H9" i="7"/>
  <c r="P9" i="7"/>
  <c r="J9" i="7"/>
  <c r="P13" i="36"/>
  <c r="P14" i="1"/>
  <c r="O16" i="1" s="1"/>
  <c r="O28" i="38"/>
  <c r="C28" i="38"/>
  <c r="O27" i="38" s="1"/>
  <c r="N25" i="38"/>
  <c r="H26" i="4"/>
  <c r="R26" i="4" s="1"/>
  <c r="Q27" i="4"/>
  <c r="O27" i="4" s="1"/>
  <c r="Q32" i="4"/>
  <c r="O32" i="4" s="1"/>
  <c r="L22" i="3"/>
  <c r="Q22" i="3" s="1"/>
  <c r="L6" i="2"/>
  <c r="H17" i="6"/>
  <c r="H12" i="6"/>
  <c r="L11" i="6"/>
  <c r="Q17" i="38"/>
  <c r="M26" i="38"/>
  <c r="P26" i="38" s="1"/>
  <c r="Q13" i="38"/>
  <c r="N29" i="38"/>
  <c r="F7" i="19"/>
  <c r="N27" i="38"/>
  <c r="N28" i="38"/>
  <c r="M27" i="38"/>
  <c r="P27" i="38" s="1"/>
  <c r="N26" i="38"/>
  <c r="Q19" i="38"/>
  <c r="Q16" i="38"/>
  <c r="Q14" i="38"/>
  <c r="M24" i="38"/>
  <c r="P24" i="38" s="1"/>
  <c r="Q15" i="38"/>
  <c r="Q18" i="38"/>
  <c r="M29" i="38"/>
  <c r="P29" i="38" s="1"/>
  <c r="M25" i="38"/>
  <c r="P25" i="38" s="1"/>
  <c r="O25" i="38"/>
  <c r="O26" i="38"/>
  <c r="M28" i="38"/>
  <c r="P28" i="38" s="1"/>
  <c r="H26" i="37"/>
  <c r="H38" i="37"/>
  <c r="H20" i="37"/>
  <c r="H30" i="37"/>
  <c r="H14" i="37"/>
  <c r="H22" i="37"/>
  <c r="H16" i="37"/>
  <c r="H18" i="37"/>
  <c r="H31" i="37"/>
  <c r="H34" i="37"/>
  <c r="H35" i="37"/>
  <c r="H13" i="37"/>
  <c r="I13" i="37" s="1"/>
  <c r="J13" i="37" s="1"/>
  <c r="H19" i="37"/>
  <c r="H29" i="37"/>
  <c r="H32" i="37"/>
  <c r="H27" i="37"/>
  <c r="H37" i="37"/>
  <c r="H15" i="37"/>
  <c r="H25" i="37"/>
  <c r="H28" i="37"/>
  <c r="H39" i="37"/>
  <c r="H17" i="37"/>
  <c r="H23" i="37"/>
  <c r="H33" i="37"/>
  <c r="H36" i="37"/>
  <c r="H21" i="37"/>
  <c r="H24" i="37"/>
  <c r="H7" i="2" l="1"/>
  <c r="Q7" i="2"/>
  <c r="O7" i="2" s="1"/>
  <c r="L10" i="7"/>
  <c r="F6" i="19"/>
  <c r="R18" i="38"/>
  <c r="S18" i="38" s="1"/>
  <c r="R21" i="38"/>
  <c r="S21" i="38" s="1"/>
  <c r="R20" i="38"/>
  <c r="S20" i="38" s="1"/>
  <c r="R14" i="38"/>
  <c r="S14" i="38" s="1"/>
  <c r="R13" i="38"/>
  <c r="S13" i="38" s="1"/>
  <c r="Q28" i="38"/>
  <c r="Q27" i="38"/>
  <c r="Q29" i="38"/>
  <c r="Q26" i="38"/>
  <c r="Q24" i="38"/>
  <c r="Q25" i="38"/>
  <c r="R19" i="38"/>
  <c r="S19" i="38" s="1"/>
  <c r="R15" i="38"/>
  <c r="S15" i="38" s="1"/>
  <c r="R17" i="38"/>
  <c r="S17" i="38" s="1"/>
  <c r="R16" i="38"/>
  <c r="S16" i="38" s="1"/>
  <c r="I25" i="37"/>
  <c r="J25" i="37" s="1"/>
  <c r="I15" i="37"/>
  <c r="J15" i="37" s="1"/>
  <c r="I16" i="37"/>
  <c r="J16" i="37" s="1"/>
  <c r="I14" i="37"/>
  <c r="J14" i="37" s="1"/>
  <c r="I26" i="37"/>
  <c r="J26" i="37" s="1"/>
  <c r="I35" i="37"/>
  <c r="J35" i="37" s="1"/>
  <c r="I39" i="37"/>
  <c r="J39" i="37" s="1"/>
  <c r="I4" i="37" s="1"/>
  <c r="I18" i="37"/>
  <c r="J18" i="37" s="1"/>
  <c r="I29" i="37"/>
  <c r="J29" i="37" s="1"/>
  <c r="I20" i="37"/>
  <c r="J20" i="37" s="1"/>
  <c r="I24" i="37"/>
  <c r="J24" i="37" s="1"/>
  <c r="I22" i="37"/>
  <c r="J22" i="37" s="1"/>
  <c r="I30" i="37"/>
  <c r="J30" i="37" s="1"/>
  <c r="I37" i="37"/>
  <c r="J37" i="37" s="1"/>
  <c r="I28" i="37"/>
  <c r="J28" i="37" s="1"/>
  <c r="I19" i="37"/>
  <c r="J19" i="37" s="1"/>
  <c r="I33" i="37"/>
  <c r="J33" i="37" s="1"/>
  <c r="I34" i="37"/>
  <c r="J34" i="37" s="1"/>
  <c r="I38" i="37"/>
  <c r="J38" i="37" s="1"/>
  <c r="I32" i="37"/>
  <c r="J32" i="37" s="1"/>
  <c r="I23" i="37"/>
  <c r="J23" i="37" s="1"/>
  <c r="I36" i="37"/>
  <c r="J36" i="37" s="1"/>
  <c r="I27" i="37"/>
  <c r="J27" i="37" s="1"/>
  <c r="I17" i="37"/>
  <c r="J17" i="37" s="1"/>
  <c r="I31" i="37"/>
  <c r="J31" i="37" s="1"/>
  <c r="I21" i="37"/>
  <c r="J21" i="37" s="1"/>
  <c r="H10" i="7" l="1"/>
  <c r="Q10" i="7" s="1"/>
  <c r="R24" i="38"/>
  <c r="S24" i="38" s="1"/>
  <c r="R29" i="38"/>
  <c r="R25" i="38"/>
  <c r="S25" i="38" s="1"/>
  <c r="R28" i="38"/>
  <c r="S28" i="38" s="1"/>
  <c r="R27" i="38"/>
  <c r="S27" i="38" s="1"/>
  <c r="R26" i="38"/>
  <c r="S26" i="38" s="1"/>
  <c r="S29" i="38" l="1"/>
  <c r="C8" i="19" l="1"/>
  <c r="C7" i="19"/>
  <c r="C6" i="19"/>
  <c r="C5" i="19"/>
  <c r="C4" i="19"/>
  <c r="C3" i="19"/>
  <c r="D2" i="19"/>
  <c r="C2" i="19"/>
  <c r="P23" i="4"/>
  <c r="Q24" i="4"/>
  <c r="I6" i="19"/>
  <c r="G6" i="19"/>
  <c r="Q10" i="6"/>
  <c r="Q8" i="6"/>
  <c r="I10" i="1"/>
  <c r="F11" i="1"/>
  <c r="G11" i="1" s="1"/>
  <c r="H11" i="1" s="1"/>
  <c r="G10" i="1"/>
  <c r="F7" i="1"/>
  <c r="E7" i="1"/>
  <c r="F8" i="7"/>
  <c r="F7" i="7"/>
  <c r="Q20" i="3"/>
  <c r="G13" i="3"/>
  <c r="R14" i="3" s="1"/>
  <c r="G10" i="36"/>
  <c r="F10" i="36" s="1"/>
  <c r="F9" i="36"/>
  <c r="G8" i="6"/>
  <c r="L8" i="6" s="1"/>
  <c r="S7" i="6"/>
  <c r="F9" i="6"/>
  <c r="G9" i="6" s="1"/>
  <c r="L9" i="6" s="1"/>
  <c r="R12" i="1" l="1"/>
  <c r="Q13" i="3"/>
  <c r="O24" i="4"/>
  <c r="H9" i="6"/>
  <c r="G10" i="6"/>
  <c r="L10" i="1"/>
  <c r="P10" i="1"/>
  <c r="G7" i="1"/>
  <c r="J7" i="7"/>
  <c r="F20" i="3"/>
  <c r="F19" i="3"/>
  <c r="L11" i="1" l="1"/>
  <c r="Q11" i="1" s="1"/>
  <c r="O11" i="1" s="1"/>
  <c r="Q7" i="7"/>
  <c r="R9" i="7" s="1"/>
  <c r="L7" i="7"/>
  <c r="F10" i="6"/>
  <c r="H11" i="6"/>
  <c r="H6" i="19" l="1"/>
  <c r="R11" i="6"/>
  <c r="I15" i="4"/>
  <c r="F16" i="4"/>
  <c r="G15" i="4"/>
  <c r="F25" i="4"/>
  <c r="F24" i="4"/>
  <c r="G24" i="4" s="1"/>
  <c r="P6" i="1"/>
  <c r="L15" i="4" l="1"/>
  <c r="L24" i="4"/>
  <c r="G6" i="1" l="1"/>
  <c r="L6" i="1" s="1"/>
  <c r="Q7" i="1" l="1"/>
  <c r="P18" i="3"/>
  <c r="O19" i="3" l="1"/>
  <c r="O7" i="1"/>
  <c r="G18" i="3"/>
  <c r="L18" i="3" s="1"/>
  <c r="P6" i="36" l="1"/>
  <c r="H7" i="19"/>
  <c r="I8" i="19"/>
  <c r="H8" i="19"/>
  <c r="G8" i="19"/>
  <c r="F8" i="19"/>
  <c r="Q8" i="36"/>
  <c r="F8" i="6"/>
  <c r="P16" i="3"/>
  <c r="L16" i="3"/>
  <c r="Q17" i="3" s="1"/>
  <c r="S22" i="4"/>
  <c r="Q22" i="4"/>
  <c r="G22" i="4"/>
  <c r="H24" i="4" s="1"/>
  <c r="P20" i="4"/>
  <c r="F21" i="4"/>
  <c r="F7" i="6"/>
  <c r="F17" i="3"/>
  <c r="G5" i="1"/>
  <c r="R6" i="1" s="1"/>
  <c r="I2" i="19"/>
  <c r="D8" i="19"/>
  <c r="D6" i="19"/>
  <c r="D5" i="19"/>
  <c r="D4" i="19"/>
  <c r="D3" i="19"/>
  <c r="D7" i="19"/>
  <c r="P13" i="4"/>
  <c r="G14" i="36"/>
  <c r="G15" i="36" s="1"/>
  <c r="G13" i="36"/>
  <c r="L13" i="36" s="1"/>
  <c r="L15" i="36" s="1"/>
  <c r="G11" i="36"/>
  <c r="G7" i="36"/>
  <c r="G8" i="36" s="1"/>
  <c r="H9" i="36" s="1"/>
  <c r="G6" i="36"/>
  <c r="O8" i="6"/>
  <c r="G6" i="6"/>
  <c r="L6" i="6" s="1"/>
  <c r="K4" i="1"/>
  <c r="P11" i="3"/>
  <c r="L11" i="3"/>
  <c r="I4" i="1"/>
  <c r="P4" i="1" s="1"/>
  <c r="G4" i="1"/>
  <c r="P6" i="7"/>
  <c r="G6" i="7"/>
  <c r="L6" i="7" s="1"/>
  <c r="Q6" i="7" s="1"/>
  <c r="G20" i="4"/>
  <c r="L20" i="4" s="1"/>
  <c r="H17" i="36" l="1"/>
  <c r="L17" i="36"/>
  <c r="L4" i="1"/>
  <c r="Q5" i="1" s="1"/>
  <c r="O5" i="1" s="1"/>
  <c r="F15" i="36"/>
  <c r="I15" i="36"/>
  <c r="O8" i="36"/>
  <c r="O17" i="3"/>
  <c r="F8" i="36"/>
  <c r="I9" i="36"/>
  <c r="Q9" i="36" s="1"/>
  <c r="O22" i="4"/>
  <c r="Q12" i="3"/>
  <c r="O12" i="3" s="1"/>
  <c r="F22" i="4"/>
  <c r="G13" i="4" l="1"/>
  <c r="G16" i="3"/>
  <c r="F11" i="4"/>
  <c r="F10" i="4"/>
  <c r="P9" i="4"/>
  <c r="G9" i="3"/>
  <c r="L13" i="4" l="1"/>
  <c r="R13" i="4" s="1"/>
  <c r="H13" i="4"/>
  <c r="S9" i="3"/>
  <c r="F10" i="3"/>
  <c r="G10" i="3" s="1"/>
  <c r="R11" i="3" s="1"/>
  <c r="Q10" i="3" l="1"/>
  <c r="O10" i="3" s="1"/>
  <c r="S10" i="4" l="1"/>
  <c r="Q11" i="4"/>
  <c r="O10" i="4" l="1"/>
  <c r="F5" i="19" l="1"/>
  <c r="I3" i="19" l="1"/>
  <c r="I7" i="19" l="1"/>
  <c r="I4" i="19" l="1"/>
  <c r="I5" i="19"/>
  <c r="G7" i="19"/>
  <c r="H5" i="19" l="1"/>
  <c r="G5" i="19" l="1"/>
  <c r="G3" i="19" l="1"/>
  <c r="H4" i="19"/>
  <c r="H2" i="19"/>
  <c r="G2" i="19" l="1"/>
  <c r="G4" i="19"/>
  <c r="F4" i="19" l="1"/>
  <c r="F2" i="19" l="1"/>
  <c r="F3" i="19" l="1"/>
  <c r="H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00000000-0006-0000-0100-000001000000}">
      <text>
        <r>
          <rPr>
            <b/>
            <sz val="9"/>
            <color indexed="81"/>
            <rFont val="Tahoma"/>
            <family val="2"/>
          </rPr>
          <t>cmcneil:</t>
        </r>
        <r>
          <rPr>
            <sz val="9"/>
            <color indexed="81"/>
            <rFont val="Tahoma"/>
            <family val="2"/>
          </rPr>
          <t xml:space="preserve">
Date of site visit</t>
        </r>
      </text>
    </comment>
    <comment ref="B4" authorId="0" shapeId="0" xr:uid="{00000000-0006-0000-01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100-000003000000}">
      <text>
        <r>
          <rPr>
            <b/>
            <sz val="9"/>
            <color indexed="81"/>
            <rFont val="Tahoma"/>
            <family val="2"/>
          </rPr>
          <t>cmcneil:</t>
        </r>
        <r>
          <rPr>
            <sz val="9"/>
            <color indexed="81"/>
            <rFont val="Tahoma"/>
            <family val="2"/>
          </rPr>
          <t xml:space="preserve">
Name of the stake, eg. 17AU</t>
        </r>
      </text>
    </comment>
    <comment ref="D4" authorId="0" shapeId="0" xr:uid="{00000000-0006-0000-01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100-000005000000}">
      <text>
        <r>
          <rPr>
            <b/>
            <sz val="9"/>
            <color indexed="81"/>
            <rFont val="Tahoma"/>
            <family val="2"/>
          </rPr>
          <t>cmcneil:</t>
        </r>
        <r>
          <rPr>
            <sz val="9"/>
            <color indexed="81"/>
            <rFont val="Tahoma"/>
            <family val="2"/>
          </rPr>
          <t xml:space="preserve">
Total length of stake</t>
        </r>
      </text>
    </comment>
    <comment ref="F4" authorId="0" shapeId="0" xr:uid="{00000000-0006-0000-01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1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1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1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1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1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1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1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1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1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1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1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1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1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1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1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1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1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tc={EFFCE026-20D2-4A43-86DB-8814A669E6DB}</author>
    <author>Author</author>
  </authors>
  <commentList>
    <comment ref="H1" authorId="0" shapeId="0" xr:uid="{6C80A3A0-9FF9-48E6-906F-ADC676394141}">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0C37E1F4-BFF1-425E-81FE-16A19539A26A}">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5B7D1654-CAFD-4A5E-8313-490236974558}">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6B481BA1-B2C7-444A-BA06-E4C7A5233FD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I4" authorId="1" shapeId="0" xr:uid="{EFFCE026-20D2-4A43-86DB-8814A669E6DB}">
      <text>
        <t>[Threaded comment]
Your version of Excel allows you to read this threaded comment; however, any edits to it will get removed if the file is opened in a newer version of Excel. Learn more: https://go.microsoft.com/fwlink/?linkid=870924
Comment:
    From AB</t>
      </text>
    </comment>
    <comment ref="B5" authorId="2" shapeId="0" xr:uid="{8C428F1E-0101-4A6A-B06D-8BC5CC077B15}">
      <text>
        <r>
          <rPr>
            <sz val="8"/>
            <color indexed="81"/>
            <rFont val="Tahoma"/>
            <family val="2"/>
          </rPr>
          <t xml:space="preserve">Sipre coring auger=45.6cm2 
large tube 41.05 cm2       
small tube 25.6   cm2          
Snow Metrics 1000 cm^3
</t>
        </r>
      </text>
    </comment>
    <comment ref="A10" authorId="0" shapeId="0" xr:uid="{192AFC02-ED3C-41A7-BEAE-20C8F82AA4AD}">
      <text>
        <r>
          <rPr>
            <b/>
            <sz val="9"/>
            <color indexed="81"/>
            <rFont val="Tahoma"/>
            <family val="2"/>
          </rPr>
          <t>cmcneil:</t>
        </r>
        <r>
          <rPr>
            <sz val="9"/>
            <color indexed="81"/>
            <rFont val="Tahoma"/>
            <family val="2"/>
          </rPr>
          <t xml:space="preserve">
What was used to measure snow depth</t>
        </r>
      </text>
    </comment>
    <comment ref="B10" authorId="0" shapeId="0" xr:uid="{D88D9CD6-EAFB-455D-8EB4-1476C7B46F96}">
      <text>
        <r>
          <rPr>
            <b/>
            <sz val="9"/>
            <color indexed="81"/>
            <rFont val="Tahoma"/>
            <family val="2"/>
          </rPr>
          <t>cmcneil:</t>
        </r>
        <r>
          <rPr>
            <sz val="9"/>
            <color indexed="81"/>
            <rFont val="Tahoma"/>
            <family val="2"/>
          </rPr>
          <t xml:space="preserve">
snow depth observed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68D2DA8F-5129-4B7D-B562-3365C4BF8FF1}">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EB3D4157-3955-4D3E-8C35-5410E9AAFB50}">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A905624-39E1-4455-805C-9334724BEC6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FA3A643-AD66-40D4-A4DF-8C34A75C2811}">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B148E602-3B6E-4E55-A13C-1C48AE4C6BFD}">
      <text>
        <r>
          <rPr>
            <sz val="8"/>
            <color indexed="81"/>
            <rFont val="Tahoma"/>
            <family val="2"/>
          </rPr>
          <t xml:space="preserve">Sipre coring auger=45.6cm2 
large tube 41.05 cm2       
small tube 25.6   cm2          
Snow Metrics 1000 cm^3
</t>
        </r>
      </text>
    </comment>
    <comment ref="A10" authorId="0" shapeId="0" xr:uid="{AB9C2C02-9E19-4128-9773-E85D78BE2EEE}">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624F252-1906-490F-B999-7FAFED7C350F}">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DB71FCBC-ACC3-4068-B923-E66A797E4EEF}">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3224658E-364F-496D-97CE-B03F68F0FFD4}">
      <text>
        <r>
          <rPr>
            <b/>
            <sz val="9"/>
            <color indexed="81"/>
            <rFont val="Tahoma"/>
            <family val="2"/>
          </rPr>
          <t>cmcneil:</t>
        </r>
        <r>
          <rPr>
            <sz val="9"/>
            <color indexed="81"/>
            <rFont val="Tahoma"/>
            <family val="2"/>
          </rPr>
          <t xml:space="preserve">
Volume of sample taken</t>
        </r>
      </text>
    </comment>
    <comment ref="E10" authorId="0" shapeId="0" xr:uid="{A964D9B6-167E-4461-9B6C-3B0A5568B4BB}">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E168ED2F-A3FE-42A0-9C0D-BFE5D6107A6C}">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8CEC838E-F378-4A7B-A1D3-CE1D5648C3EB}">
      <text>
        <r>
          <rPr>
            <b/>
            <sz val="9"/>
            <color indexed="81"/>
            <rFont val="Tahoma"/>
            <family val="2"/>
          </rPr>
          <t>cmcneil:</t>
        </r>
        <r>
          <rPr>
            <sz val="9"/>
            <color indexed="81"/>
            <rFont val="Tahoma"/>
            <family val="2"/>
          </rPr>
          <t xml:space="preserve">
Density of sample. Calculated from the mass/volume</t>
        </r>
      </text>
    </comment>
    <comment ref="H10" authorId="0" shapeId="0" xr:uid="{80513123-50E1-4144-A72C-677FB2DDE423}">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DAD978DA-91F8-47F4-83BE-D0E92DE020F3}">
      <text>
        <r>
          <rPr>
            <b/>
            <sz val="9"/>
            <color indexed="81"/>
            <rFont val="Tahoma"/>
            <family val="2"/>
          </rPr>
          <t>cmcneil:</t>
        </r>
        <r>
          <rPr>
            <sz val="9"/>
            <color indexed="81"/>
            <rFont val="Tahoma"/>
            <family val="2"/>
          </rPr>
          <t xml:space="preserve">
Cummulative s.w.e. of from surface to the depth of each sample</t>
        </r>
      </text>
    </comment>
    <comment ref="J10" authorId="0" shapeId="0" xr:uid="{F6AE0044-7D1B-45C0-8478-AB59840D7269}">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E1D112CB-57A4-4B22-A023-96D5305E1739}">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EAEDC05F-51F1-4DDE-A96B-DBDE6EEAC0CC}">
      <text>
        <r>
          <rPr>
            <b/>
            <sz val="9"/>
            <color indexed="81"/>
            <rFont val="Tahoma"/>
            <family val="2"/>
          </rPr>
          <t>cmcneil:</t>
        </r>
        <r>
          <rPr>
            <sz val="9"/>
            <color indexed="81"/>
            <rFont val="Tahoma"/>
            <family val="2"/>
          </rPr>
          <t xml:space="preserve">
What was used to measure snow depth</t>
        </r>
      </text>
    </comment>
    <comment ref="M10" authorId="0" shapeId="0" xr:uid="{0FDAFE09-1846-45A3-A09A-C1C48195DE26}">
      <text>
        <r>
          <rPr>
            <b/>
            <sz val="9"/>
            <color indexed="81"/>
            <rFont val="Tahoma"/>
            <family val="2"/>
          </rPr>
          <t>cmcneil:</t>
        </r>
        <r>
          <rPr>
            <sz val="9"/>
            <color indexed="81"/>
            <rFont val="Tahoma"/>
            <family val="2"/>
          </rPr>
          <t xml:space="preserve">
snow depth observed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DCF708CA-2DD4-4055-BB13-9337348D0857}">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79B4BA3A-5452-4FC2-9511-BC85344AA70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C99C4FC-1F02-4E90-B498-13FC1D7FA71D}">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32A4F74-51C8-4407-A3E7-30FB7EA2291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2DC9B71-5FF1-45FD-B8A7-398059FC8CEE}">
      <text>
        <r>
          <rPr>
            <sz val="8"/>
            <color indexed="81"/>
            <rFont val="Tahoma"/>
            <family val="2"/>
          </rPr>
          <t xml:space="preserve">Sipre coring auger=45.6cm2 
large tube 41.05 cm2       
small tube 25.6   cm2          
Snow Metrics 1000 cm^3
</t>
        </r>
      </text>
    </comment>
    <comment ref="A10" authorId="0" shapeId="0" xr:uid="{1165237B-5D88-4EC6-9DCF-90A574BDDF9A}">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733AE4C6-F50A-4861-A9E5-5D6C4A6ECBF7}">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2C623AEF-F989-487A-8A16-D31D0105A8A3}">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39F7EC86-3B77-4901-BADF-3CF87E858A8B}">
      <text>
        <r>
          <rPr>
            <b/>
            <sz val="9"/>
            <color indexed="81"/>
            <rFont val="Tahoma"/>
            <family val="2"/>
          </rPr>
          <t>cmcneil:</t>
        </r>
        <r>
          <rPr>
            <sz val="9"/>
            <color indexed="81"/>
            <rFont val="Tahoma"/>
            <family val="2"/>
          </rPr>
          <t xml:space="preserve">
Volume of sample taken</t>
        </r>
      </text>
    </comment>
    <comment ref="E10" authorId="0" shapeId="0" xr:uid="{16434EEB-F27C-4350-BA4A-B35C67CADACA}">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2E744ACB-C025-4120-9382-46B3D3D08EC4}">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AC513AAA-2776-4765-A064-7286CC5F398F}">
      <text>
        <r>
          <rPr>
            <b/>
            <sz val="9"/>
            <color indexed="81"/>
            <rFont val="Tahoma"/>
            <family val="2"/>
          </rPr>
          <t>cmcneil:</t>
        </r>
        <r>
          <rPr>
            <sz val="9"/>
            <color indexed="81"/>
            <rFont val="Tahoma"/>
            <family val="2"/>
          </rPr>
          <t xml:space="preserve">
Density of sample. Calculated from the mass/volume</t>
        </r>
      </text>
    </comment>
    <comment ref="H10" authorId="0" shapeId="0" xr:uid="{923C3D15-8DFF-47E7-AAB3-D812EECB56DE}">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59DD509D-79B0-4113-802B-A7556ADB5A32}">
      <text>
        <r>
          <rPr>
            <b/>
            <sz val="9"/>
            <color indexed="81"/>
            <rFont val="Tahoma"/>
            <family val="2"/>
          </rPr>
          <t>cmcneil:</t>
        </r>
        <r>
          <rPr>
            <sz val="9"/>
            <color indexed="81"/>
            <rFont val="Tahoma"/>
            <family val="2"/>
          </rPr>
          <t xml:space="preserve">
Cummulative s.w.e. of from surface to the depth of each sample</t>
        </r>
      </text>
    </comment>
    <comment ref="J10" authorId="0" shapeId="0" xr:uid="{2E8E90B8-0574-43E7-8D1D-DBFA9EA7C3CE}">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AE11AD41-1456-42AC-8DF4-F0100B8EFA7C}">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35C4C076-A877-425D-A45E-618EB7BD5492}">
      <text>
        <r>
          <rPr>
            <b/>
            <sz val="9"/>
            <color indexed="81"/>
            <rFont val="Tahoma"/>
            <family val="2"/>
          </rPr>
          <t>cmcneil:</t>
        </r>
        <r>
          <rPr>
            <sz val="9"/>
            <color indexed="81"/>
            <rFont val="Tahoma"/>
            <family val="2"/>
          </rPr>
          <t xml:space="preserve">
What was used to measure snow depth</t>
        </r>
      </text>
    </comment>
    <comment ref="M10" authorId="0" shapeId="0" xr:uid="{7EE87549-5FC5-4007-B663-1579EEF9E775}">
      <text>
        <r>
          <rPr>
            <b/>
            <sz val="9"/>
            <color indexed="81"/>
            <rFont val="Tahoma"/>
            <family val="2"/>
          </rPr>
          <t>cmcneil:</t>
        </r>
        <r>
          <rPr>
            <sz val="9"/>
            <color indexed="81"/>
            <rFont val="Tahoma"/>
            <family val="2"/>
          </rPr>
          <t xml:space="preserve">
snow depth observed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7C863EF5-2885-4BE0-A663-24A4439576C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C7525D4D-ED1D-4B1D-AF0A-5191A764C3A9}">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2B4FAC9F-9957-4172-AAFA-CA29C5A1E8A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ABAE34D8-F892-4CF7-8C9F-C80297AB25A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6B3AEEBF-998E-4BAD-973B-E394CD31310B}">
      <text>
        <r>
          <rPr>
            <sz val="8"/>
            <color indexed="81"/>
            <rFont val="Tahoma"/>
            <family val="2"/>
          </rPr>
          <t xml:space="preserve">Sipre coring auger=45.6cm2 
large tube 41.05 cm2       
small tube 25.6   cm2          
Snow Metrics 1000 cm^3
</t>
        </r>
      </text>
    </comment>
    <comment ref="D9" authorId="0" shapeId="0" xr:uid="{156A8CC9-83C3-425F-85AF-08F9DA0C979C}">
      <text>
        <r>
          <rPr>
            <b/>
            <sz val="9"/>
            <color indexed="81"/>
            <rFont val="Tahoma"/>
            <family val="2"/>
          </rPr>
          <t>cmcneil:</t>
        </r>
        <r>
          <rPr>
            <sz val="9"/>
            <color indexed="81"/>
            <rFont val="Tahoma"/>
            <family val="2"/>
          </rPr>
          <t xml:space="preserve">
Measurements of core lengths.</t>
        </r>
      </text>
    </comment>
    <comment ref="H9" authorId="0" shapeId="0" xr:uid="{7B51C86C-E638-4762-9152-D662FB505E69}">
      <text>
        <r>
          <rPr>
            <b/>
            <sz val="9"/>
            <color indexed="81"/>
            <rFont val="Tahoma"/>
            <family val="2"/>
          </rPr>
          <t>cmcneil:</t>
        </r>
        <r>
          <rPr>
            <sz val="9"/>
            <color indexed="81"/>
            <rFont val="Tahoma"/>
            <family val="2"/>
          </rPr>
          <t xml:space="preserve">
Measurements of core diameter</t>
        </r>
      </text>
    </comment>
    <comment ref="A10" authorId="0" shapeId="0" xr:uid="{DB55417F-7D07-4B3D-AA0B-BD0E69C90463}">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F07036EA-B3EB-42EF-B8E0-B279F579A23F}">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FBD7A349-8A34-47A4-B92F-6381F3F5999F}">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C900F31B-6F76-428B-B6A0-E39E545DD3FF}">
      <text>
        <r>
          <rPr>
            <b/>
            <sz val="9"/>
            <color indexed="81"/>
            <rFont val="Tahoma"/>
            <family val="2"/>
          </rPr>
          <t>cmcneil:</t>
        </r>
        <r>
          <rPr>
            <sz val="9"/>
            <color indexed="81"/>
            <rFont val="Tahoma"/>
            <family val="2"/>
          </rPr>
          <t xml:space="preserve">
Average of all measured lengths of core section</t>
        </r>
      </text>
    </comment>
    <comment ref="L10" authorId="0" shapeId="0" xr:uid="{4FB0ED83-59C3-4906-9C77-036C028ECF39}">
      <text>
        <r>
          <rPr>
            <b/>
            <sz val="9"/>
            <color indexed="81"/>
            <rFont val="Tahoma"/>
            <family val="2"/>
          </rPr>
          <t>cmcneil:</t>
        </r>
        <r>
          <rPr>
            <sz val="9"/>
            <color indexed="81"/>
            <rFont val="Tahoma"/>
            <family val="2"/>
          </rPr>
          <t xml:space="preserve">
Average of all diameters measured for each core section</t>
        </r>
      </text>
    </comment>
    <comment ref="M10" authorId="0" shapeId="0" xr:uid="{632D08D9-AE7B-4418-818E-54FBA23BF71C}">
      <text>
        <r>
          <rPr>
            <b/>
            <sz val="9"/>
            <color indexed="81"/>
            <rFont val="Tahoma"/>
            <family val="2"/>
          </rPr>
          <t>cmcneil:</t>
        </r>
        <r>
          <rPr>
            <sz val="9"/>
            <color indexed="81"/>
            <rFont val="Tahoma"/>
            <family val="2"/>
          </rPr>
          <t xml:space="preserve">
Volume of sample taken</t>
        </r>
      </text>
    </comment>
    <comment ref="N10" authorId="0" shapeId="0" xr:uid="{D0A2F17A-704B-412D-A53E-91254378FC1F}">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9CB98898-4271-4B93-9078-6C957A397A6C}">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0ED7CE5D-47CE-4203-83F5-67C71D94F3E2}">
      <text>
        <r>
          <rPr>
            <b/>
            <sz val="9"/>
            <color indexed="81"/>
            <rFont val="Tahoma"/>
            <family val="2"/>
          </rPr>
          <t>cmcneil:</t>
        </r>
        <r>
          <rPr>
            <sz val="9"/>
            <color indexed="81"/>
            <rFont val="Tahoma"/>
            <family val="2"/>
          </rPr>
          <t xml:space="preserve">
Density of sample. Calculated from the mass/volume</t>
        </r>
      </text>
    </comment>
    <comment ref="Q10" authorId="0" shapeId="0" xr:uid="{3C2BB018-5E64-4AB5-9EEA-17390EF39036}">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331120B6-EFEC-428B-A096-116EF4079A86}">
      <text>
        <r>
          <rPr>
            <b/>
            <sz val="9"/>
            <color indexed="81"/>
            <rFont val="Tahoma"/>
            <family val="2"/>
          </rPr>
          <t>cmcneil:</t>
        </r>
        <r>
          <rPr>
            <sz val="9"/>
            <color indexed="81"/>
            <rFont val="Tahoma"/>
            <family val="2"/>
          </rPr>
          <t xml:space="preserve">
Cummulative s.w.e. of from surface to the depth of each sample</t>
        </r>
      </text>
    </comment>
    <comment ref="S10" authorId="0" shapeId="0" xr:uid="{0A0D0EE7-0497-4796-97F7-386F06EBC46D}">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A9143841-7C38-4154-A46D-C1154853FAE4}">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D4557619-2BDF-4D34-BD37-3B721417111A}">
      <text>
        <r>
          <rPr>
            <b/>
            <sz val="9"/>
            <color indexed="81"/>
            <rFont val="Tahoma"/>
            <family val="2"/>
          </rPr>
          <t>cmcneil:</t>
        </r>
        <r>
          <rPr>
            <sz val="9"/>
            <color indexed="81"/>
            <rFont val="Tahoma"/>
            <family val="2"/>
          </rPr>
          <t xml:space="preserve">
What was used to measure snow depth</t>
        </r>
      </text>
    </comment>
    <comment ref="V10" authorId="0" shapeId="0" xr:uid="{F2F1F453-00FA-47F4-B03E-F01FBB0C835A}">
      <text>
        <r>
          <rPr>
            <b/>
            <sz val="9"/>
            <color indexed="81"/>
            <rFont val="Tahoma"/>
            <family val="2"/>
          </rPr>
          <t>cmcneil:</t>
        </r>
        <r>
          <rPr>
            <sz val="9"/>
            <color indexed="81"/>
            <rFont val="Tahoma"/>
            <family val="2"/>
          </rPr>
          <t xml:space="preserve">
snow depth observed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5021A458-81EC-433E-9C78-2E39108A5AE1}">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I1" authorId="0" shapeId="0" xr:uid="{1077CBA9-6CAB-481E-B608-1C7AC82DC375}">
      <text>
        <r>
          <rPr>
            <b/>
            <sz val="9"/>
            <color indexed="81"/>
            <rFont val="Tahoma"/>
            <family val="2"/>
          </rPr>
          <t>cmcneil:</t>
        </r>
        <r>
          <rPr>
            <sz val="9"/>
            <color indexed="81"/>
            <rFont val="Tahoma"/>
            <family val="2"/>
          </rPr>
          <t xml:space="preserve">
Do not enter value. Link it to the last core sample SBD</t>
        </r>
      </text>
    </comment>
    <comment ref="H2" authorId="0" shapeId="0" xr:uid="{8F2068E9-1392-4061-BC36-A3C747C1FFF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9FA3652C-F97B-476F-A720-006067E64B5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D86EDE0E-C88C-4040-A0FF-D45BF1793B83}">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9A62E913-B673-4FA2-8167-AFF56BC9F7D3}">
      <text>
        <r>
          <rPr>
            <sz val="8"/>
            <color indexed="81"/>
            <rFont val="Tahoma"/>
            <family val="2"/>
          </rPr>
          <t xml:space="preserve">Sipre coring auger=45.6cm2 
large tube 41.05 cm2       
small tube 25.6   cm2          
Snow Metrics 1000 cm^3
</t>
        </r>
      </text>
    </comment>
    <comment ref="D9" authorId="0" shapeId="0" xr:uid="{EA2C8B1E-92C6-43A3-9A41-DE8EE9D0C66D}">
      <text>
        <r>
          <rPr>
            <b/>
            <sz val="9"/>
            <color indexed="81"/>
            <rFont val="Tahoma"/>
            <family val="2"/>
          </rPr>
          <t>cmcneil:</t>
        </r>
        <r>
          <rPr>
            <sz val="9"/>
            <color indexed="81"/>
            <rFont val="Tahoma"/>
            <family val="2"/>
          </rPr>
          <t xml:space="preserve">
Measurements of core lengths.</t>
        </r>
      </text>
    </comment>
    <comment ref="H9" authorId="0" shapeId="0" xr:uid="{0DE86281-7B92-41B4-9F4D-CBF6338D07D4}">
      <text>
        <r>
          <rPr>
            <b/>
            <sz val="9"/>
            <color indexed="81"/>
            <rFont val="Tahoma"/>
            <family val="2"/>
          </rPr>
          <t>cmcneil:</t>
        </r>
        <r>
          <rPr>
            <sz val="9"/>
            <color indexed="81"/>
            <rFont val="Tahoma"/>
            <family val="2"/>
          </rPr>
          <t xml:space="preserve">
Measurements of core diameter</t>
        </r>
      </text>
    </comment>
    <comment ref="A10" authorId="0" shapeId="0" xr:uid="{1D16F045-5280-4590-B283-F73C0C7A3DDA}">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8E432431-E5BF-436B-A1CE-C3B95313E4F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ED2D7E74-98E1-4304-8FB8-2EFE60675C1F}">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A237D66E-72A1-46B2-A4B8-CED7FF094F87}">
      <text>
        <r>
          <rPr>
            <b/>
            <sz val="9"/>
            <color indexed="81"/>
            <rFont val="Tahoma"/>
            <family val="2"/>
          </rPr>
          <t>cmcneil:</t>
        </r>
        <r>
          <rPr>
            <sz val="9"/>
            <color indexed="81"/>
            <rFont val="Tahoma"/>
            <family val="2"/>
          </rPr>
          <t xml:space="preserve">
Average of all measured lengths of core section</t>
        </r>
      </text>
    </comment>
    <comment ref="L10" authorId="0" shapeId="0" xr:uid="{470E6B8E-60A1-4B5E-9958-A6FB24B2DD48}">
      <text>
        <r>
          <rPr>
            <b/>
            <sz val="9"/>
            <color indexed="81"/>
            <rFont val="Tahoma"/>
            <family val="2"/>
          </rPr>
          <t>cmcneil:</t>
        </r>
        <r>
          <rPr>
            <sz val="9"/>
            <color indexed="81"/>
            <rFont val="Tahoma"/>
            <family val="2"/>
          </rPr>
          <t xml:space="preserve">
Average of all diameters measured for each core section</t>
        </r>
      </text>
    </comment>
    <comment ref="M10" authorId="0" shapeId="0" xr:uid="{83C7DEBE-BF3E-4BD8-869C-A4572E2FBE7C}">
      <text>
        <r>
          <rPr>
            <b/>
            <sz val="9"/>
            <color indexed="81"/>
            <rFont val="Tahoma"/>
            <family val="2"/>
          </rPr>
          <t>cmcneil:</t>
        </r>
        <r>
          <rPr>
            <sz val="9"/>
            <color indexed="81"/>
            <rFont val="Tahoma"/>
            <family val="2"/>
          </rPr>
          <t xml:space="preserve">
Volume of sample taken</t>
        </r>
      </text>
    </comment>
    <comment ref="N10" authorId="0" shapeId="0" xr:uid="{EA171470-AB3E-4567-AD48-2E9362965036}">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EAD854B4-31B2-4937-86F4-4A07B62BB44D}">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361D1237-82A8-4974-B104-71B25E9D30C2}">
      <text>
        <r>
          <rPr>
            <b/>
            <sz val="9"/>
            <color indexed="81"/>
            <rFont val="Tahoma"/>
            <family val="2"/>
          </rPr>
          <t>cmcneil:</t>
        </r>
        <r>
          <rPr>
            <sz val="9"/>
            <color indexed="81"/>
            <rFont val="Tahoma"/>
            <family val="2"/>
          </rPr>
          <t xml:space="preserve">
Density of sample. Calculated from the mass/volume</t>
        </r>
      </text>
    </comment>
    <comment ref="Q10" authorId="0" shapeId="0" xr:uid="{CF6D4E09-1AB3-4128-ADE0-9C5C63EC1041}">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8C12C5FE-3759-431C-AEAF-36D1A2384C16}">
      <text>
        <r>
          <rPr>
            <b/>
            <sz val="9"/>
            <color indexed="81"/>
            <rFont val="Tahoma"/>
            <family val="2"/>
          </rPr>
          <t>cmcneil:</t>
        </r>
        <r>
          <rPr>
            <sz val="9"/>
            <color indexed="81"/>
            <rFont val="Tahoma"/>
            <family val="2"/>
          </rPr>
          <t xml:space="preserve">
Cummulative s.w.e. of from surface to the depth of each sample</t>
        </r>
      </text>
    </comment>
    <comment ref="S10" authorId="0" shapeId="0" xr:uid="{E84FE8B7-2CC3-4771-B273-4C52E320631C}">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0E66B345-DFE1-4554-A40B-777A59DA1B00}">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U10" authorId="0" shapeId="0" xr:uid="{8F68DB8C-E60E-49F4-9A42-6A13FC362DB9}">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V10" authorId="0" shapeId="0" xr:uid="{E2CBA32B-794C-4774-BA1A-A5AF50E2D93D}">
      <text>
        <r>
          <rPr>
            <b/>
            <sz val="9"/>
            <color indexed="81"/>
            <rFont val="Tahoma"/>
            <family val="2"/>
          </rPr>
          <t>cmcneil:</t>
        </r>
        <r>
          <rPr>
            <sz val="9"/>
            <color indexed="81"/>
            <rFont val="Tahoma"/>
            <family val="2"/>
          </rPr>
          <t xml:space="preserve">
height of observed annual layer from bottom of core section</t>
        </r>
      </text>
    </comment>
    <comment ref="W10" authorId="0" shapeId="0" xr:uid="{0B786A41-F5E6-4BA5-86EA-678412B83C25}">
      <text>
        <r>
          <rPr>
            <b/>
            <sz val="9"/>
            <color indexed="81"/>
            <rFont val="Tahoma"/>
            <family val="2"/>
          </rPr>
          <t>cmcneil:</t>
        </r>
        <r>
          <rPr>
            <sz val="9"/>
            <color indexed="81"/>
            <rFont val="Tahoma"/>
            <family val="2"/>
          </rPr>
          <t xml:space="preserve">
Depth of annual layer from surface. Calculated by subracting height from SBD(column x) from SBD (column C)</t>
        </r>
      </text>
    </comment>
    <comment ref="X10" authorId="0" shapeId="0" xr:uid="{F3D19F5C-F20B-40B5-B297-B429B6AAF6AC}">
      <text>
        <r>
          <rPr>
            <b/>
            <sz val="9"/>
            <color indexed="81"/>
            <rFont val="Tahoma"/>
            <family val="2"/>
          </rPr>
          <t>cmcneil:</t>
        </r>
        <r>
          <rPr>
            <sz val="9"/>
            <color indexed="81"/>
            <rFont val="Tahoma"/>
            <family val="2"/>
          </rPr>
          <t xml:space="preserve">
Any observation about a given sample. Cutting dog bites, dirty layers, ice lenses, etc...</t>
        </r>
      </text>
    </comment>
    <comment ref="Y10" authorId="0" shapeId="0" xr:uid="{22FE5912-AABA-46AB-B490-62F432DB15AD}">
      <text>
        <r>
          <rPr>
            <b/>
            <sz val="9"/>
            <color indexed="81"/>
            <rFont val="Tahoma"/>
            <family val="2"/>
          </rPr>
          <t>cmcneil:</t>
        </r>
        <r>
          <rPr>
            <sz val="9"/>
            <color indexed="81"/>
            <rFont val="Tahoma"/>
            <family val="2"/>
          </rPr>
          <t xml:space="preserve">
What was used to measure snow depth</t>
        </r>
      </text>
    </comment>
    <comment ref="Z10" authorId="0" shapeId="0" xr:uid="{25487EB1-3F56-4C0D-98E0-10727255D6A7}">
      <text>
        <r>
          <rPr>
            <b/>
            <sz val="9"/>
            <color indexed="81"/>
            <rFont val="Tahoma"/>
            <family val="2"/>
          </rPr>
          <t>cmcneil:</t>
        </r>
        <r>
          <rPr>
            <sz val="9"/>
            <color indexed="81"/>
            <rFont val="Tahoma"/>
            <family val="2"/>
          </rPr>
          <t xml:space="preserve">
snow depth observed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14EC3E1A-1934-48DC-A3AC-3F709476E27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I1" authorId="0" shapeId="0" xr:uid="{D42A5FA9-FD53-4286-8AE5-3F0D7907A579}">
      <text>
        <r>
          <rPr>
            <b/>
            <sz val="9"/>
            <color indexed="81"/>
            <rFont val="Tahoma"/>
            <family val="2"/>
          </rPr>
          <t>cmcneil:</t>
        </r>
        <r>
          <rPr>
            <sz val="9"/>
            <color indexed="81"/>
            <rFont val="Tahoma"/>
            <family val="2"/>
          </rPr>
          <t xml:space="preserve">
Do not enter value. Link it to the last core sample SBD</t>
        </r>
      </text>
    </comment>
    <comment ref="H2" authorId="0" shapeId="0" xr:uid="{E2EBA043-51D2-4144-A68F-1FD30E008C84}">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139AF92C-5691-4125-8609-7B37391489E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FF9965C-1AF0-4C97-B177-E96EB9E5778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BFF896CD-7EB5-4DDE-9B3E-159B3551B46C}">
      <text>
        <r>
          <rPr>
            <sz val="8"/>
            <color indexed="81"/>
            <rFont val="Tahoma"/>
            <family val="2"/>
          </rPr>
          <t xml:space="preserve">Sipre coring auger=45.6cm2 
large tube 41.05 cm2       
small tube 25.6   cm2          
Snow Metrics 1000 cm^3
</t>
        </r>
      </text>
    </comment>
    <comment ref="D9" authorId="0" shapeId="0" xr:uid="{6122CC3F-0C72-4614-85DF-467AE41D9AB7}">
      <text>
        <r>
          <rPr>
            <b/>
            <sz val="9"/>
            <color indexed="81"/>
            <rFont val="Tahoma"/>
            <family val="2"/>
          </rPr>
          <t>cmcneil:</t>
        </r>
        <r>
          <rPr>
            <sz val="9"/>
            <color indexed="81"/>
            <rFont val="Tahoma"/>
            <family val="2"/>
          </rPr>
          <t xml:space="preserve">
Measurements of core lengths.</t>
        </r>
      </text>
    </comment>
    <comment ref="H9" authorId="0" shapeId="0" xr:uid="{C238F8B0-BCC5-4F3A-B31D-CCD70DA42519}">
      <text>
        <r>
          <rPr>
            <b/>
            <sz val="9"/>
            <color indexed="81"/>
            <rFont val="Tahoma"/>
            <family val="2"/>
          </rPr>
          <t>cmcneil:</t>
        </r>
        <r>
          <rPr>
            <sz val="9"/>
            <color indexed="81"/>
            <rFont val="Tahoma"/>
            <family val="2"/>
          </rPr>
          <t xml:space="preserve">
Measurements of core diameter</t>
        </r>
      </text>
    </comment>
    <comment ref="A10" authorId="0" shapeId="0" xr:uid="{E7F969BC-82CA-4D29-9788-E08539596C3A}">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D75048DB-D878-44BA-80E5-48DA195D9B73}">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227A1DF-E480-461A-9E9F-543497AB55DC}">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655A20F6-90D1-40DF-8498-E5C504438804}">
      <text>
        <r>
          <rPr>
            <b/>
            <sz val="9"/>
            <color indexed="81"/>
            <rFont val="Tahoma"/>
            <family val="2"/>
          </rPr>
          <t>cmcneil:</t>
        </r>
        <r>
          <rPr>
            <sz val="9"/>
            <color indexed="81"/>
            <rFont val="Tahoma"/>
            <family val="2"/>
          </rPr>
          <t xml:space="preserve">
Average of all measured lengths of core section</t>
        </r>
      </text>
    </comment>
    <comment ref="L10" authorId="0" shapeId="0" xr:uid="{2EBC04D2-A47B-4F50-AA55-E6527C6CD6A2}">
      <text>
        <r>
          <rPr>
            <b/>
            <sz val="9"/>
            <color indexed="81"/>
            <rFont val="Tahoma"/>
            <family val="2"/>
          </rPr>
          <t>cmcneil:</t>
        </r>
        <r>
          <rPr>
            <sz val="9"/>
            <color indexed="81"/>
            <rFont val="Tahoma"/>
            <family val="2"/>
          </rPr>
          <t xml:space="preserve">
Average of all diameters measured for each core section</t>
        </r>
      </text>
    </comment>
    <comment ref="M10" authorId="0" shapeId="0" xr:uid="{DA1A78EE-79E2-41AB-8AA8-756D157E139C}">
      <text>
        <r>
          <rPr>
            <b/>
            <sz val="9"/>
            <color indexed="81"/>
            <rFont val="Tahoma"/>
            <family val="2"/>
          </rPr>
          <t>cmcneil:</t>
        </r>
        <r>
          <rPr>
            <sz val="9"/>
            <color indexed="81"/>
            <rFont val="Tahoma"/>
            <family val="2"/>
          </rPr>
          <t xml:space="preserve">
Volume of sample taken</t>
        </r>
      </text>
    </comment>
    <comment ref="N10" authorId="0" shapeId="0" xr:uid="{CD84AF82-2903-4720-97C4-6FFA67FBCCFD}">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CCDD959B-37DE-4731-B469-006049FD9CB8}">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29C68757-08CF-4A84-AEBD-4323321C1576}">
      <text>
        <r>
          <rPr>
            <b/>
            <sz val="9"/>
            <color indexed="81"/>
            <rFont val="Tahoma"/>
            <family val="2"/>
          </rPr>
          <t>cmcneil:</t>
        </r>
        <r>
          <rPr>
            <sz val="9"/>
            <color indexed="81"/>
            <rFont val="Tahoma"/>
            <family val="2"/>
          </rPr>
          <t xml:space="preserve">
Density of sample. Calculated from the mass/volume</t>
        </r>
      </text>
    </comment>
    <comment ref="Q10" authorId="0" shapeId="0" xr:uid="{A7671FD2-1D22-4AEB-A22D-791FEBD5C8D3}">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726A4987-29EF-48EF-9B17-166CC07BB015}">
      <text>
        <r>
          <rPr>
            <b/>
            <sz val="9"/>
            <color indexed="81"/>
            <rFont val="Tahoma"/>
            <family val="2"/>
          </rPr>
          <t>cmcneil:</t>
        </r>
        <r>
          <rPr>
            <sz val="9"/>
            <color indexed="81"/>
            <rFont val="Tahoma"/>
            <family val="2"/>
          </rPr>
          <t xml:space="preserve">
Cummulative s.w.e. of from surface to the depth of each sample</t>
        </r>
      </text>
    </comment>
    <comment ref="S10" authorId="0" shapeId="0" xr:uid="{B125C76A-9026-4CD8-889F-89C7E558CF65}">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1F2D0AEF-367F-401C-910E-104913E5C497}">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U10" authorId="0" shapeId="0" xr:uid="{D08D0FCD-BCC7-484D-833D-1DA88A1911A1}">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X10" authorId="0" shapeId="0" xr:uid="{174B5292-D63A-43C0-8830-0790014A414E}">
      <text>
        <r>
          <rPr>
            <b/>
            <sz val="9"/>
            <color indexed="81"/>
            <rFont val="Tahoma"/>
            <family val="2"/>
          </rPr>
          <t>cmcneil:</t>
        </r>
        <r>
          <rPr>
            <sz val="9"/>
            <color indexed="81"/>
            <rFont val="Tahoma"/>
            <family val="2"/>
          </rPr>
          <t xml:space="preserve">
Volume of ice in core</t>
        </r>
      </text>
    </comment>
    <comment ref="Y10" authorId="0" shapeId="0" xr:uid="{EEA63D3D-478A-45C3-8A59-9106ED388A3D}">
      <text>
        <r>
          <rPr>
            <b/>
            <sz val="9"/>
            <color indexed="81"/>
            <rFont val="Tahoma"/>
            <family val="2"/>
          </rPr>
          <t>cmcneil:</t>
        </r>
        <r>
          <rPr>
            <sz val="9"/>
            <color indexed="81"/>
            <rFont val="Tahoma"/>
            <family val="2"/>
          </rPr>
          <t xml:space="preserve">
estimated density of core without ice</t>
        </r>
      </text>
    </comment>
    <comment ref="Z10" authorId="0" shapeId="0" xr:uid="{FCFF1B90-9888-4984-AA41-A5C9C9EE1826}">
      <text>
        <r>
          <rPr>
            <b/>
            <sz val="9"/>
            <color indexed="81"/>
            <rFont val="Tahoma"/>
            <family val="2"/>
          </rPr>
          <t>cmcneil:</t>
        </r>
        <r>
          <rPr>
            <sz val="9"/>
            <color indexed="81"/>
            <rFont val="Tahoma"/>
            <family val="2"/>
          </rPr>
          <t xml:space="preserve">
height of observed annual layer from bottom of core section</t>
        </r>
      </text>
    </comment>
    <comment ref="AA10" authorId="0" shapeId="0" xr:uid="{46AD96E4-1163-478F-BA52-462B21A8D627}">
      <text>
        <r>
          <rPr>
            <b/>
            <sz val="9"/>
            <color indexed="81"/>
            <rFont val="Tahoma"/>
            <family val="2"/>
          </rPr>
          <t>cmcneil:</t>
        </r>
        <r>
          <rPr>
            <sz val="9"/>
            <color indexed="81"/>
            <rFont val="Tahoma"/>
            <family val="2"/>
          </rPr>
          <t xml:space="preserve">
Depth of annual layer from surface. Calculated by subracting height from SBD(column x) from SBD (column C)</t>
        </r>
      </text>
    </comment>
    <comment ref="AB10" authorId="0" shapeId="0" xr:uid="{D15A6B04-3195-4D8C-98DB-3FDDD6330E80}">
      <text>
        <r>
          <rPr>
            <b/>
            <sz val="9"/>
            <color indexed="81"/>
            <rFont val="Tahoma"/>
            <family val="2"/>
          </rPr>
          <t>cmcneil:</t>
        </r>
        <r>
          <rPr>
            <sz val="9"/>
            <color indexed="81"/>
            <rFont val="Tahoma"/>
            <family val="2"/>
          </rPr>
          <t xml:space="preserve">
Any observation about a given sample. Cutting dog bites, dirty layers, ice lenses, etc...</t>
        </r>
      </text>
    </comment>
    <comment ref="AC10" authorId="0" shapeId="0" xr:uid="{788809BC-7A5E-4DC9-B6EE-A50054A2FD55}">
      <text>
        <r>
          <rPr>
            <b/>
            <sz val="9"/>
            <color indexed="81"/>
            <rFont val="Tahoma"/>
            <family val="2"/>
          </rPr>
          <t>cmcneil:</t>
        </r>
        <r>
          <rPr>
            <sz val="9"/>
            <color indexed="81"/>
            <rFont val="Tahoma"/>
            <family val="2"/>
          </rPr>
          <t xml:space="preserve">
What was used to measure snow depth</t>
        </r>
      </text>
    </comment>
    <comment ref="AD10" authorId="0" shapeId="0" xr:uid="{ED5CA9F0-3717-4506-8992-9AA21F5C5F4F}">
      <text>
        <r>
          <rPr>
            <b/>
            <sz val="9"/>
            <color indexed="81"/>
            <rFont val="Tahoma"/>
            <family val="2"/>
          </rPr>
          <t>cmcneil:</t>
        </r>
        <r>
          <rPr>
            <sz val="9"/>
            <color indexed="81"/>
            <rFont val="Tahoma"/>
            <family val="2"/>
          </rPr>
          <t xml:space="preserve">
snow depth observed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B5DFF2FC-6AB8-4426-B4A6-018638BBE57A}">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FDCE6811-0B23-48ED-ABDB-A5F79EE81CC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345E61F3-018D-48BF-A99B-292D07A95811}">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363C5654-F455-467D-8AB6-03110045DA8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E47835A8-0F14-4613-A3D8-03855D70BFF7}">
      <text>
        <r>
          <rPr>
            <sz val="8"/>
            <color indexed="81"/>
            <rFont val="Tahoma"/>
            <family val="2"/>
          </rPr>
          <t xml:space="preserve">Sipre coring auger=45.6cm2 
large tube 41.05 cm2       
small tube 25.6   cm2          
Snow Metrics 1000 cm^3
</t>
        </r>
      </text>
    </comment>
    <comment ref="A10" authorId="0" shapeId="0" xr:uid="{91C0CC36-3E4F-4B0C-8144-8ABC824CB754}">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8C648573-8676-4657-9F92-0D60481828A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9C8D4F54-7252-4FA7-B812-CA0924F3B7C4}">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C777F9B5-CDFC-40D0-8647-1283A6367B98}">
      <text>
        <r>
          <rPr>
            <b/>
            <sz val="9"/>
            <color indexed="81"/>
            <rFont val="Tahoma"/>
            <family val="2"/>
          </rPr>
          <t>cmcneil:</t>
        </r>
        <r>
          <rPr>
            <sz val="9"/>
            <color indexed="81"/>
            <rFont val="Tahoma"/>
            <family val="2"/>
          </rPr>
          <t xml:space="preserve">
Volume of sample taken</t>
        </r>
      </text>
    </comment>
    <comment ref="E10" authorId="0" shapeId="0" xr:uid="{C669C0D9-1277-4656-9C4A-EAE4F4737B8E}">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798CF14E-DCE8-423B-B585-0BB69A35DFA9}">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1995F389-F053-4DA0-94FE-215750AD02F7}">
      <text>
        <r>
          <rPr>
            <b/>
            <sz val="9"/>
            <color indexed="81"/>
            <rFont val="Tahoma"/>
            <family val="2"/>
          </rPr>
          <t>cmcneil:</t>
        </r>
        <r>
          <rPr>
            <sz val="9"/>
            <color indexed="81"/>
            <rFont val="Tahoma"/>
            <family val="2"/>
          </rPr>
          <t xml:space="preserve">
Density of sample. Calculated from the mass/volume</t>
        </r>
      </text>
    </comment>
    <comment ref="H10" authorId="0" shapeId="0" xr:uid="{EF287F39-C3F4-4F4B-B55A-BFF2A9C681DA}">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15565238-CA99-4F4A-AE36-2456BC63D7D8}">
      <text>
        <r>
          <rPr>
            <b/>
            <sz val="9"/>
            <color indexed="81"/>
            <rFont val="Tahoma"/>
            <family val="2"/>
          </rPr>
          <t>cmcneil:</t>
        </r>
        <r>
          <rPr>
            <sz val="9"/>
            <color indexed="81"/>
            <rFont val="Tahoma"/>
            <family val="2"/>
          </rPr>
          <t xml:space="preserve">
Cummulative s.w.e. of from surface to the depth of each sample</t>
        </r>
      </text>
    </comment>
    <comment ref="J10" authorId="0" shapeId="0" xr:uid="{E957B2D4-691C-45D8-8FCB-C90A7EA7BE9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BF631A96-9FF6-4637-A049-5AB135D18534}">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7295CB0C-D0A8-4344-9606-5B85A2164756}">
      <text>
        <r>
          <rPr>
            <b/>
            <sz val="9"/>
            <color indexed="81"/>
            <rFont val="Tahoma"/>
            <family val="2"/>
          </rPr>
          <t>cmcneil:</t>
        </r>
        <r>
          <rPr>
            <sz val="9"/>
            <color indexed="81"/>
            <rFont val="Tahoma"/>
            <family val="2"/>
          </rPr>
          <t xml:space="preserve">
What was used to measure snow depth</t>
        </r>
      </text>
    </comment>
    <comment ref="M10" authorId="0" shapeId="0" xr:uid="{5CE950F5-62E1-4461-94CA-BA7DFF856CE3}">
      <text>
        <r>
          <rPr>
            <b/>
            <sz val="9"/>
            <color indexed="81"/>
            <rFont val="Tahoma"/>
            <family val="2"/>
          </rPr>
          <t>cmcneil:</t>
        </r>
        <r>
          <rPr>
            <sz val="9"/>
            <color indexed="81"/>
            <rFont val="Tahoma"/>
            <family val="2"/>
          </rPr>
          <t xml:space="preserve">
snow depth observed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7A6CE310-316E-4AA6-94DA-D73E097087FF}">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E3DCC395-5ABB-4585-BC43-0ED0958B097E}">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BA607922-B4D2-4084-B56A-3174A1E74ED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CA7D0700-36E4-4311-9D5E-6A618EE126CF}">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2449D9DC-DF23-45D2-AA78-EDFFB44F742B}">
      <text>
        <r>
          <rPr>
            <sz val="8"/>
            <color indexed="81"/>
            <rFont val="Tahoma"/>
            <family val="2"/>
          </rPr>
          <t xml:space="preserve">Sipre coring auger=45.6cm2 
large tube 41.05 cm2       
small tube 25.6   cm2          
Snow Metrics 1000 cm^3
</t>
        </r>
      </text>
    </comment>
    <comment ref="A10" authorId="0" shapeId="0" xr:uid="{2C4FC775-F149-4350-BD1D-05C219049922}">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C1521EEE-742B-4193-8C34-39B0570241E9}">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42E2525A-9B85-49EF-9AAC-D050AFCD95DA}">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6A8FE8A7-5187-4E8D-9FB4-357904D656A1}">
      <text>
        <r>
          <rPr>
            <b/>
            <sz val="9"/>
            <color indexed="81"/>
            <rFont val="Tahoma"/>
            <family val="2"/>
          </rPr>
          <t>cmcneil:</t>
        </r>
        <r>
          <rPr>
            <sz val="9"/>
            <color indexed="81"/>
            <rFont val="Tahoma"/>
            <family val="2"/>
          </rPr>
          <t xml:space="preserve">
Volume of sample taken</t>
        </r>
      </text>
    </comment>
    <comment ref="E10" authorId="0" shapeId="0" xr:uid="{A86D5FC8-9B5C-4A7B-AE8C-0917CA74E593}">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7471696D-6694-4FCE-BC5F-6F505D466BA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CCEC5C08-4AB1-45C6-BB61-E27CFDB9FB98}">
      <text>
        <r>
          <rPr>
            <b/>
            <sz val="9"/>
            <color indexed="81"/>
            <rFont val="Tahoma"/>
            <family val="2"/>
          </rPr>
          <t>cmcneil:</t>
        </r>
        <r>
          <rPr>
            <sz val="9"/>
            <color indexed="81"/>
            <rFont val="Tahoma"/>
            <family val="2"/>
          </rPr>
          <t xml:space="preserve">
Density of sample. Calculated from the mass/volume</t>
        </r>
      </text>
    </comment>
    <comment ref="H10" authorId="0" shapeId="0" xr:uid="{4F168BD2-9C4E-443D-8C25-BA79A3767E9F}">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FB9556B5-1202-447A-BA1C-B3CD5DAEED8B}">
      <text>
        <r>
          <rPr>
            <b/>
            <sz val="9"/>
            <color indexed="81"/>
            <rFont val="Tahoma"/>
            <family val="2"/>
          </rPr>
          <t>cmcneil:</t>
        </r>
        <r>
          <rPr>
            <sz val="9"/>
            <color indexed="81"/>
            <rFont val="Tahoma"/>
            <family val="2"/>
          </rPr>
          <t xml:space="preserve">
Cummulative s.w.e. of from surface to the depth of each sample</t>
        </r>
      </text>
    </comment>
    <comment ref="J10" authorId="0" shapeId="0" xr:uid="{935C175B-18C9-4287-81EF-A85CA8D68D05}">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EBA12ABB-B127-4DDB-8740-0FCC8DC551B9}">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7D6F1619-47BA-4381-A363-883FF0133761}">
      <text>
        <r>
          <rPr>
            <b/>
            <sz val="9"/>
            <color indexed="81"/>
            <rFont val="Tahoma"/>
            <family val="2"/>
          </rPr>
          <t>cmcneil:</t>
        </r>
        <r>
          <rPr>
            <sz val="9"/>
            <color indexed="81"/>
            <rFont val="Tahoma"/>
            <family val="2"/>
          </rPr>
          <t xml:space="preserve">
What was used to measure snow depth</t>
        </r>
      </text>
    </comment>
    <comment ref="M10" authorId="0" shapeId="0" xr:uid="{100BFDE4-9570-40FF-91C5-914B5E0C8E81}">
      <text>
        <r>
          <rPr>
            <b/>
            <sz val="9"/>
            <color indexed="81"/>
            <rFont val="Tahoma"/>
            <family val="2"/>
          </rPr>
          <t>cmcneil:</t>
        </r>
        <r>
          <rPr>
            <sz val="9"/>
            <color indexed="81"/>
            <rFont val="Tahoma"/>
            <family val="2"/>
          </rPr>
          <t xml:space="preserve">
snow depth observed</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4D42E507-6A2E-466D-8EBB-3E508B596C49}">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412C779D-9846-44D9-8CA1-CDDE6D6AD7A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F3FEA70E-2EE4-4B84-9618-2125AAB9084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50E3AE9-96B5-4881-9C8D-27A2A7870EF2}">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1A380A27-3BE1-47E9-8F7C-DF0442876021}">
      <text>
        <r>
          <rPr>
            <sz val="8"/>
            <color indexed="81"/>
            <rFont val="Tahoma"/>
            <family val="2"/>
          </rPr>
          <t xml:space="preserve">Sipre coring auger=45.6cm2 
large tube 41.05 cm2       
small tube 25.6   cm2          
Snow Metrics 1000 cm^3
</t>
        </r>
      </text>
    </comment>
    <comment ref="A10" authorId="0" shapeId="0" xr:uid="{C600E544-7B86-40BF-92CF-40A17C056304}">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7A9AC72D-F4D4-4861-8194-FE8226740EA5}">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753B1259-1C29-4FAF-BF1B-B5AD6CF51057}">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5D0610A2-E623-451E-B7B7-B19BDBEFD22A}">
      <text>
        <r>
          <rPr>
            <b/>
            <sz val="9"/>
            <color indexed="81"/>
            <rFont val="Tahoma"/>
            <family val="2"/>
          </rPr>
          <t>cmcneil:</t>
        </r>
        <r>
          <rPr>
            <sz val="9"/>
            <color indexed="81"/>
            <rFont val="Tahoma"/>
            <family val="2"/>
          </rPr>
          <t xml:space="preserve">
Volume of sample taken</t>
        </r>
      </text>
    </comment>
    <comment ref="E10" authorId="0" shapeId="0" xr:uid="{CE831DB0-E59C-41CC-9C97-D8C25801261A}">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125F8DC1-50F1-4211-8621-E779CA47BF48}">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DAFE57C1-6352-4542-B6DE-A9242F07FB64}">
      <text>
        <r>
          <rPr>
            <b/>
            <sz val="9"/>
            <color indexed="81"/>
            <rFont val="Tahoma"/>
            <family val="2"/>
          </rPr>
          <t>cmcneil:</t>
        </r>
        <r>
          <rPr>
            <sz val="9"/>
            <color indexed="81"/>
            <rFont val="Tahoma"/>
            <family val="2"/>
          </rPr>
          <t xml:space="preserve">
Density of sample. Calculated from the mass/volume</t>
        </r>
      </text>
    </comment>
    <comment ref="H10" authorId="0" shapeId="0" xr:uid="{17077F54-BD95-4691-BB74-89CD208CAEAC}">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CE6A425F-C91D-41AF-ACA2-10CD0FAB9C9A}">
      <text>
        <r>
          <rPr>
            <b/>
            <sz val="9"/>
            <color indexed="81"/>
            <rFont val="Tahoma"/>
            <family val="2"/>
          </rPr>
          <t>cmcneil:</t>
        </r>
        <r>
          <rPr>
            <sz val="9"/>
            <color indexed="81"/>
            <rFont val="Tahoma"/>
            <family val="2"/>
          </rPr>
          <t xml:space="preserve">
Cummulative s.w.e. of from surface to the depth of each sample</t>
        </r>
      </text>
    </comment>
    <comment ref="J10" authorId="0" shapeId="0" xr:uid="{9D446E7B-3381-4027-9263-8B794F15C4A4}">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42AFADA0-8ECA-4122-80A9-255B576215A9}">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6360BDBF-9DA1-413A-8590-4F1E77C9458F}">
      <text>
        <r>
          <rPr>
            <b/>
            <sz val="9"/>
            <color indexed="81"/>
            <rFont val="Tahoma"/>
            <family val="2"/>
          </rPr>
          <t>cmcneil:</t>
        </r>
        <r>
          <rPr>
            <sz val="9"/>
            <color indexed="81"/>
            <rFont val="Tahoma"/>
            <family val="2"/>
          </rPr>
          <t xml:space="preserve">
What was used to measure snow depth</t>
        </r>
      </text>
    </comment>
    <comment ref="M10" authorId="0" shapeId="0" xr:uid="{D90EE28C-D34F-4FB6-B4C4-8E697353163E}">
      <text>
        <r>
          <rPr>
            <b/>
            <sz val="9"/>
            <color indexed="81"/>
            <rFont val="Tahoma"/>
            <family val="2"/>
          </rPr>
          <t>cmcneil:</t>
        </r>
        <r>
          <rPr>
            <sz val="9"/>
            <color indexed="81"/>
            <rFont val="Tahoma"/>
            <family val="2"/>
          </rPr>
          <t xml:space="preserve">
snow depth observed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Baker, Emily Hewitt</author>
  </authors>
  <commentList>
    <comment ref="A2" authorId="0" shapeId="0" xr:uid="{00000000-0006-0000-0200-000001000000}">
      <text>
        <r>
          <rPr>
            <b/>
            <sz val="9"/>
            <color indexed="81"/>
            <rFont val="Tahoma"/>
            <family val="2"/>
          </rPr>
          <t>cmcneil:</t>
        </r>
        <r>
          <rPr>
            <sz val="9"/>
            <color indexed="81"/>
            <rFont val="Tahoma"/>
            <family val="2"/>
          </rPr>
          <t xml:space="preserve">
Date of site visit</t>
        </r>
      </text>
    </comment>
    <comment ref="B2" authorId="0" shapeId="0" xr:uid="{00000000-0006-0000-0200-000002000000}">
      <text>
        <r>
          <rPr>
            <b/>
            <sz val="9"/>
            <color indexed="81"/>
            <rFont val="Tahoma"/>
            <family val="2"/>
          </rPr>
          <t>cmcneil:</t>
        </r>
        <r>
          <rPr>
            <sz val="9"/>
            <color indexed="81"/>
            <rFont val="Tahoma"/>
            <family val="2"/>
          </rPr>
          <t xml:space="preserve">
Notebook field data can be found in</t>
        </r>
      </text>
    </comment>
    <comment ref="C2" authorId="0" shapeId="0" xr:uid="{00000000-0006-0000-0200-000003000000}">
      <text>
        <r>
          <rPr>
            <b/>
            <sz val="9"/>
            <color indexed="81"/>
            <rFont val="Tahoma"/>
            <family val="2"/>
          </rPr>
          <t>cmcneil:</t>
        </r>
        <r>
          <rPr>
            <sz val="9"/>
            <color indexed="81"/>
            <rFont val="Tahoma"/>
            <family val="2"/>
          </rPr>
          <t xml:space="preserve">
Name of the stake, eg. 17AU</t>
        </r>
      </text>
    </comment>
    <comment ref="D2" authorId="0" shapeId="0" xr:uid="{00000000-0006-0000-0200-000004000000}">
      <text>
        <r>
          <rPr>
            <b/>
            <sz val="9"/>
            <color indexed="81"/>
            <rFont val="Tahoma"/>
            <family val="2"/>
          </rPr>
          <t>cmcneil:</t>
        </r>
        <r>
          <rPr>
            <sz val="9"/>
            <color indexed="81"/>
            <rFont val="Tahoma"/>
            <family val="2"/>
          </rPr>
          <t xml:space="preserve">
What the surface was during the site visit. Example: Snow, Firn, or Ice</t>
        </r>
      </text>
    </comment>
    <comment ref="E2" authorId="0" shapeId="0" xr:uid="{00000000-0006-0000-0200-000005000000}">
      <text>
        <r>
          <rPr>
            <b/>
            <sz val="9"/>
            <color indexed="81"/>
            <rFont val="Tahoma"/>
            <family val="2"/>
          </rPr>
          <t>cmcneil:</t>
        </r>
        <r>
          <rPr>
            <sz val="9"/>
            <color indexed="81"/>
            <rFont val="Tahoma"/>
            <family val="2"/>
          </rPr>
          <t xml:space="preserve">
Total length of stake</t>
        </r>
      </text>
    </comment>
    <comment ref="F2" authorId="0" shapeId="0" xr:uid="{00000000-0006-0000-0200-000006000000}">
      <text>
        <r>
          <rPr>
            <b/>
            <sz val="9"/>
            <color indexed="81"/>
            <rFont val="Tahoma"/>
            <family val="2"/>
          </rPr>
          <t>cmcneil:</t>
        </r>
        <r>
          <rPr>
            <sz val="9"/>
            <color indexed="81"/>
            <rFont val="Tahoma"/>
            <family val="2"/>
          </rPr>
          <t xml:space="preserve">
Length of stake above the surface noted in column D</t>
        </r>
      </text>
    </comment>
    <comment ref="G2" authorId="0" shapeId="0" xr:uid="{00000000-0006-0000-0200-000007000000}">
      <text>
        <r>
          <rPr>
            <b/>
            <sz val="9"/>
            <color indexed="81"/>
            <rFont val="Tahoma"/>
            <family val="2"/>
          </rPr>
          <t>cmcneil:</t>
        </r>
        <r>
          <rPr>
            <sz val="9"/>
            <color indexed="81"/>
            <rFont val="Tahoma"/>
            <family val="2"/>
          </rPr>
          <t xml:space="preserve">
Length of stake still below the surface noted in column D</t>
        </r>
      </text>
    </comment>
    <comment ref="H2" authorId="0" shapeId="0" xr:uid="{00000000-0006-0000-0200-000008000000}">
      <text>
        <r>
          <rPr>
            <b/>
            <sz val="9"/>
            <color indexed="81"/>
            <rFont val="Tahoma"/>
            <family val="2"/>
          </rPr>
          <t>cmcneil:</t>
        </r>
        <r>
          <rPr>
            <sz val="9"/>
            <color indexed="81"/>
            <rFont val="Tahoma"/>
            <family val="2"/>
          </rPr>
          <t xml:space="preserve">
Change in stake since previous site visits</t>
        </r>
      </text>
    </comment>
    <comment ref="I2" authorId="0" shapeId="0" xr:uid="{00000000-0006-0000-02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2" authorId="0" shapeId="0" xr:uid="{00000000-0006-0000-02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2" authorId="0" shapeId="0" xr:uid="{00000000-0006-0000-02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2" authorId="0" shapeId="0" xr:uid="{00000000-0006-0000-02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2" authorId="0" shapeId="0" xr:uid="{00000000-0006-0000-02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2" authorId="0" shapeId="0" xr:uid="{00000000-0006-0000-02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2" authorId="0" shapeId="0" xr:uid="{00000000-0006-0000-02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2" authorId="0" shapeId="0" xr:uid="{00000000-0006-0000-02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2" authorId="0" shapeId="0" xr:uid="{00000000-0006-0000-02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2" authorId="0" shapeId="0" xr:uid="{00000000-0006-0000-02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2" authorId="0" shapeId="0" xr:uid="{00000000-0006-0000-02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2" authorId="0" shapeId="0" xr:uid="{00000000-0006-0000-0200-000014000000}">
      <text>
        <r>
          <rPr>
            <b/>
            <sz val="9"/>
            <color indexed="81"/>
            <rFont val="Tahoma"/>
            <family val="2"/>
          </rPr>
          <t>cmcneil:</t>
        </r>
        <r>
          <rPr>
            <sz val="9"/>
            <color indexed="81"/>
            <rFont val="Tahoma"/>
            <family val="2"/>
          </rPr>
          <t xml:space="preserve">
UTM easting of stake measured with GPS</t>
        </r>
      </text>
    </comment>
    <comment ref="U2" authorId="0" shapeId="0" xr:uid="{00000000-0006-0000-0200-000015000000}">
      <text>
        <r>
          <rPr>
            <b/>
            <sz val="9"/>
            <color indexed="81"/>
            <rFont val="Tahoma"/>
            <family val="2"/>
          </rPr>
          <t>cmcneil:</t>
        </r>
        <r>
          <rPr>
            <sz val="9"/>
            <color indexed="81"/>
            <rFont val="Tahoma"/>
            <family val="2"/>
          </rPr>
          <t xml:space="preserve">
UTM Northing of stake measured with GPS</t>
        </r>
      </text>
    </comment>
    <comment ref="V2" authorId="0" shapeId="0" xr:uid="{00000000-0006-0000-0200-000016000000}">
      <text>
        <r>
          <rPr>
            <b/>
            <sz val="9"/>
            <color indexed="81"/>
            <rFont val="Tahoma"/>
            <family val="2"/>
          </rPr>
          <t>cmcneil:</t>
        </r>
        <r>
          <rPr>
            <sz val="9"/>
            <color indexed="81"/>
            <rFont val="Tahoma"/>
            <family val="2"/>
          </rPr>
          <t xml:space="preserve">
Elevation of stake measured with GPS as height above ellipsoid</t>
        </r>
      </text>
    </comment>
    <comment ref="W2" authorId="0" shapeId="0" xr:uid="{00000000-0006-0000-02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I10" authorId="1" shapeId="0" xr:uid="{B557E508-3FCF-4965-B223-75AB340A2680}">
      <text>
        <r>
          <rPr>
            <b/>
            <sz val="9"/>
            <color indexed="81"/>
            <rFont val="Tahoma"/>
            <family val="2"/>
          </rPr>
          <t>Baker, Emily Hewitt:</t>
        </r>
        <r>
          <rPr>
            <sz val="9"/>
            <color indexed="81"/>
            <rFont val="Tahoma"/>
            <family val="2"/>
          </rPr>
          <t xml:space="preserve">
No probing at 23AB stake in spring 2023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2" authorId="0" shapeId="0" xr:uid="{F112047F-CBB8-47ED-9527-0BEB3848888C}">
      <text>
        <r>
          <rPr>
            <b/>
            <sz val="9"/>
            <color indexed="81"/>
            <rFont val="Tahoma"/>
            <family val="2"/>
          </rPr>
          <t>cmcneil:</t>
        </r>
        <r>
          <rPr>
            <sz val="9"/>
            <color indexed="81"/>
            <rFont val="Tahoma"/>
            <family val="2"/>
          </rPr>
          <t xml:space="preserve">
Date of site visit</t>
        </r>
      </text>
    </comment>
    <comment ref="B2" authorId="0" shapeId="0" xr:uid="{25B853D4-2AEE-4C5D-BDA8-A54EE296E345}">
      <text>
        <r>
          <rPr>
            <b/>
            <sz val="9"/>
            <color indexed="81"/>
            <rFont val="Tahoma"/>
            <family val="2"/>
          </rPr>
          <t>cmcneil:</t>
        </r>
        <r>
          <rPr>
            <sz val="9"/>
            <color indexed="81"/>
            <rFont val="Tahoma"/>
            <family val="2"/>
          </rPr>
          <t xml:space="preserve">
Notebook field data can be found in</t>
        </r>
      </text>
    </comment>
    <comment ref="C2" authorId="0" shapeId="0" xr:uid="{98EF432F-74DC-4E72-A2CC-A2774968D461}">
      <text>
        <r>
          <rPr>
            <b/>
            <sz val="9"/>
            <color indexed="81"/>
            <rFont val="Tahoma"/>
            <family val="2"/>
          </rPr>
          <t>cmcneil:</t>
        </r>
        <r>
          <rPr>
            <sz val="9"/>
            <color indexed="81"/>
            <rFont val="Tahoma"/>
            <family val="2"/>
          </rPr>
          <t xml:space="preserve">
Name of the stake, eg. 17AU</t>
        </r>
      </text>
    </comment>
    <comment ref="D2" authorId="0" shapeId="0" xr:uid="{94B16E7D-C01A-4CA2-898B-DF6487F86FC5}">
      <text>
        <r>
          <rPr>
            <b/>
            <sz val="9"/>
            <color indexed="81"/>
            <rFont val="Tahoma"/>
            <family val="2"/>
          </rPr>
          <t>cmcneil:</t>
        </r>
        <r>
          <rPr>
            <sz val="9"/>
            <color indexed="81"/>
            <rFont val="Tahoma"/>
            <family val="2"/>
          </rPr>
          <t xml:space="preserve">
What the surface was during the site visit. Example: Snow, Firn, or Ice</t>
        </r>
      </text>
    </comment>
    <comment ref="E2" authorId="0" shapeId="0" xr:uid="{9F6BBE5A-6887-4629-8B3A-A5005098C6EF}">
      <text>
        <r>
          <rPr>
            <b/>
            <sz val="9"/>
            <color indexed="81"/>
            <rFont val="Tahoma"/>
            <family val="2"/>
          </rPr>
          <t>cmcneil:</t>
        </r>
        <r>
          <rPr>
            <sz val="9"/>
            <color indexed="81"/>
            <rFont val="Tahoma"/>
            <family val="2"/>
          </rPr>
          <t xml:space="preserve">
Total length of stake</t>
        </r>
      </text>
    </comment>
    <comment ref="F2" authorId="0" shapeId="0" xr:uid="{40086C9C-ABB6-48AB-9249-0690D989DC4D}">
      <text>
        <r>
          <rPr>
            <b/>
            <sz val="9"/>
            <color indexed="81"/>
            <rFont val="Tahoma"/>
            <family val="2"/>
          </rPr>
          <t>cmcneil:</t>
        </r>
        <r>
          <rPr>
            <sz val="9"/>
            <color indexed="81"/>
            <rFont val="Tahoma"/>
            <family val="2"/>
          </rPr>
          <t xml:space="preserve">
Length of stake above the surface noted in column D</t>
        </r>
      </text>
    </comment>
    <comment ref="G2" authorId="0" shapeId="0" xr:uid="{7F9D27DD-85B1-42EA-AD05-494F4E2CDE6B}">
      <text>
        <r>
          <rPr>
            <b/>
            <sz val="9"/>
            <color indexed="81"/>
            <rFont val="Tahoma"/>
            <family val="2"/>
          </rPr>
          <t>cmcneil:</t>
        </r>
        <r>
          <rPr>
            <sz val="9"/>
            <color indexed="81"/>
            <rFont val="Tahoma"/>
            <family val="2"/>
          </rPr>
          <t xml:space="preserve">
Length of stake still below the surface noted in column D</t>
        </r>
      </text>
    </comment>
    <comment ref="H2" authorId="0" shapeId="0" xr:uid="{3E0C0793-2593-4E04-8EA5-0507FD6049D4}">
      <text>
        <r>
          <rPr>
            <b/>
            <sz val="9"/>
            <color indexed="81"/>
            <rFont val="Tahoma"/>
            <family val="2"/>
          </rPr>
          <t>cmcneil:</t>
        </r>
        <r>
          <rPr>
            <sz val="9"/>
            <color indexed="81"/>
            <rFont val="Tahoma"/>
            <family val="2"/>
          </rPr>
          <t xml:space="preserve">
Change in stake since previous site visits</t>
        </r>
      </text>
    </comment>
    <comment ref="I2" authorId="0" shapeId="0" xr:uid="{FAC8FAB7-08DA-4BC2-A5E5-99E87CD5BE86}">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2" authorId="0" shapeId="0" xr:uid="{54A916E0-5637-43D3-A28F-1E403BCB2E38}">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2" authorId="0" shapeId="0" xr:uid="{0AA527FD-DAF5-492B-A0BD-2DE8482413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2" authorId="0" shapeId="0" xr:uid="{630141FF-A73A-4C66-A940-D43B283810EE}">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2" authorId="0" shapeId="0" xr:uid="{E0CAB00C-4A26-4057-83CD-E174B5281019}">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2" authorId="0" shapeId="0" xr:uid="{7C90B43A-5DF4-43FB-B79C-7C04CC62C839}">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2" authorId="0" shapeId="0" xr:uid="{F255CC15-8150-4B84-A134-D162E691E492}">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2" authorId="0" shapeId="0" xr:uid="{16DEA598-B1A9-4294-B4A4-B916F73A10C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2" authorId="0" shapeId="0" xr:uid="{24E8BA18-5F67-4A82-908B-271C9712389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2" authorId="0" shapeId="0" xr:uid="{9D68BF28-28EF-4CD5-BC3E-0E5E7F538727}">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2" authorId="0" shapeId="0" xr:uid="{D0C209CF-D1A4-44BB-9FE1-0C79B071063A}">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2" authorId="0" shapeId="0" xr:uid="{9484DBBB-A1AB-4693-BEF7-E7A608A16250}">
      <text>
        <r>
          <rPr>
            <b/>
            <sz val="9"/>
            <color indexed="81"/>
            <rFont val="Tahoma"/>
            <family val="2"/>
          </rPr>
          <t>cmcneil:</t>
        </r>
        <r>
          <rPr>
            <sz val="9"/>
            <color indexed="81"/>
            <rFont val="Tahoma"/>
            <family val="2"/>
          </rPr>
          <t xml:space="preserve">
UTM easting of stake measured with GPS</t>
        </r>
      </text>
    </comment>
    <comment ref="U2" authorId="0" shapeId="0" xr:uid="{18379880-8084-461E-B206-80E4B9D3330F}">
      <text>
        <r>
          <rPr>
            <b/>
            <sz val="9"/>
            <color indexed="81"/>
            <rFont val="Tahoma"/>
            <family val="2"/>
          </rPr>
          <t>cmcneil:</t>
        </r>
        <r>
          <rPr>
            <sz val="9"/>
            <color indexed="81"/>
            <rFont val="Tahoma"/>
            <family val="2"/>
          </rPr>
          <t xml:space="preserve">
UTM Northing of stake measured with GPS</t>
        </r>
      </text>
    </comment>
    <comment ref="V2" authorId="0" shapeId="0" xr:uid="{9B52E3EF-72A0-4175-99AD-DBAA2227C894}">
      <text>
        <r>
          <rPr>
            <b/>
            <sz val="9"/>
            <color indexed="81"/>
            <rFont val="Tahoma"/>
            <family val="2"/>
          </rPr>
          <t>cmcneil:</t>
        </r>
        <r>
          <rPr>
            <sz val="9"/>
            <color indexed="81"/>
            <rFont val="Tahoma"/>
            <family val="2"/>
          </rPr>
          <t xml:space="preserve">
Elevation of stake measured with GPS as height above ellipsoid</t>
        </r>
      </text>
    </comment>
    <comment ref="W2" authorId="0" shapeId="0" xr:uid="{6C1F35A3-7EBD-4F61-ACF7-0E85E1DE3075}">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tc={66F4ECC1-2E6F-412F-9CFA-7C15BF7136ED}</author>
    <author>tc={E69B41B0-FEB6-4B8A-86D1-502F86AEC2D1}</author>
    <author>Baker, Emily Hewitt</author>
  </authors>
  <commentList>
    <comment ref="A4" authorId="0" shapeId="0" xr:uid="{00000000-0006-0000-0300-000001000000}">
      <text>
        <r>
          <rPr>
            <b/>
            <sz val="9"/>
            <color indexed="81"/>
            <rFont val="Tahoma"/>
            <family val="2"/>
          </rPr>
          <t>cmcneil:</t>
        </r>
        <r>
          <rPr>
            <sz val="9"/>
            <color indexed="81"/>
            <rFont val="Tahoma"/>
            <family val="2"/>
          </rPr>
          <t xml:space="preserve">
Date of site visit</t>
        </r>
      </text>
    </comment>
    <comment ref="B4" authorId="0" shapeId="0" xr:uid="{00000000-0006-0000-03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300-000003000000}">
      <text>
        <r>
          <rPr>
            <b/>
            <sz val="9"/>
            <color indexed="81"/>
            <rFont val="Tahoma"/>
            <family val="2"/>
          </rPr>
          <t>cmcneil:</t>
        </r>
        <r>
          <rPr>
            <sz val="9"/>
            <color indexed="81"/>
            <rFont val="Tahoma"/>
            <family val="2"/>
          </rPr>
          <t xml:space="preserve">
Name of the stake, eg. 17AU</t>
        </r>
      </text>
    </comment>
    <comment ref="D4" authorId="0" shapeId="0" xr:uid="{00000000-0006-0000-03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300-000005000000}">
      <text>
        <r>
          <rPr>
            <b/>
            <sz val="9"/>
            <color indexed="81"/>
            <rFont val="Tahoma"/>
            <family val="2"/>
          </rPr>
          <t>cmcneil:</t>
        </r>
        <r>
          <rPr>
            <sz val="9"/>
            <color indexed="81"/>
            <rFont val="Tahoma"/>
            <family val="2"/>
          </rPr>
          <t xml:space="preserve">
Total length of stake</t>
        </r>
      </text>
    </comment>
    <comment ref="F4" authorId="0" shapeId="0" xr:uid="{00000000-0006-0000-03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3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3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3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3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3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3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3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3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3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3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3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3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3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3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3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3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3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8" authorId="1" shapeId="0" xr:uid="{66F4ECC1-2E6F-412F-9CFA-7C15BF7136ED}">
      <text>
        <t>[Threaded comment]
Your version of Excel allows you to read this threaded comment; however, any edits to it will get removed if the file is opened in a newer version of Excel. Learn more: https://go.microsoft.com/fwlink/?linkid=870924
Comment:
    Mean density 2015-2020</t>
      </text>
    </comment>
    <comment ref="R14" authorId="2" shapeId="0" xr:uid="{E69B41B0-FEB6-4B8A-86D1-502F86AEC2D1}">
      <text>
        <t xml:space="preserve">[Threaded comment]
Your version of Excel allows you to read this threaded comment; however, any edits to it will get removed if the file is opened in a newer version of Excel. Learn more: https://go.microsoft.com/fwlink/?linkid=870924
Comment:
    I didn't average this number as it is suspect given how old the stake is </t>
      </text>
    </comment>
    <comment ref="Q22" authorId="3" shapeId="0" xr:uid="{7353E7F1-83ED-468D-ACDA-197C967151B9}">
      <text>
        <r>
          <rPr>
            <b/>
            <sz val="9"/>
            <color indexed="81"/>
            <rFont val="Tahoma"/>
            <family val="2"/>
          </rPr>
          <t>Baker, Emily Hewitt:</t>
        </r>
        <r>
          <rPr>
            <sz val="9"/>
            <color indexed="81"/>
            <rFont val="Tahoma"/>
            <family val="2"/>
          </rPr>
          <t xml:space="preserve">
VERY leaning stake, best to ignore stake measurement as it is in question, and divergest from healthy 2024 stake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Frederick, Zan</author>
    <author>tc={BA2CE813-B0B4-45C5-AFD5-FFFBB218C98F}</author>
  </authors>
  <commentList>
    <comment ref="A4" authorId="0" shapeId="0" xr:uid="{F73765FC-2A0B-4DA9-A3D9-F62325702CB5}">
      <text>
        <r>
          <rPr>
            <b/>
            <sz val="9"/>
            <color indexed="81"/>
            <rFont val="Tahoma"/>
            <family val="2"/>
          </rPr>
          <t>cmcneil:</t>
        </r>
        <r>
          <rPr>
            <sz val="9"/>
            <color indexed="81"/>
            <rFont val="Tahoma"/>
            <family val="2"/>
          </rPr>
          <t xml:space="preserve">
Date of site visit</t>
        </r>
      </text>
    </comment>
    <comment ref="B4" authorId="0" shapeId="0" xr:uid="{D675B79A-F908-4B8A-8B77-00ABA9F21FEC}">
      <text>
        <r>
          <rPr>
            <b/>
            <sz val="9"/>
            <color indexed="81"/>
            <rFont val="Tahoma"/>
            <family val="2"/>
          </rPr>
          <t>cmcneil:</t>
        </r>
        <r>
          <rPr>
            <sz val="9"/>
            <color indexed="81"/>
            <rFont val="Tahoma"/>
            <family val="2"/>
          </rPr>
          <t xml:space="preserve">
Notebook field data can be found in</t>
        </r>
      </text>
    </comment>
    <comment ref="C4" authorId="0" shapeId="0" xr:uid="{59D3C2A4-DF7F-4624-9C17-D5A1AA6948A5}">
      <text>
        <r>
          <rPr>
            <b/>
            <sz val="9"/>
            <color indexed="81"/>
            <rFont val="Tahoma"/>
            <family val="2"/>
          </rPr>
          <t>cmcneil:</t>
        </r>
        <r>
          <rPr>
            <sz val="9"/>
            <color indexed="81"/>
            <rFont val="Tahoma"/>
            <family val="2"/>
          </rPr>
          <t xml:space="preserve">
Name of the stake, eg. 17AU</t>
        </r>
      </text>
    </comment>
    <comment ref="D4" authorId="0" shapeId="0" xr:uid="{43360366-CA21-4198-B7D4-3FA1F0EC455E}">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97EEC7F2-12D4-46F4-BE38-571991094809}">
      <text>
        <r>
          <rPr>
            <b/>
            <sz val="9"/>
            <color indexed="81"/>
            <rFont val="Tahoma"/>
            <family val="2"/>
          </rPr>
          <t>cmcneil:</t>
        </r>
        <r>
          <rPr>
            <sz val="9"/>
            <color indexed="81"/>
            <rFont val="Tahoma"/>
            <family val="2"/>
          </rPr>
          <t xml:space="preserve">
Total length of stake</t>
        </r>
      </text>
    </comment>
    <comment ref="F4" authorId="0" shapeId="0" xr:uid="{3554FB51-0489-4B37-AF61-5B3AD458EC2D}">
      <text>
        <r>
          <rPr>
            <b/>
            <sz val="9"/>
            <color indexed="81"/>
            <rFont val="Tahoma"/>
            <family val="2"/>
          </rPr>
          <t>cmcneil:</t>
        </r>
        <r>
          <rPr>
            <sz val="9"/>
            <color indexed="81"/>
            <rFont val="Tahoma"/>
            <family val="2"/>
          </rPr>
          <t xml:space="preserve">
Length of stake above the surface noted in column D</t>
        </r>
      </text>
    </comment>
    <comment ref="G4" authorId="0" shapeId="0" xr:uid="{E72735A1-BD59-4B36-925E-333592026653}">
      <text>
        <r>
          <rPr>
            <b/>
            <sz val="9"/>
            <color indexed="81"/>
            <rFont val="Tahoma"/>
            <family val="2"/>
          </rPr>
          <t>cmcneil:</t>
        </r>
        <r>
          <rPr>
            <sz val="9"/>
            <color indexed="81"/>
            <rFont val="Tahoma"/>
            <family val="2"/>
          </rPr>
          <t xml:space="preserve">
Length of stake still below the surface noted in column D</t>
        </r>
      </text>
    </comment>
    <comment ref="H4" authorId="0" shapeId="0" xr:uid="{07CCACB3-79D6-4EFB-9AD0-B2FD860C660D}">
      <text>
        <r>
          <rPr>
            <b/>
            <sz val="9"/>
            <color indexed="81"/>
            <rFont val="Tahoma"/>
            <family val="2"/>
          </rPr>
          <t>cmcneil:</t>
        </r>
        <r>
          <rPr>
            <sz val="9"/>
            <color indexed="81"/>
            <rFont val="Tahoma"/>
            <family val="2"/>
          </rPr>
          <t xml:space="preserve">
Change in stake since previous site visits</t>
        </r>
      </text>
    </comment>
    <comment ref="I4" authorId="0" shapeId="0" xr:uid="{A8B50A92-173B-4CA7-87E7-34B1623E185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BA77D800-A141-4B46-AA3C-CBF2C9A148CA}">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4F6D3BAF-BDEE-4352-80F6-885CF52753D5}">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44CB3F18-B9DF-4B1F-B9FF-DC13B522862C}">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44E3DD87-15BA-49B5-B1A8-57DAF945F065}">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F98CF45F-AD8A-42D2-9612-653E5B7BF67B}">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E99CD8D5-C34C-45FA-9353-90D4315A00D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F551F247-4417-4906-AE2C-D9B6E86508A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651C887-00BD-4019-9E44-0BD0AB98E8F2}">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968A2762-6FEA-4CB5-9733-E4BD68C9684A}">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2126C177-C314-4A6A-AAA5-142908F365E1}">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C814698-E70C-4950-B9DF-4D203869D38E}">
      <text>
        <r>
          <rPr>
            <b/>
            <sz val="9"/>
            <color indexed="81"/>
            <rFont val="Tahoma"/>
            <family val="2"/>
          </rPr>
          <t>cmcneil:</t>
        </r>
        <r>
          <rPr>
            <sz val="9"/>
            <color indexed="81"/>
            <rFont val="Tahoma"/>
            <family val="2"/>
          </rPr>
          <t xml:space="preserve">
UTM easting of stake measured with GPS</t>
        </r>
      </text>
    </comment>
    <comment ref="U4" authorId="0" shapeId="0" xr:uid="{E1D46206-C116-4C07-B8E9-24FFAB60331A}">
      <text>
        <r>
          <rPr>
            <b/>
            <sz val="9"/>
            <color indexed="81"/>
            <rFont val="Tahoma"/>
            <family val="2"/>
          </rPr>
          <t>cmcneil:</t>
        </r>
        <r>
          <rPr>
            <sz val="9"/>
            <color indexed="81"/>
            <rFont val="Tahoma"/>
            <family val="2"/>
          </rPr>
          <t xml:space="preserve">
UTM Northing of stake measured with GPS</t>
        </r>
      </text>
    </comment>
    <comment ref="V4" authorId="0" shapeId="0" xr:uid="{E516E10B-1BD4-4C0F-9E5E-3F9E8DB6676C}">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B0A006EC-2740-4C59-854E-3F26761EF18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G7" authorId="1" shapeId="0" xr:uid="{DE43E5A9-1BC1-4987-8E4E-1882F53E14C8}">
      <text>
        <r>
          <rPr>
            <b/>
            <sz val="9"/>
            <color indexed="81"/>
            <rFont val="Tahoma"/>
            <charset val="1"/>
          </rPr>
          <t>Frederick, Zan:</t>
        </r>
        <r>
          <rPr>
            <sz val="9"/>
            <color indexed="81"/>
            <rFont val="Tahoma"/>
            <charset val="1"/>
          </rPr>
          <t xml:space="preserve">
Estimated from DR notes
</t>
        </r>
      </text>
    </comment>
    <comment ref="K7" authorId="1" shapeId="0" xr:uid="{6592E06B-3BD1-4010-9F86-749B3E2A3A13}">
      <text>
        <r>
          <rPr>
            <b/>
            <sz val="9"/>
            <color indexed="81"/>
            <rFont val="Tahoma"/>
            <charset val="1"/>
          </rPr>
          <t>Frederick, Zan:</t>
        </r>
        <r>
          <rPr>
            <sz val="9"/>
            <color indexed="81"/>
            <rFont val="Tahoma"/>
            <charset val="1"/>
          </rPr>
          <t xml:space="preserve">
average of B and D pits
</t>
        </r>
      </text>
    </comment>
    <comment ref="K9" authorId="2" shapeId="0" xr:uid="{BA2CE813-B0B4-45C5-AFD5-FFFBB218C98F}">
      <text>
        <t>[Threaded comment]
Your version of Excel allows you to read this threaded comment; however, any edits to it will get removed if the file is opened in a newer version of Excel. Learn more: https://go.microsoft.com/fwlink/?linkid=870924
Comment:
    Mean density 2015-2020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tc={EE181FB6-59DE-46BF-9E14-8C5CE822952F}</author>
    <author>tc={21897E21-D9AF-4557-ACCC-B3A3C6F2A09E}</author>
  </authors>
  <commentList>
    <comment ref="A4" authorId="0" shapeId="0" xr:uid="{00000000-0006-0000-0400-000001000000}">
      <text>
        <r>
          <rPr>
            <b/>
            <sz val="9"/>
            <color indexed="81"/>
            <rFont val="Tahoma"/>
            <family val="2"/>
          </rPr>
          <t>cmcneil:</t>
        </r>
        <r>
          <rPr>
            <sz val="9"/>
            <color indexed="81"/>
            <rFont val="Tahoma"/>
            <family val="2"/>
          </rPr>
          <t xml:space="preserve">
Date of site visit</t>
        </r>
      </text>
    </comment>
    <comment ref="B4" authorId="0" shapeId="0" xr:uid="{00000000-0006-0000-04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400-000003000000}">
      <text>
        <r>
          <rPr>
            <b/>
            <sz val="9"/>
            <color indexed="81"/>
            <rFont val="Tahoma"/>
            <family val="2"/>
          </rPr>
          <t>cmcneil:</t>
        </r>
        <r>
          <rPr>
            <sz val="9"/>
            <color indexed="81"/>
            <rFont val="Tahoma"/>
            <family val="2"/>
          </rPr>
          <t xml:space="preserve">
Name of the stake, eg. 17AU</t>
        </r>
      </text>
    </comment>
    <comment ref="D4" authorId="0" shapeId="0" xr:uid="{00000000-0006-0000-04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400-000005000000}">
      <text>
        <r>
          <rPr>
            <b/>
            <sz val="9"/>
            <color indexed="81"/>
            <rFont val="Tahoma"/>
            <family val="2"/>
          </rPr>
          <t>cmcneil:</t>
        </r>
        <r>
          <rPr>
            <sz val="9"/>
            <color indexed="81"/>
            <rFont val="Tahoma"/>
            <family val="2"/>
          </rPr>
          <t xml:space="preserve">
Total length of stake</t>
        </r>
      </text>
    </comment>
    <comment ref="F4" authorId="0" shapeId="0" xr:uid="{00000000-0006-0000-04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4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4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4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4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4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4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4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4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4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4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4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4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4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4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4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4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4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9" authorId="1" shapeId="0" xr:uid="{EE181FB6-59DE-46BF-9E14-8C5CE822952F}">
      <text>
        <t>[Threaded comment]
Your version of Excel allows you to read this threaded comment; however, any edits to it will get removed if the file is opened in a newer version of Excel. Learn more: https://go.microsoft.com/fwlink/?linkid=870924
Comment:
    Mean density 2011-2020</t>
      </text>
    </comment>
    <comment ref="I24" authorId="2" shapeId="0" xr:uid="{21897E21-D9AF-4557-ACCC-B3A3C6F2A09E}">
      <text>
        <t>[Threaded comment]
Your version of Excel allows you to read this threaded comment; however, any edits to it will get removed if the file is opened in a newer version of Excel. Learn more: https://go.microsoft.com/fwlink/?linkid=870924
Comment:
    Using the stake measurement here rather than the pit. It appears the pit was not deep enough to get the 22 summer surface and the full 23 accumulation.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tc={9EECA823-851D-45DB-A495-F6887067DCA4}</author>
    <author>tc={19BA599C-EAEC-4E46-B1BF-81C5A7DA2699}</author>
    <author>tc={6C252493-A9C7-4071-954A-962B36515DF1}</author>
    <author>tc={0F3AE0FA-0B0F-4A97-ABB4-CDFAE42600F8}</author>
  </authors>
  <commentList>
    <comment ref="A4" authorId="0" shapeId="0" xr:uid="{00000000-0006-0000-0500-000001000000}">
      <text>
        <r>
          <rPr>
            <b/>
            <sz val="9"/>
            <color indexed="81"/>
            <rFont val="Tahoma"/>
            <family val="2"/>
          </rPr>
          <t>cmcneil:</t>
        </r>
        <r>
          <rPr>
            <sz val="9"/>
            <color indexed="81"/>
            <rFont val="Tahoma"/>
            <family val="2"/>
          </rPr>
          <t xml:space="preserve">
Date of site visit</t>
        </r>
      </text>
    </comment>
    <comment ref="B4" authorId="0" shapeId="0" xr:uid="{00000000-0006-0000-05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500-000003000000}">
      <text>
        <r>
          <rPr>
            <b/>
            <sz val="9"/>
            <color indexed="81"/>
            <rFont val="Tahoma"/>
            <family val="2"/>
          </rPr>
          <t>cmcneil:</t>
        </r>
        <r>
          <rPr>
            <sz val="9"/>
            <color indexed="81"/>
            <rFont val="Tahoma"/>
            <family val="2"/>
          </rPr>
          <t xml:space="preserve">
Name of the stake, eg. 17AU</t>
        </r>
      </text>
    </comment>
    <comment ref="D4" authorId="0" shapeId="0" xr:uid="{00000000-0006-0000-05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500-000005000000}">
      <text>
        <r>
          <rPr>
            <b/>
            <sz val="9"/>
            <color indexed="81"/>
            <rFont val="Tahoma"/>
            <family val="2"/>
          </rPr>
          <t>cmcneil:</t>
        </r>
        <r>
          <rPr>
            <sz val="9"/>
            <color indexed="81"/>
            <rFont val="Tahoma"/>
            <family val="2"/>
          </rPr>
          <t xml:space="preserve">
Total length of stake</t>
        </r>
      </text>
    </comment>
    <comment ref="F4" authorId="0" shapeId="0" xr:uid="{00000000-0006-0000-05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5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5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5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5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5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5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5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5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5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5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5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5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5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5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5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5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5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H19" authorId="1" shapeId="0" xr:uid="{9EECA823-851D-45DB-A495-F6887067DCA4}">
      <text>
        <t>[Threaded comment]
Your version of Excel allows you to read this threaded comment; however, any edits to it will get removed if the file is opened in a newer version of Excel. Learn more: https://go.microsoft.com/fwlink/?linkid=870924
Comment:
    Stake bend? Or spatial variability</t>
      </text>
    </comment>
    <comment ref="J19" authorId="2" shapeId="0" xr:uid="{19BA599C-EAEC-4E46-B1BF-81C5A7DA2699}">
      <text>
        <t xml:space="preserve">[Threaded comment]
Your version of Excel allows you to read this threaded comment; however, any edits to it will get removed if the file is opened in a newer version of Excel. Learn more: https://go.microsoft.com/fwlink/?linkid=870924
Comment:
    From firn core
</t>
      </text>
    </comment>
    <comment ref="H21" authorId="3" shapeId="0" xr:uid="{6C252493-A9C7-4071-954A-962B36515DF1}">
      <text>
        <t>[Threaded comment]
Your version of Excel allows you to read this threaded comment; however, any edits to it will get removed if the file is opened in a newer version of Excel. Learn more: https://go.microsoft.com/fwlink/?linkid=870924
Comment:
    This suggest the spring reading was mostly or entirely stake bend</t>
      </text>
    </comment>
    <comment ref="I23" authorId="4" shapeId="0" xr:uid="{0F3AE0FA-0B0F-4A97-ABB4-CDFAE42600F8}">
      <text>
        <t>[Threaded comment]
Your version of Excel allows you to read this threaded comment; however, any edits to it will get removed if the file is opened in a newer version of Excel. Learn more: https://go.microsoft.com/fwlink/?linkid=870924
Comment:
    From 2024 pit core at 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Frederick, Zan</author>
    <author>tc={1AE533A3-D8AA-4035-BD3E-1061342EAE4F}</author>
  </authors>
  <commentList>
    <comment ref="A4" authorId="0" shapeId="0" xr:uid="{00000000-0006-0000-0600-000001000000}">
      <text>
        <r>
          <rPr>
            <b/>
            <sz val="9"/>
            <color indexed="81"/>
            <rFont val="Tahoma"/>
            <family val="2"/>
          </rPr>
          <t>cmcneil:</t>
        </r>
        <r>
          <rPr>
            <sz val="9"/>
            <color indexed="81"/>
            <rFont val="Tahoma"/>
            <family val="2"/>
          </rPr>
          <t xml:space="preserve">
Date of site visit</t>
        </r>
      </text>
    </comment>
    <comment ref="B4" authorId="0" shapeId="0" xr:uid="{00000000-0006-0000-06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600-000003000000}">
      <text>
        <r>
          <rPr>
            <b/>
            <sz val="9"/>
            <color indexed="81"/>
            <rFont val="Tahoma"/>
            <family val="2"/>
          </rPr>
          <t>cmcneil:</t>
        </r>
        <r>
          <rPr>
            <sz val="9"/>
            <color indexed="81"/>
            <rFont val="Tahoma"/>
            <family val="2"/>
          </rPr>
          <t xml:space="preserve">
Name of the stake, eg. 17AU</t>
        </r>
      </text>
    </comment>
    <comment ref="D4" authorId="0" shapeId="0" xr:uid="{00000000-0006-0000-06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600-000005000000}">
      <text>
        <r>
          <rPr>
            <b/>
            <sz val="9"/>
            <color indexed="81"/>
            <rFont val="Tahoma"/>
            <family val="2"/>
          </rPr>
          <t>cmcneil:</t>
        </r>
        <r>
          <rPr>
            <sz val="9"/>
            <color indexed="81"/>
            <rFont val="Tahoma"/>
            <family val="2"/>
          </rPr>
          <t xml:space="preserve">
Total length of stake</t>
        </r>
      </text>
    </comment>
    <comment ref="F4" authorId="0" shapeId="0" xr:uid="{00000000-0006-0000-06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6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6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6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6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6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6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6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6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6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6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6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6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6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6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6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6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6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11" authorId="1" shapeId="0" xr:uid="{1EF75003-B1DB-437A-B22C-8ECF8C66E92E}">
      <text>
        <r>
          <rPr>
            <b/>
            <sz val="9"/>
            <color indexed="81"/>
            <rFont val="Tahoma"/>
            <charset val="1"/>
          </rPr>
          <t>Frederick, Zan:</t>
        </r>
        <r>
          <rPr>
            <sz val="9"/>
            <color indexed="81"/>
            <rFont val="Tahoma"/>
            <charset val="1"/>
          </rPr>
          <t xml:space="preserve">
density from D
</t>
        </r>
      </text>
    </comment>
    <comment ref="L11" authorId="2" shapeId="0" xr:uid="{1AE533A3-D8AA-4035-BD3E-1061342EAE4F}">
      <text>
        <t>[Threaded comment]
Your version of Excel allows you to read this threaded comment; however, any edits to it will get removed if the file is opened in a newer version of Excel. Learn more: https://go.microsoft.com/fwlink/?linkid=870924
Comment:
    This suggests &gt;3.28 snow depth, or stake punch, but is likely just due to stake bend. 5.48 from last fall is probably still reasonable. The 3.28 snow depth is also probably correct.  Check for any evidence for/against these 3 separate scenarios in fall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Baker, Emily Hewitt</author>
  </authors>
  <commentList>
    <comment ref="A4" authorId="0" shapeId="0" xr:uid="{4DEF853B-9467-49E6-B873-664526ED2C67}">
      <text>
        <r>
          <rPr>
            <b/>
            <sz val="9"/>
            <color indexed="81"/>
            <rFont val="Tahoma"/>
            <family val="2"/>
          </rPr>
          <t>cmcneil:</t>
        </r>
        <r>
          <rPr>
            <sz val="9"/>
            <color indexed="81"/>
            <rFont val="Tahoma"/>
            <family val="2"/>
          </rPr>
          <t xml:space="preserve">
Date of site visit</t>
        </r>
      </text>
    </comment>
    <comment ref="B4" authorId="0" shapeId="0" xr:uid="{2143FEB7-EC8B-4D2C-94C5-ECFCFCEC301D}">
      <text>
        <r>
          <rPr>
            <b/>
            <sz val="9"/>
            <color indexed="81"/>
            <rFont val="Tahoma"/>
            <family val="2"/>
          </rPr>
          <t>cmcneil:</t>
        </r>
        <r>
          <rPr>
            <sz val="9"/>
            <color indexed="81"/>
            <rFont val="Tahoma"/>
            <family val="2"/>
          </rPr>
          <t xml:space="preserve">
Notebook field data can be found in</t>
        </r>
      </text>
    </comment>
    <comment ref="C4" authorId="0" shapeId="0" xr:uid="{C611B6F3-490A-40D9-AEC0-CF03AE2D9A7C}">
      <text>
        <r>
          <rPr>
            <b/>
            <sz val="9"/>
            <color indexed="81"/>
            <rFont val="Tahoma"/>
            <family val="2"/>
          </rPr>
          <t>cmcneil:</t>
        </r>
        <r>
          <rPr>
            <sz val="9"/>
            <color indexed="81"/>
            <rFont val="Tahoma"/>
            <family val="2"/>
          </rPr>
          <t xml:space="preserve">
Name of the stake, eg. 17AU</t>
        </r>
      </text>
    </comment>
    <comment ref="D4" authorId="0" shapeId="0" xr:uid="{92026FDD-1CB6-4F10-B837-EE96E286977A}">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564A3A88-F776-4409-88BB-AAEDF13F049E}">
      <text>
        <r>
          <rPr>
            <b/>
            <sz val="9"/>
            <color indexed="81"/>
            <rFont val="Tahoma"/>
            <family val="2"/>
          </rPr>
          <t>cmcneil:</t>
        </r>
        <r>
          <rPr>
            <sz val="9"/>
            <color indexed="81"/>
            <rFont val="Tahoma"/>
            <family val="2"/>
          </rPr>
          <t xml:space="preserve">
Total length of stake</t>
        </r>
      </text>
    </comment>
    <comment ref="F4" authorId="0" shapeId="0" xr:uid="{A39A7294-B5A2-4F30-A7A4-C98701E1F1F2}">
      <text>
        <r>
          <rPr>
            <b/>
            <sz val="9"/>
            <color indexed="81"/>
            <rFont val="Tahoma"/>
            <family val="2"/>
          </rPr>
          <t>cmcneil:</t>
        </r>
        <r>
          <rPr>
            <sz val="9"/>
            <color indexed="81"/>
            <rFont val="Tahoma"/>
            <family val="2"/>
          </rPr>
          <t xml:space="preserve">
Length of stake above the surface noted in column D</t>
        </r>
      </text>
    </comment>
    <comment ref="G4" authorId="0" shapeId="0" xr:uid="{DB0786AB-A8F6-4C93-889D-F12F21E0EC3E}">
      <text>
        <r>
          <rPr>
            <b/>
            <sz val="9"/>
            <color indexed="81"/>
            <rFont val="Tahoma"/>
            <family val="2"/>
          </rPr>
          <t>cmcneil:</t>
        </r>
        <r>
          <rPr>
            <sz val="9"/>
            <color indexed="81"/>
            <rFont val="Tahoma"/>
            <family val="2"/>
          </rPr>
          <t xml:space="preserve">
Length of stake still below the surface noted in column D</t>
        </r>
      </text>
    </comment>
    <comment ref="H4" authorId="0" shapeId="0" xr:uid="{496B4E9A-4B9C-46B5-9E90-5C24E7C55F76}">
      <text>
        <r>
          <rPr>
            <b/>
            <sz val="9"/>
            <color indexed="81"/>
            <rFont val="Tahoma"/>
            <family val="2"/>
          </rPr>
          <t>cmcneil:</t>
        </r>
        <r>
          <rPr>
            <sz val="9"/>
            <color indexed="81"/>
            <rFont val="Tahoma"/>
            <family val="2"/>
          </rPr>
          <t xml:space="preserve">
Change in stake since previous site visits</t>
        </r>
      </text>
    </comment>
    <comment ref="I4" authorId="0" shapeId="0" xr:uid="{398D6057-B714-4BC8-8A09-D8528F671955}">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96A4C45F-A684-45CD-95E6-310FA8DA60CD}">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889A40ED-013B-4AF6-B9F9-68B00E9C527E}">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29D4F19E-F55C-4627-AB9F-BB6DF6199734}">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A723BFD3-C3DB-4E17-9FEB-E26E6C12DE61}">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2A67F560-CEB2-49F2-ADE6-19789897855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970754A6-647D-43E0-B60D-3EC1443E9ECA}">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8E82E3EF-2ACD-4EC7-940A-B964D63520BC}">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86A50298-B591-428A-B41F-ED6225686A8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3BA789B6-9C33-4EAC-9553-06493244F9D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484CB3A9-BAD2-4DC4-A620-ECEC67D0810C}">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C8376119-B3A2-409C-9B17-E526E827CB12}">
      <text>
        <r>
          <rPr>
            <b/>
            <sz val="9"/>
            <color indexed="81"/>
            <rFont val="Tahoma"/>
            <family val="2"/>
          </rPr>
          <t>cmcneil:</t>
        </r>
        <r>
          <rPr>
            <sz val="9"/>
            <color indexed="81"/>
            <rFont val="Tahoma"/>
            <family val="2"/>
          </rPr>
          <t xml:space="preserve">
UTM easting of stake measured with GPS</t>
        </r>
      </text>
    </comment>
    <comment ref="U4" authorId="0" shapeId="0" xr:uid="{3718DA98-B926-436C-BE17-6C347A7201C8}">
      <text>
        <r>
          <rPr>
            <b/>
            <sz val="9"/>
            <color indexed="81"/>
            <rFont val="Tahoma"/>
            <family val="2"/>
          </rPr>
          <t>cmcneil:</t>
        </r>
        <r>
          <rPr>
            <sz val="9"/>
            <color indexed="81"/>
            <rFont val="Tahoma"/>
            <family val="2"/>
          </rPr>
          <t xml:space="preserve">
UTM Northing of stake measured with GPS</t>
        </r>
      </text>
    </comment>
    <comment ref="V4" authorId="0" shapeId="0" xr:uid="{845544DF-341C-48D2-A653-1270C52C6CD9}">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95E0FE56-6D23-4847-9246-AF93D5039F73}">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J13" authorId="1" shapeId="0" xr:uid="{372F9D0F-236F-473D-AF68-A2517A5F070F}">
      <text>
        <r>
          <rPr>
            <b/>
            <sz val="9"/>
            <color indexed="81"/>
            <rFont val="Tahoma"/>
            <family val="2"/>
          </rPr>
          <t>Baker, Emily Hewitt:</t>
        </r>
        <r>
          <rPr>
            <sz val="9"/>
            <color indexed="81"/>
            <rFont val="Tahoma"/>
            <family val="2"/>
          </rPr>
          <t xml:space="preserve">
This is from pit</t>
        </r>
      </text>
    </comment>
    <comment ref="J14" authorId="1" shapeId="0" xr:uid="{539D000F-99DF-4A13-B1D8-F381C6FDF8CF}">
      <text>
        <r>
          <rPr>
            <b/>
            <sz val="9"/>
            <color indexed="81"/>
            <rFont val="Tahoma"/>
            <family val="2"/>
          </rPr>
          <t>Baker, Emily Hewitt:</t>
        </r>
        <r>
          <rPr>
            <sz val="9"/>
            <color indexed="81"/>
            <rFont val="Tahoma"/>
            <family val="2"/>
          </rPr>
          <t xml:space="preserve">
Average of 0.15m at stake, and 0m at pit</t>
        </r>
      </text>
    </comment>
    <comment ref="K14" authorId="1" shapeId="0" xr:uid="{7BBF0FDB-49F5-48BB-B1A1-D829EB94FCF7}">
      <text>
        <r>
          <rPr>
            <b/>
            <sz val="9"/>
            <color indexed="81"/>
            <rFont val="Tahoma"/>
            <family val="2"/>
          </rPr>
          <t>Baker, Emily Hewitt:</t>
        </r>
        <r>
          <rPr>
            <sz val="9"/>
            <color indexed="81"/>
            <rFont val="Tahoma"/>
            <family val="2"/>
          </rPr>
          <t xml:space="preserve">
ASSUMED density - new snow density was NOT measured unfortunately in fall 2024</t>
        </r>
      </text>
    </comment>
  </commentList>
</comments>
</file>

<file path=xl/sharedStrings.xml><?xml version="1.0" encoding="utf-8"?>
<sst xmlns="http://schemas.openxmlformats.org/spreadsheetml/2006/main" count="1941" uniqueCount="303">
  <si>
    <t>Elevation</t>
  </si>
  <si>
    <t>bw</t>
  </si>
  <si>
    <t>ba</t>
  </si>
  <si>
    <t>Winter Ablation</t>
  </si>
  <si>
    <t>Summer Accumulation</t>
  </si>
  <si>
    <t>AU</t>
  </si>
  <si>
    <t>AB</t>
  </si>
  <si>
    <t>B</t>
  </si>
  <si>
    <t>D</t>
  </si>
  <si>
    <t>T</t>
  </si>
  <si>
    <t>V</t>
  </si>
  <si>
    <t>Stake  Location</t>
  </si>
  <si>
    <t>UTM(WGS84)</t>
  </si>
  <si>
    <t>Stake Lengths</t>
  </si>
  <si>
    <t>Zone 6 North</t>
  </si>
  <si>
    <t>Date</t>
  </si>
  <si>
    <t>Notebook</t>
  </si>
  <si>
    <t>Stake Name</t>
  </si>
  <si>
    <t>Surface Type</t>
  </si>
  <si>
    <t>Total</t>
  </si>
  <si>
    <t>Above Surface</t>
  </si>
  <si>
    <t>Below Surface</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</si>
  <si>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</si>
  <si>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</si>
  <si>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</si>
  <si>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</si>
  <si>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</si>
  <si>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</si>
  <si>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</si>
  <si>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</si>
  <si>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</si>
  <si>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</si>
  <si>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Easting</t>
  </si>
  <si>
    <t>Northing</t>
  </si>
  <si>
    <t>Comments</t>
  </si>
  <si>
    <t>(mm/dd/yyyy)</t>
  </si>
  <si>
    <t>(meters)</t>
  </si>
  <si>
    <t>(g/cm^3)</t>
  </si>
  <si>
    <t>(m w.e.)</t>
  </si>
  <si>
    <t>snow</t>
  </si>
  <si>
    <t>ice</t>
  </si>
  <si>
    <t>20CM</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</si>
  <si>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</si>
  <si>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</si>
  <si>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</si>
  <si>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</si>
  <si>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</si>
  <si>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</si>
  <si>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</si>
  <si>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</si>
  <si>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</si>
  <si>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</si>
  <si>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</si>
  <si>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</si>
  <si>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</si>
  <si>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</si>
  <si>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20EB</t>
  </si>
  <si>
    <t>new snow</t>
  </si>
  <si>
    <t>20B</t>
  </si>
  <si>
    <t>stake in small stream</t>
  </si>
  <si>
    <r>
      <t>b</t>
    </r>
    <r>
      <rPr>
        <b/>
        <vertAlign val="subscript"/>
        <sz val="10"/>
        <color rgb="FF000000"/>
        <rFont val="Segoe UI"/>
        <family val="2"/>
      </rPr>
      <t>s</t>
    </r>
  </si>
  <si>
    <r>
      <t>b</t>
    </r>
    <r>
      <rPr>
        <b/>
        <vertAlign val="subscript"/>
        <sz val="10"/>
        <color rgb="FF000000"/>
        <rFont val="Segoe UI"/>
        <family val="2"/>
      </rPr>
      <t>w</t>
    </r>
  </si>
  <si>
    <r>
      <t>b</t>
    </r>
    <r>
      <rPr>
        <b/>
        <vertAlign val="subscript"/>
        <sz val="10"/>
        <color rgb="FF000000"/>
        <rFont val="Segoe UI"/>
        <family val="2"/>
      </rPr>
      <t>a</t>
    </r>
  </si>
  <si>
    <t>firn</t>
  </si>
  <si>
    <t>20LS</t>
  </si>
  <si>
    <t>20D</t>
  </si>
  <si>
    <t>New Snow</t>
  </si>
  <si>
    <t>not found</t>
  </si>
  <si>
    <t>old snow</t>
  </si>
  <si>
    <t>21CM</t>
  </si>
  <si>
    <t>Year</t>
  </si>
  <si>
    <t>site_name</t>
  </si>
  <si>
    <t>spring_date</t>
  </si>
  <si>
    <t>fall_date</t>
  </si>
  <si>
    <t>elevation</t>
  </si>
  <si>
    <t>winter_ablation</t>
  </si>
  <si>
    <t>summer_accumulation</t>
  </si>
  <si>
    <t>firn (2021)</t>
  </si>
  <si>
    <t>21LS</t>
  </si>
  <si>
    <t>22LS</t>
  </si>
  <si>
    <t>22B</t>
  </si>
  <si>
    <t>22AC</t>
  </si>
  <si>
    <t>22D</t>
  </si>
  <si>
    <t>Snow</t>
  </si>
  <si>
    <t>22V</t>
  </si>
  <si>
    <t>22AB</t>
  </si>
  <si>
    <t>22KB</t>
  </si>
  <si>
    <t>22T</t>
  </si>
  <si>
    <t>Z</t>
  </si>
  <si>
    <t>22Z</t>
  </si>
  <si>
    <t>22EB</t>
  </si>
  <si>
    <t>22CF</t>
  </si>
  <si>
    <t>firn (2022)</t>
  </si>
  <si>
    <t>23EB</t>
  </si>
  <si>
    <t>23LS</t>
  </si>
  <si>
    <t>ANNUAL BALANCE FOR 2022</t>
  </si>
  <si>
    <t>ANNUAL BALANCE FOR 2023</t>
  </si>
  <si>
    <t>23KB</t>
  </si>
  <si>
    <t>23EHB</t>
  </si>
  <si>
    <t>22EHB</t>
  </si>
  <si>
    <t>23AB</t>
  </si>
  <si>
    <t>24LS</t>
  </si>
  <si>
    <t>24B</t>
  </si>
  <si>
    <t xml:space="preserve"> Glacier:</t>
  </si>
  <si>
    <t>Total snowpit depth(cm):</t>
  </si>
  <si>
    <t>Location:</t>
  </si>
  <si>
    <t>Depth of previous years' summer surface (cm):</t>
  </si>
  <si>
    <t xml:space="preserve">    Date:</t>
  </si>
  <si>
    <t>Average snow Depth (m):</t>
  </si>
  <si>
    <t xml:space="preserve">  Notebook:</t>
  </si>
  <si>
    <t>Column average density (g/cm^3):</t>
  </si>
  <si>
    <t>Sampler Type</t>
  </si>
  <si>
    <t>Snow Metrics</t>
  </si>
  <si>
    <t>Field Data</t>
  </si>
  <si>
    <t>Analysis</t>
  </si>
  <si>
    <t>Layer Values</t>
  </si>
  <si>
    <t>Cumulative  Values</t>
  </si>
  <si>
    <t>Additional snow depth measurements</t>
  </si>
  <si>
    <t>Layer Boundary</t>
  </si>
  <si>
    <t>C+S</t>
  </si>
  <si>
    <t>C</t>
  </si>
  <si>
    <t>SBD</t>
  </si>
  <si>
    <t>Volume</t>
  </si>
  <si>
    <t>Top</t>
  </si>
  <si>
    <t>Bottom</t>
  </si>
  <si>
    <t>Density</t>
  </si>
  <si>
    <t>SWE</t>
  </si>
  <si>
    <t xml:space="preserve"> Comments</t>
  </si>
  <si>
    <t>Type of meaasurement</t>
  </si>
  <si>
    <t>Snow Depth</t>
  </si>
  <si>
    <t>gm</t>
  </si>
  <si>
    <t>cm</t>
  </si>
  <si>
    <r>
      <t>cm</t>
    </r>
    <r>
      <rPr>
        <vertAlign val="superscript"/>
        <sz val="8"/>
        <rFont val="Arial"/>
        <family val="2"/>
      </rPr>
      <t>3</t>
    </r>
  </si>
  <si>
    <r>
      <t>gm/cm</t>
    </r>
    <r>
      <rPr>
        <vertAlign val="superscript"/>
        <sz val="8"/>
        <rFont val="Arial"/>
        <family val="2"/>
      </rPr>
      <t>3</t>
    </r>
  </si>
  <si>
    <t>m w.e.</t>
  </si>
  <si>
    <t>Pit</t>
  </si>
  <si>
    <t>Probe</t>
  </si>
  <si>
    <t xml:space="preserve"> </t>
  </si>
  <si>
    <t>Average =</t>
  </si>
  <si>
    <t>Stdev. =</t>
  </si>
  <si>
    <t>Only insert/delete rows from within the table above. This maintains the functionality of the spreadsheet</t>
  </si>
  <si>
    <t>Std.Err.Mean =</t>
  </si>
  <si>
    <t>Maximum =</t>
  </si>
  <si>
    <t>Minimum =</t>
  </si>
  <si>
    <t>24B Probe</t>
  </si>
  <si>
    <t>Bindex Probe</t>
  </si>
  <si>
    <t>24EB</t>
  </si>
  <si>
    <t>Gulkana</t>
  </si>
  <si>
    <t>Total Core Depth(cm):</t>
  </si>
  <si>
    <t>Depth of Previous Year's Summer Surface (cm):</t>
  </si>
  <si>
    <t>Average Snow Depth (m):</t>
  </si>
  <si>
    <t>Column Average Density (g/cm^3):</t>
  </si>
  <si>
    <t>Core Lengths</t>
  </si>
  <si>
    <t>Core Diameters</t>
  </si>
  <si>
    <t>Length 1</t>
  </si>
  <si>
    <t>Length 2</t>
  </si>
  <si>
    <t>Length 3</t>
  </si>
  <si>
    <t>Average Length</t>
  </si>
  <si>
    <t>Diameter 1</t>
  </si>
  <si>
    <t>Diameter 2</t>
  </si>
  <si>
    <t>Diameter 3</t>
  </si>
  <si>
    <t>Diameter 4</t>
  </si>
  <si>
    <t>Average Diameter</t>
  </si>
  <si>
    <t>(cm)</t>
  </si>
  <si>
    <r>
      <t>(g/cm</t>
    </r>
    <r>
      <rPr>
        <vertAlign val="superscript"/>
        <sz val="8"/>
        <rFont val="Arial"/>
        <family val="2"/>
      </rPr>
      <t>3)</t>
    </r>
  </si>
  <si>
    <t>Pit Data</t>
  </si>
  <si>
    <t>—</t>
  </si>
  <si>
    <t>Core Data</t>
  </si>
  <si>
    <t>24D</t>
  </si>
  <si>
    <t>appears to be melting out</t>
  </si>
  <si>
    <t>24AB</t>
  </si>
  <si>
    <t>24EHB</t>
  </si>
  <si>
    <t>24AU</t>
  </si>
  <si>
    <t>24T</t>
  </si>
  <si>
    <t>24Z</t>
  </si>
  <si>
    <t>not Found</t>
  </si>
  <si>
    <t>nan</t>
  </si>
  <si>
    <t>≥3.27</t>
  </si>
  <si>
    <t>Probe 24D</t>
  </si>
  <si>
    <t>new firn</t>
  </si>
  <si>
    <t>24KB</t>
  </si>
  <si>
    <t>old snow (ss24)</t>
  </si>
  <si>
    <t>firn (ss 23)</t>
  </si>
  <si>
    <t>25ZAF</t>
  </si>
  <si>
    <t>25AU</t>
  </si>
  <si>
    <t>25LS/25ZF</t>
  </si>
  <si>
    <t>Task</t>
  </si>
  <si>
    <t>Personnel</t>
  </si>
  <si>
    <t>Version</t>
  </si>
  <si>
    <t>field trip</t>
  </si>
  <si>
    <t>data entry</t>
  </si>
  <si>
    <t>ZAF</t>
  </si>
  <si>
    <t>LS, ZF, DR, C</t>
  </si>
  <si>
    <t>spring mass balance trip</t>
  </si>
  <si>
    <t>copied Gulkana Balance sheet over from 2024 and began data entry</t>
  </si>
  <si>
    <t>25LS</t>
  </si>
  <si>
    <t>2025 LS</t>
  </si>
  <si>
    <t>ice at 273</t>
  </si>
  <si>
    <t>25B Probe</t>
  </si>
  <si>
    <t>25ZF</t>
  </si>
  <si>
    <t>25B</t>
  </si>
  <si>
    <t>obvious dirty layer at 337</t>
  </si>
  <si>
    <t>2nd dirty layer at 390</t>
  </si>
  <si>
    <t>field notes, raw GPS uploaded to server</t>
  </si>
  <si>
    <t>25Z</t>
  </si>
  <si>
    <t>25T</t>
  </si>
  <si>
    <t>25AB</t>
  </si>
  <si>
    <t>LS</t>
  </si>
  <si>
    <t>Probe 24AB</t>
  </si>
  <si>
    <t>Probe 25AB</t>
  </si>
  <si>
    <t>chk pit B sheet, index probe depth at cell M29 does not match field notes
chk total length stake D, mismatch between pole label + as left notes
fix ZAF field note scan rotation and truncated page
24AB - zan concures winter ablation was 0.25 m height change</t>
  </si>
  <si>
    <t>NaN</t>
  </si>
  <si>
    <t>snow depth measurements</t>
  </si>
  <si>
    <t>Type of Measurement</t>
  </si>
  <si>
    <t>Probe index 01</t>
  </si>
  <si>
    <t>Probe index 02</t>
  </si>
  <si>
    <t>Probe index 03</t>
  </si>
  <si>
    <t>Probe index 04</t>
  </si>
  <si>
    <t>Probe index 05</t>
  </si>
  <si>
    <t>Probe index 06</t>
  </si>
  <si>
    <t>Probe index 08</t>
  </si>
  <si>
    <t>Probe index 07</t>
  </si>
  <si>
    <t>Probe index 09</t>
  </si>
  <si>
    <t>Probe index 10</t>
  </si>
  <si>
    <t>Probe 25AU</t>
  </si>
  <si>
    <t>Ice Lenses</t>
  </si>
  <si>
    <t>Annual Layers</t>
  </si>
  <si>
    <t>Height from SBD</t>
  </si>
  <si>
    <t>Thickness</t>
  </si>
  <si>
    <t>Ice volume</t>
  </si>
  <si>
    <t>Density w/o ice</t>
  </si>
  <si>
    <t>Depth</t>
  </si>
  <si>
    <r>
      <t>(cm</t>
    </r>
    <r>
      <rPr>
        <vertAlign val="superscript"/>
        <sz val="8"/>
        <color theme="1"/>
        <rFont val="Arial"/>
        <family val="2"/>
      </rPr>
      <t>3</t>
    </r>
    <r>
      <rPr>
        <sz val="8"/>
        <color theme="1"/>
        <rFont val="Arial"/>
        <family val="2"/>
      </rPr>
      <t>)</t>
    </r>
  </si>
  <si>
    <r>
      <t>(cm</t>
    </r>
    <r>
      <rPr>
        <vertAlign val="superscript"/>
        <sz val="8"/>
        <rFont val="Arial"/>
        <family val="2"/>
      </rPr>
      <t>3</t>
    </r>
    <r>
      <rPr>
        <sz val="8"/>
        <rFont val="Arial"/>
        <family val="2"/>
      </rPr>
      <t>)</t>
    </r>
  </si>
  <si>
    <r>
      <t>(g/cm</t>
    </r>
    <r>
      <rPr>
        <vertAlign val="superscript"/>
        <sz val="8"/>
        <rFont val="Arial"/>
        <family val="2"/>
      </rPr>
      <t>3</t>
    </r>
    <r>
      <rPr>
        <sz val="8"/>
        <rFont val="Arial"/>
        <family val="2"/>
      </rPr>
      <t>)</t>
    </r>
  </si>
  <si>
    <t xml:space="preserve">LS </t>
  </si>
  <si>
    <t>part way through entering data for firncore at Z</t>
  </si>
  <si>
    <t>summer 2024, dirty</t>
  </si>
  <si>
    <t>2019? very dirty</t>
  </si>
  <si>
    <t>2020? Dirty</t>
  </si>
  <si>
    <t>2021? possible dirt</t>
  </si>
  <si>
    <t>2022? faint dirty layer</t>
  </si>
  <si>
    <t>"possible slight color" - probably misinterpreted in "clear ice"</t>
  </si>
  <si>
    <t>2023? diagonal planar grain contact</t>
  </si>
  <si>
    <t>fine grained dry snow</t>
  </si>
  <si>
    <t>&gt;2mm coarse grained faceted</t>
  </si>
  <si>
    <t>&gt;2mm faceted</t>
  </si>
  <si>
    <t>clear dirty layer transition to much harder snow, summer 2024 at 430</t>
  </si>
  <si>
    <t>dirty, 2023 summer surface</t>
  </si>
  <si>
    <t>non descript coarse grained</t>
  </si>
  <si>
    <t>2mm faceted</t>
  </si>
  <si>
    <t>dirty layer, SS 2022?</t>
  </si>
  <si>
    <t>dirt SS 2021</t>
  </si>
  <si>
    <t>2mm partially faceted</t>
  </si>
  <si>
    <t>GPS coordinates inputed to stake sheets from .csv output file, pit/core for T</t>
  </si>
  <si>
    <t>dirt, SS 2020 No solid ice layers found , 2mm partially faceted</t>
  </si>
  <si>
    <t>between the 2 dirty layers (reflecting what is left of the 2023 accumulation given 0 accumulation in 2024)</t>
  </si>
  <si>
    <t>SS 2019, very dirty</t>
  </si>
  <si>
    <t>spring data entry review</t>
  </si>
  <si>
    <t>CM</t>
  </si>
  <si>
    <t>Added 'not found' entry for 24AU. 279cm was entered in several places as the total deptj/depth of pit at B, but notes indicate 27cm. Corrected 'Top' layer boundary columns to correctly calculate boundary between pit and core @ site T. Changed average stake snow depths columns to calculated mean from probes depths entered on probe/pit/core sheets--changed a few average stake snowdepths by 1cm.</t>
  </si>
  <si>
    <t>snowpit SWE:</t>
  </si>
  <si>
    <t>file cleanup</t>
  </si>
  <si>
    <t>38 deg stake lean</t>
  </si>
  <si>
    <t>Added 'not found' entry for 24Z.  deleted the _draft_Gulkana_Balance_2025 file in same directory after comparing and confirming it was the less complete file
Added entry for 24T, corrected gps location for 25T (was using 24T)</t>
  </si>
  <si>
    <t>2025 ZAN</t>
  </si>
  <si>
    <t>LS + ZF</t>
  </si>
  <si>
    <t>includes some of previous summer surface</t>
  </si>
  <si>
    <t>0.24m 2025 accumulation</t>
  </si>
  <si>
    <t>found 20D10.84, measured 6.10 (-0.40)= 5.7 below old snow, 0.32 m 2025 accumulation</t>
  </si>
  <si>
    <t>25ZF+25LS</t>
  </si>
  <si>
    <t xml:space="preserve">                      </t>
  </si>
  <si>
    <t>bent 30deg to SE</t>
  </si>
  <si>
    <t>entered stake data and pit data from both ZF and LS notebooks. Calculations are incomplete</t>
  </si>
  <si>
    <t>dirty layer @2.08 m</t>
  </si>
  <si>
    <t>includes 2024 ss @127</t>
  </si>
  <si>
    <t>Albin24D</t>
  </si>
  <si>
    <t>Albin25D</t>
  </si>
  <si>
    <t>24BD</t>
  </si>
  <si>
    <t>Albin25B</t>
  </si>
  <si>
    <t>25ABB</t>
  </si>
  <si>
    <t>24ABB</t>
  </si>
  <si>
    <t>24au</t>
  </si>
  <si>
    <t>25ZF/25DR</t>
  </si>
  <si>
    <t>snow density from AB pit</t>
  </si>
  <si>
    <t>data entry/check</t>
  </si>
  <si>
    <t>Albin24B</t>
  </si>
  <si>
    <t>??</t>
  </si>
  <si>
    <t>25ZF+25DR</t>
  </si>
  <si>
    <t>Albin25AB</t>
  </si>
  <si>
    <t>25ZF+??</t>
  </si>
  <si>
    <t>Albin24AB</t>
  </si>
  <si>
    <t>fall 2024</t>
  </si>
  <si>
    <t>spring 2025</t>
  </si>
  <si>
    <t>fall 2025</t>
  </si>
  <si>
    <t>spring 2024</t>
  </si>
  <si>
    <t>Albin24T</t>
  </si>
  <si>
    <t>fall2024</t>
  </si>
  <si>
    <t xml:space="preserve">Made spring and some fall24 additions to the Albin stake data.  This is work in progress. </t>
  </si>
  <si>
    <t>gps data entry</t>
  </si>
  <si>
    <t>6 deg stake lean from vertical</t>
  </si>
  <si>
    <t>updated location 8/27/25</t>
  </si>
  <si>
    <t xml:space="preserve">added fall 2025 PP GNSS survey data, filled in some spring 2025 GNSS data for albin stakes.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</si>
</sst>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mm/dd/yyyy"/>
    <numFmt numFmtId="165" formatCode="?,??0.00"/>
    <numFmt numFmtId="166" formatCode="?0.00"/>
    <numFmt numFmtId="167" formatCode="0.000"/>
    <numFmt numFmtId="168" formatCode="??0"/>
    <numFmt numFmtId="169" formatCode="??0.0"/>
    <numFmt numFmtId="170" formatCode="?0.0"/>
    <numFmt numFmtId="171" formatCode="mm/dd/yy"/>
    <numFmt numFmtId="172" formatCode="0.0"/>
  </numFmts>
  <fonts count="8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FFFF"/>
      <name val="Arial"/>
      <family val="2"/>
    </font>
    <font>
      <b/>
      <sz val="10"/>
      <color rgb="FF000000"/>
      <name val="Arial"/>
      <family val="2"/>
    </font>
    <font>
      <sz val="10"/>
      <color rgb="FF000000"/>
      <name val="Arial"/>
      <family val="2"/>
    </font>
    <font>
      <b/>
      <u/>
      <sz val="10"/>
      <color rgb="FF000000"/>
      <name val="Arial"/>
      <family val="2"/>
    </font>
    <font>
      <b/>
      <u/>
      <sz val="10"/>
      <name val="Arial"/>
      <family val="2"/>
    </font>
    <font>
      <b/>
      <sz val="10"/>
      <name val="Arial"/>
      <family val="2"/>
    </font>
    <font>
      <sz val="10"/>
      <color rgb="FF000000"/>
      <name val="Calibri"/>
      <family val="2"/>
    </font>
    <font>
      <sz val="8"/>
      <name val="Arial"/>
      <family val="2"/>
    </font>
    <font>
      <sz val="9"/>
      <color indexed="81"/>
      <name val="Tahoma"/>
      <family val="2"/>
    </font>
    <font>
      <b/>
      <sz val="9"/>
      <color indexed="81"/>
      <name val="Tahoma"/>
      <family val="2"/>
    </font>
    <font>
      <sz val="8"/>
      <name val="Arial"/>
      <family val="2"/>
    </font>
    <font>
      <sz val="8"/>
      <name val="Helv"/>
    </font>
    <font>
      <sz val="8"/>
      <color indexed="12"/>
      <name val="Arial"/>
      <family val="2"/>
    </font>
    <font>
      <b/>
      <sz val="8"/>
      <color indexed="8"/>
      <name val="Helv"/>
    </font>
    <font>
      <sz val="8"/>
      <color indexed="8"/>
      <name val="Arial"/>
      <family val="2"/>
    </font>
    <font>
      <u/>
      <sz val="8"/>
      <color indexed="12"/>
      <name val="Arial"/>
      <family val="2"/>
    </font>
    <font>
      <sz val="8"/>
      <color indexed="9"/>
      <name val="Arial"/>
      <family val="2"/>
    </font>
    <font>
      <sz val="8"/>
      <color indexed="10"/>
      <name val="Arial"/>
      <family val="2"/>
    </font>
    <font>
      <i/>
      <sz val="8"/>
      <color indexed="10"/>
      <name val="Arial"/>
      <family val="2"/>
    </font>
    <font>
      <i/>
      <sz val="8"/>
      <color indexed="14"/>
      <name val="Arial"/>
      <family val="2"/>
    </font>
    <font>
      <b/>
      <sz val="8"/>
      <color indexed="8"/>
      <name val="Arial"/>
      <family val="2"/>
    </font>
    <font>
      <i/>
      <sz val="8"/>
      <color indexed="8"/>
      <name val="Arial"/>
      <family val="2"/>
    </font>
    <font>
      <sz val="8"/>
      <color indexed="14"/>
      <name val="Arial"/>
      <family val="2"/>
    </font>
    <font>
      <sz val="10"/>
      <name val="Arial"/>
      <family val="2"/>
    </font>
    <font>
      <sz val="10"/>
      <color rgb="FF000000"/>
      <name val="AvantGarde"/>
      <family val="2"/>
    </font>
    <font>
      <sz val="10"/>
      <color theme="1"/>
      <name val="Arial"/>
      <family val="2"/>
    </font>
    <font>
      <b/>
      <sz val="10"/>
      <color theme="1"/>
      <name val="Arial"/>
      <family val="2"/>
    </font>
    <font>
      <sz val="10"/>
      <color theme="1"/>
      <name val="Calibri"/>
      <family val="2"/>
      <scheme val="minor"/>
    </font>
    <font>
      <b/>
      <sz val="10"/>
      <color rgb="FF000000"/>
      <name val="Calibri"/>
      <family val="2"/>
    </font>
    <font>
      <b/>
      <vertAlign val="subscript"/>
      <sz val="10"/>
      <color rgb="FF000000"/>
      <name val="Arial"/>
      <family val="2"/>
    </font>
    <font>
      <b/>
      <u/>
      <sz val="18"/>
      <color rgb="FF000000"/>
      <name val="Calibri"/>
      <family val="2"/>
    </font>
    <font>
      <sz val="10"/>
      <color theme="1"/>
      <name val="Segoe UI"/>
      <family val="2"/>
    </font>
    <font>
      <b/>
      <sz val="10"/>
      <color rgb="FF00FFFF"/>
      <name val="Segoe UI"/>
      <family val="2"/>
    </font>
    <font>
      <b/>
      <sz val="10"/>
      <color rgb="FF000000"/>
      <name val="Segoe UI"/>
      <family val="2"/>
    </font>
    <font>
      <b/>
      <u/>
      <sz val="10"/>
      <color rgb="FF000000"/>
      <name val="Segoe UI"/>
      <family val="2"/>
    </font>
    <font>
      <b/>
      <sz val="10"/>
      <color theme="1"/>
      <name val="Segoe UI"/>
      <family val="2"/>
    </font>
    <font>
      <b/>
      <u/>
      <sz val="10"/>
      <name val="Segoe UI"/>
      <family val="2"/>
    </font>
    <font>
      <sz val="10"/>
      <name val="Segoe UI"/>
      <family val="2"/>
    </font>
    <font>
      <b/>
      <vertAlign val="subscript"/>
      <sz val="10"/>
      <color rgb="FF000000"/>
      <name val="Segoe UI"/>
      <family val="2"/>
    </font>
    <font>
      <b/>
      <sz val="10"/>
      <name val="Segoe UI"/>
      <family val="2"/>
    </font>
    <font>
      <sz val="10"/>
      <color rgb="FF000000"/>
      <name val="Segoe UI"/>
      <family val="2"/>
    </font>
    <font>
      <b/>
      <u/>
      <sz val="18"/>
      <color rgb="FF000000"/>
      <name val="Segoe UI"/>
      <family val="2"/>
    </font>
    <font>
      <sz val="10"/>
      <name val="Arial"/>
      <family val="2"/>
    </font>
    <font>
      <b/>
      <sz val="8"/>
      <name val="Arial"/>
      <family val="2"/>
    </font>
    <font>
      <sz val="10"/>
      <color indexed="12"/>
      <name val="Arial"/>
      <family val="2"/>
    </font>
    <font>
      <sz val="10"/>
      <color rgb="FF0066FF"/>
      <name val="Arial"/>
      <family val="2"/>
    </font>
    <font>
      <b/>
      <u/>
      <sz val="8"/>
      <name val="Arial"/>
      <family val="2"/>
    </font>
    <font>
      <i/>
      <sz val="8"/>
      <name val="Arial"/>
      <family val="2"/>
    </font>
    <font>
      <vertAlign val="superscript"/>
      <sz val="8"/>
      <name val="Arial"/>
      <family val="2"/>
    </font>
    <font>
      <b/>
      <sz val="8"/>
      <color indexed="12"/>
      <name val="Arial"/>
      <family val="2"/>
    </font>
    <font>
      <sz val="8"/>
      <color indexed="16"/>
      <name val="Arial"/>
      <family val="2"/>
    </font>
    <font>
      <b/>
      <sz val="8"/>
      <color theme="5"/>
      <name val="Arial"/>
      <family val="2"/>
    </font>
    <font>
      <sz val="8"/>
      <color theme="5"/>
      <name val="Arial"/>
      <family val="2"/>
    </font>
    <font>
      <sz val="8"/>
      <color indexed="81"/>
      <name val="Tahoma"/>
      <family val="2"/>
    </font>
    <font>
      <b/>
      <u/>
      <sz val="8"/>
      <color theme="1"/>
      <name val="Arial"/>
      <family val="2"/>
    </font>
    <font>
      <b/>
      <sz val="8"/>
      <color theme="1"/>
      <name val="Arial"/>
      <family val="2"/>
    </font>
    <font>
      <sz val="8"/>
      <color theme="1"/>
      <name val="Arial"/>
      <family val="2"/>
    </font>
    <font>
      <sz val="8"/>
      <name val="Calibri"/>
      <family val="2"/>
    </font>
    <font>
      <b/>
      <u/>
      <sz val="16"/>
      <color rgb="FF000000"/>
      <name val="Segoe UI"/>
      <family val="2"/>
    </font>
    <font>
      <sz val="8"/>
      <color rgb="FFFF0000"/>
      <name val="Arial"/>
      <family val="2"/>
    </font>
    <font>
      <b/>
      <sz val="10"/>
      <color rgb="FFFF0000"/>
      <name val="Segoe UI"/>
      <family val="2"/>
    </font>
    <font>
      <vertAlign val="superscript"/>
      <sz val="8"/>
      <color theme="1"/>
      <name val="Arial"/>
      <family val="2"/>
    </font>
    <font>
      <sz val="9"/>
      <color indexed="81"/>
      <name val="Tahoma"/>
      <charset val="1"/>
    </font>
    <font>
      <b/>
      <sz val="9"/>
      <color indexed="81"/>
      <name val="Tahoma"/>
      <charset val="1"/>
    </font>
  </fonts>
  <fills count="32">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00"/>
        <bgColor indexed="64"/>
      </patternFill>
    </fill>
    <fill>
      <patternFill patternType="solid">
        <fgColor theme="6" tint="0.39997558519241921"/>
        <bgColor indexed="64"/>
      </patternFill>
    </fill>
    <fill>
      <patternFill patternType="solid">
        <fgColor theme="6" tint="0.39997558519241921"/>
        <bgColor rgb="FFC2D69B"/>
      </patternFill>
    </fill>
    <fill>
      <patternFill patternType="solid">
        <fgColor theme="2"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C2D69B"/>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79998168889431442"/>
        <bgColor rgb="FFC2D69B"/>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tint="-9.9978637043366805E-2"/>
        <bgColor rgb="FFC2D69B"/>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79646"/>
        <bgColor indexed="64"/>
      </patternFill>
    </fill>
    <fill>
      <patternFill patternType="solid">
        <fgColor rgb="FFFFCC00"/>
        <bgColor indexed="64"/>
      </patternFill>
    </fill>
    <fill>
      <patternFill patternType="solid">
        <fgColor rgb="FFCC6600"/>
        <bgColor indexed="64"/>
      </patternFill>
    </fill>
    <fill>
      <patternFill patternType="solid">
        <fgColor rgb="FFFFD215"/>
        <bgColor indexed="64"/>
      </patternFill>
    </fill>
    <fill>
      <patternFill patternType="solid">
        <fgColor rgb="FFFF9933"/>
        <bgColor indexed="64"/>
      </patternFill>
    </fill>
  </fills>
  <borders count="31">
    <border>
      <left/>
      <right/>
      <top/>
      <bottom/>
      <diagonal/>
    </border>
    <border>
      <left/>
      <right/>
      <top/>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12"/>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39">
    <xf numFmtId="0" fontId="0" fillId="0" borderId="0"/>
    <xf numFmtId="0" fontId="31" fillId="0" borderId="1" applyNumberFormat="0" applyFill="0" applyBorder="0" applyAlignment="0" applyProtection="0">
      <protection locked="0"/>
    </xf>
    <xf numFmtId="168" fontId="32" fillId="0" borderId="1" applyFont="0" applyFill="0" applyBorder="0" applyAlignment="0" applyProtection="0">
      <alignment horizontal="left"/>
      <protection locked="0"/>
    </xf>
    <xf numFmtId="167" fontId="32" fillId="0" borderId="1" applyFont="0" applyFill="0" applyBorder="0" applyAlignment="0" applyProtection="0"/>
    <xf numFmtId="0" fontId="20" fillId="0" borderId="1"/>
    <xf numFmtId="0" fontId="31" fillId="0" borderId="1" applyNumberFormat="0" applyFill="0" applyBorder="0" applyAlignment="0" applyProtection="0">
      <alignment horizontal="left" vertical="top" wrapText="1"/>
      <protection locked="0"/>
    </xf>
    <xf numFmtId="0" fontId="33" fillId="0" borderId="1" applyNumberFormat="0" applyFill="0" applyBorder="0" applyAlignment="0" applyProtection="0">
      <alignment horizontal="left"/>
      <protection locked="0"/>
    </xf>
    <xf numFmtId="170" fontId="34" fillId="0" borderId="10" applyFont="0" applyFill="0" applyBorder="0" applyAlignment="0" applyProtection="0">
      <alignment horizontal="center" vertical="top" wrapText="1"/>
      <protection locked="0"/>
    </xf>
    <xf numFmtId="0" fontId="33" fillId="0" borderId="1" applyNumberFormat="0" applyFill="0" applyBorder="0" applyAlignment="0" applyProtection="0">
      <alignment horizontal="center" vertical="top" wrapText="1"/>
    </xf>
    <xf numFmtId="0" fontId="35" fillId="0" borderId="1" applyNumberFormat="0" applyFill="0" applyBorder="0" applyAlignment="0" applyProtection="0">
      <alignment horizontal="center" vertical="top" wrapText="1"/>
      <protection locked="0"/>
    </xf>
    <xf numFmtId="0" fontId="36" fillId="0" borderId="1" applyNumberFormat="0" applyFill="0" applyBorder="0" applyAlignment="0" applyProtection="0">
      <alignment vertical="top"/>
      <protection locked="0"/>
    </xf>
    <xf numFmtId="169" fontId="32" fillId="0" borderId="1" applyFont="0" applyFill="0" applyBorder="0" applyAlignment="0" applyProtection="0">
      <alignment horizontal="left"/>
      <protection locked="0"/>
    </xf>
    <xf numFmtId="166" fontId="34" fillId="0" borderId="10" applyFont="0" applyFill="0" applyBorder="0" applyAlignment="0" applyProtection="0">
      <alignment horizontal="center" vertical="top" wrapText="1"/>
      <protection locked="0"/>
    </xf>
    <xf numFmtId="2" fontId="34" fillId="0" borderId="10" applyFont="0" applyFill="0" applyBorder="0" applyAlignment="0" applyProtection="0">
      <alignment horizontal="center" vertical="top" wrapText="1"/>
      <protection locked="0"/>
    </xf>
    <xf numFmtId="0" fontId="37" fillId="0" borderId="1" applyNumberFormat="0" applyFill="0" applyAlignment="0" applyProtection="0">
      <alignment horizontal="centerContinuous"/>
    </xf>
    <xf numFmtId="14" fontId="38" fillId="0" borderId="1" applyNumberFormat="0" applyBorder="0" applyAlignment="0" applyProtection="0">
      <alignment horizontal="center" vertical="top" wrapText="1"/>
      <protection locked="0"/>
    </xf>
    <xf numFmtId="14" fontId="39" fillId="0" borderId="1" applyNumberFormat="0" applyFill="0" applyBorder="0" applyAlignment="0" applyProtection="0">
      <alignment horizontal="center" vertical="top" wrapText="1"/>
      <protection locked="0"/>
    </xf>
    <xf numFmtId="14" fontId="40" fillId="0" borderId="12" applyNumberFormat="0" applyFill="0" applyBorder="0" applyAlignment="0" applyProtection="0">
      <alignment horizontal="center" vertical="center" wrapText="1"/>
    </xf>
    <xf numFmtId="169" fontId="32" fillId="0" borderId="1" applyNumberFormat="0" applyFill="0" applyBorder="0" applyAlignment="0" applyProtection="0">
      <alignment horizontal="left"/>
      <protection locked="0"/>
    </xf>
    <xf numFmtId="167" fontId="41" fillId="0" borderId="1" applyNumberFormat="0" applyFill="0" applyBorder="0" applyAlignment="0" applyProtection="0">
      <alignment horizontal="center" vertical="top" wrapText="1"/>
      <protection locked="0"/>
    </xf>
    <xf numFmtId="167" fontId="42" fillId="0" borderId="1" applyNumberFormat="0" applyFill="0" applyBorder="0" applyAlignment="0" applyProtection="0">
      <alignment horizontal="center" vertical="top" wrapText="1"/>
      <protection locked="0"/>
    </xf>
    <xf numFmtId="0" fontId="31" fillId="0" borderId="1" applyNumberFormat="0" applyFill="0" applyBorder="0" applyAlignment="0" applyProtection="0">
      <protection locked="0"/>
    </xf>
    <xf numFmtId="171" fontId="43" fillId="0" borderId="18" applyNumberFormat="0" applyFill="0" applyBorder="0" applyAlignment="0" applyProtection="0">
      <alignment horizontal="center" vertical="top" wrapText="1"/>
    </xf>
    <xf numFmtId="0" fontId="19" fillId="0" borderId="1"/>
    <xf numFmtId="0" fontId="28" fillId="0" borderId="1" applyNumberFormat="0" applyFill="0" applyBorder="0" applyAlignment="0" applyProtection="0">
      <protection locked="0"/>
    </xf>
    <xf numFmtId="0" fontId="18" fillId="0" borderId="1"/>
    <xf numFmtId="0" fontId="28" fillId="0" borderId="1" applyNumberFormat="0" applyFill="0" applyBorder="0" applyAlignment="0" applyProtection="0">
      <alignment horizontal="left" vertical="top" wrapText="1"/>
      <protection locked="0"/>
    </xf>
    <xf numFmtId="0" fontId="17" fillId="0" borderId="1"/>
    <xf numFmtId="0" fontId="16" fillId="0" borderId="1"/>
    <xf numFmtId="0" fontId="63" fillId="0" borderId="1"/>
    <xf numFmtId="0" fontId="15" fillId="0" borderId="1"/>
    <xf numFmtId="0" fontId="14" fillId="0" borderId="1"/>
    <xf numFmtId="0" fontId="13" fillId="0" borderId="1"/>
    <xf numFmtId="0" fontId="64" fillId="0" borderId="1" applyNumberFormat="0" applyFill="0" applyBorder="0" applyAlignment="0" applyProtection="0">
      <alignment horizontal="left"/>
      <protection locked="0"/>
    </xf>
    <xf numFmtId="0" fontId="12" fillId="0" borderId="1"/>
    <xf numFmtId="0" fontId="28" fillId="0" borderId="1" applyNumberFormat="0" applyFill="0" applyBorder="0" applyAlignment="0" applyProtection="0">
      <protection locked="0"/>
    </xf>
    <xf numFmtId="0" fontId="11" fillId="0" borderId="1"/>
    <xf numFmtId="0" fontId="10" fillId="0" borderId="1"/>
    <xf numFmtId="0" fontId="7" fillId="0" borderId="1"/>
  </cellStyleXfs>
  <cellXfs count="1429">
    <xf numFmtId="0" fontId="0" fillId="0" borderId="0" xfId="0"/>
    <xf numFmtId="0" fontId="23" fillId="0" borderId="1" xfId="0" applyFont="1" applyBorder="1" applyAlignment="1">
      <alignment horizontal="center"/>
    </xf>
    <xf numFmtId="4" fontId="24" fillId="0" borderId="1" xfId="0" applyNumberFormat="1" applyFont="1" applyBorder="1" applyAlignment="1">
      <alignment horizontal="center"/>
    </xf>
    <xf numFmtId="4" fontId="22" fillId="0" borderId="1" xfId="0" applyNumberFormat="1" applyFont="1" applyBorder="1" applyAlignment="1">
      <alignment horizontal="center" vertical="top"/>
    </xf>
    <xf numFmtId="0" fontId="22" fillId="0" borderId="1" xfId="0" applyFont="1" applyBorder="1" applyAlignment="1">
      <alignment horizontal="center" vertical="top"/>
    </xf>
    <xf numFmtId="4" fontId="22" fillId="0" borderId="1" xfId="0" applyNumberFormat="1" applyFont="1" applyBorder="1" applyAlignment="1">
      <alignment horizontal="center"/>
    </xf>
    <xf numFmtId="0" fontId="22" fillId="0" borderId="1" xfId="0" applyFont="1" applyBorder="1" applyAlignment="1">
      <alignment horizontal="center" vertical="center"/>
    </xf>
    <xf numFmtId="0" fontId="27" fillId="0" borderId="1" xfId="0" applyFont="1" applyBorder="1"/>
    <xf numFmtId="0" fontId="23" fillId="2" borderId="1" xfId="0" applyFont="1" applyFill="1" applyBorder="1"/>
    <xf numFmtId="2" fontId="23" fillId="2" borderId="1" xfId="0" applyNumberFormat="1" applyFont="1" applyFill="1" applyBorder="1"/>
    <xf numFmtId="4" fontId="22" fillId="0" borderId="1" xfId="0" applyNumberFormat="1" applyFont="1" applyBorder="1" applyAlignment="1">
      <alignment horizontal="center" vertical="center"/>
    </xf>
    <xf numFmtId="0" fontId="0" fillId="0" borderId="0" xfId="0"/>
    <xf numFmtId="0" fontId="23" fillId="0" borderId="2" xfId="0" applyFont="1" applyBorder="1" applyAlignment="1">
      <alignment horizontal="center"/>
    </xf>
    <xf numFmtId="0" fontId="27" fillId="0" borderId="1" xfId="0" applyFont="1" applyBorder="1" applyAlignment="1">
      <alignment horizontal="center"/>
    </xf>
    <xf numFmtId="2" fontId="27" fillId="0" borderId="1" xfId="0" applyNumberFormat="1" applyFont="1" applyBorder="1" applyAlignment="1">
      <alignment horizontal="center"/>
    </xf>
    <xf numFmtId="0" fontId="23" fillId="0" borderId="20" xfId="0" applyFont="1" applyBorder="1" applyAlignment="1">
      <alignment horizontal="center"/>
    </xf>
    <xf numFmtId="0" fontId="27" fillId="0" borderId="1" xfId="0" applyFont="1" applyFill="1" applyBorder="1"/>
    <xf numFmtId="4" fontId="47" fillId="0" borderId="1" xfId="0" applyNumberFormat="1" applyFont="1" applyBorder="1" applyAlignment="1">
      <alignment horizontal="center"/>
    </xf>
    <xf numFmtId="0" fontId="22" fillId="0" borderId="2" xfId="0" applyFont="1" applyBorder="1" applyAlignment="1">
      <alignment horizontal="center"/>
    </xf>
    <xf numFmtId="0" fontId="22" fillId="0" borderId="20" xfId="0" applyFont="1" applyBorder="1" applyAlignment="1">
      <alignment horizontal="center"/>
    </xf>
    <xf numFmtId="0" fontId="0" fillId="0" borderId="1" xfId="0" applyBorder="1"/>
    <xf numFmtId="0" fontId="23" fillId="0" borderId="1" xfId="0" applyFont="1" applyFill="1" applyBorder="1"/>
    <xf numFmtId="0" fontId="22" fillId="0" borderId="2" xfId="0" applyFont="1" applyBorder="1" applyAlignment="1">
      <alignment horizontal="center" vertical="top"/>
    </xf>
    <xf numFmtId="0" fontId="22" fillId="0" borderId="2" xfId="0" applyFont="1" applyBorder="1" applyAlignment="1">
      <alignment horizontal="center" vertical="center"/>
    </xf>
    <xf numFmtId="164" fontId="21" fillId="0" borderId="15" xfId="0" applyNumberFormat="1" applyFont="1" applyBorder="1" applyAlignment="1">
      <alignment horizontal="center" vertical="top"/>
    </xf>
    <xf numFmtId="0" fontId="22" fillId="0" borderId="14" xfId="0" applyFont="1" applyBorder="1" applyAlignment="1">
      <alignment horizontal="center" vertical="top"/>
    </xf>
    <xf numFmtId="0" fontId="23" fillId="0" borderId="22" xfId="0" applyFont="1" applyBorder="1" applyAlignment="1">
      <alignment horizontal="center"/>
    </xf>
    <xf numFmtId="0" fontId="23" fillId="0" borderId="24" xfId="0" applyFont="1" applyBorder="1" applyAlignment="1">
      <alignment horizontal="center"/>
    </xf>
    <xf numFmtId="0" fontId="23" fillId="0" borderId="14" xfId="0" applyFont="1" applyBorder="1" applyAlignment="1">
      <alignment horizontal="center"/>
    </xf>
    <xf numFmtId="4" fontId="22" fillId="0" borderId="14" xfId="0" applyNumberFormat="1" applyFont="1" applyBorder="1" applyAlignment="1">
      <alignment horizontal="center" vertical="top"/>
    </xf>
    <xf numFmtId="4" fontId="23" fillId="0" borderId="14" xfId="0" applyNumberFormat="1" applyFont="1" applyBorder="1" applyAlignment="1">
      <alignment horizontal="center"/>
    </xf>
    <xf numFmtId="164" fontId="21" fillId="0" borderId="12" xfId="0" applyNumberFormat="1" applyFont="1" applyBorder="1" applyAlignment="1">
      <alignment horizontal="center" vertical="top"/>
    </xf>
    <xf numFmtId="164" fontId="22" fillId="0" borderId="12" xfId="0" applyNumberFormat="1" applyFont="1" applyBorder="1" applyAlignment="1">
      <alignment horizontal="center" vertical="center"/>
    </xf>
    <xf numFmtId="164" fontId="23" fillId="0" borderId="7" xfId="0" applyNumberFormat="1" applyFont="1" applyBorder="1" applyAlignment="1">
      <alignment horizontal="center" vertical="top"/>
    </xf>
    <xf numFmtId="0" fontId="23" fillId="0" borderId="8" xfId="0" applyFont="1" applyBorder="1" applyAlignment="1">
      <alignment horizontal="center" vertical="top"/>
    </xf>
    <xf numFmtId="0" fontId="23" fillId="0" borderId="23" xfId="0" applyFont="1" applyBorder="1" applyAlignment="1">
      <alignment horizontal="center"/>
    </xf>
    <xf numFmtId="0" fontId="23" fillId="0" borderId="8" xfId="0" applyFont="1" applyBorder="1" applyAlignment="1">
      <alignment horizontal="center"/>
    </xf>
    <xf numFmtId="4" fontId="0" fillId="0" borderId="8" xfId="0" applyNumberFormat="1" applyFont="1" applyBorder="1" applyAlignment="1">
      <alignment horizontal="center"/>
    </xf>
    <xf numFmtId="4" fontId="23" fillId="0" borderId="8" xfId="0" applyNumberFormat="1" applyFont="1" applyBorder="1" applyAlignment="1">
      <alignment horizontal="center" vertical="top"/>
    </xf>
    <xf numFmtId="4" fontId="23" fillId="0" borderId="8" xfId="0" applyNumberFormat="1" applyFont="1" applyBorder="1" applyAlignment="1">
      <alignment horizontal="center"/>
    </xf>
    <xf numFmtId="2" fontId="0" fillId="0" borderId="8" xfId="0" applyNumberFormat="1" applyFont="1" applyBorder="1" applyAlignment="1">
      <alignment horizontal="center"/>
    </xf>
    <xf numFmtId="0" fontId="23" fillId="0" borderId="6" xfId="0" applyFont="1" applyBorder="1" applyAlignment="1">
      <alignment horizontal="center"/>
    </xf>
    <xf numFmtId="4" fontId="46" fillId="0" borderId="8" xfId="0" applyNumberFormat="1" applyFont="1" applyBorder="1" applyAlignment="1">
      <alignment horizontal="center"/>
    </xf>
    <xf numFmtId="0" fontId="23" fillId="0" borderId="9" xfId="0" applyFont="1" applyBorder="1" applyAlignment="1">
      <alignment horizontal="center"/>
    </xf>
    <xf numFmtId="2" fontId="0" fillId="0" borderId="1" xfId="0" applyNumberFormat="1" applyBorder="1"/>
    <xf numFmtId="0" fontId="22" fillId="0" borderId="13" xfId="0" applyFont="1" applyBorder="1" applyAlignment="1">
      <alignment horizontal="center" vertical="top"/>
    </xf>
    <xf numFmtId="0" fontId="23" fillId="0" borderId="9" xfId="0" applyFont="1" applyBorder="1" applyAlignment="1">
      <alignment horizontal="center" vertical="top"/>
    </xf>
    <xf numFmtId="4" fontId="23" fillId="0" borderId="25" xfId="0" applyNumberFormat="1" applyFont="1" applyBorder="1" applyAlignment="1">
      <alignment horizontal="center" vertical="top"/>
    </xf>
    <xf numFmtId="0" fontId="0" fillId="0" borderId="1" xfId="0" applyFill="1" applyBorder="1"/>
    <xf numFmtId="4" fontId="24" fillId="0" borderId="14" xfId="0" applyNumberFormat="1" applyFont="1" applyBorder="1" applyAlignment="1">
      <alignment horizontal="center"/>
    </xf>
    <xf numFmtId="4" fontId="22" fillId="0" borderId="16" xfId="0" applyNumberFormat="1" applyFont="1" applyBorder="1" applyAlignment="1">
      <alignment horizontal="center" vertical="top"/>
    </xf>
    <xf numFmtId="4" fontId="22" fillId="0" borderId="5" xfId="0" applyNumberFormat="1" applyFont="1" applyBorder="1" applyAlignment="1">
      <alignment horizontal="center" vertical="top"/>
    </xf>
    <xf numFmtId="0" fontId="22" fillId="0" borderId="5" xfId="0" applyFont="1" applyBorder="1" applyAlignment="1">
      <alignment horizontal="center"/>
    </xf>
    <xf numFmtId="4" fontId="22" fillId="0" borderId="5" xfId="0" applyNumberFormat="1" applyFont="1" applyBorder="1" applyAlignment="1">
      <alignment horizontal="center" vertical="center"/>
    </xf>
    <xf numFmtId="0" fontId="23" fillId="0" borderId="13" xfId="0" applyFont="1" applyBorder="1" applyAlignment="1">
      <alignment horizontal="center"/>
    </xf>
    <xf numFmtId="4" fontId="24" fillId="0" borderId="3" xfId="0" applyNumberFormat="1" applyFont="1" applyBorder="1" applyAlignment="1">
      <alignment horizontal="center"/>
    </xf>
    <xf numFmtId="0" fontId="0" fillId="0" borderId="3" xfId="0" applyBorder="1"/>
    <xf numFmtId="0" fontId="26" fillId="0" borderId="1" xfId="0" applyFont="1" applyBorder="1" applyAlignment="1">
      <alignment horizontal="center"/>
    </xf>
    <xf numFmtId="4" fontId="22" fillId="0" borderId="15" xfId="0" applyNumberFormat="1" applyFont="1" applyBorder="1" applyAlignment="1">
      <alignment horizontal="center" vertical="top"/>
    </xf>
    <xf numFmtId="4" fontId="22" fillId="0" borderId="17" xfId="0" applyNumberFormat="1" applyFont="1" applyBorder="1" applyAlignment="1">
      <alignment horizontal="center"/>
    </xf>
    <xf numFmtId="4" fontId="24" fillId="0" borderId="3" xfId="0" applyNumberFormat="1" applyFont="1" applyBorder="1" applyAlignment="1">
      <alignment horizontal="center" vertical="top"/>
    </xf>
    <xf numFmtId="4" fontId="24" fillId="0" borderId="1" xfId="0" applyNumberFormat="1" applyFont="1" applyBorder="1" applyAlignment="1">
      <alignment horizontal="center" vertical="top"/>
    </xf>
    <xf numFmtId="0" fontId="0" fillId="0" borderId="12" xfId="0" applyBorder="1"/>
    <xf numFmtId="0" fontId="0" fillId="0" borderId="11" xfId="0" applyBorder="1"/>
    <xf numFmtId="4" fontId="22" fillId="0" borderId="12" xfId="0" applyNumberFormat="1" applyFont="1" applyBorder="1" applyAlignment="1">
      <alignment horizontal="center"/>
    </xf>
    <xf numFmtId="4" fontId="47" fillId="0" borderId="11" xfId="0" applyNumberFormat="1" applyFont="1" applyBorder="1" applyAlignment="1">
      <alignment horizontal="center"/>
    </xf>
    <xf numFmtId="0" fontId="22" fillId="0" borderId="20" xfId="0" applyFont="1" applyBorder="1" applyAlignment="1">
      <alignment horizontal="center" vertical="center"/>
    </xf>
    <xf numFmtId="0" fontId="22" fillId="0" borderId="3" xfId="0" applyFont="1" applyBorder="1" applyAlignment="1">
      <alignment horizontal="center" vertical="center"/>
    </xf>
    <xf numFmtId="4" fontId="24" fillId="0" borderId="3" xfId="0" applyNumberFormat="1" applyFont="1" applyBorder="1" applyAlignment="1">
      <alignment horizontal="center" vertical="center" wrapText="1"/>
    </xf>
    <xf numFmtId="4" fontId="22" fillId="0" borderId="12" xfId="0" applyNumberFormat="1" applyFont="1" applyBorder="1" applyAlignment="1">
      <alignment horizontal="center" vertical="center"/>
    </xf>
    <xf numFmtId="4" fontId="47" fillId="0" borderId="1" xfId="0" applyNumberFormat="1" applyFont="1" applyBorder="1" applyAlignment="1">
      <alignment horizontal="center" vertical="center"/>
    </xf>
    <xf numFmtId="4" fontId="47" fillId="0" borderId="11" xfId="0" applyNumberFormat="1" applyFont="1" applyBorder="1" applyAlignment="1">
      <alignment horizontal="center" vertical="center"/>
    </xf>
    <xf numFmtId="2" fontId="26" fillId="0" borderId="1" xfId="0" applyNumberFormat="1" applyFont="1" applyBorder="1" applyAlignment="1">
      <alignment horizontal="center" vertical="center"/>
    </xf>
    <xf numFmtId="165" fontId="26" fillId="0" borderId="11" xfId="0" applyNumberFormat="1" applyFont="1" applyBorder="1" applyAlignment="1">
      <alignment horizontal="center" vertical="center"/>
    </xf>
    <xf numFmtId="0" fontId="0" fillId="0" borderId="1" xfId="0" applyBorder="1" applyAlignment="1">
      <alignment vertical="center"/>
    </xf>
    <xf numFmtId="4" fontId="23" fillId="0" borderId="7" xfId="0" applyNumberFormat="1" applyFont="1" applyBorder="1" applyAlignment="1">
      <alignment horizontal="center"/>
    </xf>
    <xf numFmtId="4" fontId="46" fillId="0" borderId="6" xfId="0" applyNumberFormat="1" applyFont="1" applyBorder="1" applyAlignment="1">
      <alignment horizontal="center"/>
    </xf>
    <xf numFmtId="4" fontId="26" fillId="4" borderId="14" xfId="0" applyNumberFormat="1" applyFont="1" applyFill="1" applyBorder="1" applyAlignment="1">
      <alignment horizontal="center"/>
    </xf>
    <xf numFmtId="0" fontId="26" fillId="4" borderId="14" xfId="0" applyFont="1" applyFill="1" applyBorder="1"/>
    <xf numFmtId="4" fontId="26" fillId="4" borderId="17" xfId="0" applyNumberFormat="1" applyFont="1" applyFill="1" applyBorder="1" applyAlignment="1">
      <alignment horizontal="center"/>
    </xf>
    <xf numFmtId="0" fontId="49" fillId="2" borderId="10" xfId="0" applyFont="1" applyFill="1" applyBorder="1"/>
    <xf numFmtId="164" fontId="49" fillId="2" borderId="10" xfId="0" applyNumberFormat="1" applyFont="1" applyFill="1" applyBorder="1"/>
    <xf numFmtId="0" fontId="49" fillId="2" borderId="10" xfId="0" applyFont="1" applyFill="1" applyBorder="1" applyAlignment="1">
      <alignment horizontal="center"/>
    </xf>
    <xf numFmtId="164" fontId="26" fillId="4" borderId="10" xfId="0" applyNumberFormat="1" applyFont="1" applyFill="1" applyBorder="1"/>
    <xf numFmtId="14" fontId="49" fillId="2" borderId="27" xfId="0" applyNumberFormat="1" applyFont="1" applyFill="1" applyBorder="1"/>
    <xf numFmtId="0" fontId="23" fillId="2" borderId="12" xfId="0" applyFont="1" applyFill="1" applyBorder="1"/>
    <xf numFmtId="0" fontId="23" fillId="2" borderId="2" xfId="0" applyFont="1" applyFill="1" applyBorder="1" applyAlignment="1">
      <alignment horizontal="right"/>
    </xf>
    <xf numFmtId="0" fontId="0" fillId="4" borderId="1" xfId="0" applyFill="1" applyBorder="1"/>
    <xf numFmtId="0" fontId="23" fillId="2" borderId="11" xfId="0" applyFont="1" applyFill="1" applyBorder="1"/>
    <xf numFmtId="0" fontId="46" fillId="4" borderId="2" xfId="0" applyFont="1" applyFill="1" applyBorder="1" applyAlignment="1">
      <alignment horizontal="right"/>
    </xf>
    <xf numFmtId="0" fontId="48" fillId="4" borderId="2" xfId="0" applyFont="1" applyFill="1" applyBorder="1" applyAlignment="1">
      <alignment horizontal="right"/>
    </xf>
    <xf numFmtId="0" fontId="23" fillId="2" borderId="7" xfId="0" applyFont="1" applyFill="1" applyBorder="1"/>
    <xf numFmtId="0" fontId="48" fillId="4" borderId="9" xfId="0" applyFont="1" applyFill="1" applyBorder="1" applyAlignment="1">
      <alignment horizontal="right"/>
    </xf>
    <xf numFmtId="2" fontId="23" fillId="2" borderId="8" xfId="0" applyNumberFormat="1" applyFont="1" applyFill="1" applyBorder="1"/>
    <xf numFmtId="0" fontId="23" fillId="2" borderId="8" xfId="0" applyFont="1" applyFill="1" applyBorder="1"/>
    <xf numFmtId="4" fontId="23" fillId="2" borderId="8" xfId="0" applyNumberFormat="1" applyFont="1" applyFill="1" applyBorder="1"/>
    <xf numFmtId="0" fontId="23" fillId="2" borderId="6" xfId="0" applyFont="1" applyFill="1" applyBorder="1"/>
    <xf numFmtId="14" fontId="0" fillId="0" borderId="1" xfId="0" applyNumberFormat="1" applyBorder="1"/>
    <xf numFmtId="4" fontId="0" fillId="0" borderId="1" xfId="0" applyNumberFormat="1" applyBorder="1"/>
    <xf numFmtId="0" fontId="0" fillId="0" borderId="8" xfId="0" applyBorder="1"/>
    <xf numFmtId="0" fontId="0" fillId="0" borderId="6" xfId="0" applyBorder="1"/>
    <xf numFmtId="14" fontId="44" fillId="0" borderId="1" xfId="0" applyNumberFormat="1" applyFont="1" applyBorder="1"/>
    <xf numFmtId="2" fontId="0" fillId="0" borderId="11" xfId="0" applyNumberFormat="1" applyBorder="1"/>
    <xf numFmtId="14" fontId="46" fillId="5" borderId="12" xfId="0" applyNumberFormat="1" applyFont="1" applyFill="1" applyBorder="1" applyAlignment="1">
      <alignment horizontal="center"/>
    </xf>
    <xf numFmtId="0" fontId="46" fillId="5" borderId="1" xfId="0" applyFont="1" applyFill="1" applyBorder="1" applyAlignment="1">
      <alignment horizontal="center"/>
    </xf>
    <xf numFmtId="0" fontId="46" fillId="5" borderId="2" xfId="0" applyFont="1" applyFill="1" applyBorder="1" applyAlignment="1">
      <alignment horizontal="center"/>
    </xf>
    <xf numFmtId="0" fontId="46" fillId="5" borderId="20" xfId="0" applyFont="1" applyFill="1" applyBorder="1" applyAlignment="1">
      <alignment horizontal="center"/>
    </xf>
    <xf numFmtId="4" fontId="46" fillId="5" borderId="1" xfId="0" applyNumberFormat="1" applyFont="1" applyFill="1" applyBorder="1" applyAlignment="1">
      <alignment horizontal="center"/>
    </xf>
    <xf numFmtId="4" fontId="46" fillId="5" borderId="5" xfId="0" applyNumberFormat="1" applyFont="1" applyFill="1" applyBorder="1" applyAlignment="1">
      <alignment horizontal="center"/>
    </xf>
    <xf numFmtId="4" fontId="46" fillId="5" borderId="3" xfId="0" applyNumberFormat="1" applyFont="1" applyFill="1" applyBorder="1" applyAlignment="1">
      <alignment horizontal="center"/>
    </xf>
    <xf numFmtId="4" fontId="46" fillId="5" borderId="2" xfId="0" applyNumberFormat="1" applyFont="1" applyFill="1" applyBorder="1" applyAlignment="1">
      <alignment horizontal="center"/>
    </xf>
    <xf numFmtId="4" fontId="0" fillId="0" borderId="7" xfId="0" applyNumberFormat="1" applyFont="1" applyBorder="1" applyAlignment="1">
      <alignment horizontal="center"/>
    </xf>
    <xf numFmtId="4" fontId="0" fillId="0" borderId="6" xfId="0" applyNumberFormat="1" applyFont="1" applyBorder="1" applyAlignment="1">
      <alignment horizontal="center"/>
    </xf>
    <xf numFmtId="0" fontId="52" fillId="4" borderId="2" xfId="0" applyFont="1" applyFill="1" applyBorder="1" applyAlignment="1">
      <alignment horizontal="right"/>
    </xf>
    <xf numFmtId="0" fontId="52" fillId="4" borderId="9" xfId="0" applyFont="1" applyFill="1" applyBorder="1" applyAlignment="1">
      <alignment horizontal="right"/>
    </xf>
    <xf numFmtId="164" fontId="53" fillId="0" borderId="12" xfId="0" applyNumberFormat="1" applyFont="1" applyBorder="1" applyAlignment="1">
      <alignment horizontal="center" vertical="top"/>
    </xf>
    <xf numFmtId="0" fontId="54" fillId="0" borderId="1" xfId="0" applyFont="1" applyBorder="1" applyAlignment="1">
      <alignment horizontal="center" vertical="top"/>
    </xf>
    <xf numFmtId="0" fontId="54" fillId="0" borderId="2" xfId="0" applyFont="1" applyBorder="1" applyAlignment="1">
      <alignment horizontal="center" vertical="top"/>
    </xf>
    <xf numFmtId="0" fontId="54" fillId="0" borderId="20" xfId="0" applyFont="1" applyBorder="1" applyAlignment="1">
      <alignment horizontal="center"/>
    </xf>
    <xf numFmtId="0" fontId="54" fillId="0" borderId="5" xfId="0" applyFont="1" applyBorder="1" applyAlignment="1">
      <alignment horizontal="center"/>
    </xf>
    <xf numFmtId="4" fontId="54" fillId="0" borderId="1" xfId="0" applyNumberFormat="1" applyFont="1" applyBorder="1" applyAlignment="1">
      <alignment horizontal="center"/>
    </xf>
    <xf numFmtId="4" fontId="55" fillId="0" borderId="3" xfId="0" applyNumberFormat="1" applyFont="1" applyBorder="1" applyAlignment="1">
      <alignment horizontal="center"/>
    </xf>
    <xf numFmtId="4" fontId="55" fillId="0" borderId="1" xfId="0" applyNumberFormat="1" applyFont="1" applyBorder="1" applyAlignment="1">
      <alignment horizontal="center"/>
    </xf>
    <xf numFmtId="4" fontId="54" fillId="0" borderId="12" xfId="0" applyNumberFormat="1" applyFont="1" applyBorder="1" applyAlignment="1">
      <alignment horizontal="center"/>
    </xf>
    <xf numFmtId="4" fontId="56" fillId="0" borderId="1" xfId="0" applyNumberFormat="1" applyFont="1" applyBorder="1" applyAlignment="1">
      <alignment horizontal="center"/>
    </xf>
    <xf numFmtId="4" fontId="56" fillId="0" borderId="11" xfId="0" applyNumberFormat="1" applyFont="1" applyBorder="1" applyAlignment="1">
      <alignment horizontal="center"/>
    </xf>
    <xf numFmtId="0" fontId="54" fillId="0" borderId="2" xfId="0" applyFont="1" applyBorder="1" applyAlignment="1">
      <alignment horizontal="center"/>
    </xf>
    <xf numFmtId="0" fontId="58" fillId="0" borderId="1" xfId="0" applyFont="1" applyBorder="1"/>
    <xf numFmtId="4" fontId="55" fillId="0" borderId="3" xfId="0" applyNumberFormat="1" applyFont="1" applyBorder="1" applyAlignment="1">
      <alignment horizontal="center" vertical="center" wrapText="1"/>
    </xf>
    <xf numFmtId="164" fontId="61" fillId="0" borderId="7" xfId="0" applyNumberFormat="1" applyFont="1" applyBorder="1" applyAlignment="1">
      <alignment horizontal="center" vertical="top"/>
    </xf>
    <xf numFmtId="0" fontId="61" fillId="0" borderId="8" xfId="0" applyFont="1" applyBorder="1" applyAlignment="1">
      <alignment horizontal="center" vertical="top"/>
    </xf>
    <xf numFmtId="0" fontId="61" fillId="0" borderId="9" xfId="0" applyFont="1" applyBorder="1" applyAlignment="1">
      <alignment horizontal="center" vertical="top"/>
    </xf>
    <xf numFmtId="0" fontId="61" fillId="0" borderId="23" xfId="0" applyFont="1" applyBorder="1" applyAlignment="1">
      <alignment horizontal="center"/>
    </xf>
    <xf numFmtId="4" fontId="58" fillId="0" borderId="8" xfId="0" applyNumberFormat="1" applyFont="1" applyBorder="1" applyAlignment="1">
      <alignment horizontal="center"/>
    </xf>
    <xf numFmtId="4" fontId="58" fillId="0" borderId="6" xfId="0" applyNumberFormat="1" applyFont="1" applyBorder="1" applyAlignment="1">
      <alignment horizontal="center"/>
    </xf>
    <xf numFmtId="4" fontId="58" fillId="0" borderId="4" xfId="0" applyNumberFormat="1" applyFont="1" applyBorder="1" applyAlignment="1">
      <alignment horizontal="center"/>
    </xf>
    <xf numFmtId="0" fontId="61" fillId="0" borderId="8" xfId="0" applyFont="1" applyBorder="1" applyAlignment="1">
      <alignment horizontal="center"/>
    </xf>
    <xf numFmtId="4" fontId="61" fillId="0" borderId="25" xfId="0" applyNumberFormat="1" applyFont="1" applyBorder="1" applyAlignment="1">
      <alignment horizontal="center" vertical="top"/>
    </xf>
    <xf numFmtId="4" fontId="61" fillId="0" borderId="8" xfId="0" applyNumberFormat="1" applyFont="1" applyBorder="1" applyAlignment="1">
      <alignment horizontal="center" vertical="top"/>
    </xf>
    <xf numFmtId="4" fontId="61" fillId="0" borderId="7" xfId="0" applyNumberFormat="1" applyFont="1" applyBorder="1" applyAlignment="1">
      <alignment horizontal="center"/>
    </xf>
    <xf numFmtId="4" fontId="61" fillId="0" borderId="8" xfId="0" applyNumberFormat="1" applyFont="1" applyBorder="1" applyAlignment="1">
      <alignment horizontal="center"/>
    </xf>
    <xf numFmtId="4" fontId="52" fillId="0" borderId="8" xfId="0" applyNumberFormat="1" applyFont="1" applyBorder="1" applyAlignment="1">
      <alignment horizontal="center"/>
    </xf>
    <xf numFmtId="4" fontId="52" fillId="0" borderId="6" xfId="0" applyNumberFormat="1" applyFont="1" applyBorder="1" applyAlignment="1">
      <alignment horizontal="center"/>
    </xf>
    <xf numFmtId="2" fontId="58" fillId="0" borderId="8" xfId="0" applyNumberFormat="1" applyFont="1" applyBorder="1" applyAlignment="1">
      <alignment horizontal="center"/>
    </xf>
    <xf numFmtId="0" fontId="61" fillId="0" borderId="6" xfId="0" applyFont="1" applyBorder="1" applyAlignment="1">
      <alignment horizontal="center"/>
    </xf>
    <xf numFmtId="0" fontId="61" fillId="0" borderId="9" xfId="0" applyFont="1" applyBorder="1" applyAlignment="1">
      <alignment horizontal="center"/>
    </xf>
    <xf numFmtId="0" fontId="58" fillId="0" borderId="1" xfId="0" applyFont="1" applyFill="1" applyBorder="1"/>
    <xf numFmtId="0" fontId="61" fillId="0" borderId="1" xfId="0" applyFont="1" applyFill="1" applyBorder="1"/>
    <xf numFmtId="0" fontId="58" fillId="0" borderId="11" xfId="0" applyFont="1" applyBorder="1"/>
    <xf numFmtId="0" fontId="58" fillId="0" borderId="12" xfId="0" applyFont="1" applyBorder="1"/>
    <xf numFmtId="0" fontId="61" fillId="0" borderId="1" xfId="0" applyFont="1" applyBorder="1" applyAlignment="1">
      <alignment horizontal="center"/>
    </xf>
    <xf numFmtId="2" fontId="61" fillId="0" borderId="1" xfId="0" applyNumberFormat="1" applyFont="1" applyBorder="1" applyAlignment="1">
      <alignment horizontal="center"/>
    </xf>
    <xf numFmtId="0" fontId="61" fillId="0" borderId="1" xfId="0" applyFont="1" applyBorder="1"/>
    <xf numFmtId="4" fontId="60" fillId="4" borderId="14" xfId="0" applyNumberFormat="1" applyFont="1" applyFill="1" applyBorder="1" applyAlignment="1">
      <alignment horizontal="center"/>
    </xf>
    <xf numFmtId="0" fontId="60" fillId="4" borderId="14" xfId="0" applyFont="1" applyFill="1" applyBorder="1"/>
    <xf numFmtId="4" fontId="60" fillId="4" borderId="17" xfId="0" applyNumberFormat="1" applyFont="1" applyFill="1" applyBorder="1" applyAlignment="1">
      <alignment horizontal="center"/>
    </xf>
    <xf numFmtId="0" fontId="54" fillId="2" borderId="10" xfId="0" applyFont="1" applyFill="1" applyBorder="1"/>
    <xf numFmtId="164" fontId="54" fillId="2" borderId="10" xfId="0" applyNumberFormat="1" applyFont="1" applyFill="1" applyBorder="1"/>
    <xf numFmtId="0" fontId="54" fillId="2" borderId="10" xfId="0" applyFont="1" applyFill="1" applyBorder="1" applyAlignment="1">
      <alignment horizontal="center"/>
    </xf>
    <xf numFmtId="164" fontId="60" fillId="4" borderId="10" xfId="0" applyNumberFormat="1" applyFont="1" applyFill="1" applyBorder="1"/>
    <xf numFmtId="14" fontId="54" fillId="2" borderId="27" xfId="0" applyNumberFormat="1" applyFont="1" applyFill="1" applyBorder="1"/>
    <xf numFmtId="0" fontId="61" fillId="2" borderId="12" xfId="0" applyFont="1" applyFill="1" applyBorder="1"/>
    <xf numFmtId="0" fontId="61" fillId="2" borderId="2" xfId="0" applyFont="1" applyFill="1" applyBorder="1" applyAlignment="1">
      <alignment horizontal="right"/>
    </xf>
    <xf numFmtId="2" fontId="61" fillId="2" borderId="1" xfId="0" applyNumberFormat="1" applyFont="1" applyFill="1" applyBorder="1"/>
    <xf numFmtId="0" fontId="61" fillId="2" borderId="1" xfId="0" applyFont="1" applyFill="1" applyBorder="1"/>
    <xf numFmtId="0" fontId="58" fillId="4" borderId="1" xfId="0" applyFont="1" applyFill="1" applyBorder="1"/>
    <xf numFmtId="0" fontId="61" fillId="2" borderId="11" xfId="0" applyFont="1" applyFill="1" applyBorder="1"/>
    <xf numFmtId="164" fontId="53" fillId="0" borderId="15" xfId="0" applyNumberFormat="1" applyFont="1" applyBorder="1" applyAlignment="1">
      <alignment horizontal="center" vertical="top"/>
    </xf>
    <xf numFmtId="0" fontId="54" fillId="0" borderId="14" xfId="0" applyFont="1" applyBorder="1" applyAlignment="1">
      <alignment horizontal="center" vertical="top"/>
    </xf>
    <xf numFmtId="0" fontId="54" fillId="0" borderId="13" xfId="0" applyFont="1" applyBorder="1" applyAlignment="1">
      <alignment horizontal="center" vertical="top"/>
    </xf>
    <xf numFmtId="0" fontId="61" fillId="0" borderId="22" xfId="0" applyFont="1" applyBorder="1" applyAlignment="1">
      <alignment horizontal="center"/>
    </xf>
    <xf numFmtId="0" fontId="61" fillId="0" borderId="24" xfId="0" applyFont="1" applyBorder="1" applyAlignment="1">
      <alignment horizontal="center"/>
    </xf>
    <xf numFmtId="0" fontId="61" fillId="0" borderId="14" xfId="0" applyFont="1" applyBorder="1" applyAlignment="1">
      <alignment horizontal="center"/>
    </xf>
    <xf numFmtId="4" fontId="54" fillId="0" borderId="14" xfId="0" applyNumberFormat="1" applyFont="1" applyBorder="1" applyAlignment="1">
      <alignment horizontal="center" vertical="top"/>
    </xf>
    <xf numFmtId="4" fontId="54" fillId="0" borderId="16" xfId="0" applyNumberFormat="1" applyFont="1" applyBorder="1" applyAlignment="1">
      <alignment horizontal="center" vertical="top"/>
    </xf>
    <xf numFmtId="4" fontId="55" fillId="0" borderId="14" xfId="0" applyNumberFormat="1" applyFont="1" applyBorder="1" applyAlignment="1">
      <alignment horizontal="center"/>
    </xf>
    <xf numFmtId="0" fontId="58" fillId="0" borderId="3" xfId="0" applyFont="1" applyBorder="1"/>
    <xf numFmtId="0" fontId="60" fillId="0" borderId="1" xfId="0" applyFont="1" applyBorder="1" applyAlignment="1">
      <alignment horizontal="center"/>
    </xf>
    <xf numFmtId="4" fontId="54" fillId="0" borderId="15" xfId="0" applyNumberFormat="1" applyFont="1" applyBorder="1" applyAlignment="1">
      <alignment horizontal="center" vertical="top"/>
    </xf>
    <xf numFmtId="4" fontId="61" fillId="0" borderId="14" xfId="0" applyNumberFormat="1" applyFont="1" applyBorder="1" applyAlignment="1">
      <alignment horizontal="center"/>
    </xf>
    <xf numFmtId="4" fontId="54" fillId="0" borderId="17" xfId="0" applyNumberFormat="1" applyFont="1" applyBorder="1" applyAlignment="1">
      <alignment horizontal="center"/>
    </xf>
    <xf numFmtId="0" fontId="61" fillId="0" borderId="13" xfId="0" applyFont="1" applyBorder="1" applyAlignment="1">
      <alignment horizontal="center"/>
    </xf>
    <xf numFmtId="0" fontId="61" fillId="0" borderId="20" xfId="0" applyFont="1" applyBorder="1" applyAlignment="1">
      <alignment horizontal="center"/>
    </xf>
    <xf numFmtId="4" fontId="54" fillId="0" borderId="1" xfId="0" applyNumberFormat="1" applyFont="1" applyBorder="1" applyAlignment="1">
      <alignment horizontal="center" vertical="top"/>
    </xf>
    <xf numFmtId="4" fontId="54" fillId="0" borderId="5" xfId="0" applyNumberFormat="1" applyFont="1" applyBorder="1" applyAlignment="1">
      <alignment horizontal="center" vertical="top"/>
    </xf>
    <xf numFmtId="4" fontId="55" fillId="0" borderId="3" xfId="0" applyNumberFormat="1" applyFont="1" applyBorder="1" applyAlignment="1">
      <alignment horizontal="center" vertical="top"/>
    </xf>
    <xf numFmtId="4" fontId="55" fillId="0" borderId="1" xfId="0" applyNumberFormat="1" applyFont="1" applyBorder="1" applyAlignment="1">
      <alignment horizontal="center" vertical="top"/>
    </xf>
    <xf numFmtId="0" fontId="61" fillId="0" borderId="2" xfId="0" applyFont="1" applyBorder="1" applyAlignment="1">
      <alignment horizontal="center"/>
    </xf>
    <xf numFmtId="4" fontId="55" fillId="0" borderId="20" xfId="0" applyNumberFormat="1" applyFont="1" applyBorder="1" applyAlignment="1">
      <alignment horizontal="center" vertical="center" wrapText="1"/>
    </xf>
    <xf numFmtId="4" fontId="55" fillId="0" borderId="1" xfId="0" applyNumberFormat="1" applyFont="1" applyBorder="1" applyAlignment="1">
      <alignment horizontal="center" vertical="center" wrapText="1"/>
    </xf>
    <xf numFmtId="4" fontId="58" fillId="0" borderId="7" xfId="0" applyNumberFormat="1" applyFont="1" applyBorder="1" applyAlignment="1">
      <alignment horizontal="center"/>
    </xf>
    <xf numFmtId="4" fontId="61" fillId="0" borderId="23" xfId="0" applyNumberFormat="1" applyFont="1" applyBorder="1" applyAlignment="1">
      <alignment horizontal="center" vertical="top"/>
    </xf>
    <xf numFmtId="14" fontId="61" fillId="5" borderId="1" xfId="0" applyNumberFormat="1" applyFont="1" applyFill="1" applyBorder="1" applyAlignment="1">
      <alignment horizontal="center"/>
    </xf>
    <xf numFmtId="0" fontId="61" fillId="5" borderId="1" xfId="0" applyFont="1" applyFill="1" applyBorder="1" applyAlignment="1">
      <alignment horizontal="center"/>
    </xf>
    <xf numFmtId="0" fontId="61" fillId="5" borderId="2" xfId="0" applyFont="1" applyFill="1" applyBorder="1" applyAlignment="1">
      <alignment horizontal="center"/>
    </xf>
    <xf numFmtId="0" fontId="61" fillId="5" borderId="20" xfId="0" applyFont="1" applyFill="1" applyBorder="1" applyAlignment="1">
      <alignment horizontal="center"/>
    </xf>
    <xf numFmtId="2" fontId="61" fillId="5" borderId="1" xfId="0" applyNumberFormat="1" applyFont="1" applyFill="1" applyBorder="1" applyAlignment="1">
      <alignment horizontal="center"/>
    </xf>
    <xf numFmtId="0" fontId="61" fillId="6" borderId="5" xfId="0" applyFont="1" applyFill="1" applyBorder="1" applyAlignment="1">
      <alignment horizontal="center"/>
    </xf>
    <xf numFmtId="0" fontId="61" fillId="6" borderId="1" xfId="0" applyFont="1" applyFill="1" applyBorder="1" applyAlignment="1">
      <alignment horizontal="center"/>
    </xf>
    <xf numFmtId="2" fontId="61" fillId="3" borderId="1" xfId="0" applyNumberFormat="1" applyFont="1" applyFill="1" applyBorder="1" applyAlignment="1">
      <alignment horizontal="center"/>
    </xf>
    <xf numFmtId="2" fontId="61" fillId="3" borderId="2" xfId="0" applyNumberFormat="1" applyFont="1" applyFill="1" applyBorder="1" applyAlignment="1">
      <alignment horizontal="center"/>
    </xf>
    <xf numFmtId="0" fontId="61" fillId="3" borderId="11" xfId="0" applyFont="1" applyFill="1" applyBorder="1" applyAlignment="1">
      <alignment horizontal="center"/>
    </xf>
    <xf numFmtId="0" fontId="61" fillId="3" borderId="1" xfId="0" applyFont="1" applyFill="1" applyBorder="1" applyAlignment="1">
      <alignment horizontal="center"/>
    </xf>
    <xf numFmtId="0" fontId="61" fillId="3" borderId="2" xfId="0" applyFont="1" applyFill="1" applyBorder="1"/>
    <xf numFmtId="0" fontId="61" fillId="2" borderId="7" xfId="0" applyFont="1" applyFill="1" applyBorder="1"/>
    <xf numFmtId="2" fontId="61" fillId="2" borderId="8" xfId="0" applyNumberFormat="1" applyFont="1" applyFill="1" applyBorder="1"/>
    <xf numFmtId="0" fontId="61" fillId="2" borderId="8" xfId="0" applyFont="1" applyFill="1" applyBorder="1"/>
    <xf numFmtId="4" fontId="61" fillId="2" borderId="8" xfId="0" applyNumberFormat="1" applyFont="1" applyFill="1" applyBorder="1"/>
    <xf numFmtId="0" fontId="61" fillId="2" borderId="6" xfId="0" applyFont="1" applyFill="1" applyBorder="1"/>
    <xf numFmtId="0" fontId="58" fillId="0" borderId="1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xf>
    <xf numFmtId="0" fontId="26" fillId="4" borderId="14" xfId="0" applyFont="1" applyFill="1" applyBorder="1" applyAlignment="1">
      <alignment horizontal="center"/>
    </xf>
    <xf numFmtId="0" fontId="27" fillId="0" borderId="1" xfId="0" applyFont="1" applyFill="1" applyBorder="1" applyAlignment="1">
      <alignment horizontal="center"/>
    </xf>
    <xf numFmtId="164" fontId="49" fillId="2" borderId="10" xfId="0" applyNumberFormat="1" applyFont="1" applyFill="1" applyBorder="1" applyAlignment="1">
      <alignment horizontal="center"/>
    </xf>
    <xf numFmtId="164" fontId="26" fillId="4" borderId="10" xfId="0" applyNumberFormat="1" applyFont="1" applyFill="1" applyBorder="1" applyAlignment="1">
      <alignment horizontal="center"/>
    </xf>
    <xf numFmtId="14" fontId="49" fillId="2" borderId="27" xfId="0" applyNumberFormat="1" applyFont="1" applyFill="1" applyBorder="1" applyAlignment="1">
      <alignment horizontal="center"/>
    </xf>
    <xf numFmtId="0" fontId="23" fillId="0" borderId="1" xfId="0" applyFont="1" applyFill="1" applyBorder="1" applyAlignment="1">
      <alignment horizontal="center"/>
    </xf>
    <xf numFmtId="0" fontId="23" fillId="2" borderId="12" xfId="0" applyFont="1" applyFill="1" applyBorder="1" applyAlignment="1">
      <alignment horizontal="center"/>
    </xf>
    <xf numFmtId="0" fontId="23" fillId="2" borderId="2" xfId="0" applyFont="1" applyFill="1" applyBorder="1" applyAlignment="1">
      <alignment horizontal="center"/>
    </xf>
    <xf numFmtId="2"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0" fillId="4" borderId="1" xfId="0" applyFill="1" applyBorder="1" applyAlignment="1">
      <alignment horizontal="center"/>
    </xf>
    <xf numFmtId="0" fontId="23" fillId="2" borderId="11" xfId="0" applyFont="1" applyFill="1" applyBorder="1" applyAlignment="1">
      <alignment horizontal="center"/>
    </xf>
    <xf numFmtId="0" fontId="46" fillId="4" borderId="2" xfId="0" applyFont="1" applyFill="1" applyBorder="1" applyAlignment="1">
      <alignment horizontal="center"/>
    </xf>
    <xf numFmtId="0" fontId="48" fillId="4" borderId="2" xfId="0" applyFont="1" applyFill="1" applyBorder="1" applyAlignment="1">
      <alignment horizontal="center"/>
    </xf>
    <xf numFmtId="0" fontId="23" fillId="2" borderId="7" xfId="0" applyFont="1" applyFill="1" applyBorder="1" applyAlignment="1">
      <alignment horizontal="center"/>
    </xf>
    <xf numFmtId="0" fontId="48" fillId="4" borderId="9" xfId="0" applyFont="1" applyFill="1" applyBorder="1" applyAlignment="1">
      <alignment horizontal="center"/>
    </xf>
    <xf numFmtId="2" fontId="23" fillId="2" borderId="8" xfId="0" applyNumberFormat="1" applyFont="1" applyFill="1" applyBorder="1" applyAlignment="1">
      <alignment horizontal="center"/>
    </xf>
    <xf numFmtId="0" fontId="23" fillId="2" borderId="8" xfId="0" applyFont="1" applyFill="1" applyBorder="1" applyAlignment="1">
      <alignment horizontal="center"/>
    </xf>
    <xf numFmtId="4" fontId="23" fillId="2" borderId="8" xfId="0" applyNumberFormat="1" applyFont="1" applyFill="1" applyBorder="1" applyAlignment="1">
      <alignment horizontal="center"/>
    </xf>
    <xf numFmtId="0" fontId="23" fillId="2" borderId="6" xfId="0" applyFont="1" applyFill="1" applyBorder="1" applyAlignment="1">
      <alignment horizontal="center"/>
    </xf>
    <xf numFmtId="0" fontId="58" fillId="9" borderId="1" xfId="0" applyFont="1" applyFill="1" applyBorder="1"/>
    <xf numFmtId="0" fontId="58" fillId="9" borderId="19" xfId="0" applyFont="1" applyFill="1" applyBorder="1"/>
    <xf numFmtId="0" fontId="58" fillId="9" borderId="2" xfId="0" applyFont="1" applyFill="1" applyBorder="1" applyAlignment="1">
      <alignment horizontal="center"/>
    </xf>
    <xf numFmtId="0" fontId="58" fillId="9" borderId="1" xfId="0" applyFont="1" applyFill="1" applyBorder="1" applyAlignment="1">
      <alignment horizontal="center"/>
    </xf>
    <xf numFmtId="14" fontId="58" fillId="9" borderId="1" xfId="0" applyNumberFormat="1" applyFont="1" applyFill="1" applyBorder="1" applyAlignment="1">
      <alignment horizontal="center"/>
    </xf>
    <xf numFmtId="0" fontId="58" fillId="9" borderId="11" xfId="0" applyFont="1" applyFill="1" applyBorder="1" applyAlignment="1">
      <alignment horizontal="center"/>
    </xf>
    <xf numFmtId="0" fontId="58" fillId="9" borderId="5" xfId="0" applyFont="1" applyFill="1" applyBorder="1" applyAlignment="1">
      <alignment horizontal="center"/>
    </xf>
    <xf numFmtId="2" fontId="58" fillId="9" borderId="1" xfId="0" applyNumberFormat="1" applyFont="1" applyFill="1" applyBorder="1" applyAlignment="1">
      <alignment horizontal="center"/>
    </xf>
    <xf numFmtId="2" fontId="58" fillId="9" borderId="2" xfId="0" applyNumberFormat="1" applyFont="1" applyFill="1" applyBorder="1" applyAlignment="1">
      <alignment horizontal="center"/>
    </xf>
    <xf numFmtId="2" fontId="46" fillId="5" borderId="1" xfId="0" applyNumberFormat="1" applyFont="1" applyFill="1" applyBorder="1" applyAlignment="1">
      <alignment horizontal="center"/>
    </xf>
    <xf numFmtId="0" fontId="22" fillId="0" borderId="3" xfId="0" applyFont="1" applyBorder="1" applyAlignment="1">
      <alignment horizontal="center"/>
    </xf>
    <xf numFmtId="0" fontId="22" fillId="0" borderId="1" xfId="0" applyFont="1" applyBorder="1" applyAlignment="1">
      <alignment horizontal="center"/>
    </xf>
    <xf numFmtId="0" fontId="22" fillId="0" borderId="11" xfId="0" applyFont="1" applyBorder="1" applyAlignment="1">
      <alignment horizontal="center"/>
    </xf>
    <xf numFmtId="0" fontId="54" fillId="0" borderId="3" xfId="0" applyFont="1" applyBorder="1" applyAlignment="1">
      <alignment horizontal="center"/>
    </xf>
    <xf numFmtId="0" fontId="54" fillId="0" borderId="1" xfId="0" applyFont="1" applyBorder="1" applyAlignment="1">
      <alignment horizontal="center"/>
    </xf>
    <xf numFmtId="0" fontId="54" fillId="0" borderId="11" xfId="0" applyFont="1" applyBorder="1" applyAlignment="1">
      <alignment horizontal="center"/>
    </xf>
    <xf numFmtId="165" fontId="57" fillId="0" borderId="1" xfId="0" applyNumberFormat="1" applyFont="1" applyBorder="1" applyAlignment="1">
      <alignment horizontal="center"/>
    </xf>
    <xf numFmtId="0" fontId="62" fillId="2" borderId="15" xfId="0" applyFont="1" applyFill="1" applyBorder="1" applyAlignment="1">
      <alignment horizontal="center" vertical="center"/>
    </xf>
    <xf numFmtId="0" fontId="62" fillId="2" borderId="13" xfId="0" applyFont="1" applyFill="1" applyBorder="1" applyAlignment="1">
      <alignment horizontal="center" vertical="center"/>
    </xf>
    <xf numFmtId="0" fontId="62" fillId="2" borderId="26" xfId="0" applyFont="1" applyFill="1" applyBorder="1" applyAlignment="1">
      <alignment horizontal="center" vertical="center"/>
    </xf>
    <xf numFmtId="0" fontId="62" fillId="2" borderId="21" xfId="0" applyFont="1" applyFill="1" applyBorder="1" applyAlignment="1">
      <alignment horizontal="center" vertical="center"/>
    </xf>
    <xf numFmtId="0" fontId="57" fillId="4" borderId="14" xfId="0" applyFont="1" applyFill="1" applyBorder="1" applyAlignment="1">
      <alignment horizontal="center"/>
    </xf>
    <xf numFmtId="2" fontId="46" fillId="5" borderId="12" xfId="0" applyNumberFormat="1" applyFont="1" applyFill="1" applyBorder="1" applyAlignment="1">
      <alignment horizontal="center"/>
    </xf>
    <xf numFmtId="14" fontId="46" fillId="0" borderId="12" xfId="0" applyNumberFormat="1" applyFont="1" applyFill="1" applyBorder="1" applyAlignment="1">
      <alignment horizontal="center"/>
    </xf>
    <xf numFmtId="0" fontId="46" fillId="0" borderId="1" xfId="0" applyFont="1" applyFill="1" applyBorder="1" applyAlignment="1">
      <alignment horizontal="center"/>
    </xf>
    <xf numFmtId="0" fontId="46" fillId="0" borderId="2" xfId="0" applyFont="1" applyFill="1" applyBorder="1" applyAlignment="1">
      <alignment horizontal="center"/>
    </xf>
    <xf numFmtId="0" fontId="46" fillId="0" borderId="20" xfId="0" applyFont="1" applyFill="1" applyBorder="1" applyAlignment="1">
      <alignment horizontal="center"/>
    </xf>
    <xf numFmtId="0" fontId="46" fillId="0" borderId="3" xfId="0" applyFont="1" applyFill="1" applyBorder="1" applyAlignment="1">
      <alignment horizontal="center"/>
    </xf>
    <xf numFmtId="4" fontId="46" fillId="0" borderId="1" xfId="0" applyNumberFormat="1" applyFont="1" applyFill="1" applyBorder="1" applyAlignment="1">
      <alignment horizontal="center"/>
    </xf>
    <xf numFmtId="4" fontId="46" fillId="0" borderId="5" xfId="0" applyNumberFormat="1" applyFont="1" applyFill="1" applyBorder="1" applyAlignment="1">
      <alignment horizontal="center"/>
    </xf>
    <xf numFmtId="2" fontId="46" fillId="0" borderId="1" xfId="0" applyNumberFormat="1" applyFont="1" applyFill="1" applyBorder="1" applyAlignment="1">
      <alignment horizontal="center"/>
    </xf>
    <xf numFmtId="4" fontId="46" fillId="0" borderId="3" xfId="0" applyNumberFormat="1" applyFont="1" applyFill="1" applyBorder="1" applyAlignment="1">
      <alignment horizontal="center"/>
    </xf>
    <xf numFmtId="2" fontId="46" fillId="0" borderId="12" xfId="0" applyNumberFormat="1" applyFont="1" applyFill="1" applyBorder="1" applyAlignment="1">
      <alignment horizontal="center"/>
    </xf>
    <xf numFmtId="4" fontId="46" fillId="0" borderId="2" xfId="0" applyNumberFormat="1" applyFont="1" applyFill="1" applyBorder="1" applyAlignment="1">
      <alignment horizontal="center"/>
    </xf>
    <xf numFmtId="14" fontId="46" fillId="10" borderId="12" xfId="0" applyNumberFormat="1" applyFont="1" applyFill="1" applyBorder="1" applyAlignment="1">
      <alignment horizontal="center"/>
    </xf>
    <xf numFmtId="0" fontId="46" fillId="10" borderId="1" xfId="0" applyFont="1" applyFill="1" applyBorder="1" applyAlignment="1">
      <alignment horizontal="center"/>
    </xf>
    <xf numFmtId="0" fontId="46" fillId="10" borderId="2" xfId="0" applyFont="1" applyFill="1" applyBorder="1" applyAlignment="1">
      <alignment horizontal="center"/>
    </xf>
    <xf numFmtId="0" fontId="46" fillId="10" borderId="20" xfId="0" applyFont="1" applyFill="1" applyBorder="1" applyAlignment="1">
      <alignment horizontal="center"/>
    </xf>
    <xf numFmtId="4" fontId="46" fillId="10" borderId="1" xfId="0" applyNumberFormat="1" applyFont="1" applyFill="1" applyBorder="1" applyAlignment="1">
      <alignment horizontal="center"/>
    </xf>
    <xf numFmtId="4" fontId="46" fillId="10" borderId="5" xfId="0" applyNumberFormat="1" applyFont="1" applyFill="1" applyBorder="1" applyAlignment="1">
      <alignment horizontal="center"/>
    </xf>
    <xf numFmtId="2" fontId="46" fillId="10" borderId="1" xfId="0" applyNumberFormat="1" applyFont="1" applyFill="1" applyBorder="1" applyAlignment="1">
      <alignment horizontal="center"/>
    </xf>
    <xf numFmtId="4" fontId="46" fillId="10" borderId="3" xfId="0" applyNumberFormat="1" applyFont="1" applyFill="1" applyBorder="1" applyAlignment="1">
      <alignment horizontal="center"/>
    </xf>
    <xf numFmtId="2" fontId="46" fillId="10" borderId="12" xfId="0" applyNumberFormat="1" applyFont="1" applyFill="1" applyBorder="1" applyAlignment="1">
      <alignment horizontal="center"/>
    </xf>
    <xf numFmtId="4" fontId="46" fillId="10" borderId="2" xfId="0" applyNumberFormat="1" applyFont="1" applyFill="1" applyBorder="1" applyAlignment="1">
      <alignment horizontal="center"/>
    </xf>
    <xf numFmtId="0" fontId="0" fillId="10" borderId="1" xfId="0" applyFill="1" applyBorder="1"/>
    <xf numFmtId="14" fontId="58" fillId="0" borderId="1" xfId="0" applyNumberFormat="1" applyFont="1" applyFill="1" applyBorder="1" applyAlignment="1">
      <alignment horizontal="center"/>
    </xf>
    <xf numFmtId="0" fontId="58" fillId="0" borderId="1" xfId="0" applyFont="1" applyFill="1" applyBorder="1" applyAlignment="1">
      <alignment horizontal="center"/>
    </xf>
    <xf numFmtId="2" fontId="58" fillId="0" borderId="1" xfId="0" applyNumberFormat="1" applyFont="1" applyFill="1" applyBorder="1" applyAlignment="1">
      <alignment horizontal="center"/>
    </xf>
    <xf numFmtId="14" fontId="58" fillId="12" borderId="1" xfId="0" applyNumberFormat="1" applyFont="1" applyFill="1" applyBorder="1" applyAlignment="1">
      <alignment horizontal="center"/>
    </xf>
    <xf numFmtId="0" fontId="58" fillId="12" borderId="1" xfId="0" applyFont="1" applyFill="1" applyBorder="1" applyAlignment="1">
      <alignment horizontal="center"/>
    </xf>
    <xf numFmtId="2" fontId="58" fillId="12" borderId="1" xfId="0" applyNumberFormat="1" applyFont="1" applyFill="1" applyBorder="1" applyAlignment="1">
      <alignment horizontal="center"/>
    </xf>
    <xf numFmtId="0" fontId="58" fillId="12" borderId="1" xfId="0" applyFont="1" applyFill="1" applyBorder="1"/>
    <xf numFmtId="0" fontId="0" fillId="12" borderId="1" xfId="0" applyFill="1" applyBorder="1"/>
    <xf numFmtId="0" fontId="58" fillId="0" borderId="2" xfId="0" applyFont="1" applyFill="1" applyBorder="1" applyAlignment="1">
      <alignment horizontal="center"/>
    </xf>
    <xf numFmtId="0" fontId="58" fillId="12" borderId="2" xfId="0" applyFont="1" applyFill="1" applyBorder="1" applyAlignment="1">
      <alignment horizontal="center"/>
    </xf>
    <xf numFmtId="0" fontId="58" fillId="9" borderId="20" xfId="0" applyFont="1" applyFill="1" applyBorder="1" applyAlignment="1">
      <alignment horizontal="center"/>
    </xf>
    <xf numFmtId="0" fontId="58" fillId="0" borderId="20" xfId="0" applyFont="1" applyFill="1" applyBorder="1" applyAlignment="1">
      <alignment horizontal="center"/>
    </xf>
    <xf numFmtId="0" fontId="58" fillId="12" borderId="20" xfId="0" applyFont="1" applyFill="1" applyBorder="1" applyAlignment="1">
      <alignment horizontal="center"/>
    </xf>
    <xf numFmtId="2" fontId="58" fillId="0" borderId="2" xfId="0" applyNumberFormat="1" applyFont="1" applyFill="1" applyBorder="1" applyAlignment="1">
      <alignment horizontal="center"/>
    </xf>
    <xf numFmtId="2" fontId="58" fillId="12" borderId="2" xfId="0" applyNumberFormat="1" applyFont="1" applyFill="1" applyBorder="1" applyAlignment="1">
      <alignment horizontal="center"/>
    </xf>
    <xf numFmtId="0" fontId="58" fillId="0" borderId="11" xfId="0" applyFont="1" applyFill="1" applyBorder="1" applyAlignment="1">
      <alignment horizontal="center"/>
    </xf>
    <xf numFmtId="0" fontId="58" fillId="12" borderId="11" xfId="0" applyFont="1" applyFill="1" applyBorder="1" applyAlignment="1">
      <alignment horizontal="center"/>
    </xf>
    <xf numFmtId="0" fontId="58" fillId="0" borderId="5" xfId="0" applyFont="1" applyFill="1" applyBorder="1" applyAlignment="1">
      <alignment horizontal="center"/>
    </xf>
    <xf numFmtId="0" fontId="58" fillId="12" borderId="5" xfId="0" applyFont="1" applyFill="1" applyBorder="1" applyAlignment="1">
      <alignment horizontal="center"/>
    </xf>
    <xf numFmtId="0" fontId="61" fillId="0" borderId="11" xfId="0" applyFont="1" applyBorder="1"/>
    <xf numFmtId="0" fontId="58" fillId="0" borderId="11" xfId="0" applyFont="1" applyFill="1" applyBorder="1"/>
    <xf numFmtId="14" fontId="0" fillId="0" borderId="1" xfId="0" applyNumberFormat="1" applyFill="1" applyBorder="1" applyAlignment="1">
      <alignment horizontal="center"/>
    </xf>
    <xf numFmtId="0" fontId="0" fillId="0" borderId="2" xfId="0" applyFill="1" applyBorder="1" applyAlignment="1">
      <alignment horizontal="center"/>
    </xf>
    <xf numFmtId="0" fontId="0" fillId="0" borderId="20" xfId="0" applyFill="1" applyBorder="1" applyAlignment="1">
      <alignment horizontal="center"/>
    </xf>
    <xf numFmtId="2" fontId="0" fillId="0" borderId="1" xfId="0" applyNumberFormat="1" applyFill="1" applyBorder="1" applyAlignment="1">
      <alignment horizontal="center"/>
    </xf>
    <xf numFmtId="2" fontId="0" fillId="0" borderId="11" xfId="0" applyNumberFormat="1" applyFill="1" applyBorder="1" applyAlignment="1">
      <alignment horizontal="center"/>
    </xf>
    <xf numFmtId="2" fontId="0" fillId="0" borderId="2" xfId="0" applyNumberFormat="1" applyFill="1" applyBorder="1" applyAlignment="1">
      <alignment horizontal="center"/>
    </xf>
    <xf numFmtId="14" fontId="0" fillId="14" borderId="1" xfId="0" applyNumberFormat="1" applyFill="1" applyBorder="1" applyAlignment="1">
      <alignment horizontal="center"/>
    </xf>
    <xf numFmtId="0" fontId="0" fillId="14" borderId="1" xfId="0" applyFill="1" applyBorder="1" applyAlignment="1">
      <alignment horizontal="center"/>
    </xf>
    <xf numFmtId="0" fontId="0" fillId="14" borderId="2" xfId="0" applyFill="1" applyBorder="1" applyAlignment="1">
      <alignment horizontal="center"/>
    </xf>
    <xf numFmtId="0" fontId="0" fillId="14" borderId="20" xfId="0" applyFill="1" applyBorder="1" applyAlignment="1">
      <alignment horizontal="center"/>
    </xf>
    <xf numFmtId="2" fontId="0" fillId="14" borderId="1" xfId="0" applyNumberFormat="1" applyFill="1" applyBorder="1" applyAlignment="1">
      <alignment horizontal="center"/>
    </xf>
    <xf numFmtId="2" fontId="0" fillId="14" borderId="11" xfId="0" applyNumberFormat="1" applyFill="1" applyBorder="1" applyAlignment="1">
      <alignment horizontal="center"/>
    </xf>
    <xf numFmtId="2" fontId="0" fillId="14" borderId="5" xfId="0" applyNumberFormat="1" applyFill="1" applyBorder="1" applyAlignment="1">
      <alignment horizontal="center"/>
    </xf>
    <xf numFmtId="2" fontId="0" fillId="14" borderId="2" xfId="0" applyNumberFormat="1" applyFill="1" applyBorder="1" applyAlignment="1">
      <alignment horizontal="center"/>
    </xf>
    <xf numFmtId="0" fontId="44" fillId="14" borderId="1" xfId="0" applyFont="1" applyFill="1" applyBorder="1" applyAlignment="1">
      <alignment horizontal="center"/>
    </xf>
    <xf numFmtId="0" fontId="44" fillId="14" borderId="2" xfId="0" applyFont="1" applyFill="1" applyBorder="1" applyAlignment="1">
      <alignment horizontal="center"/>
    </xf>
    <xf numFmtId="0" fontId="44" fillId="14" borderId="20" xfId="0" applyFont="1" applyFill="1" applyBorder="1" applyAlignment="1">
      <alignment horizontal="center"/>
    </xf>
    <xf numFmtId="14" fontId="61" fillId="15" borderId="1" xfId="0" applyNumberFormat="1" applyFont="1" applyFill="1" applyBorder="1" applyAlignment="1">
      <alignment horizontal="center"/>
    </xf>
    <xf numFmtId="0" fontId="61" fillId="15" borderId="1" xfId="0" applyFont="1" applyFill="1" applyBorder="1" applyAlignment="1">
      <alignment horizontal="center"/>
    </xf>
    <xf numFmtId="0" fontId="61" fillId="15" borderId="2" xfId="0" applyFont="1" applyFill="1" applyBorder="1" applyAlignment="1">
      <alignment horizontal="center"/>
    </xf>
    <xf numFmtId="0" fontId="61" fillId="15" borderId="20" xfId="0" applyFont="1" applyFill="1" applyBorder="1" applyAlignment="1">
      <alignment horizontal="center"/>
    </xf>
    <xf numFmtId="2" fontId="61" fillId="15" borderId="1" xfId="0" applyNumberFormat="1" applyFont="1" applyFill="1" applyBorder="1" applyAlignment="1">
      <alignment horizontal="center"/>
    </xf>
    <xf numFmtId="2" fontId="61" fillId="15" borderId="11" xfId="0" applyNumberFormat="1" applyFont="1" applyFill="1" applyBorder="1" applyAlignment="1">
      <alignment horizontal="center"/>
    </xf>
    <xf numFmtId="0" fontId="61" fillId="16" borderId="5" xfId="0" applyFont="1" applyFill="1" applyBorder="1" applyAlignment="1">
      <alignment horizontal="center"/>
    </xf>
    <xf numFmtId="0" fontId="61" fillId="16" borderId="1" xfId="0" applyFont="1" applyFill="1" applyBorder="1" applyAlignment="1">
      <alignment horizontal="center"/>
    </xf>
    <xf numFmtId="2" fontId="61" fillId="16" borderId="1" xfId="0" applyNumberFormat="1" applyFont="1" applyFill="1" applyBorder="1" applyAlignment="1">
      <alignment horizontal="center"/>
    </xf>
    <xf numFmtId="2" fontId="61" fillId="16" borderId="2" xfId="0" applyNumberFormat="1" applyFont="1" applyFill="1" applyBorder="1" applyAlignment="1">
      <alignment horizontal="center"/>
    </xf>
    <xf numFmtId="2" fontId="61" fillId="16" borderId="20" xfId="0" applyNumberFormat="1" applyFont="1" applyFill="1" applyBorder="1" applyAlignment="1">
      <alignment horizontal="center"/>
    </xf>
    <xf numFmtId="0" fontId="61" fillId="16" borderId="11" xfId="0" applyFont="1" applyFill="1" applyBorder="1" applyAlignment="1">
      <alignment horizontal="center"/>
    </xf>
    <xf numFmtId="2" fontId="61" fillId="16" borderId="11" xfId="0" applyNumberFormat="1" applyFont="1" applyFill="1" applyBorder="1" applyAlignment="1">
      <alignment horizontal="center"/>
    </xf>
    <xf numFmtId="0" fontId="61" fillId="16" borderId="2" xfId="0" applyFont="1" applyFill="1" applyBorder="1"/>
    <xf numFmtId="0" fontId="58" fillId="15" borderId="1" xfId="0" applyFont="1" applyFill="1" applyBorder="1"/>
    <xf numFmtId="0" fontId="0" fillId="15" borderId="1" xfId="0" applyFill="1" applyBorder="1"/>
    <xf numFmtId="0" fontId="58" fillId="15" borderId="2" xfId="0" applyFont="1" applyFill="1" applyBorder="1"/>
    <xf numFmtId="0" fontId="58" fillId="15" borderId="20" xfId="0" applyFont="1" applyFill="1" applyBorder="1"/>
    <xf numFmtId="0" fontId="58" fillId="15" borderId="11" xfId="0" applyFont="1" applyFill="1" applyBorder="1"/>
    <xf numFmtId="0" fontId="58" fillId="15" borderId="5" xfId="0" applyFont="1" applyFill="1" applyBorder="1"/>
    <xf numFmtId="2" fontId="58" fillId="15" borderId="2" xfId="0" applyNumberFormat="1" applyFont="1" applyFill="1" applyBorder="1"/>
    <xf numFmtId="2" fontId="58" fillId="15" borderId="1" xfId="0" applyNumberFormat="1" applyFont="1" applyFill="1" applyBorder="1"/>
    <xf numFmtId="0" fontId="63" fillId="0" borderId="1" xfId="29"/>
    <xf numFmtId="0" fontId="44" fillId="0" borderId="1" xfId="0" applyFont="1" applyBorder="1"/>
    <xf numFmtId="14" fontId="58" fillId="15" borderId="1" xfId="0" applyNumberFormat="1" applyFont="1" applyFill="1" applyBorder="1" applyAlignment="1">
      <alignment horizontal="center"/>
    </xf>
    <xf numFmtId="0" fontId="58" fillId="15" borderId="1" xfId="0" applyFont="1" applyFill="1" applyBorder="1" applyAlignment="1">
      <alignment horizontal="center"/>
    </xf>
    <xf numFmtId="0" fontId="58" fillId="15" borderId="2" xfId="0" applyFont="1" applyFill="1" applyBorder="1" applyAlignment="1">
      <alignment horizontal="center"/>
    </xf>
    <xf numFmtId="0" fontId="58" fillId="15" borderId="20" xfId="0" applyFont="1" applyFill="1" applyBorder="1" applyAlignment="1">
      <alignment horizontal="center"/>
    </xf>
    <xf numFmtId="0" fontId="58" fillId="15" borderId="11" xfId="0" applyFont="1" applyFill="1" applyBorder="1" applyAlignment="1">
      <alignment horizontal="center"/>
    </xf>
    <xf numFmtId="0" fontId="58" fillId="15" borderId="5" xfId="0" applyFont="1" applyFill="1" applyBorder="1" applyAlignment="1">
      <alignment horizontal="center"/>
    </xf>
    <xf numFmtId="2" fontId="58" fillId="15" borderId="2" xfId="0" applyNumberFormat="1" applyFont="1" applyFill="1" applyBorder="1" applyAlignment="1">
      <alignment horizontal="center"/>
    </xf>
    <xf numFmtId="2" fontId="58" fillId="15" borderId="1" xfId="0" applyNumberFormat="1" applyFont="1" applyFill="1" applyBorder="1" applyAlignment="1">
      <alignment horizontal="center"/>
    </xf>
    <xf numFmtId="2" fontId="58" fillId="15" borderId="11" xfId="0" applyNumberFormat="1" applyFont="1" applyFill="1" applyBorder="1" applyAlignment="1">
      <alignment horizontal="center"/>
    </xf>
    <xf numFmtId="0" fontId="0" fillId="15" borderId="1" xfId="0" applyFill="1" applyBorder="1" applyAlignment="1">
      <alignment horizontal="center"/>
    </xf>
    <xf numFmtId="0" fontId="26" fillId="0" borderId="15" xfId="0" applyFont="1" applyBorder="1"/>
    <xf numFmtId="0" fontId="26" fillId="0" borderId="14" xfId="0" applyFont="1" applyBorder="1"/>
    <xf numFmtId="0" fontId="26" fillId="0" borderId="17" xfId="0" applyFont="1" applyBorder="1"/>
    <xf numFmtId="1" fontId="0" fillId="0" borderId="12" xfId="0" applyNumberFormat="1" applyBorder="1"/>
    <xf numFmtId="0" fontId="0" fillId="0" borderId="7" xfId="0" applyBorder="1"/>
    <xf numFmtId="14" fontId="45" fillId="10" borderId="1" xfId="0" applyNumberFormat="1" applyFont="1" applyFill="1" applyBorder="1" applyAlignment="1">
      <alignment horizontal="center"/>
    </xf>
    <xf numFmtId="0" fontId="45" fillId="10" borderId="1" xfId="0" applyFont="1" applyFill="1" applyBorder="1" applyAlignment="1">
      <alignment horizontal="center"/>
    </xf>
    <xf numFmtId="2" fontId="45" fillId="10" borderId="1" xfId="0" applyNumberFormat="1" applyFont="1" applyFill="1" applyBorder="1" applyAlignment="1">
      <alignment horizontal="center"/>
    </xf>
    <xf numFmtId="0" fontId="45" fillId="11" borderId="1" xfId="0" applyFont="1" applyFill="1" applyBorder="1" applyAlignment="1">
      <alignment horizontal="center"/>
    </xf>
    <xf numFmtId="2" fontId="45" fillId="11" borderId="1" xfId="0" applyNumberFormat="1" applyFont="1" applyFill="1" applyBorder="1" applyAlignment="1">
      <alignment horizontal="center"/>
    </xf>
    <xf numFmtId="2" fontId="45" fillId="10" borderId="11" xfId="0" applyNumberFormat="1" applyFont="1" applyFill="1" applyBorder="1" applyAlignment="1">
      <alignment horizontal="center"/>
    </xf>
    <xf numFmtId="0" fontId="45" fillId="11" borderId="5" xfId="0" applyFont="1" applyFill="1" applyBorder="1" applyAlignment="1">
      <alignment horizontal="center"/>
    </xf>
    <xf numFmtId="0" fontId="45" fillId="11" borderId="11" xfId="0" applyFont="1" applyFill="1" applyBorder="1" applyAlignment="1">
      <alignment horizontal="center"/>
    </xf>
    <xf numFmtId="0" fontId="45" fillId="10" borderId="2" xfId="0" applyFont="1" applyFill="1" applyBorder="1" applyAlignment="1">
      <alignment horizontal="center"/>
    </xf>
    <xf numFmtId="0" fontId="45" fillId="10" borderId="20" xfId="0" applyFont="1" applyFill="1" applyBorder="1" applyAlignment="1">
      <alignment horizontal="center"/>
    </xf>
    <xf numFmtId="2" fontId="45" fillId="11" borderId="2" xfId="0" applyNumberFormat="1" applyFont="1" applyFill="1" applyBorder="1" applyAlignment="1">
      <alignment horizontal="center"/>
    </xf>
    <xf numFmtId="0" fontId="58" fillId="0" borderId="1" xfId="0" applyFont="1" applyBorder="1" applyAlignment="1">
      <alignment horizontal="center"/>
    </xf>
    <xf numFmtId="2" fontId="58" fillId="15" borderId="5" xfId="0" applyNumberFormat="1" applyFont="1" applyFill="1" applyBorder="1" applyAlignment="1">
      <alignment horizontal="center"/>
    </xf>
    <xf numFmtId="2" fontId="58" fillId="15" borderId="20" xfId="0" applyNumberFormat="1" applyFont="1" applyFill="1" applyBorder="1" applyAlignment="1">
      <alignment horizontal="center"/>
    </xf>
    <xf numFmtId="14" fontId="0" fillId="17" borderId="1" xfId="0" applyNumberFormat="1" applyFill="1" applyBorder="1" applyAlignment="1">
      <alignment horizontal="center"/>
    </xf>
    <xf numFmtId="0" fontId="0" fillId="17" borderId="1" xfId="0" applyFill="1" applyBorder="1" applyAlignment="1">
      <alignment horizontal="center"/>
    </xf>
    <xf numFmtId="2" fontId="0" fillId="17" borderId="1" xfId="0" applyNumberFormat="1" applyFill="1" applyBorder="1" applyAlignment="1">
      <alignment horizontal="center"/>
    </xf>
    <xf numFmtId="0" fontId="0" fillId="17" borderId="2" xfId="0" applyFill="1" applyBorder="1" applyAlignment="1">
      <alignment horizontal="center"/>
    </xf>
    <xf numFmtId="0" fontId="0" fillId="17" borderId="20" xfId="0" applyFill="1" applyBorder="1" applyAlignment="1">
      <alignment horizontal="center"/>
    </xf>
    <xf numFmtId="2" fontId="0" fillId="17" borderId="2" xfId="0" applyNumberFormat="1" applyFill="1" applyBorder="1" applyAlignment="1">
      <alignment horizontal="center"/>
    </xf>
    <xf numFmtId="2" fontId="0" fillId="17" borderId="20" xfId="0" applyNumberFormat="1" applyFill="1" applyBorder="1" applyAlignment="1">
      <alignment horizontal="center"/>
    </xf>
    <xf numFmtId="4" fontId="23" fillId="0" borderId="23" xfId="0" applyNumberFormat="1" applyFont="1" applyBorder="1" applyAlignment="1">
      <alignment horizontal="center" vertical="top"/>
    </xf>
    <xf numFmtId="2" fontId="0" fillId="14" borderId="20" xfId="0" applyNumberFormat="1" applyFill="1" applyBorder="1" applyAlignment="1">
      <alignment horizontal="center"/>
    </xf>
    <xf numFmtId="0" fontId="0" fillId="14" borderId="13" xfId="0" applyFill="1" applyBorder="1" applyAlignment="1">
      <alignment horizontal="center"/>
    </xf>
    <xf numFmtId="2" fontId="0" fillId="17" borderId="11" xfId="0" applyNumberFormat="1" applyFill="1" applyBorder="1" applyAlignment="1">
      <alignment horizontal="center"/>
    </xf>
    <xf numFmtId="0" fontId="0" fillId="17" borderId="11" xfId="0" applyFill="1" applyBorder="1" applyAlignment="1">
      <alignment horizontal="center"/>
    </xf>
    <xf numFmtId="2" fontId="0" fillId="0" borderId="20" xfId="0" applyNumberFormat="1" applyFill="1" applyBorder="1" applyAlignment="1">
      <alignment horizontal="center"/>
    </xf>
    <xf numFmtId="14" fontId="0" fillId="18" borderId="1" xfId="0" applyNumberFormat="1" applyFill="1" applyBorder="1" applyAlignment="1">
      <alignment horizontal="center"/>
    </xf>
    <xf numFmtId="0" fontId="0" fillId="18" borderId="1" xfId="0" applyFill="1" applyBorder="1" applyAlignment="1">
      <alignment horizontal="center"/>
    </xf>
    <xf numFmtId="0" fontId="0" fillId="18" borderId="2" xfId="0" applyFill="1" applyBorder="1" applyAlignment="1">
      <alignment horizontal="center"/>
    </xf>
    <xf numFmtId="0" fontId="0" fillId="18" borderId="20" xfId="0" applyFill="1" applyBorder="1" applyAlignment="1">
      <alignment horizontal="center"/>
    </xf>
    <xf numFmtId="2" fontId="0" fillId="18" borderId="1" xfId="0" applyNumberFormat="1" applyFill="1" applyBorder="1" applyAlignment="1">
      <alignment horizontal="center"/>
    </xf>
    <xf numFmtId="2" fontId="0" fillId="18" borderId="11" xfId="0" applyNumberFormat="1" applyFill="1" applyBorder="1" applyAlignment="1">
      <alignment horizontal="center"/>
    </xf>
    <xf numFmtId="2" fontId="0" fillId="18" borderId="2" xfId="0" applyNumberFormat="1" applyFill="1" applyBorder="1" applyAlignment="1">
      <alignment horizontal="center"/>
    </xf>
    <xf numFmtId="2" fontId="0" fillId="18" borderId="20" xfId="0" applyNumberFormat="1" applyFill="1" applyBorder="1" applyAlignment="1">
      <alignment horizontal="center"/>
    </xf>
    <xf numFmtId="0" fontId="0" fillId="17" borderId="1" xfId="0" applyFill="1" applyBorder="1"/>
    <xf numFmtId="0" fontId="0" fillId="0" borderId="2" xfId="0" applyBorder="1"/>
    <xf numFmtId="0" fontId="0" fillId="17" borderId="2" xfId="0" applyFill="1" applyBorder="1"/>
    <xf numFmtId="0" fontId="0" fillId="0" borderId="20" xfId="0" applyBorder="1"/>
    <xf numFmtId="0" fontId="27" fillId="11" borderId="2" xfId="0" applyFont="1" applyFill="1" applyBorder="1"/>
    <xf numFmtId="0" fontId="26" fillId="0" borderId="15" xfId="33" applyFont="1" applyBorder="1" applyAlignment="1" applyProtection="1">
      <alignment horizontal="right"/>
    </xf>
    <xf numFmtId="0" fontId="26" fillId="0" borderId="14" xfId="24" applyFont="1" applyBorder="1" applyProtection="1"/>
    <xf numFmtId="1" fontId="65" fillId="0" borderId="14" xfId="6" applyNumberFormat="1" applyFont="1" applyBorder="1" applyAlignment="1" applyProtection="1">
      <alignment horizontal="left"/>
      <protection locked="0"/>
    </xf>
    <xf numFmtId="1" fontId="65" fillId="0" borderId="14" xfId="6" applyNumberFormat="1" applyFont="1" applyBorder="1" applyAlignment="1" applyProtection="1">
      <alignment horizontal="left"/>
    </xf>
    <xf numFmtId="167" fontId="44" fillId="0" borderId="14" xfId="3" applyFont="1" applyBorder="1"/>
    <xf numFmtId="1" fontId="26" fillId="0" borderId="14" xfId="26" applyNumberFormat="1" applyFont="1" applyBorder="1" applyAlignment="1" applyProtection="1">
      <alignment horizontal="right"/>
    </xf>
    <xf numFmtId="1" fontId="44" fillId="0" borderId="14" xfId="26" applyNumberFormat="1" applyFont="1" applyBorder="1" applyAlignment="1" applyProtection="1">
      <alignment horizontal="center"/>
      <protection locked="0"/>
    </xf>
    <xf numFmtId="167" fontId="44" fillId="0" borderId="14" xfId="3" applyFont="1" applyFill="1" applyBorder="1" applyAlignment="1" applyProtection="1">
      <alignment horizontal="center"/>
    </xf>
    <xf numFmtId="0" fontId="64" fillId="0" borderId="17" xfId="24" applyFont="1" applyBorder="1" applyProtection="1"/>
    <xf numFmtId="0" fontId="64" fillId="0" borderId="1" xfId="24" applyFont="1" applyBorder="1" applyProtection="1"/>
    <xf numFmtId="0" fontId="64" fillId="0" borderId="1" xfId="24" applyFont="1" applyProtection="1"/>
    <xf numFmtId="0" fontId="26" fillId="0" borderId="12" xfId="33" applyFont="1" applyBorder="1" applyAlignment="1" applyProtection="1">
      <alignment horizontal="right"/>
    </xf>
    <xf numFmtId="0" fontId="26" fillId="0" borderId="1" xfId="24" applyFont="1" applyBorder="1" applyProtection="1"/>
    <xf numFmtId="1" fontId="65" fillId="0" borderId="1" xfId="6" applyNumberFormat="1" applyFont="1" applyBorder="1" applyAlignment="1" applyProtection="1">
      <alignment horizontal="left"/>
      <protection locked="0"/>
    </xf>
    <xf numFmtId="1" fontId="65" fillId="0" borderId="1" xfId="6" applyNumberFormat="1" applyFont="1" applyBorder="1" applyAlignment="1" applyProtection="1">
      <alignment horizontal="left"/>
    </xf>
    <xf numFmtId="167" fontId="44" fillId="0" borderId="1" xfId="3" applyFont="1" applyBorder="1"/>
    <xf numFmtId="1" fontId="26" fillId="0" borderId="1" xfId="26" applyNumberFormat="1" applyFont="1" applyBorder="1" applyAlignment="1" applyProtection="1">
      <alignment horizontal="right"/>
    </xf>
    <xf numFmtId="1" fontId="44" fillId="0" borderId="1" xfId="26" applyNumberFormat="1" applyFont="1" applyBorder="1" applyAlignment="1" applyProtection="1">
      <alignment horizontal="center"/>
    </xf>
    <xf numFmtId="167" fontId="44" fillId="0" borderId="1" xfId="3" applyFont="1" applyFill="1" applyBorder="1" applyAlignment="1" applyProtection="1">
      <alignment horizontal="center"/>
    </xf>
    <xf numFmtId="0" fontId="64" fillId="0" borderId="11" xfId="24" applyFont="1" applyBorder="1" applyProtection="1"/>
    <xf numFmtId="0" fontId="64" fillId="0" borderId="1" xfId="24" applyFont="1" applyBorder="1" applyAlignment="1" applyProtection="1">
      <alignment horizontal="left"/>
    </xf>
    <xf numFmtId="2" fontId="26" fillId="0" borderId="12" xfId="33" applyNumberFormat="1" applyFont="1" applyBorder="1" applyAlignment="1" applyProtection="1">
      <alignment horizontal="right"/>
    </xf>
    <xf numFmtId="2" fontId="26" fillId="0" borderId="1" xfId="33" applyNumberFormat="1" applyFont="1" applyBorder="1" applyAlignment="1" applyProtection="1">
      <alignment horizontal="right"/>
    </xf>
    <xf numFmtId="2" fontId="44" fillId="0" borderId="1" xfId="26" applyNumberFormat="1" applyFont="1" applyBorder="1" applyAlignment="1" applyProtection="1">
      <alignment horizontal="center"/>
    </xf>
    <xf numFmtId="0" fontId="28" fillId="0" borderId="11" xfId="26" applyBorder="1" applyAlignment="1" applyProtection="1">
      <alignment vertical="top"/>
    </xf>
    <xf numFmtId="0" fontId="28" fillId="0" borderId="1" xfId="26" applyBorder="1" applyAlignment="1" applyProtection="1">
      <alignment vertical="top"/>
    </xf>
    <xf numFmtId="0" fontId="28" fillId="0" borderId="1" xfId="26" applyAlignment="1" applyProtection="1">
      <alignment vertical="top"/>
    </xf>
    <xf numFmtId="0" fontId="66" fillId="0" borderId="1" xfId="6" applyFont="1" applyFill="1" applyBorder="1" applyAlignment="1" applyProtection="1">
      <alignment horizontal="left"/>
      <protection locked="0"/>
    </xf>
    <xf numFmtId="0" fontId="64" fillId="0" borderId="11" xfId="33" applyBorder="1" applyAlignment="1" applyProtection="1"/>
    <xf numFmtId="0" fontId="64" fillId="0" borderId="1" xfId="33" applyBorder="1" applyAlignment="1" applyProtection="1"/>
    <xf numFmtId="0" fontId="64" fillId="0" borderId="1" xfId="33" applyAlignment="1" applyProtection="1"/>
    <xf numFmtId="0" fontId="26" fillId="0" borderId="7" xfId="26" applyFont="1" applyBorder="1" applyAlignment="1" applyProtection="1">
      <alignment horizontal="right" vertical="top"/>
    </xf>
    <xf numFmtId="0" fontId="44" fillId="0" borderId="8" xfId="26" applyFont="1" applyBorder="1" applyAlignment="1" applyProtection="1">
      <alignment vertical="top"/>
    </xf>
    <xf numFmtId="1" fontId="65" fillId="0" borderId="8" xfId="26" applyNumberFormat="1" applyFont="1" applyBorder="1" applyAlignment="1" applyProtection="1">
      <alignment vertical="top"/>
      <protection locked="0"/>
    </xf>
    <xf numFmtId="1" fontId="44" fillId="0" borderId="8" xfId="26" applyNumberFormat="1" applyFont="1" applyBorder="1" applyAlignment="1" applyProtection="1">
      <alignment vertical="top"/>
    </xf>
    <xf numFmtId="167" fontId="44" fillId="0" borderId="8" xfId="26" applyNumberFormat="1" applyFont="1" applyBorder="1" applyAlignment="1" applyProtection="1">
      <alignment vertical="top"/>
    </xf>
    <xf numFmtId="2" fontId="44" fillId="0" borderId="8" xfId="26" applyNumberFormat="1" applyFont="1" applyBorder="1" applyAlignment="1" applyProtection="1">
      <alignment vertical="top"/>
    </xf>
    <xf numFmtId="0" fontId="44" fillId="0" borderId="8" xfId="26" applyFont="1" applyBorder="1" applyAlignment="1" applyProtection="1">
      <alignment vertical="top"/>
      <protection locked="0"/>
    </xf>
    <xf numFmtId="0" fontId="44" fillId="0" borderId="1" xfId="26" applyFont="1" applyBorder="1" applyAlignment="1" applyProtection="1">
      <alignment vertical="top"/>
    </xf>
    <xf numFmtId="0" fontId="64" fillId="0" borderId="6" xfId="33" applyBorder="1" applyAlignment="1" applyProtection="1">
      <alignment horizontal="centerContinuous"/>
    </xf>
    <xf numFmtId="0" fontId="67" fillId="0" borderId="15" xfId="33" applyFont="1" applyBorder="1" applyAlignment="1" applyProtection="1">
      <alignment horizontal="centerContinuous"/>
    </xf>
    <xf numFmtId="1" fontId="36" fillId="0" borderId="17" xfId="6" applyNumberFormat="1" applyFont="1" applyBorder="1" applyAlignment="1" applyProtection="1">
      <alignment horizontal="centerContinuous"/>
    </xf>
    <xf numFmtId="1" fontId="36" fillId="0" borderId="14" xfId="6" applyNumberFormat="1" applyFont="1" applyBorder="1" applyAlignment="1" applyProtection="1">
      <alignment horizontal="centerContinuous"/>
      <protection locked="0"/>
    </xf>
    <xf numFmtId="1" fontId="36" fillId="0" borderId="17" xfId="6" applyNumberFormat="1" applyFont="1" applyBorder="1" applyAlignment="1" applyProtection="1">
      <alignment horizontal="centerContinuous"/>
      <protection locked="0"/>
    </xf>
    <xf numFmtId="1" fontId="67" fillId="0" borderId="15" xfId="6" applyNumberFormat="1" applyFont="1" applyBorder="1" applyAlignment="1" applyProtection="1">
      <alignment horizontal="centerContinuous"/>
    </xf>
    <xf numFmtId="2" fontId="67" fillId="0" borderId="15" xfId="3" applyNumberFormat="1" applyFont="1" applyBorder="1" applyAlignment="1" applyProtection="1">
      <alignment horizontal="centerContinuous"/>
    </xf>
    <xf numFmtId="2" fontId="67" fillId="0" borderId="17" xfId="3" applyNumberFormat="1" applyFont="1" applyBorder="1" applyAlignment="1" applyProtection="1">
      <alignment horizontal="centerContinuous"/>
    </xf>
    <xf numFmtId="167" fontId="67" fillId="0" borderId="14" xfId="3" applyFont="1" applyBorder="1" applyAlignment="1" applyProtection="1">
      <alignment horizontal="centerContinuous"/>
    </xf>
    <xf numFmtId="0" fontId="68" fillId="0" borderId="16" xfId="24" applyFont="1" applyBorder="1" applyAlignment="1" applyProtection="1">
      <alignment horizontal="right"/>
    </xf>
    <xf numFmtId="0" fontId="67" fillId="0" borderId="12" xfId="33" applyFont="1" applyBorder="1" applyAlignment="1" applyProtection="1">
      <alignment horizontal="centerContinuous"/>
    </xf>
    <xf numFmtId="0" fontId="64" fillId="0" borderId="1" xfId="33" applyBorder="1" applyAlignment="1" applyProtection="1">
      <alignment horizontal="centerContinuous"/>
    </xf>
    <xf numFmtId="1" fontId="64" fillId="0" borderId="1" xfId="33" applyNumberFormat="1" applyBorder="1" applyAlignment="1" applyProtection="1">
      <alignment horizontal="centerContinuous"/>
    </xf>
    <xf numFmtId="1" fontId="64" fillId="0" borderId="11" xfId="33" applyNumberFormat="1" applyBorder="1" applyAlignment="1" applyProtection="1">
      <alignment horizontal="centerContinuous"/>
    </xf>
    <xf numFmtId="1" fontId="64" fillId="0" borderId="12" xfId="33" applyNumberFormat="1" applyBorder="1" applyAlignment="1" applyProtection="1">
      <alignment horizontal="centerContinuous"/>
    </xf>
    <xf numFmtId="167" fontId="64" fillId="0" borderId="12" xfId="3" applyFont="1" applyBorder="1" applyAlignment="1" applyProtection="1">
      <alignment horizontal="center"/>
    </xf>
    <xf numFmtId="2" fontId="64" fillId="0" borderId="11" xfId="3" applyNumberFormat="1" applyFont="1" applyBorder="1" applyAlignment="1" applyProtection="1">
      <alignment horizontal="center"/>
    </xf>
    <xf numFmtId="167" fontId="64" fillId="0" borderId="1" xfId="3" applyFont="1" applyBorder="1" applyAlignment="1" applyProtection="1">
      <alignment horizontal="center"/>
    </xf>
    <xf numFmtId="0" fontId="68" fillId="0" borderId="5" xfId="33" applyFont="1" applyBorder="1" applyAlignment="1" applyProtection="1">
      <alignment horizontal="right"/>
    </xf>
    <xf numFmtId="2" fontId="64" fillId="0" borderId="1" xfId="33" applyNumberFormat="1" applyBorder="1" applyAlignment="1" applyProtection="1">
      <alignment horizontal="center" vertical="center" wrapText="1"/>
    </xf>
    <xf numFmtId="0" fontId="64" fillId="0" borderId="1" xfId="33" applyBorder="1" applyAlignment="1" applyProtection="1">
      <alignment vertical="center"/>
    </xf>
    <xf numFmtId="0" fontId="28" fillId="0" borderId="1" xfId="24" applyAlignment="1" applyProtection="1">
      <alignment vertical="center" wrapText="1"/>
    </xf>
    <xf numFmtId="1" fontId="64" fillId="0" borderId="1" xfId="33" applyNumberFormat="1" applyBorder="1" applyAlignment="1" applyProtection="1"/>
    <xf numFmtId="1" fontId="64" fillId="0" borderId="11" xfId="33" applyNumberFormat="1" applyBorder="1" applyAlignment="1" applyProtection="1"/>
    <xf numFmtId="0" fontId="28" fillId="0" borderId="1" xfId="24" applyBorder="1" applyProtection="1"/>
    <xf numFmtId="0" fontId="64" fillId="0" borderId="11" xfId="33" applyBorder="1" applyAlignment="1" applyProtection="1">
      <alignment horizontal="center"/>
    </xf>
    <xf numFmtId="14" fontId="64" fillId="0" borderId="11" xfId="33" applyNumberFormat="1" applyBorder="1" applyAlignment="1" applyProtection="1">
      <alignment horizontal="centerContinuous"/>
    </xf>
    <xf numFmtId="2" fontId="28" fillId="0" borderId="1" xfId="24" applyNumberFormat="1" applyBorder="1" applyAlignment="1" applyProtection="1">
      <alignment horizontal="center" vertical="center" wrapText="1"/>
    </xf>
    <xf numFmtId="0" fontId="28" fillId="0" borderId="1" xfId="24" applyBorder="1" applyAlignment="1" applyProtection="1">
      <alignment vertical="center" wrapText="1"/>
    </xf>
    <xf numFmtId="0" fontId="64" fillId="0" borderId="12" xfId="33" applyBorder="1" applyAlignment="1" applyProtection="1">
      <alignment horizontal="center"/>
    </xf>
    <xf numFmtId="0" fontId="64" fillId="0" borderId="1" xfId="33" applyBorder="1" applyAlignment="1" applyProtection="1">
      <alignment horizontal="center"/>
    </xf>
    <xf numFmtId="168" fontId="64" fillId="0" borderId="1" xfId="2" applyFont="1" applyBorder="1" applyAlignment="1" applyProtection="1">
      <alignment horizontal="center"/>
    </xf>
    <xf numFmtId="168" fontId="64" fillId="0" borderId="11" xfId="2" applyFont="1" applyBorder="1" applyAlignment="1" applyProtection="1">
      <alignment horizontal="center"/>
    </xf>
    <xf numFmtId="168" fontId="64" fillId="0" borderId="12" xfId="2" applyFont="1" applyBorder="1" applyAlignment="1" applyProtection="1">
      <alignment horizontal="center"/>
    </xf>
    <xf numFmtId="0" fontId="64" fillId="0" borderId="5" xfId="33" applyBorder="1" applyAlignment="1" applyProtection="1">
      <alignment horizontal="center" vertical="center"/>
    </xf>
    <xf numFmtId="2" fontId="35" fillId="0" borderId="1" xfId="9" applyNumberFormat="1" applyBorder="1" applyAlignment="1" applyProtection="1">
      <alignment horizontal="center" vertical="center"/>
    </xf>
    <xf numFmtId="0" fontId="28" fillId="0" borderId="7" xfId="33" applyFont="1" applyBorder="1" applyAlignment="1" applyProtection="1">
      <alignment horizontal="center" vertical="center"/>
    </xf>
    <xf numFmtId="0" fontId="28" fillId="0" borderId="8" xfId="33" applyFont="1" applyBorder="1" applyAlignment="1" applyProtection="1">
      <alignment horizontal="center" vertical="center"/>
    </xf>
    <xf numFmtId="168" fontId="28" fillId="0" borderId="8" xfId="2" applyFont="1" applyBorder="1" applyAlignment="1" applyProtection="1">
      <alignment horizontal="center" vertical="center"/>
    </xf>
    <xf numFmtId="168" fontId="28" fillId="0" borderId="6" xfId="2" applyFont="1" applyBorder="1" applyAlignment="1" applyProtection="1">
      <alignment horizontal="center" vertical="center"/>
    </xf>
    <xf numFmtId="168" fontId="28" fillId="0" borderId="7" xfId="2" applyFont="1" applyBorder="1" applyAlignment="1" applyProtection="1">
      <alignment horizontal="center" vertical="center"/>
    </xf>
    <xf numFmtId="167" fontId="28" fillId="0" borderId="7" xfId="3" applyFont="1" applyBorder="1" applyAlignment="1" applyProtection="1">
      <alignment horizontal="center" vertical="center"/>
    </xf>
    <xf numFmtId="2" fontId="28" fillId="0" borderId="6" xfId="3" applyNumberFormat="1" applyFont="1" applyBorder="1" applyAlignment="1" applyProtection="1">
      <alignment horizontal="center" vertical="center"/>
    </xf>
    <xf numFmtId="167" fontId="28" fillId="0" borderId="8" xfId="3" applyFont="1" applyBorder="1" applyAlignment="1" applyProtection="1">
      <alignment horizontal="center" vertical="center"/>
    </xf>
    <xf numFmtId="0" fontId="28" fillId="0" borderId="4" xfId="24" applyBorder="1" applyAlignment="1" applyProtection="1">
      <alignment vertical="center" wrapText="1"/>
    </xf>
    <xf numFmtId="0" fontId="64" fillId="0" borderId="6" xfId="33" applyBorder="1" applyAlignment="1" applyProtection="1">
      <alignment horizontal="center" vertical="center" wrapText="1"/>
    </xf>
    <xf numFmtId="0" fontId="28" fillId="0" borderId="6" xfId="33" applyFont="1" applyBorder="1" applyAlignment="1" applyProtection="1">
      <alignment horizontal="center" vertical="center"/>
    </xf>
    <xf numFmtId="0" fontId="28" fillId="0" borderId="12" xfId="6" applyFont="1" applyBorder="1" applyAlignment="1" applyProtection="1">
      <alignment horizontal="center" vertical="center" wrapText="1"/>
      <protection locked="0"/>
    </xf>
    <xf numFmtId="0" fontId="28" fillId="0" borderId="1" xfId="6" applyFont="1" applyBorder="1" applyAlignment="1" applyProtection="1">
      <alignment horizontal="center" vertical="center" wrapText="1"/>
      <protection locked="0"/>
    </xf>
    <xf numFmtId="168" fontId="28" fillId="0" borderId="1" xfId="2" applyFont="1" applyBorder="1" applyAlignment="1" applyProtection="1">
      <alignment horizontal="center" vertical="center" wrapText="1"/>
      <protection locked="0"/>
    </xf>
    <xf numFmtId="168" fontId="28" fillId="0" borderId="11" xfId="2" applyFont="1" applyBorder="1" applyAlignment="1" applyProtection="1">
      <alignment horizontal="center" vertical="center" wrapText="1"/>
      <protection locked="0"/>
    </xf>
    <xf numFmtId="168" fontId="33" fillId="0" borderId="12" xfId="2" applyFont="1" applyBorder="1" applyAlignment="1" applyProtection="1">
      <alignment horizontal="center" vertical="center" wrapText="1"/>
    </xf>
    <xf numFmtId="168" fontId="33" fillId="0" borderId="11" xfId="2" applyFont="1" applyBorder="1" applyAlignment="1" applyProtection="1">
      <alignment horizontal="center" vertical="center" wrapText="1"/>
    </xf>
    <xf numFmtId="167" fontId="33" fillId="0" borderId="12" xfId="3" applyFont="1" applyBorder="1" applyAlignment="1" applyProtection="1">
      <alignment horizontal="center" vertical="center" wrapText="1"/>
    </xf>
    <xf numFmtId="2" fontId="28" fillId="0" borderId="1" xfId="3" applyNumberFormat="1" applyFont="1" applyBorder="1" applyAlignment="1" applyProtection="1">
      <alignment horizontal="center" vertical="center" wrapText="1"/>
    </xf>
    <xf numFmtId="167" fontId="28" fillId="0" borderId="15" xfId="3" applyFont="1" applyBorder="1" applyAlignment="1" applyProtection="1">
      <alignment horizontal="center" vertical="center" wrapText="1"/>
    </xf>
    <xf numFmtId="167" fontId="28" fillId="0" borderId="17" xfId="3" applyFont="1" applyBorder="1" applyAlignment="1" applyProtection="1">
      <alignment horizontal="center" vertical="center" wrapText="1"/>
    </xf>
    <xf numFmtId="0" fontId="33" fillId="0" borderId="11" xfId="24" applyFont="1" applyBorder="1" applyAlignment="1" applyProtection="1">
      <alignment horizontal="left" vertical="center" wrapText="1"/>
      <protection locked="0"/>
    </xf>
    <xf numFmtId="0" fontId="35" fillId="0" borderId="13" xfId="9" applyNumberFormat="1" applyBorder="1" applyAlignment="1" applyProtection="1">
      <alignment horizontal="center" vertical="center" wrapText="1"/>
      <protection locked="0"/>
    </xf>
    <xf numFmtId="168" fontId="28" fillId="0" borderId="17" xfId="24" applyNumberFormat="1" applyBorder="1" applyAlignment="1" applyProtection="1">
      <alignment horizontal="center" vertical="center" wrapText="1"/>
    </xf>
    <xf numFmtId="2" fontId="33" fillId="0" borderId="1" xfId="8" applyNumberFormat="1" applyBorder="1" applyAlignment="1">
      <alignment horizontal="center" vertical="center" wrapText="1"/>
    </xf>
    <xf numFmtId="168" fontId="28" fillId="0" borderId="12" xfId="26" applyNumberFormat="1" applyBorder="1" applyAlignment="1" applyProtection="1">
      <alignment horizontal="center" vertical="center" wrapText="1"/>
    </xf>
    <xf numFmtId="168" fontId="28" fillId="0" borderId="11" xfId="26" applyNumberFormat="1" applyBorder="1" applyAlignment="1" applyProtection="1">
      <alignment horizontal="center" vertical="center" wrapText="1"/>
    </xf>
    <xf numFmtId="2" fontId="35" fillId="0" borderId="12" xfId="3" applyNumberFormat="1" applyFont="1" applyBorder="1" applyAlignment="1" applyProtection="1">
      <alignment horizontal="center" vertical="center" wrapText="1"/>
    </xf>
    <xf numFmtId="167" fontId="28" fillId="0" borderId="1" xfId="3" applyFont="1" applyBorder="1" applyAlignment="1" applyProtection="1">
      <alignment horizontal="center" vertical="center" wrapText="1"/>
    </xf>
    <xf numFmtId="167" fontId="28" fillId="0" borderId="12" xfId="3" applyFont="1" applyBorder="1" applyAlignment="1" applyProtection="1">
      <alignment horizontal="center" vertical="center" wrapText="1"/>
    </xf>
    <xf numFmtId="2" fontId="28" fillId="0" borderId="11" xfId="26" applyNumberFormat="1" applyBorder="1" applyAlignment="1" applyProtection="1">
      <alignment horizontal="center" vertical="center" wrapText="1"/>
    </xf>
    <xf numFmtId="0" fontId="35" fillId="0" borderId="2" xfId="9" applyNumberFormat="1" applyBorder="1" applyAlignment="1" applyProtection="1">
      <alignment horizontal="center" vertical="center" wrapText="1"/>
      <protection locked="0"/>
    </xf>
    <xf numFmtId="168" fontId="28" fillId="0" borderId="11" xfId="24" applyNumberFormat="1" applyBorder="1" applyAlignment="1" applyProtection="1">
      <alignment horizontal="center" vertical="center"/>
    </xf>
    <xf numFmtId="168" fontId="28" fillId="0" borderId="11" xfId="24" applyNumberFormat="1" applyBorder="1" applyAlignment="1" applyProtection="1">
      <alignment horizontal="center" vertical="center" wrapText="1"/>
    </xf>
    <xf numFmtId="0" fontId="28" fillId="0" borderId="12" xfId="6" applyFont="1" applyFill="1" applyBorder="1" applyAlignment="1" applyProtection="1">
      <alignment horizontal="center" vertical="center" wrapText="1"/>
      <protection locked="0"/>
    </xf>
    <xf numFmtId="0" fontId="70" fillId="0" borderId="11" xfId="24" applyFont="1" applyBorder="1" applyAlignment="1" applyProtection="1">
      <alignment horizontal="left" vertical="center" wrapText="1"/>
      <protection locked="0"/>
    </xf>
    <xf numFmtId="0" fontId="28" fillId="0" borderId="11" xfId="24" applyBorder="1" applyAlignment="1" applyProtection="1">
      <alignment horizontal="left" vertical="center" wrapText="1"/>
    </xf>
    <xf numFmtId="2" fontId="28" fillId="0" borderId="1" xfId="8" applyNumberFormat="1" applyFont="1" applyBorder="1" applyAlignment="1">
      <alignment horizontal="center" vertical="center" wrapText="1"/>
    </xf>
    <xf numFmtId="2" fontId="28" fillId="0" borderId="1" xfId="8" applyNumberFormat="1" applyFont="1" applyBorder="1" applyAlignment="1">
      <alignment horizontal="center" vertical="center"/>
    </xf>
    <xf numFmtId="169" fontId="28" fillId="0" borderId="11" xfId="26" applyNumberFormat="1" applyBorder="1" applyAlignment="1" applyProtection="1">
      <alignment horizontal="left" vertical="center" wrapText="1"/>
      <protection locked="0"/>
    </xf>
    <xf numFmtId="0" fontId="28" fillId="0" borderId="1" xfId="24" applyAlignment="1" applyProtection="1">
      <alignment vertical="center"/>
    </xf>
    <xf numFmtId="168" fontId="28" fillId="0" borderId="11" xfId="8" applyNumberFormat="1" applyFont="1" applyBorder="1" applyAlignment="1">
      <alignment horizontal="center" vertical="center" wrapText="1"/>
    </xf>
    <xf numFmtId="0" fontId="28" fillId="0" borderId="11" xfId="24" applyBorder="1" applyAlignment="1" applyProtection="1">
      <alignment horizontal="left" vertical="center" wrapText="1"/>
      <protection locked="0"/>
    </xf>
    <xf numFmtId="168" fontId="28" fillId="0" borderId="11" xfId="8" applyNumberFormat="1" applyFont="1" applyBorder="1" applyAlignment="1">
      <alignment horizontal="center" vertical="center"/>
    </xf>
    <xf numFmtId="2" fontId="28" fillId="0" borderId="1" xfId="24" applyNumberFormat="1" applyBorder="1" applyAlignment="1" applyProtection="1">
      <alignment horizontal="center" vertical="center"/>
    </xf>
    <xf numFmtId="0" fontId="71" fillId="0" borderId="11" xfId="24" applyFont="1" applyBorder="1" applyAlignment="1" applyProtection="1">
      <alignment horizontal="left" vertical="center"/>
      <protection locked="0"/>
    </xf>
    <xf numFmtId="0" fontId="28" fillId="0" borderId="1" xfId="24" applyProtection="1"/>
    <xf numFmtId="0" fontId="71" fillId="0" borderId="11" xfId="24" applyNumberFormat="1" applyFont="1" applyBorder="1" applyAlignment="1" applyProtection="1">
      <alignment horizontal="left" vertical="center"/>
    </xf>
    <xf numFmtId="4" fontId="28" fillId="0" borderId="1" xfId="24" applyNumberFormat="1" applyBorder="1" applyAlignment="1" applyProtection="1">
      <alignment horizontal="center"/>
    </xf>
    <xf numFmtId="4" fontId="64" fillId="0" borderId="1" xfId="24" applyNumberFormat="1" applyFont="1" applyFill="1" applyBorder="1" applyAlignment="1" applyProtection="1">
      <alignment horizontal="center"/>
    </xf>
    <xf numFmtId="0" fontId="28" fillId="0" borderId="1" xfId="24" applyFill="1" applyProtection="1"/>
    <xf numFmtId="0" fontId="64" fillId="0" borderId="1" xfId="24" applyFont="1" applyFill="1" applyProtection="1"/>
    <xf numFmtId="2" fontId="64" fillId="0" borderId="1" xfId="24" applyNumberFormat="1" applyFont="1" applyFill="1" applyAlignment="1" applyProtection="1">
      <alignment horizontal="center"/>
    </xf>
    <xf numFmtId="2" fontId="28" fillId="0" borderId="1" xfId="24" applyNumberFormat="1" applyFill="1" applyBorder="1" applyAlignment="1" applyProtection="1">
      <alignment horizontal="center"/>
    </xf>
    <xf numFmtId="2" fontId="28" fillId="0" borderId="1" xfId="24" applyNumberFormat="1" applyBorder="1" applyAlignment="1" applyProtection="1">
      <alignment horizontal="center"/>
    </xf>
    <xf numFmtId="2" fontId="28" fillId="0" borderId="1" xfId="24" applyNumberFormat="1" applyAlignment="1" applyProtection="1">
      <alignment horizontal="center"/>
    </xf>
    <xf numFmtId="168" fontId="28" fillId="0" borderId="11" xfId="24" applyNumberFormat="1" applyBorder="1" applyAlignment="1" applyProtection="1">
      <alignment horizontal="center"/>
    </xf>
    <xf numFmtId="0" fontId="64" fillId="0" borderId="14" xfId="24" applyFont="1" applyBorder="1" applyProtection="1"/>
    <xf numFmtId="168" fontId="64" fillId="0" borderId="17" xfId="24" applyNumberFormat="1" applyFont="1" applyFill="1" applyBorder="1" applyAlignment="1" applyProtection="1">
      <alignment horizontal="center"/>
    </xf>
    <xf numFmtId="0" fontId="72" fillId="19" borderId="12" xfId="6" applyFont="1" applyFill="1" applyBorder="1" applyAlignment="1" applyProtection="1">
      <alignment horizontal="left" vertical="center"/>
      <protection locked="0"/>
    </xf>
    <xf numFmtId="0" fontId="73" fillId="19" borderId="1" xfId="6" applyFont="1" applyFill="1" applyBorder="1" applyAlignment="1" applyProtection="1">
      <alignment horizontal="center" vertical="center" wrapText="1"/>
      <protection locked="0"/>
    </xf>
    <xf numFmtId="168" fontId="73" fillId="19" borderId="1" xfId="2" applyFont="1" applyFill="1" applyBorder="1" applyAlignment="1" applyProtection="1">
      <alignment horizontal="center" vertical="center" wrapText="1"/>
      <protection locked="0"/>
    </xf>
    <xf numFmtId="168" fontId="73" fillId="19" borderId="11" xfId="2" applyFont="1" applyFill="1" applyBorder="1" applyAlignment="1" applyProtection="1">
      <alignment horizontal="center" vertical="center" wrapText="1"/>
      <protection locked="0"/>
    </xf>
    <xf numFmtId="168" fontId="28" fillId="19" borderId="12" xfId="26" applyNumberFormat="1" applyFill="1" applyBorder="1" applyAlignment="1" applyProtection="1">
      <alignment horizontal="center" vertical="center" wrapText="1"/>
    </xf>
    <xf numFmtId="168" fontId="28" fillId="19" borderId="11" xfId="26" applyNumberFormat="1" applyFill="1" applyBorder="1" applyAlignment="1" applyProtection="1">
      <alignment horizontal="center" vertical="center" wrapText="1"/>
    </xf>
    <xf numFmtId="2" fontId="35" fillId="19" borderId="12" xfId="3" applyNumberFormat="1" applyFont="1" applyFill="1" applyBorder="1" applyAlignment="1" applyProtection="1">
      <alignment horizontal="center" vertical="center" wrapText="1"/>
    </xf>
    <xf numFmtId="167" fontId="28" fillId="19" borderId="1" xfId="3" applyFont="1" applyFill="1" applyBorder="1" applyAlignment="1" applyProtection="1">
      <alignment horizontal="center" vertical="center" wrapText="1"/>
    </xf>
    <xf numFmtId="167" fontId="28" fillId="19" borderId="12" xfId="3" applyFont="1" applyFill="1" applyBorder="1" applyAlignment="1" applyProtection="1">
      <alignment horizontal="center" vertical="center" wrapText="1"/>
    </xf>
    <xf numFmtId="2" fontId="28" fillId="19" borderId="11" xfId="26" applyNumberFormat="1" applyFill="1" applyBorder="1" applyAlignment="1" applyProtection="1">
      <alignment horizontal="center" vertical="center" wrapText="1"/>
    </xf>
    <xf numFmtId="0" fontId="71" fillId="19" borderId="11" xfId="24" applyNumberFormat="1" applyFont="1" applyFill="1" applyBorder="1" applyAlignment="1" applyProtection="1">
      <alignment horizontal="left" vertical="center"/>
    </xf>
    <xf numFmtId="0" fontId="33" fillId="19" borderId="12" xfId="6" applyFill="1" applyBorder="1" applyAlignment="1" applyProtection="1">
      <alignment horizontal="center" vertical="center"/>
    </xf>
    <xf numFmtId="0" fontId="33" fillId="19" borderId="1" xfId="6" applyFill="1" applyBorder="1" applyAlignment="1" applyProtection="1">
      <alignment horizontal="center" vertical="center"/>
    </xf>
    <xf numFmtId="168" fontId="33" fillId="19" borderId="1" xfId="2" applyFont="1" applyFill="1" applyBorder="1" applyAlignment="1" applyProtection="1">
      <alignment horizontal="center" vertical="center"/>
    </xf>
    <xf numFmtId="168" fontId="33" fillId="19" borderId="11" xfId="2" applyFont="1" applyFill="1" applyBorder="1" applyAlignment="1" applyProtection="1">
      <alignment horizontal="center" vertical="center"/>
    </xf>
    <xf numFmtId="168" fontId="28" fillId="19" borderId="12" xfId="26" applyNumberFormat="1" applyFill="1" applyBorder="1" applyAlignment="1" applyProtection="1">
      <alignment horizontal="center" vertical="center"/>
    </xf>
    <xf numFmtId="168" fontId="28" fillId="19" borderId="11" xfId="26" applyNumberFormat="1" applyFill="1" applyBorder="1" applyAlignment="1" applyProtection="1">
      <alignment horizontal="center" vertical="center"/>
    </xf>
    <xf numFmtId="167" fontId="33" fillId="19" borderId="12" xfId="3" applyFont="1" applyFill="1" applyBorder="1" applyAlignment="1" applyProtection="1">
      <alignment horizontal="center" vertical="center"/>
    </xf>
    <xf numFmtId="2" fontId="28" fillId="19" borderId="1" xfId="3" applyNumberFormat="1" applyFont="1" applyFill="1" applyBorder="1" applyAlignment="1" applyProtection="1">
      <alignment horizontal="center" vertical="center"/>
    </xf>
    <xf numFmtId="167" fontId="28" fillId="19" borderId="12" xfId="3" applyFont="1" applyFill="1" applyBorder="1" applyAlignment="1" applyProtection="1">
      <alignment horizontal="center" vertical="center"/>
    </xf>
    <xf numFmtId="167" fontId="28" fillId="19" borderId="11" xfId="3" applyFont="1" applyFill="1" applyBorder="1" applyAlignment="1" applyProtection="1">
      <alignment horizontal="center" vertical="center"/>
    </xf>
    <xf numFmtId="0" fontId="28" fillId="19" borderId="11" xfId="24" applyFill="1" applyBorder="1" applyAlignment="1" applyProtection="1">
      <alignment horizontal="left" vertical="center"/>
    </xf>
    <xf numFmtId="0" fontId="33" fillId="19" borderId="7" xfId="6" applyFill="1" applyBorder="1" applyAlignment="1" applyProtection="1">
      <alignment horizontal="center" vertical="center"/>
    </xf>
    <xf numFmtId="0" fontId="33" fillId="19" borderId="8" xfId="6" applyFill="1" applyBorder="1" applyAlignment="1" applyProtection="1">
      <alignment horizontal="center" vertical="center"/>
    </xf>
    <xf numFmtId="168" fontId="33" fillId="19" borderId="8" xfId="2" applyFont="1" applyFill="1" applyBorder="1" applyAlignment="1" applyProtection="1">
      <alignment horizontal="center" vertical="center"/>
    </xf>
    <xf numFmtId="168" fontId="33" fillId="19" borderId="6" xfId="2" applyFont="1" applyFill="1" applyBorder="1" applyAlignment="1" applyProtection="1">
      <alignment horizontal="center" vertical="center"/>
    </xf>
    <xf numFmtId="168" fontId="28" fillId="19" borderId="7" xfId="26" applyNumberFormat="1" applyFill="1" applyBorder="1" applyAlignment="1" applyProtection="1">
      <alignment horizontal="center" vertical="center"/>
    </xf>
    <xf numFmtId="168" fontId="28" fillId="19" borderId="6" xfId="26" applyNumberFormat="1" applyFill="1" applyBorder="1" applyAlignment="1" applyProtection="1">
      <alignment horizontal="center" vertical="center"/>
    </xf>
    <xf numFmtId="167" fontId="33" fillId="19" borderId="7" xfId="3" applyFont="1" applyFill="1" applyBorder="1" applyAlignment="1" applyProtection="1">
      <alignment horizontal="center" vertical="center"/>
    </xf>
    <xf numFmtId="2" fontId="28" fillId="19" borderId="8" xfId="3" applyNumberFormat="1" applyFont="1" applyFill="1" applyBorder="1" applyAlignment="1" applyProtection="1">
      <alignment horizontal="center" vertical="center"/>
    </xf>
    <xf numFmtId="167" fontId="28" fillId="19" borderId="7" xfId="3" applyFont="1" applyFill="1" applyBorder="1" applyAlignment="1" applyProtection="1">
      <alignment horizontal="center" vertical="center"/>
    </xf>
    <xf numFmtId="167" fontId="28" fillId="19" borderId="6" xfId="3" applyFont="1" applyFill="1" applyBorder="1" applyAlignment="1" applyProtection="1">
      <alignment horizontal="center" vertical="center"/>
    </xf>
    <xf numFmtId="0" fontId="28" fillId="19" borderId="6" xfId="24" applyFill="1" applyBorder="1" applyAlignment="1" applyProtection="1">
      <alignment horizontal="left" vertical="center"/>
    </xf>
    <xf numFmtId="0" fontId="64" fillId="0" borderId="8" xfId="24" applyFont="1" applyBorder="1" applyAlignment="1" applyProtection="1">
      <alignment horizontal="left"/>
    </xf>
    <xf numFmtId="168" fontId="28" fillId="0" borderId="6" xfId="24" applyNumberFormat="1" applyBorder="1" applyAlignment="1" applyProtection="1">
      <alignment horizontal="center"/>
    </xf>
    <xf numFmtId="0" fontId="33" fillId="0" borderId="1" xfId="6" applyBorder="1" applyAlignment="1" applyProtection="1">
      <alignment horizontal="center"/>
    </xf>
    <xf numFmtId="168" fontId="33" fillId="0" borderId="1" xfId="2" applyFont="1" applyBorder="1" applyAlignment="1" applyProtection="1">
      <alignment horizontal="center"/>
    </xf>
    <xf numFmtId="168" fontId="28" fillId="0" borderId="1" xfId="26" applyNumberFormat="1" applyBorder="1" applyAlignment="1" applyProtection="1">
      <alignment horizontal="center"/>
    </xf>
    <xf numFmtId="167" fontId="33" fillId="0" borderId="1" xfId="3" applyFont="1" applyBorder="1" applyAlignment="1" applyProtection="1">
      <alignment horizontal="center"/>
    </xf>
    <xf numFmtId="2" fontId="28" fillId="0" borderId="1" xfId="3" applyNumberFormat="1" applyFont="1" applyBorder="1" applyAlignment="1" applyProtection="1">
      <alignment horizontal="center"/>
    </xf>
    <xf numFmtId="167" fontId="28" fillId="0" borderId="1" xfId="3" applyFont="1" applyBorder="1" applyAlignment="1" applyProtection="1">
      <alignment horizontal="center"/>
    </xf>
    <xf numFmtId="168" fontId="28" fillId="0" borderId="1" xfId="2" applyFont="1" applyAlignment="1" applyProtection="1">
      <alignment horizontal="center"/>
    </xf>
    <xf numFmtId="0" fontId="28" fillId="0" borderId="1" xfId="24" applyBorder="1" applyAlignment="1" applyProtection="1">
      <alignment horizontal="left"/>
    </xf>
    <xf numFmtId="0" fontId="64" fillId="0" borderId="1" xfId="24" applyFont="1" applyAlignment="1" applyProtection="1">
      <alignment horizontal="right"/>
    </xf>
    <xf numFmtId="1" fontId="28" fillId="0" borderId="1" xfId="24" applyNumberFormat="1" applyBorder="1" applyProtection="1"/>
    <xf numFmtId="0" fontId="28" fillId="0" borderId="1" xfId="24" applyBorder="1" applyAlignment="1" applyProtection="1">
      <alignment horizontal="center"/>
    </xf>
    <xf numFmtId="167" fontId="28" fillId="0" borderId="1" xfId="3" applyFont="1" applyAlignment="1" applyProtection="1">
      <alignment horizontal="center"/>
    </xf>
    <xf numFmtId="0" fontId="28" fillId="0" borderId="1" xfId="24" applyAlignment="1" applyProtection="1">
      <alignment horizontal="center"/>
    </xf>
    <xf numFmtId="167" fontId="64" fillId="0" borderId="1" xfId="3" applyFont="1" applyAlignment="1" applyProtection="1">
      <alignment horizontal="center"/>
    </xf>
    <xf numFmtId="2" fontId="28" fillId="0" borderId="1" xfId="24" applyNumberFormat="1" applyProtection="1"/>
    <xf numFmtId="1" fontId="28" fillId="0" borderId="1" xfId="24" applyNumberFormat="1" applyProtection="1"/>
    <xf numFmtId="2" fontId="28" fillId="0" borderId="1" xfId="3" applyNumberFormat="1" applyFont="1" applyAlignment="1" applyProtection="1">
      <alignment horizontal="center"/>
    </xf>
    <xf numFmtId="14" fontId="26" fillId="0" borderId="1" xfId="24" applyNumberFormat="1" applyFont="1" applyBorder="1" applyProtection="1"/>
    <xf numFmtId="2" fontId="45" fillId="11" borderId="11" xfId="0" applyNumberFormat="1" applyFont="1" applyFill="1" applyBorder="1" applyAlignment="1">
      <alignment horizontal="center"/>
    </xf>
    <xf numFmtId="2" fontId="0" fillId="0" borderId="1" xfId="0" applyNumberFormat="1" applyBorder="1" applyAlignment="1">
      <alignment horizontal="center"/>
    </xf>
    <xf numFmtId="2" fontId="0" fillId="0" borderId="11" xfId="0" applyNumberFormat="1" applyBorder="1" applyAlignment="1">
      <alignment horizontal="center"/>
    </xf>
    <xf numFmtId="0" fontId="26" fillId="0" borderId="14" xfId="33" applyFont="1" applyBorder="1" applyAlignment="1" applyProtection="1">
      <alignment horizontal="right"/>
    </xf>
    <xf numFmtId="0" fontId="26" fillId="0" borderId="1" xfId="24" applyFont="1" applyProtection="1"/>
    <xf numFmtId="2" fontId="64" fillId="0" borderId="1" xfId="24" applyNumberFormat="1" applyFont="1" applyProtection="1"/>
    <xf numFmtId="0" fontId="26" fillId="0" borderId="1" xfId="33" applyFont="1" applyBorder="1" applyAlignment="1" applyProtection="1">
      <alignment horizontal="right"/>
    </xf>
    <xf numFmtId="1" fontId="44" fillId="0" borderId="1" xfId="26" applyNumberFormat="1" applyFont="1" applyAlignment="1" applyProtection="1">
      <alignment horizontal="center"/>
    </xf>
    <xf numFmtId="2" fontId="28" fillId="0" borderId="1" xfId="26" applyNumberFormat="1" applyAlignment="1" applyProtection="1">
      <alignment vertical="top"/>
    </xf>
    <xf numFmtId="2" fontId="44" fillId="0" borderId="1" xfId="26" applyNumberFormat="1" applyFont="1" applyAlignment="1" applyProtection="1">
      <alignment horizontal="center"/>
    </xf>
    <xf numFmtId="2" fontId="64" fillId="0" borderId="1" xfId="33" applyNumberFormat="1" applyAlignment="1" applyProtection="1"/>
    <xf numFmtId="0" fontId="26" fillId="0" borderId="1" xfId="26" applyFont="1" applyBorder="1" applyAlignment="1" applyProtection="1">
      <alignment horizontal="right" vertical="top"/>
    </xf>
    <xf numFmtId="0" fontId="44" fillId="0" borderId="1" xfId="26" applyFont="1" applyAlignment="1" applyProtection="1">
      <alignment vertical="top"/>
    </xf>
    <xf numFmtId="1" fontId="65" fillId="0" borderId="1" xfId="26" applyNumberFormat="1" applyFont="1" applyBorder="1" applyAlignment="1" applyProtection="1">
      <alignment vertical="top"/>
      <protection locked="0"/>
    </xf>
    <xf numFmtId="1" fontId="44" fillId="0" borderId="1" xfId="26" applyNumberFormat="1" applyFont="1" applyBorder="1" applyAlignment="1" applyProtection="1">
      <alignment vertical="top"/>
    </xf>
    <xf numFmtId="167" fontId="44" fillId="0" borderId="1" xfId="26" applyNumberFormat="1" applyFont="1" applyBorder="1" applyAlignment="1" applyProtection="1">
      <alignment vertical="top"/>
    </xf>
    <xf numFmtId="2" fontId="44" fillId="0" borderId="1" xfId="26" applyNumberFormat="1" applyFont="1" applyBorder="1" applyAlignment="1" applyProtection="1">
      <alignment vertical="top"/>
    </xf>
    <xf numFmtId="0" fontId="44" fillId="0" borderId="1" xfId="26" applyFont="1" applyBorder="1" applyAlignment="1" applyProtection="1">
      <alignment vertical="top"/>
      <protection locked="0"/>
    </xf>
    <xf numFmtId="2" fontId="64" fillId="0" borderId="1" xfId="33" applyNumberFormat="1" applyBorder="1" applyAlignment="1" applyProtection="1"/>
    <xf numFmtId="2" fontId="67" fillId="0" borderId="14" xfId="3" applyNumberFormat="1" applyFont="1" applyBorder="1" applyAlignment="1" applyProtection="1">
      <alignment horizontal="centerContinuous"/>
    </xf>
    <xf numFmtId="0" fontId="75" fillId="0" borderId="3" xfId="35" applyFont="1" applyBorder="1" applyAlignment="1" applyProtection="1">
      <alignment horizontal="centerContinuous"/>
    </xf>
    <xf numFmtId="0" fontId="75" fillId="0" borderId="1" xfId="35" applyFont="1" applyBorder="1" applyAlignment="1" applyProtection="1">
      <alignment horizontal="centerContinuous"/>
    </xf>
    <xf numFmtId="0" fontId="75" fillId="0" borderId="2" xfId="35" applyFont="1" applyBorder="1" applyAlignment="1" applyProtection="1">
      <alignment horizontal="centerContinuous"/>
    </xf>
    <xf numFmtId="0" fontId="75" fillId="0" borderId="20" xfId="35" applyFont="1" applyBorder="1" applyAlignment="1" applyProtection="1">
      <alignment horizontal="center"/>
    </xf>
    <xf numFmtId="172" fontId="75" fillId="0" borderId="1" xfId="35" applyNumberFormat="1" applyFont="1" applyBorder="1" applyAlignment="1" applyProtection="1">
      <alignment horizontal="centerContinuous"/>
    </xf>
    <xf numFmtId="172" fontId="75" fillId="0" borderId="3" xfId="35" applyNumberFormat="1" applyFont="1" applyBorder="1" applyAlignment="1" applyProtection="1">
      <alignment horizontal="centerContinuous"/>
    </xf>
    <xf numFmtId="172" fontId="75" fillId="0" borderId="12" xfId="35" applyNumberFormat="1" applyFont="1" applyBorder="1" applyAlignment="1" applyProtection="1">
      <alignment horizontal="centerContinuous"/>
    </xf>
    <xf numFmtId="1" fontId="64" fillId="0" borderId="3" xfId="33" applyNumberFormat="1" applyBorder="1" applyAlignment="1" applyProtection="1">
      <alignment horizontal="centerContinuous"/>
    </xf>
    <xf numFmtId="2" fontId="64" fillId="0" borderId="1" xfId="3" applyNumberFormat="1" applyFont="1" applyBorder="1" applyAlignment="1" applyProtection="1">
      <alignment horizontal="center"/>
    </xf>
    <xf numFmtId="0" fontId="64" fillId="0" borderId="12" xfId="33" applyBorder="1" applyAlignment="1" applyProtection="1"/>
    <xf numFmtId="172" fontId="76" fillId="0" borderId="20" xfId="35" applyNumberFormat="1" applyFont="1" applyBorder="1" applyAlignment="1" applyProtection="1">
      <alignment horizontal="center"/>
    </xf>
    <xf numFmtId="172" fontId="76" fillId="0" borderId="3" xfId="35" applyNumberFormat="1" applyFont="1" applyBorder="1" applyAlignment="1" applyProtection="1">
      <alignment horizontal="center"/>
    </xf>
    <xf numFmtId="172" fontId="76" fillId="0" borderId="12" xfId="35" applyNumberFormat="1" applyFont="1" applyBorder="1" applyAlignment="1" applyProtection="1">
      <alignment horizontal="center"/>
    </xf>
    <xf numFmtId="2" fontId="28" fillId="0" borderId="1" xfId="24" applyNumberFormat="1" applyBorder="1" applyProtection="1"/>
    <xf numFmtId="0" fontId="76" fillId="0" borderId="3" xfId="35" applyFont="1" applyBorder="1" applyAlignment="1" applyProtection="1"/>
    <xf numFmtId="0" fontId="76" fillId="0" borderId="1" xfId="35" applyFont="1" applyBorder="1" applyAlignment="1" applyProtection="1"/>
    <xf numFmtId="0" fontId="76" fillId="0" borderId="2" xfId="35" applyFont="1" applyBorder="1" applyAlignment="1" applyProtection="1"/>
    <xf numFmtId="172" fontId="76" fillId="0" borderId="1" xfId="35" applyNumberFormat="1" applyFont="1" applyBorder="1" applyAlignment="1" applyProtection="1">
      <alignment horizontal="center"/>
    </xf>
    <xf numFmtId="168" fontId="64" fillId="0" borderId="3" xfId="2" applyFont="1" applyBorder="1" applyAlignment="1" applyProtection="1">
      <alignment horizontal="center"/>
    </xf>
    <xf numFmtId="0" fontId="77" fillId="0" borderId="3" xfId="35" applyFont="1" applyBorder="1" applyAlignment="1" applyProtection="1">
      <alignment horizontal="center"/>
    </xf>
    <xf numFmtId="0" fontId="77" fillId="0" borderId="1" xfId="35" applyFont="1" applyBorder="1" applyAlignment="1" applyProtection="1">
      <alignment horizontal="center"/>
    </xf>
    <xf numFmtId="0" fontId="77" fillId="0" borderId="2" xfId="35" applyFont="1" applyBorder="1" applyAlignment="1" applyProtection="1">
      <alignment horizontal="center"/>
    </xf>
    <xf numFmtId="172" fontId="77" fillId="0" borderId="20" xfId="35" applyNumberFormat="1" applyFont="1" applyBorder="1" applyAlignment="1" applyProtection="1">
      <alignment horizontal="center"/>
    </xf>
    <xf numFmtId="172" fontId="77" fillId="0" borderId="1" xfId="35" applyNumberFormat="1" applyFont="1" applyBorder="1" applyAlignment="1" applyProtection="1">
      <alignment horizontal="center"/>
    </xf>
    <xf numFmtId="172" fontId="77" fillId="0" borderId="3" xfId="35" applyNumberFormat="1" applyFont="1" applyBorder="1" applyAlignment="1" applyProtection="1">
      <alignment horizontal="center"/>
    </xf>
    <xf numFmtId="168" fontId="28" fillId="0" borderId="25" xfId="2" applyFont="1" applyBorder="1" applyAlignment="1" applyProtection="1">
      <alignment horizontal="center" vertical="center"/>
    </xf>
    <xf numFmtId="2" fontId="28" fillId="0" borderId="8" xfId="3" applyNumberFormat="1" applyFont="1" applyBorder="1" applyAlignment="1" applyProtection="1">
      <alignment horizontal="center" vertical="center"/>
    </xf>
    <xf numFmtId="0" fontId="64" fillId="0" borderId="15" xfId="6" applyFont="1" applyBorder="1" applyAlignment="1" applyProtection="1">
      <alignment horizontal="center" vertical="center" wrapText="1"/>
      <protection locked="0"/>
    </xf>
    <xf numFmtId="0" fontId="28" fillId="0" borderId="14" xfId="6" applyFont="1" applyBorder="1" applyAlignment="1" applyProtection="1">
      <alignment horizontal="center" vertical="center" wrapText="1"/>
      <protection locked="0"/>
    </xf>
    <xf numFmtId="168" fontId="28" fillId="0" borderId="14" xfId="2" applyFont="1" applyBorder="1" applyAlignment="1" applyProtection="1">
      <alignment horizontal="center" vertical="center" wrapText="1"/>
      <protection locked="0"/>
    </xf>
    <xf numFmtId="168" fontId="78" fillId="0" borderId="24" xfId="2" applyFont="1" applyBorder="1" applyAlignment="1" applyProtection="1">
      <alignment horizontal="center" vertical="center" wrapText="1"/>
      <protection locked="0"/>
    </xf>
    <xf numFmtId="168" fontId="78" fillId="0" borderId="14" xfId="2" applyFont="1" applyBorder="1" applyAlignment="1" applyProtection="1">
      <alignment horizontal="center" vertical="center" wrapText="1"/>
      <protection locked="0"/>
    </xf>
    <xf numFmtId="168" fontId="78" fillId="0" borderId="13" xfId="2" applyFont="1" applyBorder="1" applyAlignment="1" applyProtection="1">
      <alignment horizontal="center" vertical="center" wrapText="1"/>
      <protection locked="0"/>
    </xf>
    <xf numFmtId="168" fontId="78" fillId="0" borderId="22" xfId="2" applyFont="1" applyBorder="1" applyAlignment="1" applyProtection="1">
      <alignment horizontal="center" vertical="center" wrapText="1"/>
      <protection locked="0"/>
    </xf>
    <xf numFmtId="168" fontId="78" fillId="0" borderId="28" xfId="2" applyFont="1" applyBorder="1" applyAlignment="1" applyProtection="1">
      <alignment horizontal="center" vertical="center" wrapText="1"/>
      <protection locked="0"/>
    </xf>
    <xf numFmtId="168" fontId="33" fillId="0" borderId="3" xfId="2" applyFont="1" applyBorder="1" applyAlignment="1" applyProtection="1">
      <alignment horizontal="center" vertical="center" wrapText="1"/>
    </xf>
    <xf numFmtId="168" fontId="33" fillId="0" borderId="1" xfId="2" applyFont="1" applyBorder="1" applyAlignment="1" applyProtection="1">
      <alignment horizontal="center" vertical="center" wrapText="1"/>
    </xf>
    <xf numFmtId="2" fontId="33" fillId="0" borderId="15" xfId="3" applyNumberFormat="1" applyFont="1" applyBorder="1" applyAlignment="1" applyProtection="1">
      <alignment horizontal="center" vertical="center" wrapText="1"/>
    </xf>
    <xf numFmtId="2" fontId="28" fillId="0" borderId="14" xfId="3" applyNumberFormat="1" applyFont="1" applyBorder="1" applyAlignment="1" applyProtection="1">
      <alignment horizontal="center" vertical="center" wrapText="1"/>
    </xf>
    <xf numFmtId="2" fontId="28" fillId="0" borderId="15" xfId="3" applyNumberFormat="1" applyFont="1" applyBorder="1" applyAlignment="1" applyProtection="1">
      <alignment horizontal="center" vertical="center" wrapText="1"/>
    </xf>
    <xf numFmtId="2" fontId="28" fillId="0" borderId="17" xfId="3" applyNumberFormat="1" applyFont="1" applyBorder="1" applyAlignment="1" applyProtection="1">
      <alignment horizontal="center" vertical="center" wrapText="1"/>
    </xf>
    <xf numFmtId="0" fontId="33" fillId="0" borderId="17" xfId="24" applyFont="1" applyBorder="1" applyAlignment="1" applyProtection="1">
      <alignment horizontal="left" vertical="center" wrapText="1"/>
      <protection locked="0"/>
    </xf>
    <xf numFmtId="168" fontId="78" fillId="0" borderId="3" xfId="2" applyFont="1" applyBorder="1" applyAlignment="1" applyProtection="1">
      <alignment horizontal="center" vertical="center" wrapText="1"/>
      <protection locked="0"/>
    </xf>
    <xf numFmtId="168" fontId="78" fillId="0" borderId="1" xfId="2" applyFont="1" applyBorder="1" applyAlignment="1" applyProtection="1">
      <alignment horizontal="center" vertical="center" wrapText="1"/>
      <protection locked="0"/>
    </xf>
    <xf numFmtId="168" fontId="78" fillId="0" borderId="2" xfId="2" applyFont="1" applyBorder="1" applyAlignment="1" applyProtection="1">
      <alignment horizontal="center" vertical="center" wrapText="1"/>
      <protection locked="0"/>
    </xf>
    <xf numFmtId="168" fontId="78" fillId="0" borderId="20" xfId="2" applyFont="1" applyBorder="1" applyAlignment="1" applyProtection="1">
      <alignment horizontal="center" vertical="center" wrapText="1"/>
      <protection locked="0"/>
    </xf>
    <xf numFmtId="168" fontId="78" fillId="0" borderId="29" xfId="2" applyFont="1" applyBorder="1" applyAlignment="1" applyProtection="1">
      <alignment horizontal="center" vertical="center" wrapText="1"/>
      <protection locked="0"/>
    </xf>
    <xf numFmtId="168" fontId="28" fillId="0" borderId="3" xfId="26" applyNumberFormat="1" applyBorder="1" applyAlignment="1" applyProtection="1">
      <alignment horizontal="center" vertical="center" wrapText="1"/>
    </xf>
    <xf numFmtId="168" fontId="28" fillId="0" borderId="1" xfId="26" applyNumberFormat="1" applyBorder="1" applyAlignment="1" applyProtection="1">
      <alignment horizontal="center" vertical="center" wrapText="1"/>
    </xf>
    <xf numFmtId="2" fontId="28" fillId="0" borderId="12" xfId="3" applyNumberFormat="1" applyFont="1" applyBorder="1" applyAlignment="1" applyProtection="1">
      <alignment horizontal="center" vertical="center" wrapText="1"/>
    </xf>
    <xf numFmtId="0" fontId="28" fillId="0" borderId="7" xfId="6" applyFont="1" applyFill="1" applyBorder="1" applyAlignment="1" applyProtection="1">
      <alignment horizontal="center" vertical="center" wrapText="1"/>
      <protection locked="0"/>
    </xf>
    <xf numFmtId="0" fontId="28" fillId="0" borderId="8" xfId="6" applyFont="1" applyBorder="1" applyAlignment="1" applyProtection="1">
      <alignment horizontal="center" vertical="center" wrapText="1"/>
      <protection locked="0"/>
    </xf>
    <xf numFmtId="168" fontId="28" fillId="0" borderId="8" xfId="2" applyFont="1" applyBorder="1" applyAlignment="1" applyProtection="1">
      <alignment horizontal="center" vertical="center" wrapText="1"/>
      <protection locked="0"/>
    </xf>
    <xf numFmtId="168" fontId="28" fillId="0" borderId="25" xfId="2" applyFont="1" applyBorder="1" applyAlignment="1" applyProtection="1">
      <alignment horizontal="center" vertical="center" wrapText="1"/>
      <protection locked="0"/>
    </xf>
    <xf numFmtId="168" fontId="28" fillId="0" borderId="9" xfId="2" applyFont="1" applyBorder="1" applyAlignment="1" applyProtection="1">
      <alignment horizontal="center" vertical="center" wrapText="1"/>
      <protection locked="0"/>
    </xf>
    <xf numFmtId="168" fontId="28" fillId="0" borderId="23" xfId="2" applyFont="1" applyBorder="1" applyAlignment="1" applyProtection="1">
      <alignment horizontal="center" vertical="center" wrapText="1"/>
      <protection locked="0"/>
    </xf>
    <xf numFmtId="168" fontId="28" fillId="0" borderId="30" xfId="2" applyFont="1" applyBorder="1" applyAlignment="1" applyProtection="1">
      <alignment horizontal="center" vertical="center" wrapText="1"/>
      <protection locked="0"/>
    </xf>
    <xf numFmtId="168" fontId="28" fillId="0" borderId="25" xfId="26" applyNumberFormat="1" applyBorder="1" applyAlignment="1" applyProtection="1">
      <alignment horizontal="center" vertical="center" wrapText="1"/>
    </xf>
    <xf numFmtId="168" fontId="28" fillId="0" borderId="8" xfId="26" applyNumberFormat="1" applyBorder="1" applyAlignment="1" applyProtection="1">
      <alignment horizontal="center" vertical="center" wrapText="1"/>
    </xf>
    <xf numFmtId="2" fontId="35" fillId="0" borderId="7" xfId="3" applyNumberFormat="1" applyFont="1" applyBorder="1" applyAlignment="1" applyProtection="1">
      <alignment horizontal="center" vertical="center" wrapText="1"/>
    </xf>
    <xf numFmtId="2" fontId="28" fillId="0" borderId="8" xfId="3" applyNumberFormat="1" applyFont="1" applyBorder="1" applyAlignment="1" applyProtection="1">
      <alignment horizontal="center" vertical="center" wrapText="1"/>
    </xf>
    <xf numFmtId="2" fontId="28" fillId="0" borderId="7" xfId="3" applyNumberFormat="1" applyFont="1" applyBorder="1" applyAlignment="1" applyProtection="1">
      <alignment horizontal="center" vertical="center" wrapText="1"/>
    </xf>
    <xf numFmtId="2" fontId="28" fillId="0" borderId="6" xfId="26" applyNumberFormat="1" applyBorder="1" applyAlignment="1" applyProtection="1">
      <alignment horizontal="center" vertical="center" wrapText="1"/>
    </xf>
    <xf numFmtId="0" fontId="71" fillId="0" borderId="6" xfId="24" applyNumberFormat="1" applyFont="1" applyBorder="1" applyAlignment="1" applyProtection="1">
      <alignment horizontal="left" vertical="center"/>
    </xf>
    <xf numFmtId="0" fontId="64" fillId="0" borderId="12" xfId="6" applyFont="1" applyFill="1" applyBorder="1" applyAlignment="1" applyProtection="1">
      <alignment horizontal="center" vertical="center" wrapText="1"/>
      <protection locked="0"/>
    </xf>
    <xf numFmtId="168" fontId="28" fillId="0" borderId="3" xfId="2" applyFont="1" applyBorder="1" applyAlignment="1" applyProtection="1">
      <alignment horizontal="center" vertical="center" wrapText="1"/>
      <protection locked="0"/>
    </xf>
    <xf numFmtId="168" fontId="28" fillId="0" borderId="2" xfId="2" applyFont="1" applyBorder="1" applyAlignment="1" applyProtection="1">
      <alignment horizontal="center" vertical="center" wrapText="1"/>
      <protection locked="0"/>
    </xf>
    <xf numFmtId="168" fontId="28" fillId="0" borderId="20" xfId="2" applyFont="1" applyBorder="1" applyAlignment="1" applyProtection="1">
      <alignment horizontal="center" vertical="center" wrapText="1"/>
      <protection locked="0"/>
    </xf>
    <xf numFmtId="168" fontId="28" fillId="0" borderId="29" xfId="2" applyFont="1" applyBorder="1" applyAlignment="1" applyProtection="1">
      <alignment horizontal="center" vertical="center" wrapText="1"/>
      <protection locked="0"/>
    </xf>
    <xf numFmtId="172" fontId="28" fillId="0" borderId="3" xfId="2" applyNumberFormat="1" applyFont="1" applyBorder="1" applyAlignment="1" applyProtection="1">
      <alignment horizontal="center" vertical="center" wrapText="1"/>
      <protection locked="0"/>
    </xf>
    <xf numFmtId="172" fontId="28" fillId="0" borderId="1" xfId="2" applyNumberFormat="1" applyFont="1" applyBorder="1" applyAlignment="1" applyProtection="1">
      <alignment horizontal="center" vertical="center" wrapText="1"/>
      <protection locked="0"/>
    </xf>
    <xf numFmtId="172" fontId="28" fillId="0" borderId="2" xfId="2" applyNumberFormat="1" applyFont="1" applyBorder="1" applyAlignment="1" applyProtection="1">
      <alignment horizontal="center" vertical="center" wrapText="1"/>
      <protection locked="0"/>
    </xf>
    <xf numFmtId="172" fontId="28" fillId="0" borderId="20" xfId="2" applyNumberFormat="1" applyFont="1" applyBorder="1" applyAlignment="1" applyProtection="1">
      <alignment horizontal="center" vertical="center" wrapText="1"/>
      <protection locked="0"/>
    </xf>
    <xf numFmtId="172" fontId="28" fillId="0" borderId="29" xfId="2" applyNumberFormat="1" applyFont="1" applyBorder="1" applyAlignment="1" applyProtection="1">
      <alignment horizontal="center" vertical="center" wrapText="1"/>
      <protection locked="0"/>
    </xf>
    <xf numFmtId="168" fontId="73" fillId="19" borderId="20" xfId="2" applyFont="1" applyFill="1" applyBorder="1" applyAlignment="1" applyProtection="1">
      <alignment horizontal="center" vertical="center" wrapText="1"/>
      <protection locked="0"/>
    </xf>
    <xf numFmtId="168" fontId="73" fillId="19" borderId="29" xfId="2" applyFont="1" applyFill="1" applyBorder="1" applyAlignment="1" applyProtection="1">
      <alignment horizontal="center" vertical="center" wrapText="1"/>
      <protection locked="0"/>
    </xf>
    <xf numFmtId="168" fontId="28" fillId="19" borderId="3" xfId="26" applyNumberFormat="1" applyFill="1" applyBorder="1" applyAlignment="1" applyProtection="1">
      <alignment horizontal="center" vertical="center" wrapText="1"/>
    </xf>
    <xf numFmtId="168" fontId="28" fillId="19" borderId="1" xfId="26" applyNumberFormat="1" applyFill="1" applyBorder="1" applyAlignment="1" applyProtection="1">
      <alignment horizontal="center" vertical="center" wrapText="1"/>
    </xf>
    <xf numFmtId="2" fontId="28" fillId="19" borderId="1" xfId="3" applyNumberFormat="1" applyFont="1" applyFill="1" applyBorder="1" applyAlignment="1" applyProtection="1">
      <alignment horizontal="center" vertical="center" wrapText="1"/>
    </xf>
    <xf numFmtId="2" fontId="28" fillId="19" borderId="12" xfId="3" applyNumberFormat="1" applyFont="1" applyFill="1" applyBorder="1" applyAlignment="1" applyProtection="1">
      <alignment horizontal="center" vertical="center" wrapText="1"/>
    </xf>
    <xf numFmtId="168" fontId="33" fillId="19" borderId="20" xfId="2" applyFont="1" applyFill="1" applyBorder="1" applyAlignment="1" applyProtection="1">
      <alignment horizontal="center" vertical="center"/>
    </xf>
    <xf numFmtId="168" fontId="33" fillId="19" borderId="29" xfId="2" applyFont="1" applyFill="1" applyBorder="1" applyAlignment="1" applyProtection="1">
      <alignment horizontal="center" vertical="center"/>
    </xf>
    <xf numFmtId="168" fontId="28" fillId="19" borderId="3" xfId="26" applyNumberFormat="1" applyFill="1" applyBorder="1" applyAlignment="1" applyProtection="1">
      <alignment horizontal="center" vertical="center"/>
    </xf>
    <xf numFmtId="168" fontId="28" fillId="19" borderId="1" xfId="26" applyNumberFormat="1" applyFill="1" applyBorder="1" applyAlignment="1" applyProtection="1">
      <alignment horizontal="center" vertical="center"/>
    </xf>
    <xf numFmtId="2" fontId="33" fillId="19" borderId="12" xfId="3" applyNumberFormat="1" applyFont="1" applyFill="1" applyBorder="1" applyAlignment="1" applyProtection="1">
      <alignment horizontal="center" vertical="center"/>
    </xf>
    <xf numFmtId="2" fontId="28" fillId="19" borderId="12" xfId="3" applyNumberFormat="1" applyFont="1" applyFill="1" applyBorder="1" applyAlignment="1" applyProtection="1">
      <alignment horizontal="center" vertical="center"/>
    </xf>
    <xf numFmtId="2" fontId="28" fillId="19" borderId="11" xfId="3" applyNumberFormat="1" applyFont="1" applyFill="1" applyBorder="1" applyAlignment="1" applyProtection="1">
      <alignment horizontal="center" vertical="center"/>
    </xf>
    <xf numFmtId="168" fontId="33" fillId="19" borderId="23" xfId="2" applyFont="1" applyFill="1" applyBorder="1" applyAlignment="1" applyProtection="1">
      <alignment horizontal="center" vertical="center"/>
    </xf>
    <xf numFmtId="168" fontId="33" fillId="19" borderId="30" xfId="2" applyFont="1" applyFill="1" applyBorder="1" applyAlignment="1" applyProtection="1">
      <alignment horizontal="center" vertical="center"/>
    </xf>
    <xf numFmtId="168" fontId="28" fillId="19" borderId="25" xfId="26" applyNumberFormat="1" applyFill="1" applyBorder="1" applyAlignment="1" applyProtection="1">
      <alignment horizontal="center" vertical="center"/>
    </xf>
    <xf numFmtId="168" fontId="28" fillId="19" borderId="8" xfId="26" applyNumberFormat="1" applyFill="1" applyBorder="1" applyAlignment="1" applyProtection="1">
      <alignment horizontal="center" vertical="center"/>
    </xf>
    <xf numFmtId="2" fontId="33" fillId="19" borderId="7" xfId="3" applyNumberFormat="1" applyFont="1" applyFill="1" applyBorder="1" applyAlignment="1" applyProtection="1">
      <alignment horizontal="center" vertical="center"/>
    </xf>
    <xf numFmtId="2" fontId="28" fillId="19" borderId="7" xfId="3" applyNumberFormat="1" applyFont="1" applyFill="1" applyBorder="1" applyAlignment="1" applyProtection="1">
      <alignment horizontal="center" vertical="center"/>
    </xf>
    <xf numFmtId="2" fontId="28" fillId="19" borderId="6" xfId="3" applyNumberFormat="1" applyFont="1" applyFill="1" applyBorder="1" applyAlignment="1" applyProtection="1">
      <alignment horizontal="center" vertical="center"/>
    </xf>
    <xf numFmtId="14" fontId="58" fillId="20" borderId="1" xfId="0" applyNumberFormat="1" applyFont="1" applyFill="1" applyBorder="1" applyAlignment="1">
      <alignment horizontal="center"/>
    </xf>
    <xf numFmtId="0" fontId="58" fillId="20" borderId="1" xfId="0" applyFont="1" applyFill="1" applyBorder="1" applyAlignment="1">
      <alignment horizontal="center"/>
    </xf>
    <xf numFmtId="2" fontId="58" fillId="20" borderId="1" xfId="0" applyNumberFormat="1" applyFont="1" applyFill="1" applyBorder="1" applyAlignment="1">
      <alignment horizontal="center"/>
    </xf>
    <xf numFmtId="0" fontId="58" fillId="20" borderId="1" xfId="0" applyFont="1" applyFill="1" applyBorder="1"/>
    <xf numFmtId="0" fontId="0" fillId="20" borderId="1" xfId="0" applyFill="1" applyBorder="1"/>
    <xf numFmtId="0" fontId="58" fillId="20" borderId="11" xfId="0" applyFont="1" applyFill="1" applyBorder="1" applyAlignment="1">
      <alignment horizontal="center"/>
    </xf>
    <xf numFmtId="0" fontId="58" fillId="20" borderId="5" xfId="0" applyFont="1" applyFill="1" applyBorder="1" applyAlignment="1">
      <alignment horizontal="center"/>
    </xf>
    <xf numFmtId="2" fontId="58" fillId="20" borderId="2" xfId="0" applyNumberFormat="1" applyFont="1" applyFill="1" applyBorder="1" applyAlignment="1">
      <alignment horizontal="center"/>
    </xf>
    <xf numFmtId="0" fontId="58" fillId="20" borderId="2" xfId="0" applyFont="1" applyFill="1" applyBorder="1" applyAlignment="1">
      <alignment horizontal="center"/>
    </xf>
    <xf numFmtId="0" fontId="58" fillId="20" borderId="20" xfId="0" applyFont="1" applyFill="1" applyBorder="1" applyAlignment="1">
      <alignment horizontal="center"/>
    </xf>
    <xf numFmtId="0" fontId="54" fillId="0" borderId="2" xfId="0" applyFont="1" applyBorder="1" applyAlignment="1">
      <alignment horizontal="center" vertical="center" wrapText="1"/>
    </xf>
    <xf numFmtId="0" fontId="54" fillId="0" borderId="1" xfId="0" applyFont="1" applyBorder="1" applyAlignment="1">
      <alignment horizontal="center" vertical="center" wrapText="1"/>
    </xf>
    <xf numFmtId="164" fontId="54" fillId="0" borderId="12" xfId="0" applyNumberFormat="1" applyFont="1" applyBorder="1" applyAlignment="1">
      <alignment horizontal="center" vertical="center" wrapText="1"/>
    </xf>
    <xf numFmtId="0" fontId="54" fillId="0" borderId="20" xfId="0" applyFont="1" applyBorder="1" applyAlignment="1">
      <alignment horizontal="center" vertical="center" wrapText="1"/>
    </xf>
    <xf numFmtId="0" fontId="54" fillId="0" borderId="3" xfId="0" applyFont="1" applyBorder="1" applyAlignment="1">
      <alignment horizontal="center" vertical="center" wrapText="1"/>
    </xf>
    <xf numFmtId="4" fontId="54" fillId="0" borderId="1" xfId="0" applyNumberFormat="1" applyFont="1" applyBorder="1" applyAlignment="1">
      <alignment horizontal="center" vertical="center" wrapText="1"/>
    </xf>
    <xf numFmtId="4" fontId="54" fillId="0" borderId="5" xfId="0" applyNumberFormat="1" applyFont="1" applyBorder="1" applyAlignment="1">
      <alignment horizontal="center" vertical="center" wrapText="1"/>
    </xf>
    <xf numFmtId="4" fontId="54" fillId="0" borderId="12" xfId="0" applyNumberFormat="1" applyFont="1" applyBorder="1" applyAlignment="1">
      <alignment horizontal="center" vertical="center" wrapText="1"/>
    </xf>
    <xf numFmtId="4" fontId="56" fillId="0" borderId="1" xfId="0" applyNumberFormat="1" applyFont="1" applyBorder="1" applyAlignment="1">
      <alignment horizontal="center" vertical="center" wrapText="1"/>
    </xf>
    <xf numFmtId="4" fontId="56" fillId="0" borderId="11" xfId="0" applyNumberFormat="1" applyFont="1" applyBorder="1" applyAlignment="1">
      <alignment horizontal="center" vertical="center" wrapText="1"/>
    </xf>
    <xf numFmtId="2" fontId="60" fillId="0" borderId="1" xfId="0" applyNumberFormat="1" applyFont="1" applyBorder="1" applyAlignment="1">
      <alignment horizontal="center" vertical="center" wrapText="1"/>
    </xf>
    <xf numFmtId="165" fontId="60" fillId="0" borderId="11" xfId="0" applyNumberFormat="1" applyFont="1" applyBorder="1" applyAlignment="1">
      <alignment horizontal="center" vertical="center" wrapText="1"/>
    </xf>
    <xf numFmtId="0" fontId="58" fillId="0" borderId="1" xfId="0" applyFont="1" applyBorder="1" applyAlignment="1">
      <alignment vertical="center" wrapText="1"/>
    </xf>
    <xf numFmtId="0" fontId="0" fillId="0" borderId="1" xfId="0" applyBorder="1" applyAlignment="1">
      <alignment vertical="center" wrapText="1"/>
    </xf>
    <xf numFmtId="168" fontId="28" fillId="4" borderId="1" xfId="2" applyFont="1" applyFill="1" applyBorder="1" applyAlignment="1" applyProtection="1">
      <alignment horizontal="center" vertical="center" wrapText="1"/>
      <protection locked="0"/>
    </xf>
    <xf numFmtId="0" fontId="27" fillId="21" borderId="1" xfId="0" applyFont="1" applyFill="1" applyBorder="1" applyAlignment="1">
      <alignment horizontal="center"/>
    </xf>
    <xf numFmtId="2" fontId="27" fillId="21" borderId="1" xfId="0" applyNumberFormat="1" applyFont="1" applyFill="1" applyBorder="1" applyAlignment="1">
      <alignment horizontal="center"/>
    </xf>
    <xf numFmtId="0" fontId="27" fillId="21" borderId="1" xfId="0" applyFont="1" applyFill="1" applyBorder="1"/>
    <xf numFmtId="0" fontId="0" fillId="21" borderId="1" xfId="0" applyFill="1" applyBorder="1"/>
    <xf numFmtId="0" fontId="27" fillId="0" borderId="2" xfId="0" applyFont="1" applyBorder="1" applyAlignment="1">
      <alignment horizontal="center"/>
    </xf>
    <xf numFmtId="0" fontId="27" fillId="21" borderId="2" xfId="0" applyFont="1" applyFill="1" applyBorder="1" applyAlignment="1">
      <alignment horizontal="center"/>
    </xf>
    <xf numFmtId="0" fontId="27" fillId="0" borderId="20" xfId="0" applyFont="1" applyBorder="1" applyAlignment="1">
      <alignment horizontal="center"/>
    </xf>
    <xf numFmtId="0" fontId="27" fillId="21" borderId="20" xfId="0" applyFont="1" applyFill="1" applyBorder="1" applyAlignment="1">
      <alignment horizontal="center"/>
    </xf>
    <xf numFmtId="0" fontId="27" fillId="0" borderId="11" xfId="0" applyFont="1" applyBorder="1" applyAlignment="1">
      <alignment horizontal="center"/>
    </xf>
    <xf numFmtId="0" fontId="27" fillId="21" borderId="11" xfId="0" applyFont="1" applyFill="1" applyBorder="1" applyAlignment="1">
      <alignment horizontal="center"/>
    </xf>
    <xf numFmtId="0" fontId="27" fillId="0" borderId="5" xfId="0" applyFont="1" applyBorder="1" applyAlignment="1">
      <alignment horizontal="center"/>
    </xf>
    <xf numFmtId="0" fontId="27" fillId="21" borderId="5" xfId="0" applyFont="1" applyFill="1" applyBorder="1" applyAlignment="1">
      <alignment horizontal="center"/>
    </xf>
    <xf numFmtId="0" fontId="27" fillId="0" borderId="11" xfId="0" applyFont="1" applyBorder="1"/>
    <xf numFmtId="0" fontId="27" fillId="21" borderId="11" xfId="0" applyFont="1" applyFill="1" applyBorder="1"/>
    <xf numFmtId="0" fontId="22" fillId="0" borderId="5" xfId="0" applyFont="1" applyBorder="1" applyAlignment="1">
      <alignment horizontal="center" vertical="center"/>
    </xf>
    <xf numFmtId="0" fontId="23" fillId="0" borderId="4" xfId="0" applyFont="1" applyBorder="1" applyAlignment="1">
      <alignment horizontal="center"/>
    </xf>
    <xf numFmtId="0" fontId="0" fillId="0" borderId="5" xfId="0" applyBorder="1"/>
    <xf numFmtId="0" fontId="0" fillId="21" borderId="5" xfId="0" applyFill="1" applyBorder="1"/>
    <xf numFmtId="14" fontId="27" fillId="21" borderId="1" xfId="0" applyNumberFormat="1" applyFont="1" applyFill="1" applyBorder="1" applyAlignment="1">
      <alignment horizontal="center"/>
    </xf>
    <xf numFmtId="0" fontId="58" fillId="0" borderId="2" xfId="0" applyFont="1" applyFill="1" applyBorder="1"/>
    <xf numFmtId="0" fontId="58" fillId="0" borderId="20" xfId="0" applyFont="1" applyFill="1" applyBorder="1"/>
    <xf numFmtId="0" fontId="58" fillId="0" borderId="5" xfId="0" applyFont="1" applyFill="1" applyBorder="1"/>
    <xf numFmtId="2" fontId="58" fillId="0" borderId="2" xfId="0" applyNumberFormat="1" applyFont="1" applyFill="1" applyBorder="1"/>
    <xf numFmtId="2" fontId="58" fillId="0" borderId="1" xfId="0" applyNumberFormat="1" applyFont="1" applyFill="1" applyBorder="1"/>
    <xf numFmtId="0" fontId="58" fillId="9" borderId="5" xfId="0" applyFont="1" applyFill="1" applyBorder="1"/>
    <xf numFmtId="0" fontId="0" fillId="9" borderId="1" xfId="0" applyFill="1" applyBorder="1"/>
    <xf numFmtId="2" fontId="61" fillId="6" borderId="5" xfId="0" applyNumberFormat="1" applyFont="1" applyFill="1" applyBorder="1" applyAlignment="1">
      <alignment horizontal="center"/>
    </xf>
    <xf numFmtId="0" fontId="61" fillId="3" borderId="17" xfId="0" applyFont="1" applyFill="1" applyBorder="1" applyAlignment="1">
      <alignment horizontal="center"/>
    </xf>
    <xf numFmtId="14" fontId="61" fillId="22" borderId="1" xfId="0" applyNumberFormat="1" applyFont="1" applyFill="1" applyBorder="1" applyAlignment="1">
      <alignment horizontal="center"/>
    </xf>
    <xf numFmtId="0" fontId="61" fillId="22" borderId="1" xfId="0" applyFont="1" applyFill="1" applyBorder="1" applyAlignment="1">
      <alignment horizontal="center"/>
    </xf>
    <xf numFmtId="0" fontId="61" fillId="22" borderId="2" xfId="0" applyFont="1" applyFill="1" applyBorder="1" applyAlignment="1">
      <alignment horizontal="center"/>
    </xf>
    <xf numFmtId="0" fontId="61" fillId="22" borderId="20" xfId="0" applyFont="1" applyFill="1" applyBorder="1" applyAlignment="1">
      <alignment horizontal="center"/>
    </xf>
    <xf numFmtId="2" fontId="61" fillId="22" borderId="1" xfId="0" applyNumberFormat="1" applyFont="1" applyFill="1" applyBorder="1" applyAlignment="1">
      <alignment horizontal="center"/>
    </xf>
    <xf numFmtId="0" fontId="61" fillId="23" borderId="5" xfId="0" applyFont="1" applyFill="1" applyBorder="1" applyAlignment="1">
      <alignment horizontal="center"/>
    </xf>
    <xf numFmtId="0" fontId="61" fillId="23" borderId="1" xfId="0" applyFont="1" applyFill="1" applyBorder="1" applyAlignment="1">
      <alignment horizontal="center"/>
    </xf>
    <xf numFmtId="2" fontId="61" fillId="23" borderId="1" xfId="0" applyNumberFormat="1" applyFont="1" applyFill="1" applyBorder="1" applyAlignment="1">
      <alignment horizontal="center"/>
    </xf>
    <xf numFmtId="2" fontId="61" fillId="23" borderId="2" xfId="0" applyNumberFormat="1" applyFont="1" applyFill="1" applyBorder="1" applyAlignment="1">
      <alignment horizontal="center"/>
    </xf>
    <xf numFmtId="0" fontId="61" fillId="23" borderId="11" xfId="0" applyFont="1" applyFill="1" applyBorder="1" applyAlignment="1">
      <alignment horizontal="center"/>
    </xf>
    <xf numFmtId="0" fontId="61" fillId="23" borderId="1" xfId="0" applyFont="1" applyFill="1" applyBorder="1"/>
    <xf numFmtId="0" fontId="61" fillId="23" borderId="11" xfId="0" applyFont="1" applyFill="1" applyBorder="1"/>
    <xf numFmtId="0" fontId="61" fillId="23" borderId="2" xfId="0" applyFont="1" applyFill="1" applyBorder="1"/>
    <xf numFmtId="0" fontId="58" fillId="22" borderId="1" xfId="0" applyFont="1" applyFill="1" applyBorder="1"/>
    <xf numFmtId="0" fontId="0" fillId="22" borderId="1" xfId="0" applyFill="1" applyBorder="1"/>
    <xf numFmtId="14" fontId="61" fillId="0" borderId="1" xfId="0" applyNumberFormat="1" applyFont="1" applyFill="1" applyBorder="1" applyAlignment="1">
      <alignment horizontal="center"/>
    </xf>
    <xf numFmtId="0" fontId="61" fillId="0" borderId="1" xfId="0" applyFont="1" applyFill="1" applyBorder="1" applyAlignment="1">
      <alignment horizontal="center"/>
    </xf>
    <xf numFmtId="0" fontId="61" fillId="0" borderId="2" xfId="0" applyFont="1" applyFill="1" applyBorder="1" applyAlignment="1">
      <alignment horizontal="center"/>
    </xf>
    <xf numFmtId="0" fontId="61" fillId="0" borderId="20" xfId="0" applyFont="1" applyFill="1" applyBorder="1" applyAlignment="1">
      <alignment horizontal="center"/>
    </xf>
    <xf numFmtId="2" fontId="61" fillId="0" borderId="1" xfId="0" applyNumberFormat="1" applyFont="1" applyFill="1" applyBorder="1" applyAlignment="1">
      <alignment horizontal="center"/>
    </xf>
    <xf numFmtId="2" fontId="61" fillId="0" borderId="5" xfId="0" applyNumberFormat="1" applyFont="1" applyFill="1" applyBorder="1" applyAlignment="1">
      <alignment horizontal="center"/>
    </xf>
    <xf numFmtId="2" fontId="61" fillId="0" borderId="2" xfId="0" applyNumberFormat="1" applyFont="1" applyFill="1" applyBorder="1" applyAlignment="1">
      <alignment horizontal="center"/>
    </xf>
    <xf numFmtId="0" fontId="61" fillId="0" borderId="11" xfId="0" applyFont="1" applyFill="1" applyBorder="1" applyAlignment="1">
      <alignment horizontal="center"/>
    </xf>
    <xf numFmtId="0" fontId="61" fillId="0" borderId="11" xfId="0" applyFont="1" applyFill="1" applyBorder="1"/>
    <xf numFmtId="0" fontId="61" fillId="0" borderId="2" xfId="0" applyFont="1" applyFill="1" applyBorder="1"/>
    <xf numFmtId="164" fontId="53" fillId="0" borderId="15" xfId="29" applyNumberFormat="1" applyFont="1" applyBorder="1" applyAlignment="1">
      <alignment horizontal="center" vertical="top"/>
    </xf>
    <xf numFmtId="0" fontId="54" fillId="0" borderId="14" xfId="29" applyFont="1" applyBorder="1" applyAlignment="1">
      <alignment horizontal="center" vertical="top"/>
    </xf>
    <xf numFmtId="0" fontId="54" fillId="0" borderId="13" xfId="29" applyFont="1" applyBorder="1" applyAlignment="1">
      <alignment horizontal="center" vertical="top"/>
    </xf>
    <xf numFmtId="0" fontId="61" fillId="0" borderId="22" xfId="29" applyFont="1" applyBorder="1" applyAlignment="1">
      <alignment horizontal="center"/>
    </xf>
    <xf numFmtId="0" fontId="61" fillId="0" borderId="24" xfId="29" applyFont="1" applyBorder="1" applyAlignment="1">
      <alignment horizontal="center"/>
    </xf>
    <xf numFmtId="0" fontId="61" fillId="0" borderId="14" xfId="29" applyFont="1" applyBorder="1" applyAlignment="1">
      <alignment horizontal="center"/>
    </xf>
    <xf numFmtId="4" fontId="54" fillId="0" borderId="14" xfId="29" applyNumberFormat="1" applyFont="1" applyBorder="1" applyAlignment="1">
      <alignment horizontal="center" vertical="top"/>
    </xf>
    <xf numFmtId="4" fontId="54" fillId="0" borderId="16" xfId="29" applyNumberFormat="1" applyFont="1" applyBorder="1" applyAlignment="1">
      <alignment horizontal="center" vertical="top"/>
    </xf>
    <xf numFmtId="4" fontId="55" fillId="0" borderId="14" xfId="29" applyNumberFormat="1" applyFont="1" applyBorder="1" applyAlignment="1">
      <alignment horizontal="center"/>
    </xf>
    <xf numFmtId="0" fontId="58" fillId="0" borderId="3" xfId="29" applyFont="1" applyBorder="1"/>
    <xf numFmtId="0" fontId="60" fillId="0" borderId="1" xfId="29" applyFont="1" applyAlignment="1">
      <alignment horizontal="center"/>
    </xf>
    <xf numFmtId="4" fontId="54" fillId="0" borderId="15" xfId="29" applyNumberFormat="1" applyFont="1" applyBorder="1" applyAlignment="1">
      <alignment horizontal="center" vertical="top"/>
    </xf>
    <xf numFmtId="4" fontId="61" fillId="0" borderId="14" xfId="29" applyNumberFormat="1" applyFont="1" applyBorder="1" applyAlignment="1">
      <alignment horizontal="center"/>
    </xf>
    <xf numFmtId="4" fontId="54" fillId="0" borderId="17" xfId="29" applyNumberFormat="1" applyFont="1" applyBorder="1" applyAlignment="1">
      <alignment horizontal="center"/>
    </xf>
    <xf numFmtId="0" fontId="61" fillId="0" borderId="13" xfId="29" applyFont="1" applyBorder="1" applyAlignment="1">
      <alignment horizontal="center"/>
    </xf>
    <xf numFmtId="0" fontId="58" fillId="0" borderId="1" xfId="29" applyFont="1"/>
    <xf numFmtId="164" fontId="53" fillId="0" borderId="12" xfId="29" applyNumberFormat="1" applyFont="1" applyBorder="1" applyAlignment="1">
      <alignment horizontal="center" vertical="top"/>
    </xf>
    <xf numFmtId="0" fontId="54" fillId="0" borderId="1" xfId="29" applyFont="1" applyAlignment="1">
      <alignment horizontal="center" vertical="top"/>
    </xf>
    <xf numFmtId="0" fontId="54" fillId="0" borderId="2" xfId="29" applyFont="1" applyBorder="1" applyAlignment="1">
      <alignment horizontal="center" vertical="top"/>
    </xf>
    <xf numFmtId="0" fontId="61" fillId="0" borderId="20" xfId="29" applyFont="1" applyBorder="1" applyAlignment="1">
      <alignment horizontal="center"/>
    </xf>
    <xf numFmtId="0" fontId="54" fillId="0" borderId="3" xfId="29" applyFont="1" applyBorder="1" applyAlignment="1">
      <alignment horizontal="center"/>
    </xf>
    <xf numFmtId="0" fontId="54" fillId="0" borderId="1" xfId="29" applyFont="1" applyAlignment="1">
      <alignment horizontal="center"/>
    </xf>
    <xf numFmtId="4" fontId="54" fillId="0" borderId="1" xfId="29" applyNumberFormat="1" applyFont="1" applyAlignment="1">
      <alignment horizontal="center" vertical="top"/>
    </xf>
    <xf numFmtId="4" fontId="54" fillId="0" borderId="5" xfId="29" applyNumberFormat="1" applyFont="1" applyBorder="1" applyAlignment="1">
      <alignment horizontal="center" vertical="top"/>
    </xf>
    <xf numFmtId="4" fontId="54" fillId="0" borderId="1" xfId="29" applyNumberFormat="1" applyFont="1" applyAlignment="1">
      <alignment horizontal="center"/>
    </xf>
    <xf numFmtId="0" fontId="61" fillId="0" borderId="1" xfId="29" applyFont="1" applyAlignment="1">
      <alignment horizontal="center"/>
    </xf>
    <xf numFmtId="4" fontId="55" fillId="0" borderId="3" xfId="29" applyNumberFormat="1" applyFont="1" applyBorder="1" applyAlignment="1">
      <alignment horizontal="center" vertical="top"/>
    </xf>
    <xf numFmtId="4" fontId="55" fillId="0" borderId="1" xfId="29" applyNumberFormat="1" applyFont="1" applyAlignment="1">
      <alignment horizontal="center" vertical="top"/>
    </xf>
    <xf numFmtId="0" fontId="58" fillId="0" borderId="12" xfId="29" applyFont="1" applyBorder="1"/>
    <xf numFmtId="0" fontId="58" fillId="0" borderId="11" xfId="29" applyFont="1" applyBorder="1"/>
    <xf numFmtId="0" fontId="54" fillId="0" borderId="11" xfId="29" applyFont="1" applyBorder="1" applyAlignment="1">
      <alignment horizontal="center"/>
    </xf>
    <xf numFmtId="0" fontId="61" fillId="0" borderId="2" xfId="29" applyFont="1" applyBorder="1" applyAlignment="1">
      <alignment horizontal="center"/>
    </xf>
    <xf numFmtId="0" fontId="54" fillId="0" borderId="20" xfId="29" applyFont="1" applyBorder="1" applyAlignment="1">
      <alignment horizontal="center"/>
    </xf>
    <xf numFmtId="0" fontId="54" fillId="0" borderId="5" xfId="29" applyFont="1" applyBorder="1" applyAlignment="1">
      <alignment horizontal="center"/>
    </xf>
    <xf numFmtId="4" fontId="55" fillId="0" borderId="3" xfId="29" applyNumberFormat="1" applyFont="1" applyBorder="1" applyAlignment="1">
      <alignment horizontal="center"/>
    </xf>
    <xf numFmtId="4" fontId="55" fillId="0" borderId="1" xfId="29" applyNumberFormat="1" applyFont="1" applyAlignment="1">
      <alignment horizontal="center"/>
    </xf>
    <xf numFmtId="4" fontId="54" fillId="0" borderId="12" xfId="29" applyNumberFormat="1" applyFont="1" applyBorder="1" applyAlignment="1">
      <alignment horizontal="center"/>
    </xf>
    <xf numFmtId="4" fontId="56" fillId="0" borderId="1" xfId="29" applyNumberFormat="1" applyFont="1" applyAlignment="1">
      <alignment horizontal="center"/>
    </xf>
    <xf numFmtId="4" fontId="56" fillId="0" borderId="11" xfId="29" applyNumberFormat="1" applyFont="1" applyBorder="1" applyAlignment="1">
      <alignment horizontal="center"/>
    </xf>
    <xf numFmtId="0" fontId="54" fillId="0" borderId="2" xfId="29" applyFont="1" applyBorder="1" applyAlignment="1">
      <alignment horizontal="center"/>
    </xf>
    <xf numFmtId="164" fontId="54" fillId="0" borderId="12" xfId="29" applyNumberFormat="1" applyFont="1" applyBorder="1" applyAlignment="1">
      <alignment horizontal="center" vertical="center" wrapText="1"/>
    </xf>
    <xf numFmtId="0" fontId="54" fillId="0" borderId="1" xfId="29" applyFont="1" applyAlignment="1">
      <alignment horizontal="center" vertical="center" wrapText="1"/>
    </xf>
    <xf numFmtId="0" fontId="54" fillId="0" borderId="2" xfId="29" applyFont="1" applyBorder="1" applyAlignment="1">
      <alignment horizontal="center" vertical="center" wrapText="1"/>
    </xf>
    <xf numFmtId="0" fontId="54" fillId="0" borderId="20" xfId="29" applyFont="1" applyBorder="1" applyAlignment="1">
      <alignment horizontal="center" vertical="center" wrapText="1"/>
    </xf>
    <xf numFmtId="0" fontId="54" fillId="0" borderId="3" xfId="29" applyFont="1" applyBorder="1" applyAlignment="1">
      <alignment horizontal="center" vertical="center" wrapText="1"/>
    </xf>
    <xf numFmtId="4" fontId="54" fillId="0" borderId="1" xfId="29" applyNumberFormat="1" applyFont="1" applyAlignment="1">
      <alignment horizontal="center" vertical="center" wrapText="1"/>
    </xf>
    <xf numFmtId="4" fontId="54" fillId="0" borderId="5" xfId="29" applyNumberFormat="1" applyFont="1" applyBorder="1" applyAlignment="1">
      <alignment horizontal="center" vertical="center" wrapText="1"/>
    </xf>
    <xf numFmtId="4" fontId="55" fillId="0" borderId="3" xfId="29" applyNumberFormat="1" applyFont="1" applyBorder="1" applyAlignment="1">
      <alignment horizontal="center" vertical="center" wrapText="1"/>
    </xf>
    <xf numFmtId="4" fontId="54" fillId="0" borderId="12" xfId="29" applyNumberFormat="1" applyFont="1" applyBorder="1" applyAlignment="1">
      <alignment horizontal="center" vertical="center" wrapText="1"/>
    </xf>
    <xf numFmtId="4" fontId="56" fillId="0" borderId="1" xfId="29" applyNumberFormat="1" applyFont="1" applyAlignment="1">
      <alignment horizontal="center" vertical="center" wrapText="1"/>
    </xf>
    <xf numFmtId="4" fontId="56" fillId="0" borderId="11" xfId="29" applyNumberFormat="1" applyFont="1" applyBorder="1" applyAlignment="1">
      <alignment horizontal="center" vertical="center" wrapText="1"/>
    </xf>
    <xf numFmtId="2" fontId="60" fillId="0" borderId="1" xfId="29" applyNumberFormat="1" applyFont="1" applyAlignment="1">
      <alignment horizontal="center" vertical="center" wrapText="1"/>
    </xf>
    <xf numFmtId="165" fontId="60" fillId="0" borderId="11" xfId="29" applyNumberFormat="1" applyFont="1" applyBorder="1" applyAlignment="1">
      <alignment horizontal="center" vertical="center" wrapText="1"/>
    </xf>
    <xf numFmtId="0" fontId="58" fillId="0" borderId="1" xfId="29" applyFont="1" applyAlignment="1">
      <alignment vertical="center" wrapText="1"/>
    </xf>
    <xf numFmtId="164" fontId="61" fillId="0" borderId="7" xfId="29" applyNumberFormat="1" applyFont="1" applyBorder="1" applyAlignment="1">
      <alignment horizontal="center" vertical="top"/>
    </xf>
    <xf numFmtId="0" fontId="61" fillId="0" borderId="8" xfId="29" applyFont="1" applyBorder="1" applyAlignment="1">
      <alignment horizontal="center" vertical="top"/>
    </xf>
    <xf numFmtId="0" fontId="61" fillId="0" borderId="9" xfId="29" applyFont="1" applyBorder="1" applyAlignment="1">
      <alignment horizontal="center" vertical="top"/>
    </xf>
    <xf numFmtId="0" fontId="61" fillId="0" borderId="23" xfId="29" applyFont="1" applyBorder="1" applyAlignment="1">
      <alignment horizontal="center"/>
    </xf>
    <xf numFmtId="4" fontId="58" fillId="0" borderId="8" xfId="29" applyNumberFormat="1" applyFont="1" applyBorder="1" applyAlignment="1">
      <alignment horizontal="center"/>
    </xf>
    <xf numFmtId="0" fontId="61" fillId="0" borderId="8" xfId="29" applyFont="1" applyBorder="1" applyAlignment="1">
      <alignment horizontal="center"/>
    </xf>
    <xf numFmtId="4" fontId="61" fillId="0" borderId="25" xfId="29" applyNumberFormat="1" applyFont="1" applyBorder="1" applyAlignment="1">
      <alignment horizontal="center" vertical="top"/>
    </xf>
    <xf numFmtId="4" fontId="61" fillId="0" borderId="8" xfId="29" applyNumberFormat="1" applyFont="1" applyBorder="1" applyAlignment="1">
      <alignment horizontal="center" vertical="top"/>
    </xf>
    <xf numFmtId="4" fontId="61" fillId="0" borderId="7" xfId="29" applyNumberFormat="1" applyFont="1" applyBorder="1" applyAlignment="1">
      <alignment horizontal="center"/>
    </xf>
    <xf numFmtId="4" fontId="61" fillId="0" borderId="8" xfId="29" applyNumberFormat="1" applyFont="1" applyBorder="1" applyAlignment="1">
      <alignment horizontal="center"/>
    </xf>
    <xf numFmtId="4" fontId="52" fillId="0" borderId="8" xfId="29" applyNumberFormat="1" applyFont="1" applyBorder="1" applyAlignment="1">
      <alignment horizontal="center"/>
    </xf>
    <xf numFmtId="4" fontId="52" fillId="0" borderId="6" xfId="29" applyNumberFormat="1" applyFont="1" applyBorder="1" applyAlignment="1">
      <alignment horizontal="center"/>
    </xf>
    <xf numFmtId="2" fontId="58" fillId="0" borderId="8" xfId="29" applyNumberFormat="1" applyFont="1" applyBorder="1" applyAlignment="1">
      <alignment horizontal="center"/>
    </xf>
    <xf numFmtId="0" fontId="61" fillId="0" borderId="6" xfId="29" applyFont="1" applyBorder="1" applyAlignment="1">
      <alignment horizontal="center"/>
    </xf>
    <xf numFmtId="0" fontId="61" fillId="0" borderId="9" xfId="29" applyFont="1" applyBorder="1" applyAlignment="1">
      <alignment horizontal="center"/>
    </xf>
    <xf numFmtId="14" fontId="58" fillId="7" borderId="12" xfId="29" applyNumberFormat="1" applyFont="1" applyFill="1" applyBorder="1" applyAlignment="1">
      <alignment horizontal="center"/>
    </xf>
    <xf numFmtId="0" fontId="58" fillId="7" borderId="1" xfId="29" applyFont="1" applyFill="1" applyAlignment="1">
      <alignment horizontal="center"/>
    </xf>
    <xf numFmtId="0" fontId="58" fillId="7" borderId="2" xfId="29" applyFont="1" applyFill="1" applyBorder="1" applyAlignment="1">
      <alignment horizontal="center"/>
    </xf>
    <xf numFmtId="0" fontId="58" fillId="7" borderId="20" xfId="29" applyFont="1" applyFill="1" applyBorder="1" applyAlignment="1">
      <alignment horizontal="center"/>
    </xf>
    <xf numFmtId="0" fontId="58" fillId="7" borderId="3" xfId="29" applyFont="1" applyFill="1" applyBorder="1" applyAlignment="1">
      <alignment horizontal="center"/>
    </xf>
    <xf numFmtId="4" fontId="58" fillId="7" borderId="1" xfId="29" applyNumberFormat="1" applyFont="1" applyFill="1" applyAlignment="1">
      <alignment horizontal="center"/>
    </xf>
    <xf numFmtId="4" fontId="58" fillId="7" borderId="5" xfId="29" applyNumberFormat="1" applyFont="1" applyFill="1" applyBorder="1" applyAlignment="1">
      <alignment horizontal="center"/>
    </xf>
    <xf numFmtId="4" fontId="58" fillId="7" borderId="3" xfId="29" applyNumberFormat="1" applyFont="1" applyFill="1" applyBorder="1" applyAlignment="1">
      <alignment horizontal="center"/>
    </xf>
    <xf numFmtId="4" fontId="58" fillId="7" borderId="12" xfId="29" applyNumberFormat="1" applyFont="1" applyFill="1" applyBorder="1" applyAlignment="1">
      <alignment horizontal="center"/>
    </xf>
    <xf numFmtId="4" fontId="58" fillId="7" borderId="2" xfId="29" applyNumberFormat="1" applyFont="1" applyFill="1" applyBorder="1" applyAlignment="1">
      <alignment horizontal="center"/>
    </xf>
    <xf numFmtId="14" fontId="61" fillId="7" borderId="12" xfId="29" applyNumberFormat="1" applyFont="1" applyFill="1" applyBorder="1" applyAlignment="1">
      <alignment horizontal="center"/>
    </xf>
    <xf numFmtId="0" fontId="61" fillId="7" borderId="1" xfId="29" applyFont="1" applyFill="1" applyAlignment="1">
      <alignment horizontal="center"/>
    </xf>
    <xf numFmtId="0" fontId="61" fillId="7" borderId="2" xfId="29" applyFont="1" applyFill="1" applyBorder="1" applyAlignment="1">
      <alignment horizontal="center"/>
    </xf>
    <xf numFmtId="0" fontId="61" fillId="7" borderId="20" xfId="29" applyFont="1" applyFill="1" applyBorder="1" applyAlignment="1">
      <alignment horizontal="center"/>
    </xf>
    <xf numFmtId="2" fontId="61" fillId="7" borderId="3" xfId="29" applyNumberFormat="1" applyFont="1" applyFill="1" applyBorder="1" applyAlignment="1">
      <alignment horizontal="center"/>
    </xf>
    <xf numFmtId="2" fontId="61" fillId="7" borderId="1" xfId="29" applyNumberFormat="1" applyFont="1" applyFill="1" applyAlignment="1">
      <alignment horizontal="center"/>
    </xf>
    <xf numFmtId="4" fontId="61" fillId="7" borderId="1" xfId="29" applyNumberFormat="1" applyFont="1" applyFill="1" applyAlignment="1">
      <alignment horizontal="center"/>
    </xf>
    <xf numFmtId="2" fontId="61" fillId="7" borderId="12" xfId="29" applyNumberFormat="1" applyFont="1" applyFill="1" applyBorder="1" applyAlignment="1">
      <alignment horizontal="center"/>
    </xf>
    <xf numFmtId="0" fontId="61" fillId="7" borderId="2" xfId="29" applyFont="1" applyFill="1" applyBorder="1"/>
    <xf numFmtId="0" fontId="61" fillId="7" borderId="12" xfId="29" applyFont="1" applyFill="1" applyBorder="1" applyAlignment="1">
      <alignment horizontal="center"/>
    </xf>
    <xf numFmtId="0" fontId="58" fillId="0" borderId="1" xfId="29" applyFont="1" applyAlignment="1">
      <alignment horizontal="center"/>
    </xf>
    <xf numFmtId="0" fontId="58" fillId="0" borderId="2" xfId="29" applyFont="1" applyBorder="1"/>
    <xf numFmtId="0" fontId="58" fillId="0" borderId="20" xfId="29" applyFont="1" applyBorder="1"/>
    <xf numFmtId="2" fontId="61" fillId="0" borderId="5" xfId="29" applyNumberFormat="1" applyFont="1" applyBorder="1" applyAlignment="1">
      <alignment horizontal="center"/>
    </xf>
    <xf numFmtId="2" fontId="61" fillId="0" borderId="1" xfId="29" applyNumberFormat="1" applyFont="1" applyAlignment="1">
      <alignment horizontal="center"/>
    </xf>
    <xf numFmtId="0" fontId="61" fillId="0" borderId="3" xfId="29" applyFont="1" applyBorder="1" applyAlignment="1">
      <alignment horizontal="center"/>
    </xf>
    <xf numFmtId="2" fontId="61" fillId="0" borderId="12" xfId="29" applyNumberFormat="1" applyFont="1" applyBorder="1" applyAlignment="1">
      <alignment horizontal="center"/>
    </xf>
    <xf numFmtId="0" fontId="61" fillId="0" borderId="1" xfId="29" applyFont="1"/>
    <xf numFmtId="0" fontId="61" fillId="0" borderId="2" xfId="29" applyFont="1" applyBorder="1"/>
    <xf numFmtId="14" fontId="52" fillId="8" borderId="12" xfId="29" applyNumberFormat="1" applyFont="1" applyFill="1" applyBorder="1" applyAlignment="1">
      <alignment horizontal="center"/>
    </xf>
    <xf numFmtId="0" fontId="52" fillId="8" borderId="1" xfId="29" applyFont="1" applyFill="1" applyAlignment="1">
      <alignment horizontal="center"/>
    </xf>
    <xf numFmtId="0" fontId="52" fillId="8" borderId="2" xfId="29" applyFont="1" applyFill="1" applyBorder="1" applyAlignment="1">
      <alignment horizontal="center"/>
    </xf>
    <xf numFmtId="0" fontId="52" fillId="8" borderId="20" xfId="29" applyFont="1" applyFill="1" applyBorder="1" applyAlignment="1">
      <alignment horizontal="center"/>
    </xf>
    <xf numFmtId="0" fontId="52" fillId="8" borderId="3" xfId="29" applyFont="1" applyFill="1" applyBorder="1" applyAlignment="1">
      <alignment horizontal="center"/>
    </xf>
    <xf numFmtId="4" fontId="52" fillId="8" borderId="1" xfId="29" applyNumberFormat="1" applyFont="1" applyFill="1" applyAlignment="1">
      <alignment horizontal="center"/>
    </xf>
    <xf numFmtId="4" fontId="52" fillId="8" borderId="5" xfId="29" applyNumberFormat="1" applyFont="1" applyFill="1" applyBorder="1" applyAlignment="1">
      <alignment horizontal="center"/>
    </xf>
    <xf numFmtId="4" fontId="52" fillId="8" borderId="3" xfId="29" applyNumberFormat="1" applyFont="1" applyFill="1" applyBorder="1" applyAlignment="1">
      <alignment horizontal="center"/>
    </xf>
    <xf numFmtId="4" fontId="52" fillId="8" borderId="12" xfId="29" applyNumberFormat="1" applyFont="1" applyFill="1" applyBorder="1" applyAlignment="1">
      <alignment horizontal="center"/>
    </xf>
    <xf numFmtId="4" fontId="52" fillId="8" borderId="2" xfId="29" applyNumberFormat="1" applyFont="1" applyFill="1" applyBorder="1" applyAlignment="1">
      <alignment horizontal="center"/>
    </xf>
    <xf numFmtId="14" fontId="61" fillId="8" borderId="12" xfId="29" applyNumberFormat="1" applyFont="1" applyFill="1" applyBorder="1" applyAlignment="1">
      <alignment horizontal="center"/>
    </xf>
    <xf numFmtId="0" fontId="61" fillId="8" borderId="1" xfId="29" applyFont="1" applyFill="1" applyAlignment="1">
      <alignment horizontal="center"/>
    </xf>
    <xf numFmtId="0" fontId="61" fillId="8" borderId="2" xfId="29" applyFont="1" applyFill="1" applyBorder="1" applyAlignment="1">
      <alignment horizontal="center"/>
    </xf>
    <xf numFmtId="0" fontId="61" fillId="8" borderId="20" xfId="29" applyFont="1" applyFill="1" applyBorder="1" applyAlignment="1">
      <alignment horizontal="center"/>
    </xf>
    <xf numFmtId="2" fontId="61" fillId="8" borderId="3" xfId="29" applyNumberFormat="1" applyFont="1" applyFill="1" applyBorder="1" applyAlignment="1">
      <alignment horizontal="center"/>
    </xf>
    <xf numFmtId="2" fontId="61" fillId="8" borderId="1" xfId="29" applyNumberFormat="1" applyFont="1" applyFill="1" applyAlignment="1">
      <alignment horizontal="center"/>
    </xf>
    <xf numFmtId="14" fontId="52" fillId="0" borderId="12" xfId="29" applyNumberFormat="1" applyFont="1" applyBorder="1" applyAlignment="1">
      <alignment horizontal="center"/>
    </xf>
    <xf numFmtId="0" fontId="52" fillId="0" borderId="1" xfId="29" applyFont="1" applyAlignment="1">
      <alignment horizontal="center"/>
    </xf>
    <xf numFmtId="0" fontId="52" fillId="0" borderId="2" xfId="29" applyFont="1" applyBorder="1" applyAlignment="1">
      <alignment horizontal="center"/>
    </xf>
    <xf numFmtId="0" fontId="52" fillId="0" borderId="20" xfId="29" applyFont="1" applyBorder="1" applyAlignment="1">
      <alignment horizontal="center"/>
    </xf>
    <xf numFmtId="0" fontId="52" fillId="0" borderId="3" xfId="29" applyFont="1" applyBorder="1" applyAlignment="1">
      <alignment horizontal="center"/>
    </xf>
    <xf numFmtId="4" fontId="52" fillId="0" borderId="1" xfId="29" applyNumberFormat="1" applyFont="1" applyAlignment="1">
      <alignment horizontal="center"/>
    </xf>
    <xf numFmtId="4" fontId="52" fillId="0" borderId="5" xfId="29" applyNumberFormat="1" applyFont="1" applyBorder="1" applyAlignment="1">
      <alignment horizontal="center"/>
    </xf>
    <xf numFmtId="4" fontId="52" fillId="0" borderId="3" xfId="29" applyNumberFormat="1" applyFont="1" applyBorder="1" applyAlignment="1">
      <alignment horizontal="center"/>
    </xf>
    <xf numFmtId="4" fontId="52" fillId="0" borderId="12" xfId="29" applyNumberFormat="1" applyFont="1" applyBorder="1" applyAlignment="1">
      <alignment horizontal="center"/>
    </xf>
    <xf numFmtId="4" fontId="52" fillId="0" borderId="2" xfId="29" applyNumberFormat="1" applyFont="1" applyBorder="1" applyAlignment="1">
      <alignment horizontal="center"/>
    </xf>
    <xf numFmtId="14" fontId="61" fillId="5" borderId="12" xfId="29" applyNumberFormat="1" applyFont="1" applyFill="1" applyBorder="1" applyAlignment="1">
      <alignment horizontal="center"/>
    </xf>
    <xf numFmtId="0" fontId="61" fillId="5" borderId="1" xfId="29" applyFont="1" applyFill="1" applyBorder="1" applyAlignment="1">
      <alignment horizontal="center"/>
    </xf>
    <xf numFmtId="0" fontId="61" fillId="5" borderId="2" xfId="29" applyFont="1" applyFill="1" applyBorder="1" applyAlignment="1">
      <alignment horizontal="center"/>
    </xf>
    <xf numFmtId="0" fontId="61" fillId="5" borderId="20" xfId="29" applyFont="1" applyFill="1" applyBorder="1" applyAlignment="1">
      <alignment horizontal="center"/>
    </xf>
    <xf numFmtId="2" fontId="61" fillId="5" borderId="3" xfId="29" applyNumberFormat="1" applyFont="1" applyFill="1" applyBorder="1" applyAlignment="1">
      <alignment horizontal="center"/>
    </xf>
    <xf numFmtId="2" fontId="61" fillId="5" borderId="1" xfId="29" applyNumberFormat="1" applyFont="1" applyFill="1" applyBorder="1" applyAlignment="1">
      <alignment horizontal="center"/>
    </xf>
    <xf numFmtId="0" fontId="61" fillId="6" borderId="5" xfId="29" applyFont="1" applyFill="1" applyBorder="1" applyAlignment="1">
      <alignment horizontal="center"/>
    </xf>
    <xf numFmtId="0" fontId="61" fillId="6" borderId="1" xfId="29" applyFont="1" applyFill="1" applyBorder="1" applyAlignment="1">
      <alignment horizontal="center"/>
    </xf>
    <xf numFmtId="2" fontId="61" fillId="3" borderId="1" xfId="29" applyNumberFormat="1" applyFont="1" applyFill="1" applyBorder="1" applyAlignment="1">
      <alignment horizontal="center"/>
    </xf>
    <xf numFmtId="2" fontId="61" fillId="3" borderId="3" xfId="29" applyNumberFormat="1" applyFont="1" applyFill="1" applyBorder="1" applyAlignment="1">
      <alignment horizontal="center"/>
    </xf>
    <xf numFmtId="0" fontId="61" fillId="3" borderId="1" xfId="29" applyFont="1" applyFill="1" applyBorder="1" applyAlignment="1">
      <alignment horizontal="center"/>
    </xf>
    <xf numFmtId="0" fontId="61" fillId="3" borderId="12" xfId="29" applyFont="1" applyFill="1" applyBorder="1" applyAlignment="1">
      <alignment horizontal="center"/>
    </xf>
    <xf numFmtId="0" fontId="61" fillId="3" borderId="2" xfId="29" applyFont="1" applyFill="1" applyBorder="1"/>
    <xf numFmtId="0" fontId="58" fillId="0" borderId="1" xfId="29" applyFont="1" applyBorder="1"/>
    <xf numFmtId="4" fontId="60" fillId="4" borderId="14" xfId="29" applyNumberFormat="1" applyFont="1" applyFill="1" applyBorder="1" applyAlignment="1">
      <alignment horizontal="center"/>
    </xf>
    <xf numFmtId="0" fontId="60" fillId="4" borderId="14" xfId="29" applyFont="1" applyFill="1" applyBorder="1"/>
    <xf numFmtId="4" fontId="60" fillId="4" borderId="17" xfId="29" applyNumberFormat="1" applyFont="1" applyFill="1" applyBorder="1" applyAlignment="1">
      <alignment horizontal="center"/>
    </xf>
    <xf numFmtId="0" fontId="54" fillId="2" borderId="10" xfId="29" applyFont="1" applyFill="1" applyBorder="1"/>
    <xf numFmtId="164" fontId="54" fillId="2" borderId="10" xfId="29" applyNumberFormat="1" applyFont="1" applyFill="1" applyBorder="1"/>
    <xf numFmtId="0" fontId="54" fillId="2" borderId="10" xfId="29" applyFont="1" applyFill="1" applyBorder="1" applyAlignment="1">
      <alignment horizontal="center"/>
    </xf>
    <xf numFmtId="164" fontId="60" fillId="4" borderId="10" xfId="29" applyNumberFormat="1" applyFont="1" applyFill="1" applyBorder="1"/>
    <xf numFmtId="14" fontId="54" fillId="2" borderId="27" xfId="29" applyNumberFormat="1" applyFont="1" applyFill="1" applyBorder="1"/>
    <xf numFmtId="0" fontId="61" fillId="2" borderId="12" xfId="29" applyFont="1" applyFill="1" applyBorder="1"/>
    <xf numFmtId="0" fontId="61" fillId="2" borderId="2" xfId="29" applyFont="1" applyFill="1" applyBorder="1" applyAlignment="1">
      <alignment horizontal="right"/>
    </xf>
    <xf numFmtId="2" fontId="61" fillId="2" borderId="1" xfId="29" applyNumberFormat="1" applyFont="1" applyFill="1"/>
    <xf numFmtId="0" fontId="61" fillId="2" borderId="1" xfId="29" applyFont="1" applyFill="1"/>
    <xf numFmtId="0" fontId="58" fillId="4" borderId="1" xfId="29" applyFont="1" applyFill="1"/>
    <xf numFmtId="0" fontId="61" fillId="2" borderId="11" xfId="29" applyFont="1" applyFill="1" applyBorder="1"/>
    <xf numFmtId="0" fontId="52" fillId="4" borderId="2" xfId="29" applyFont="1" applyFill="1" applyBorder="1" applyAlignment="1">
      <alignment horizontal="right"/>
    </xf>
    <xf numFmtId="0" fontId="61" fillId="2" borderId="7" xfId="29" applyFont="1" applyFill="1" applyBorder="1"/>
    <xf numFmtId="0" fontId="52" fillId="4" borderId="9" xfId="29" applyFont="1" applyFill="1" applyBorder="1" applyAlignment="1">
      <alignment horizontal="right"/>
    </xf>
    <xf numFmtId="2" fontId="61" fillId="2" borderId="8" xfId="29" applyNumberFormat="1" applyFont="1" applyFill="1" applyBorder="1"/>
    <xf numFmtId="0" fontId="61" fillId="2" borderId="8" xfId="29" applyFont="1" applyFill="1" applyBorder="1"/>
    <xf numFmtId="4" fontId="61" fillId="2" borderId="8" xfId="29" applyNumberFormat="1" applyFont="1" applyFill="1" applyBorder="1"/>
    <xf numFmtId="0" fontId="61" fillId="2" borderId="6" xfId="29" applyFont="1" applyFill="1" applyBorder="1"/>
    <xf numFmtId="0" fontId="33" fillId="0" borderId="4" xfId="24" applyFont="1" applyBorder="1" applyAlignment="1" applyProtection="1">
      <alignment horizontal="left" vertical="center" wrapText="1"/>
      <protection locked="0"/>
    </xf>
    <xf numFmtId="0" fontId="71" fillId="0" borderId="5" xfId="24" applyNumberFormat="1" applyFont="1" applyBorder="1" applyAlignment="1" applyProtection="1">
      <alignment horizontal="left" vertical="center"/>
    </xf>
    <xf numFmtId="0" fontId="71" fillId="0" borderId="11" xfId="24" applyNumberFormat="1" applyFont="1" applyFill="1" applyBorder="1" applyAlignment="1" applyProtection="1">
      <alignment horizontal="left" vertical="center"/>
    </xf>
    <xf numFmtId="0" fontId="80" fillId="0" borderId="1" xfId="24" applyFont="1" applyProtection="1"/>
    <xf numFmtId="2" fontId="58" fillId="0" borderId="1" xfId="0" applyNumberFormat="1" applyFont="1" applyBorder="1"/>
    <xf numFmtId="2" fontId="58" fillId="9" borderId="11" xfId="0" applyNumberFormat="1" applyFont="1" applyFill="1" applyBorder="1" applyAlignment="1">
      <alignment horizontal="center"/>
    </xf>
    <xf numFmtId="2" fontId="58" fillId="0" borderId="11" xfId="0" applyNumberFormat="1" applyFont="1" applyFill="1" applyBorder="1" applyAlignment="1">
      <alignment horizontal="center"/>
    </xf>
    <xf numFmtId="2" fontId="58" fillId="12" borderId="11" xfId="0" applyNumberFormat="1" applyFont="1" applyFill="1" applyBorder="1" applyAlignment="1">
      <alignment horizontal="center"/>
    </xf>
    <xf numFmtId="2" fontId="58" fillId="20" borderId="11" xfId="0" applyNumberFormat="1" applyFont="1" applyFill="1" applyBorder="1" applyAlignment="1">
      <alignment horizontal="center"/>
    </xf>
    <xf numFmtId="2" fontId="58" fillId="0" borderId="1" xfId="0" applyNumberFormat="1" applyFont="1" applyBorder="1" applyAlignment="1">
      <alignment horizontal="center"/>
    </xf>
    <xf numFmtId="2" fontId="58" fillId="0" borderId="11" xfId="0" applyNumberFormat="1" applyFont="1" applyBorder="1" applyAlignment="1">
      <alignment horizontal="center"/>
    </xf>
    <xf numFmtId="2" fontId="61" fillId="3" borderId="1" xfId="0" applyNumberFormat="1" applyFont="1" applyFill="1" applyBorder="1"/>
    <xf numFmtId="2" fontId="61" fillId="6" borderId="11" xfId="0" applyNumberFormat="1" applyFont="1" applyFill="1" applyBorder="1"/>
    <xf numFmtId="2" fontId="58" fillId="7" borderId="1" xfId="29" applyNumberFormat="1" applyFont="1" applyFill="1" applyAlignment="1">
      <alignment horizontal="center"/>
    </xf>
    <xf numFmtId="2" fontId="58" fillId="7" borderId="12" xfId="29" applyNumberFormat="1" applyFont="1" applyFill="1" applyBorder="1" applyAlignment="1">
      <alignment horizontal="center"/>
    </xf>
    <xf numFmtId="2" fontId="61" fillId="7" borderId="11" xfId="29" applyNumberFormat="1" applyFont="1" applyFill="1" applyBorder="1" applyAlignment="1">
      <alignment horizontal="center"/>
    </xf>
    <xf numFmtId="2" fontId="61" fillId="0" borderId="11" xfId="29" applyNumberFormat="1" applyFont="1" applyBorder="1" applyAlignment="1">
      <alignment horizontal="center"/>
    </xf>
    <xf numFmtId="2" fontId="52" fillId="8" borderId="1" xfId="29" applyNumberFormat="1" applyFont="1" applyFill="1" applyAlignment="1">
      <alignment horizontal="center"/>
    </xf>
    <xf numFmtId="2" fontId="52" fillId="8" borderId="12" xfId="29" applyNumberFormat="1" applyFont="1" applyFill="1" applyBorder="1" applyAlignment="1">
      <alignment horizontal="center"/>
    </xf>
    <xf numFmtId="2" fontId="61" fillId="8" borderId="11" xfId="29" applyNumberFormat="1" applyFont="1" applyFill="1" applyBorder="1" applyAlignment="1">
      <alignment horizontal="center"/>
    </xf>
    <xf numFmtId="2" fontId="52" fillId="0" borderId="1" xfId="29" applyNumberFormat="1" applyFont="1" applyAlignment="1">
      <alignment horizontal="center"/>
    </xf>
    <xf numFmtId="2" fontId="52" fillId="0" borderId="12" xfId="29" applyNumberFormat="1" applyFont="1" applyBorder="1" applyAlignment="1">
      <alignment horizontal="center"/>
    </xf>
    <xf numFmtId="2" fontId="61" fillId="3" borderId="12" xfId="29" applyNumberFormat="1" applyFont="1" applyFill="1" applyBorder="1" applyAlignment="1">
      <alignment horizontal="center"/>
    </xf>
    <xf numFmtId="2" fontId="61" fillId="6" borderId="11" xfId="29" applyNumberFormat="1" applyFont="1" applyFill="1" applyBorder="1" applyAlignment="1">
      <alignment horizontal="center"/>
    </xf>
    <xf numFmtId="2" fontId="0" fillId="21" borderId="11" xfId="0" applyNumberFormat="1" applyFill="1" applyBorder="1" applyAlignment="1">
      <alignment horizontal="center"/>
    </xf>
    <xf numFmtId="2" fontId="27" fillId="5" borderId="11" xfId="0" applyNumberFormat="1" applyFont="1" applyFill="1" applyBorder="1"/>
    <xf numFmtId="2" fontId="27" fillId="0" borderId="11" xfId="0" applyNumberFormat="1" applyFont="1" applyFill="1" applyBorder="1"/>
    <xf numFmtId="2" fontId="27" fillId="10" borderId="11" xfId="0" applyNumberFormat="1" applyFont="1" applyFill="1" applyBorder="1" applyAlignment="1">
      <alignment horizontal="center"/>
    </xf>
    <xf numFmtId="2" fontId="27" fillId="11" borderId="1" xfId="0" applyNumberFormat="1" applyFont="1" applyFill="1" applyBorder="1" applyAlignment="1">
      <alignment horizontal="center"/>
    </xf>
    <xf numFmtId="2" fontId="27" fillId="11" borderId="11" xfId="0" applyNumberFormat="1" applyFont="1" applyFill="1" applyBorder="1" applyAlignment="1">
      <alignment horizontal="center"/>
    </xf>
    <xf numFmtId="0" fontId="0" fillId="9" borderId="1" xfId="0" applyFill="1" applyBorder="1" applyAlignment="1">
      <alignment horizontal="center"/>
    </xf>
    <xf numFmtId="2" fontId="27" fillId="21" borderId="11" xfId="0" applyNumberFormat="1" applyFont="1" applyFill="1" applyBorder="1" applyAlignment="1">
      <alignment horizontal="center"/>
    </xf>
    <xf numFmtId="2" fontId="27" fillId="21" borderId="5" xfId="0" applyNumberFormat="1" applyFont="1" applyFill="1" applyBorder="1" applyAlignment="1">
      <alignment horizontal="center"/>
    </xf>
    <xf numFmtId="2" fontId="46" fillId="5" borderId="3" xfId="0" applyNumberFormat="1" applyFont="1" applyFill="1" applyBorder="1" applyAlignment="1">
      <alignment horizontal="center"/>
    </xf>
    <xf numFmtId="2" fontId="46" fillId="10" borderId="3" xfId="0" applyNumberFormat="1" applyFont="1" applyFill="1" applyBorder="1" applyAlignment="1">
      <alignment horizontal="center"/>
    </xf>
    <xf numFmtId="2" fontId="45" fillId="11" borderId="5" xfId="0" applyNumberFormat="1" applyFont="1" applyFill="1" applyBorder="1" applyAlignment="1">
      <alignment horizontal="center"/>
    </xf>
    <xf numFmtId="1" fontId="35" fillId="0" borderId="1" xfId="9" applyNumberFormat="1" applyBorder="1" applyAlignment="1" applyProtection="1">
      <alignment horizontal="center" vertical="center"/>
    </xf>
    <xf numFmtId="1" fontId="28" fillId="0" borderId="1" xfId="24" applyNumberFormat="1" applyBorder="1" applyAlignment="1" applyProtection="1">
      <alignment horizontal="center" vertical="center" wrapText="1"/>
    </xf>
    <xf numFmtId="1" fontId="28" fillId="0" borderId="1" xfId="8" applyNumberFormat="1" applyFont="1" applyBorder="1" applyAlignment="1">
      <alignment horizontal="center" vertical="center" wrapText="1"/>
    </xf>
    <xf numFmtId="1" fontId="28" fillId="0" borderId="1" xfId="8" applyNumberFormat="1" applyFont="1" applyBorder="1" applyAlignment="1">
      <alignment horizontal="center" vertical="center"/>
    </xf>
    <xf numFmtId="1" fontId="28" fillId="0" borderId="1" xfId="24" applyNumberFormat="1" applyBorder="1" applyAlignment="1" applyProtection="1">
      <alignment horizontal="center" vertical="center"/>
    </xf>
    <xf numFmtId="14" fontId="61" fillId="0" borderId="1" xfId="0" applyNumberFormat="1" applyFont="1" applyBorder="1" applyAlignment="1">
      <alignment horizontal="center"/>
    </xf>
    <xf numFmtId="2" fontId="58" fillId="20" borderId="5" xfId="0" applyNumberFormat="1" applyFont="1" applyFill="1" applyBorder="1" applyAlignment="1">
      <alignment horizontal="center"/>
    </xf>
    <xf numFmtId="0" fontId="81" fillId="20" borderId="1" xfId="0" applyFont="1" applyFill="1" applyBorder="1" applyAlignment="1">
      <alignment horizontal="center"/>
    </xf>
    <xf numFmtId="2" fontId="0" fillId="0" borderId="1" xfId="0" applyNumberFormat="1" applyFill="1" applyBorder="1" applyAlignment="1">
      <alignment horizontal="left"/>
    </xf>
    <xf numFmtId="2" fontId="0" fillId="14" borderId="1" xfId="0" applyNumberFormat="1" applyFill="1" applyBorder="1" applyAlignment="1">
      <alignment horizontal="left"/>
    </xf>
    <xf numFmtId="1" fontId="26" fillId="0" borderId="14" xfId="0" applyNumberFormat="1" applyFont="1" applyBorder="1"/>
    <xf numFmtId="1" fontId="0" fillId="0" borderId="1" xfId="0" applyNumberFormat="1" applyBorder="1"/>
    <xf numFmtId="1" fontId="0" fillId="0" borderId="8" xfId="0" applyNumberFormat="1" applyBorder="1"/>
    <xf numFmtId="1" fontId="0" fillId="0" borderId="0" xfId="0" applyNumberFormat="1"/>
    <xf numFmtId="0" fontId="27" fillId="24" borderId="1" xfId="0" applyFont="1" applyFill="1" applyBorder="1" applyAlignment="1">
      <alignment horizontal="center"/>
    </xf>
    <xf numFmtId="2" fontId="27" fillId="24" borderId="1" xfId="0" applyNumberFormat="1" applyFont="1" applyFill="1" applyBorder="1" applyAlignment="1">
      <alignment horizontal="center"/>
    </xf>
    <xf numFmtId="0" fontId="27" fillId="24" borderId="1" xfId="0" applyFont="1" applyFill="1" applyBorder="1"/>
    <xf numFmtId="0" fontId="0" fillId="24" borderId="1" xfId="0" applyFill="1" applyBorder="1"/>
    <xf numFmtId="0" fontId="26" fillId="0" borderId="1" xfId="37" applyFont="1" applyAlignment="1">
      <alignment horizontal="left"/>
    </xf>
    <xf numFmtId="0" fontId="26" fillId="0" borderId="1" xfId="37" applyFont="1" applyAlignment="1">
      <alignment wrapText="1"/>
    </xf>
    <xf numFmtId="0" fontId="26" fillId="0" borderId="1" xfId="37" applyFont="1"/>
    <xf numFmtId="0" fontId="10" fillId="0" borderId="1" xfId="37"/>
    <xf numFmtId="14" fontId="10" fillId="0" borderId="1" xfId="37" applyNumberFormat="1" applyAlignment="1">
      <alignment horizontal="left"/>
    </xf>
    <xf numFmtId="0" fontId="10" fillId="0" borderId="1" xfId="37" applyAlignment="1">
      <alignment horizontal="left"/>
    </xf>
    <xf numFmtId="0" fontId="10" fillId="0" borderId="1" xfId="37" applyAlignment="1">
      <alignment wrapText="1"/>
    </xf>
    <xf numFmtId="14" fontId="0" fillId="22" borderId="1" xfId="0" applyNumberFormat="1" applyFill="1" applyBorder="1" applyAlignment="1">
      <alignment horizontal="center"/>
    </xf>
    <xf numFmtId="0" fontId="0" fillId="22" borderId="1" xfId="0" applyFill="1" applyBorder="1" applyAlignment="1">
      <alignment horizontal="center"/>
    </xf>
    <xf numFmtId="0" fontId="0" fillId="22" borderId="2" xfId="0" applyFill="1" applyBorder="1" applyAlignment="1">
      <alignment horizontal="center"/>
    </xf>
    <xf numFmtId="0" fontId="0" fillId="22" borderId="20" xfId="0" applyFill="1" applyBorder="1" applyAlignment="1">
      <alignment horizontal="center"/>
    </xf>
    <xf numFmtId="2" fontId="0" fillId="22" borderId="1" xfId="0" applyNumberFormat="1" applyFill="1" applyBorder="1" applyAlignment="1">
      <alignment horizontal="center"/>
    </xf>
    <xf numFmtId="2" fontId="0" fillId="22" borderId="11" xfId="0" applyNumberFormat="1" applyFill="1" applyBorder="1" applyAlignment="1">
      <alignment horizontal="center"/>
    </xf>
    <xf numFmtId="0" fontId="0" fillId="22" borderId="11" xfId="0" applyFill="1" applyBorder="1" applyAlignment="1">
      <alignment horizontal="center"/>
    </xf>
    <xf numFmtId="0" fontId="0" fillId="22" borderId="2" xfId="0" applyFill="1" applyBorder="1"/>
    <xf numFmtId="0" fontId="0" fillId="0" borderId="11" xfId="0" applyFill="1" applyBorder="1" applyAlignment="1">
      <alignment horizontal="center"/>
    </xf>
    <xf numFmtId="0" fontId="0" fillId="0" borderId="2" xfId="0" applyFill="1" applyBorder="1"/>
    <xf numFmtId="0" fontId="0" fillId="8" borderId="1" xfId="0" applyFill="1" applyBorder="1"/>
    <xf numFmtId="168" fontId="28" fillId="0" borderId="1" xfId="2" applyFont="1" applyFill="1" applyBorder="1" applyAlignment="1" applyProtection="1">
      <alignment horizontal="center" vertical="center" wrapText="1"/>
      <protection locked="0"/>
    </xf>
    <xf numFmtId="14" fontId="27" fillId="8" borderId="1" xfId="0" applyNumberFormat="1" applyFont="1" applyFill="1" applyBorder="1" applyAlignment="1">
      <alignment horizontal="center"/>
    </xf>
    <xf numFmtId="0" fontId="27" fillId="8" borderId="1" xfId="0" applyFont="1" applyFill="1" applyBorder="1" applyAlignment="1">
      <alignment horizontal="center"/>
    </xf>
    <xf numFmtId="2" fontId="27" fillId="8" borderId="1" xfId="0" applyNumberFormat="1" applyFont="1" applyFill="1" applyBorder="1" applyAlignment="1">
      <alignment horizontal="center"/>
    </xf>
    <xf numFmtId="0" fontId="27" fillId="8" borderId="1" xfId="0" applyFont="1" applyFill="1" applyBorder="1"/>
    <xf numFmtId="0" fontId="9" fillId="0" borderId="1" xfId="37" applyFont="1" applyAlignment="1">
      <alignment horizontal="left"/>
    </xf>
    <xf numFmtId="0" fontId="58" fillId="0" borderId="20" xfId="0" applyFont="1" applyBorder="1" applyAlignment="1">
      <alignment horizontal="center"/>
    </xf>
    <xf numFmtId="2" fontId="61" fillId="2" borderId="1" xfId="0" applyNumberFormat="1" applyFont="1" applyFill="1" applyBorder="1" applyAlignment="1">
      <alignment horizontal="center"/>
    </xf>
    <xf numFmtId="2" fontId="61" fillId="2" borderId="8" xfId="0" applyNumberFormat="1" applyFont="1" applyFill="1" applyBorder="1" applyAlignment="1">
      <alignment horizontal="center"/>
    </xf>
    <xf numFmtId="0" fontId="58" fillId="0" borderId="2" xfId="0" applyFont="1" applyBorder="1" applyAlignment="1">
      <alignment horizontal="center"/>
    </xf>
    <xf numFmtId="0" fontId="61" fillId="2" borderId="2" xfId="0" applyFont="1" applyFill="1" applyBorder="1" applyAlignment="1">
      <alignment horizontal="center"/>
    </xf>
    <xf numFmtId="0" fontId="52" fillId="4" borderId="2" xfId="0" applyFont="1" applyFill="1" applyBorder="1" applyAlignment="1">
      <alignment horizontal="center"/>
    </xf>
    <xf numFmtId="0" fontId="52" fillId="4" borderId="9" xfId="0" applyFont="1" applyFill="1" applyBorder="1" applyAlignment="1">
      <alignment horizontal="center"/>
    </xf>
    <xf numFmtId="2" fontId="61" fillId="0" borderId="24" xfId="0" applyNumberFormat="1" applyFont="1" applyBorder="1" applyAlignment="1">
      <alignment horizontal="center"/>
    </xf>
    <xf numFmtId="2" fontId="54" fillId="0" borderId="3" xfId="0" applyNumberFormat="1" applyFont="1" applyBorder="1" applyAlignment="1">
      <alignment horizontal="center"/>
    </xf>
    <xf numFmtId="2" fontId="54" fillId="0" borderId="3" xfId="0" applyNumberFormat="1" applyFont="1" applyBorder="1" applyAlignment="1">
      <alignment horizontal="center" vertical="center" wrapText="1"/>
    </xf>
    <xf numFmtId="2" fontId="60" fillId="4" borderId="14" xfId="0" applyNumberFormat="1" applyFont="1" applyFill="1" applyBorder="1" applyAlignment="1">
      <alignment horizontal="center"/>
    </xf>
    <xf numFmtId="0" fontId="58" fillId="0" borderId="5" xfId="0" applyFont="1" applyBorder="1" applyAlignment="1">
      <alignment horizontal="center"/>
    </xf>
    <xf numFmtId="0" fontId="44" fillId="18" borderId="1" xfId="0" applyFont="1" applyFill="1" applyBorder="1" applyAlignment="1">
      <alignment horizontal="center"/>
    </xf>
    <xf numFmtId="0" fontId="44" fillId="18" borderId="2" xfId="0" applyFont="1" applyFill="1" applyBorder="1" applyAlignment="1">
      <alignment horizontal="center"/>
    </xf>
    <xf numFmtId="0" fontId="44" fillId="18" borderId="20" xfId="0" applyFont="1" applyFill="1" applyBorder="1" applyAlignment="1">
      <alignment horizontal="center"/>
    </xf>
    <xf numFmtId="2" fontId="64" fillId="0" borderId="17" xfId="24" applyNumberFormat="1" applyFont="1" applyBorder="1" applyProtection="1"/>
    <xf numFmtId="2" fontId="64" fillId="0" borderId="11" xfId="24" applyNumberFormat="1" applyFont="1" applyBorder="1" applyProtection="1"/>
    <xf numFmtId="2" fontId="28" fillId="0" borderId="11" xfId="26" applyNumberFormat="1" applyBorder="1" applyAlignment="1" applyProtection="1">
      <alignment vertical="top"/>
    </xf>
    <xf numFmtId="2" fontId="64" fillId="0" borderId="11" xfId="33" applyNumberFormat="1" applyBorder="1" applyAlignment="1" applyProtection="1"/>
    <xf numFmtId="2" fontId="64" fillId="0" borderId="6" xfId="33" applyNumberFormat="1" applyBorder="1" applyAlignment="1" applyProtection="1">
      <alignment horizontal="centerContinuous"/>
    </xf>
    <xf numFmtId="2" fontId="64" fillId="0" borderId="11" xfId="33" applyNumberFormat="1" applyBorder="1" applyAlignment="1" applyProtection="1">
      <alignment horizontal="centerContinuous"/>
    </xf>
    <xf numFmtId="2" fontId="64" fillId="0" borderId="11" xfId="33" applyNumberFormat="1" applyBorder="1" applyAlignment="1" applyProtection="1">
      <alignment horizontal="center"/>
    </xf>
    <xf numFmtId="2" fontId="28" fillId="0" borderId="6" xfId="33" applyNumberFormat="1" applyFont="1" applyBorder="1" applyAlignment="1" applyProtection="1">
      <alignment horizontal="center" vertical="center"/>
    </xf>
    <xf numFmtId="2" fontId="28" fillId="0" borderId="17" xfId="24" applyNumberFormat="1" applyBorder="1" applyAlignment="1" applyProtection="1">
      <alignment horizontal="center" vertical="center" wrapText="1"/>
    </xf>
    <xf numFmtId="2" fontId="28" fillId="0" borderId="11" xfId="24" applyNumberFormat="1" applyBorder="1" applyAlignment="1" applyProtection="1">
      <alignment horizontal="center" vertical="center"/>
    </xf>
    <xf numFmtId="2" fontId="28" fillId="0" borderId="11" xfId="8" applyNumberFormat="1" applyFont="1" applyBorder="1" applyAlignment="1">
      <alignment horizontal="center" vertical="center" wrapText="1"/>
    </xf>
    <xf numFmtId="2" fontId="28" fillId="0" borderId="11" xfId="8" applyNumberFormat="1" applyFont="1" applyBorder="1" applyAlignment="1">
      <alignment horizontal="center" vertical="center"/>
    </xf>
    <xf numFmtId="2" fontId="64" fillId="0" borderId="17" xfId="24" applyNumberFormat="1" applyFont="1" applyFill="1" applyBorder="1" applyAlignment="1" applyProtection="1">
      <alignment horizontal="center"/>
    </xf>
    <xf numFmtId="2" fontId="28" fillId="0" borderId="11" xfId="24" applyNumberFormat="1" applyBorder="1" applyAlignment="1" applyProtection="1">
      <alignment horizontal="center"/>
    </xf>
    <xf numFmtId="2" fontId="28" fillId="0" borderId="6" xfId="24" applyNumberFormat="1" applyBorder="1" applyAlignment="1" applyProtection="1">
      <alignment horizontal="center"/>
    </xf>
    <xf numFmtId="0" fontId="67" fillId="0" borderId="14" xfId="33" applyFont="1" applyBorder="1" applyAlignment="1" applyProtection="1">
      <alignment horizontal="center"/>
    </xf>
    <xf numFmtId="172" fontId="76" fillId="0" borderId="3" xfId="35" applyNumberFormat="1" applyFont="1" applyBorder="1" applyAlignment="1" applyProtection="1">
      <alignment horizontal="center"/>
    </xf>
    <xf numFmtId="172" fontId="76" fillId="0" borderId="1" xfId="35" applyNumberFormat="1" applyFont="1" applyBorder="1" applyAlignment="1" applyProtection="1">
      <alignment horizontal="center"/>
    </xf>
    <xf numFmtId="0" fontId="8" fillId="0" borderId="1" xfId="37" applyFont="1" applyAlignment="1">
      <alignment wrapText="1"/>
    </xf>
    <xf numFmtId="2" fontId="0" fillId="0" borderId="5" xfId="0" applyNumberFormat="1" applyFill="1" applyBorder="1" applyAlignment="1">
      <alignment horizontal="center"/>
    </xf>
    <xf numFmtId="1" fontId="28" fillId="0" borderId="11" xfId="24" applyNumberFormat="1" applyBorder="1" applyAlignment="1" applyProtection="1">
      <alignment horizontal="center" vertical="center"/>
    </xf>
    <xf numFmtId="1" fontId="28" fillId="0" borderId="11" xfId="24" applyNumberFormat="1" applyBorder="1" applyAlignment="1" applyProtection="1">
      <alignment horizontal="center" vertical="center" wrapText="1"/>
    </xf>
    <xf numFmtId="167" fontId="28" fillId="0" borderId="6" xfId="3" applyFont="1" applyBorder="1" applyAlignment="1" applyProtection="1">
      <alignment horizontal="center" vertical="center"/>
    </xf>
    <xf numFmtId="167" fontId="28" fillId="0" borderId="11" xfId="3" applyFont="1" applyBorder="1" applyAlignment="1" applyProtection="1">
      <alignment horizontal="center" vertical="center" wrapText="1"/>
    </xf>
    <xf numFmtId="0" fontId="27" fillId="24" borderId="11" xfId="0" applyFont="1" applyFill="1" applyBorder="1" applyAlignment="1">
      <alignment horizontal="center"/>
    </xf>
    <xf numFmtId="0" fontId="27" fillId="8" borderId="11" xfId="0" applyFont="1" applyFill="1" applyBorder="1" applyAlignment="1">
      <alignment horizontal="center"/>
    </xf>
    <xf numFmtId="0" fontId="27" fillId="24" borderId="5" xfId="0" applyFont="1" applyFill="1" applyBorder="1" applyAlignment="1">
      <alignment horizontal="center"/>
    </xf>
    <xf numFmtId="0" fontId="27" fillId="8" borderId="5" xfId="0" applyFont="1" applyFill="1" applyBorder="1" applyAlignment="1">
      <alignment horizontal="center"/>
    </xf>
    <xf numFmtId="0" fontId="27" fillId="24" borderId="11" xfId="0" applyFont="1" applyFill="1" applyBorder="1"/>
    <xf numFmtId="0" fontId="27" fillId="8" borderId="11" xfId="0" applyFont="1" applyFill="1" applyBorder="1"/>
    <xf numFmtId="2" fontId="0" fillId="24" borderId="11" xfId="0" applyNumberFormat="1" applyFill="1" applyBorder="1" applyAlignment="1">
      <alignment horizontal="center"/>
    </xf>
    <xf numFmtId="0" fontId="0" fillId="8" borderId="11" xfId="0" applyFill="1" applyBorder="1"/>
    <xf numFmtId="0" fontId="0" fillId="24" borderId="5" xfId="0" applyFill="1" applyBorder="1"/>
    <xf numFmtId="0" fontId="0" fillId="8" borderId="5" xfId="0" applyFill="1" applyBorder="1"/>
    <xf numFmtId="0" fontId="27" fillId="24" borderId="2" xfId="0" applyFont="1" applyFill="1" applyBorder="1" applyAlignment="1">
      <alignment horizontal="center"/>
    </xf>
    <xf numFmtId="0" fontId="27" fillId="8" borderId="2" xfId="0" applyFont="1" applyFill="1" applyBorder="1" applyAlignment="1">
      <alignment horizontal="center"/>
    </xf>
    <xf numFmtId="0" fontId="27" fillId="24" borderId="20" xfId="0" applyFont="1" applyFill="1" applyBorder="1" applyAlignment="1">
      <alignment horizontal="center"/>
    </xf>
    <xf numFmtId="0" fontId="27" fillId="8" borderId="20" xfId="0" applyFont="1" applyFill="1" applyBorder="1" applyAlignment="1">
      <alignment horizontal="center"/>
    </xf>
    <xf numFmtId="168" fontId="28" fillId="0" borderId="1" xfId="24" applyNumberFormat="1" applyAlignment="1" applyProtection="1">
      <alignment vertical="center"/>
    </xf>
    <xf numFmtId="1" fontId="67" fillId="0" borderId="14" xfId="6" applyNumberFormat="1" applyFont="1" applyBorder="1" applyAlignment="1" applyProtection="1">
      <alignment horizontal="centerContinuous"/>
    </xf>
    <xf numFmtId="1" fontId="36" fillId="0" borderId="14" xfId="6" applyNumberFormat="1" applyFont="1" applyBorder="1" applyAlignment="1" applyProtection="1">
      <alignment horizontal="centerContinuous"/>
    </xf>
    <xf numFmtId="0" fontId="68" fillId="0" borderId="17" xfId="24" applyFont="1" applyBorder="1" applyAlignment="1" applyProtection="1">
      <alignment horizontal="right"/>
    </xf>
    <xf numFmtId="172" fontId="75" fillId="0" borderId="29" xfId="35" applyNumberFormat="1" applyFont="1" applyBorder="1" applyAlignment="1" applyProtection="1">
      <alignment horizontal="centerContinuous"/>
    </xf>
    <xf numFmtId="2" fontId="64" fillId="0" borderId="12" xfId="3" applyNumberFormat="1" applyFont="1" applyBorder="1" applyAlignment="1" applyProtection="1">
      <alignment horizontal="center"/>
    </xf>
    <xf numFmtId="0" fontId="68" fillId="0" borderId="11" xfId="33" applyFont="1" applyBorder="1" applyAlignment="1" applyProtection="1">
      <alignment horizontal="right"/>
    </xf>
    <xf numFmtId="2" fontId="28" fillId="0" borderId="12" xfId="24" applyNumberFormat="1" applyBorder="1" applyProtection="1"/>
    <xf numFmtId="2" fontId="28" fillId="0" borderId="11" xfId="24" applyNumberFormat="1" applyBorder="1" applyProtection="1"/>
    <xf numFmtId="0" fontId="28" fillId="0" borderId="12" xfId="33" applyFont="1" applyBorder="1" applyAlignment="1" applyProtection="1">
      <alignment horizontal="center" vertical="center"/>
    </xf>
    <xf numFmtId="0" fontId="28" fillId="0" borderId="1" xfId="33" applyFont="1" applyBorder="1" applyAlignment="1" applyProtection="1">
      <alignment horizontal="center" vertical="center"/>
    </xf>
    <xf numFmtId="168" fontId="28" fillId="0" borderId="1" xfId="2" applyFont="1" applyBorder="1" applyAlignment="1" applyProtection="1">
      <alignment horizontal="center" vertical="center"/>
    </xf>
    <xf numFmtId="172" fontId="77" fillId="0" borderId="29" xfId="35" applyNumberFormat="1" applyFont="1" applyBorder="1" applyAlignment="1" applyProtection="1">
      <alignment horizontal="center"/>
    </xf>
    <xf numFmtId="172" fontId="77" fillId="0" borderId="8" xfId="35" applyNumberFormat="1" applyFont="1" applyBorder="1" applyAlignment="1" applyProtection="1">
      <alignment horizontal="center"/>
    </xf>
    <xf numFmtId="2" fontId="28" fillId="0" borderId="7" xfId="3" applyNumberFormat="1" applyFont="1" applyBorder="1" applyAlignment="1" applyProtection="1">
      <alignment horizontal="center" vertical="center"/>
    </xf>
    <xf numFmtId="0" fontId="28" fillId="0" borderId="6" xfId="24" applyBorder="1" applyAlignment="1" applyProtection="1">
      <alignment vertical="center" wrapText="1"/>
    </xf>
    <xf numFmtId="168" fontId="33" fillId="0" borderId="24" xfId="2" applyFont="1" applyBorder="1" applyAlignment="1" applyProtection="1">
      <alignment horizontal="center" vertical="center" wrapText="1"/>
    </xf>
    <xf numFmtId="168" fontId="33" fillId="0" borderId="14" xfId="2" applyFont="1" applyBorder="1" applyAlignment="1" applyProtection="1">
      <alignment horizontal="center" vertical="center" wrapText="1"/>
    </xf>
    <xf numFmtId="2" fontId="28" fillId="0" borderId="16" xfId="3" applyNumberFormat="1" applyFont="1" applyBorder="1" applyAlignment="1" applyProtection="1">
      <alignment horizontal="center" vertical="center" wrapText="1"/>
    </xf>
    <xf numFmtId="2" fontId="28" fillId="0" borderId="11" xfId="3" applyNumberFormat="1" applyFont="1" applyBorder="1" applyAlignment="1" applyProtection="1">
      <alignment horizontal="center" vertical="center" wrapText="1"/>
    </xf>
    <xf numFmtId="2" fontId="28" fillId="0" borderId="5" xfId="26" applyNumberFormat="1" applyBorder="1" applyAlignment="1" applyProtection="1">
      <alignment horizontal="center" vertical="center" wrapText="1"/>
    </xf>
    <xf numFmtId="2" fontId="28" fillId="0" borderId="4" xfId="26" applyNumberFormat="1" applyBorder="1" applyAlignment="1" applyProtection="1">
      <alignment horizontal="center" vertical="center" wrapText="1"/>
    </xf>
    <xf numFmtId="14" fontId="61" fillId="5" borderId="1" xfId="29" applyNumberFormat="1" applyFont="1" applyFill="1" applyBorder="1" applyAlignment="1">
      <alignment horizontal="center"/>
    </xf>
    <xf numFmtId="2" fontId="61" fillId="6" borderId="1" xfId="29" applyNumberFormat="1" applyFont="1" applyFill="1" applyBorder="1" applyAlignment="1">
      <alignment horizontal="center"/>
    </xf>
    <xf numFmtId="0" fontId="61" fillId="3" borderId="1" xfId="29" applyFont="1" applyFill="1" applyBorder="1"/>
    <xf numFmtId="0" fontId="28" fillId="4" borderId="12" xfId="6" applyFont="1" applyFill="1" applyBorder="1" applyAlignment="1" applyProtection="1">
      <alignment horizontal="center" vertical="center" wrapText="1"/>
      <protection locked="0"/>
    </xf>
    <xf numFmtId="0" fontId="28" fillId="4" borderId="1" xfId="6" applyFont="1" applyFill="1" applyBorder="1" applyAlignment="1" applyProtection="1">
      <alignment horizontal="center" vertical="center" wrapText="1"/>
      <protection locked="0"/>
    </xf>
    <xf numFmtId="172" fontId="28" fillId="4" borderId="3" xfId="2" applyNumberFormat="1" applyFont="1" applyFill="1" applyBorder="1" applyAlignment="1" applyProtection="1">
      <alignment horizontal="center" vertical="center" wrapText="1"/>
      <protection locked="0"/>
    </xf>
    <xf numFmtId="172" fontId="28" fillId="4" borderId="1" xfId="2" applyNumberFormat="1" applyFont="1" applyFill="1" applyBorder="1" applyAlignment="1" applyProtection="1">
      <alignment horizontal="center" vertical="center" wrapText="1"/>
      <protection locked="0"/>
    </xf>
    <xf numFmtId="172" fontId="28" fillId="4" borderId="2" xfId="2" applyNumberFormat="1" applyFont="1" applyFill="1" applyBorder="1" applyAlignment="1" applyProtection="1">
      <alignment horizontal="center" vertical="center" wrapText="1"/>
      <protection locked="0"/>
    </xf>
    <xf numFmtId="172" fontId="28" fillId="4" borderId="20" xfId="2" applyNumberFormat="1" applyFont="1" applyFill="1" applyBorder="1" applyAlignment="1" applyProtection="1">
      <alignment horizontal="center" vertical="center" wrapText="1"/>
      <protection locked="0"/>
    </xf>
    <xf numFmtId="168" fontId="28" fillId="4" borderId="3" xfId="26" applyNumberFormat="1" applyFill="1" applyBorder="1" applyAlignment="1" applyProtection="1">
      <alignment horizontal="center" vertical="center" wrapText="1"/>
    </xf>
    <xf numFmtId="168" fontId="28" fillId="4" borderId="1" xfId="26" applyNumberFormat="1" applyFill="1" applyBorder="1" applyAlignment="1" applyProtection="1">
      <alignment horizontal="center" vertical="center" wrapText="1"/>
    </xf>
    <xf numFmtId="2" fontId="35" fillId="4" borderId="12" xfId="3" applyNumberFormat="1" applyFont="1" applyFill="1" applyBorder="1" applyAlignment="1" applyProtection="1">
      <alignment horizontal="center" vertical="center" wrapText="1"/>
    </xf>
    <xf numFmtId="2" fontId="28" fillId="4" borderId="1" xfId="3" applyNumberFormat="1" applyFont="1" applyFill="1" applyBorder="1" applyAlignment="1" applyProtection="1">
      <alignment horizontal="center" vertical="center" wrapText="1"/>
    </xf>
    <xf numFmtId="2" fontId="28" fillId="4" borderId="12" xfId="3" applyNumberFormat="1" applyFont="1" applyFill="1" applyBorder="1" applyAlignment="1" applyProtection="1">
      <alignment horizontal="center" vertical="center" wrapText="1"/>
    </xf>
    <xf numFmtId="2" fontId="28" fillId="4" borderId="11" xfId="26" applyNumberFormat="1" applyFill="1" applyBorder="1" applyAlignment="1" applyProtection="1">
      <alignment horizontal="center" vertical="center" wrapText="1"/>
    </xf>
    <xf numFmtId="0" fontId="71" fillId="4" borderId="11" xfId="24" applyNumberFormat="1" applyFont="1" applyFill="1" applyBorder="1" applyAlignment="1" applyProtection="1">
      <alignment horizontal="left" vertical="center"/>
    </xf>
    <xf numFmtId="0" fontId="28" fillId="4" borderId="1" xfId="24" applyFill="1" applyProtection="1"/>
    <xf numFmtId="2" fontId="28" fillId="4" borderId="1" xfId="24" applyNumberFormat="1" applyFill="1" applyBorder="1" applyAlignment="1" applyProtection="1">
      <alignment horizontal="center"/>
    </xf>
    <xf numFmtId="0" fontId="64" fillId="4" borderId="14" xfId="24" applyFont="1" applyFill="1" applyBorder="1" applyProtection="1"/>
    <xf numFmtId="168" fontId="64" fillId="4" borderId="17" xfId="24" applyNumberFormat="1" applyFont="1" applyFill="1" applyBorder="1" applyAlignment="1" applyProtection="1">
      <alignment horizontal="center"/>
    </xf>
    <xf numFmtId="0" fontId="35" fillId="4" borderId="2" xfId="9" applyNumberFormat="1" applyFill="1" applyBorder="1" applyAlignment="1" applyProtection="1">
      <alignment horizontal="center" vertical="center" wrapText="1"/>
      <protection locked="0"/>
    </xf>
    <xf numFmtId="168" fontId="28" fillId="4" borderId="11" xfId="24" applyNumberFormat="1" applyFill="1" applyBorder="1" applyAlignment="1" applyProtection="1">
      <alignment horizontal="center" vertical="center"/>
    </xf>
    <xf numFmtId="2" fontId="28" fillId="4" borderId="1" xfId="24" applyNumberFormat="1" applyFill="1" applyAlignment="1" applyProtection="1">
      <alignment horizontal="center"/>
    </xf>
    <xf numFmtId="4" fontId="64" fillId="4" borderId="1" xfId="24" applyNumberFormat="1" applyFont="1" applyFill="1" applyBorder="1" applyAlignment="1" applyProtection="1">
      <alignment horizontal="center"/>
    </xf>
    <xf numFmtId="2" fontId="64" fillId="4" borderId="1" xfId="24" applyNumberFormat="1" applyFont="1" applyFill="1" applyAlignment="1" applyProtection="1">
      <alignment horizontal="center"/>
    </xf>
    <xf numFmtId="4" fontId="28" fillId="4" borderId="1" xfId="24" applyNumberFormat="1" applyFill="1" applyBorder="1" applyAlignment="1" applyProtection="1">
      <alignment horizontal="center"/>
    </xf>
    <xf numFmtId="2" fontId="28" fillId="4" borderId="1" xfId="24" applyNumberFormat="1" applyFill="1" applyBorder="1" applyAlignment="1" applyProtection="1">
      <alignment horizontal="center" vertical="center"/>
    </xf>
    <xf numFmtId="0" fontId="28" fillId="4" borderId="1" xfId="24" applyFill="1" applyAlignment="1" applyProtection="1">
      <alignment vertical="center"/>
    </xf>
    <xf numFmtId="0" fontId="28" fillId="13" borderId="12" xfId="6" applyFont="1" applyFill="1" applyBorder="1" applyAlignment="1" applyProtection="1">
      <alignment horizontal="center" vertical="center" wrapText="1"/>
      <protection locked="0"/>
    </xf>
    <xf numFmtId="0" fontId="28" fillId="13" borderId="1" xfId="6" applyFont="1" applyFill="1" applyBorder="1" applyAlignment="1" applyProtection="1">
      <alignment horizontal="center" vertical="center" wrapText="1"/>
      <protection locked="0"/>
    </xf>
    <xf numFmtId="168" fontId="28" fillId="13" borderId="1" xfId="2" applyFont="1" applyFill="1" applyBorder="1" applyAlignment="1" applyProtection="1">
      <alignment horizontal="center" vertical="center" wrapText="1"/>
      <protection locked="0"/>
    </xf>
    <xf numFmtId="172" fontId="28" fillId="13" borderId="3" xfId="2" applyNumberFormat="1" applyFont="1" applyFill="1" applyBorder="1" applyAlignment="1" applyProtection="1">
      <alignment horizontal="center" vertical="center" wrapText="1"/>
      <protection locked="0"/>
    </xf>
    <xf numFmtId="172" fontId="28" fillId="13" borderId="1" xfId="2" applyNumberFormat="1" applyFont="1" applyFill="1" applyBorder="1" applyAlignment="1" applyProtection="1">
      <alignment horizontal="center" vertical="center" wrapText="1"/>
      <protection locked="0"/>
    </xf>
    <xf numFmtId="172" fontId="28" fillId="13" borderId="2" xfId="2" applyNumberFormat="1" applyFont="1" applyFill="1" applyBorder="1" applyAlignment="1" applyProtection="1">
      <alignment horizontal="center" vertical="center" wrapText="1"/>
      <protection locked="0"/>
    </xf>
    <xf numFmtId="172" fontId="28" fillId="13" borderId="20" xfId="2" applyNumberFormat="1" applyFont="1" applyFill="1" applyBorder="1" applyAlignment="1" applyProtection="1">
      <alignment horizontal="center" vertical="center" wrapText="1"/>
      <protection locked="0"/>
    </xf>
    <xf numFmtId="172" fontId="28" fillId="13" borderId="29" xfId="2" applyNumberFormat="1" applyFont="1" applyFill="1" applyBorder="1" applyAlignment="1" applyProtection="1">
      <alignment horizontal="center" vertical="center" wrapText="1"/>
      <protection locked="0"/>
    </xf>
    <xf numFmtId="168" fontId="28" fillId="13" borderId="3" xfId="26" applyNumberFormat="1" applyFill="1" applyBorder="1" applyAlignment="1" applyProtection="1">
      <alignment horizontal="center" vertical="center" wrapText="1"/>
    </xf>
    <xf numFmtId="168" fontId="28" fillId="13" borderId="1" xfId="26" applyNumberFormat="1" applyFill="1" applyBorder="1" applyAlignment="1" applyProtection="1">
      <alignment horizontal="center" vertical="center" wrapText="1"/>
    </xf>
    <xf numFmtId="2" fontId="35" fillId="13" borderId="12" xfId="3" applyNumberFormat="1" applyFont="1" applyFill="1" applyBorder="1" applyAlignment="1" applyProtection="1">
      <alignment horizontal="center" vertical="center" wrapText="1"/>
    </xf>
    <xf numFmtId="2" fontId="28" fillId="13" borderId="1" xfId="3" applyNumberFormat="1" applyFont="1" applyFill="1" applyBorder="1" applyAlignment="1" applyProtection="1">
      <alignment horizontal="center" vertical="center" wrapText="1"/>
    </xf>
    <xf numFmtId="2" fontId="28" fillId="13" borderId="12" xfId="3" applyNumberFormat="1" applyFont="1" applyFill="1" applyBorder="1" applyAlignment="1" applyProtection="1">
      <alignment horizontal="center" vertical="center" wrapText="1"/>
    </xf>
    <xf numFmtId="2" fontId="28" fillId="13" borderId="11" xfId="26" applyNumberFormat="1" applyFill="1" applyBorder="1" applyAlignment="1" applyProtection="1">
      <alignment horizontal="center" vertical="center" wrapText="1"/>
    </xf>
    <xf numFmtId="0" fontId="71" fillId="13" borderId="11" xfId="24" applyNumberFormat="1" applyFont="1" applyFill="1" applyBorder="1" applyAlignment="1" applyProtection="1">
      <alignment horizontal="left" vertical="center"/>
    </xf>
    <xf numFmtId="0" fontId="35" fillId="13" borderId="2" xfId="9" applyNumberFormat="1" applyFill="1" applyBorder="1" applyAlignment="1" applyProtection="1">
      <alignment horizontal="center" vertical="center" wrapText="1"/>
      <protection locked="0"/>
    </xf>
    <xf numFmtId="168" fontId="28" fillId="13" borderId="11" xfId="24" applyNumberFormat="1" applyFill="1" applyBorder="1" applyAlignment="1" applyProtection="1">
      <alignment horizontal="center" vertical="center"/>
    </xf>
    <xf numFmtId="2" fontId="28" fillId="13" borderId="1" xfId="24" applyNumberFormat="1" applyFill="1" applyBorder="1" applyAlignment="1" applyProtection="1">
      <alignment horizontal="center" vertical="center"/>
    </xf>
    <xf numFmtId="0" fontId="28" fillId="13" borderId="1" xfId="24" applyFill="1" applyAlignment="1" applyProtection="1">
      <alignment vertical="center"/>
    </xf>
    <xf numFmtId="0" fontId="28" fillId="13" borderId="1" xfId="24" applyFill="1" applyProtection="1"/>
    <xf numFmtId="0" fontId="28" fillId="0" borderId="1" xfId="6" applyFont="1" applyFill="1" applyBorder="1" applyAlignment="1" applyProtection="1">
      <alignment horizontal="center" vertical="center" wrapText="1"/>
      <protection locked="0"/>
    </xf>
    <xf numFmtId="172" fontId="28" fillId="0" borderId="3" xfId="2" applyNumberFormat="1" applyFont="1" applyFill="1" applyBorder="1" applyAlignment="1" applyProtection="1">
      <alignment horizontal="center" vertical="center" wrapText="1"/>
      <protection locked="0"/>
    </xf>
    <xf numFmtId="172" fontId="28" fillId="0" borderId="1" xfId="2" applyNumberFormat="1" applyFont="1" applyFill="1" applyBorder="1" applyAlignment="1" applyProtection="1">
      <alignment horizontal="center" vertical="center" wrapText="1"/>
      <protection locked="0"/>
    </xf>
    <xf numFmtId="172" fontId="28" fillId="0" borderId="2" xfId="2" applyNumberFormat="1" applyFont="1" applyFill="1" applyBorder="1" applyAlignment="1" applyProtection="1">
      <alignment horizontal="center" vertical="center" wrapText="1"/>
      <protection locked="0"/>
    </xf>
    <xf numFmtId="172" fontId="28" fillId="0" borderId="20" xfId="2" applyNumberFormat="1" applyFont="1" applyFill="1" applyBorder="1" applyAlignment="1" applyProtection="1">
      <alignment horizontal="center" vertical="center" wrapText="1"/>
      <protection locked="0"/>
    </xf>
    <xf numFmtId="172" fontId="28" fillId="0" borderId="29" xfId="2" applyNumberFormat="1" applyFont="1" applyFill="1" applyBorder="1" applyAlignment="1" applyProtection="1">
      <alignment horizontal="center" vertical="center" wrapText="1"/>
      <protection locked="0"/>
    </xf>
    <xf numFmtId="168" fontId="28" fillId="0" borderId="3" xfId="26" applyNumberFormat="1" applyFill="1" applyBorder="1" applyAlignment="1" applyProtection="1">
      <alignment horizontal="center" vertical="center" wrapText="1"/>
    </xf>
    <xf numFmtId="168" fontId="28" fillId="0" borderId="1" xfId="26" applyNumberFormat="1" applyFill="1" applyBorder="1" applyAlignment="1" applyProtection="1">
      <alignment horizontal="center" vertical="center" wrapText="1"/>
    </xf>
    <xf numFmtId="2" fontId="35" fillId="0" borderId="12" xfId="3" applyNumberFormat="1" applyFont="1" applyFill="1" applyBorder="1" applyAlignment="1" applyProtection="1">
      <alignment horizontal="center" vertical="center" wrapText="1"/>
    </xf>
    <xf numFmtId="2" fontId="28" fillId="0" borderId="1" xfId="3" applyNumberFormat="1" applyFont="1" applyFill="1" applyBorder="1" applyAlignment="1" applyProtection="1">
      <alignment horizontal="center" vertical="center" wrapText="1"/>
    </xf>
    <xf numFmtId="2" fontId="28" fillId="0" borderId="12" xfId="3" applyNumberFormat="1" applyFont="1" applyFill="1" applyBorder="1" applyAlignment="1" applyProtection="1">
      <alignment horizontal="center" vertical="center" wrapText="1"/>
    </xf>
    <xf numFmtId="2" fontId="28" fillId="0" borderId="11" xfId="26" applyNumberFormat="1" applyFill="1" applyBorder="1" applyAlignment="1" applyProtection="1">
      <alignment horizontal="center" vertical="center" wrapText="1"/>
    </xf>
    <xf numFmtId="0" fontId="35" fillId="0" borderId="2" xfId="9" applyNumberFormat="1" applyFill="1" applyBorder="1" applyAlignment="1" applyProtection="1">
      <alignment horizontal="center" vertical="center" wrapText="1"/>
      <protection locked="0"/>
    </xf>
    <xf numFmtId="168" fontId="28" fillId="0" borderId="11" xfId="8" applyNumberFormat="1" applyFont="1" applyFill="1" applyBorder="1" applyAlignment="1">
      <alignment horizontal="center" vertical="center"/>
    </xf>
    <xf numFmtId="2" fontId="28" fillId="0" borderId="1" xfId="24" applyNumberFormat="1" applyFill="1" applyBorder="1" applyAlignment="1" applyProtection="1">
      <alignment horizontal="center" vertical="center"/>
    </xf>
    <xf numFmtId="0" fontId="28" fillId="0" borderId="1" xfId="24" applyFill="1" applyAlignment="1" applyProtection="1">
      <alignment vertical="center"/>
    </xf>
    <xf numFmtId="168" fontId="28" fillId="0" borderId="11" xfId="24" applyNumberFormat="1" applyFill="1" applyBorder="1" applyAlignment="1" applyProtection="1">
      <alignment horizontal="center" vertical="center"/>
    </xf>
    <xf numFmtId="0" fontId="64" fillId="0" borderId="1" xfId="24" applyFont="1" applyFill="1" applyBorder="1" applyProtection="1"/>
    <xf numFmtId="0" fontId="64" fillId="0" borderId="1" xfId="24" applyFont="1" applyFill="1" applyBorder="1" applyAlignment="1" applyProtection="1">
      <alignment horizontal="left"/>
    </xf>
    <xf numFmtId="0" fontId="28" fillId="0" borderId="1" xfId="26" applyFill="1" applyBorder="1" applyAlignment="1" applyProtection="1">
      <alignment vertical="top"/>
    </xf>
    <xf numFmtId="0" fontId="28" fillId="0" borderId="1" xfId="26" applyFill="1" applyAlignment="1" applyProtection="1">
      <alignment vertical="top"/>
    </xf>
    <xf numFmtId="0" fontId="64" fillId="0" borderId="1" xfId="33" applyFill="1" applyBorder="1" applyAlignment="1" applyProtection="1"/>
    <xf numFmtId="0" fontId="64" fillId="0" borderId="1" xfId="33" applyFill="1" applyAlignment="1" applyProtection="1"/>
    <xf numFmtId="1" fontId="67" fillId="0" borderId="14" xfId="6" applyNumberFormat="1" applyFont="1" applyFill="1" applyBorder="1" applyAlignment="1" applyProtection="1">
      <alignment horizontal="centerContinuous"/>
    </xf>
    <xf numFmtId="1" fontId="36" fillId="0" borderId="14" xfId="6" applyNumberFormat="1" applyFont="1" applyFill="1" applyBorder="1" applyAlignment="1" applyProtection="1">
      <alignment horizontal="centerContinuous"/>
    </xf>
    <xf numFmtId="1" fontId="64" fillId="0" borderId="3" xfId="33" applyNumberFormat="1" applyFill="1" applyBorder="1" applyAlignment="1" applyProtection="1">
      <alignment horizontal="centerContinuous"/>
    </xf>
    <xf numFmtId="1" fontId="64" fillId="0" borderId="1" xfId="33" applyNumberFormat="1" applyFill="1" applyBorder="1" applyAlignment="1" applyProtection="1">
      <alignment horizontal="centerContinuous"/>
    </xf>
    <xf numFmtId="1" fontId="64" fillId="0" borderId="11" xfId="33" applyNumberFormat="1" applyFill="1" applyBorder="1" applyAlignment="1" applyProtection="1">
      <alignment horizontal="centerContinuous"/>
    </xf>
    <xf numFmtId="168" fontId="64" fillId="0" borderId="3" xfId="2" applyFont="1" applyFill="1" applyBorder="1" applyAlignment="1" applyProtection="1">
      <alignment horizontal="center"/>
    </xf>
    <xf numFmtId="168" fontId="64" fillId="0" borderId="11" xfId="2" applyFont="1" applyFill="1" applyBorder="1" applyAlignment="1" applyProtection="1">
      <alignment horizontal="center"/>
    </xf>
    <xf numFmtId="168" fontId="28" fillId="0" borderId="25" xfId="2" applyFont="1" applyFill="1" applyBorder="1" applyAlignment="1" applyProtection="1">
      <alignment horizontal="center" vertical="center"/>
    </xf>
    <xf numFmtId="168" fontId="28" fillId="0" borderId="8" xfId="2" applyFont="1" applyFill="1" applyBorder="1" applyAlignment="1" applyProtection="1">
      <alignment horizontal="center" vertical="center"/>
    </xf>
    <xf numFmtId="168" fontId="33" fillId="0" borderId="24" xfId="2" applyFont="1" applyFill="1" applyBorder="1" applyAlignment="1" applyProtection="1">
      <alignment horizontal="center" vertical="center" wrapText="1"/>
    </xf>
    <xf numFmtId="168" fontId="33" fillId="0" borderId="14" xfId="2" applyFont="1" applyFill="1" applyBorder="1" applyAlignment="1" applyProtection="1">
      <alignment horizontal="center" vertical="center" wrapText="1"/>
    </xf>
    <xf numFmtId="168" fontId="28" fillId="0" borderId="25" xfId="26" applyNumberFormat="1" applyFill="1" applyBorder="1" applyAlignment="1" applyProtection="1">
      <alignment horizontal="center" vertical="center" wrapText="1"/>
    </xf>
    <xf numFmtId="168" fontId="28" fillId="0" borderId="8" xfId="26" applyNumberFormat="1" applyFill="1" applyBorder="1" applyAlignment="1" applyProtection="1">
      <alignment horizontal="center" vertical="center" wrapText="1"/>
    </xf>
    <xf numFmtId="168" fontId="28" fillId="0" borderId="3" xfId="26" applyNumberFormat="1" applyFill="1" applyBorder="1" applyAlignment="1" applyProtection="1">
      <alignment horizontal="center" vertical="center"/>
    </xf>
    <xf numFmtId="168" fontId="28" fillId="0" borderId="1" xfId="26" applyNumberFormat="1" applyFill="1" applyBorder="1" applyAlignment="1" applyProtection="1">
      <alignment horizontal="center" vertical="center"/>
    </xf>
    <xf numFmtId="168" fontId="28" fillId="0" borderId="25" xfId="26" applyNumberFormat="1" applyFill="1" applyBorder="1" applyAlignment="1" applyProtection="1">
      <alignment horizontal="center" vertical="center"/>
    </xf>
    <xf numFmtId="168" fontId="28" fillId="0" borderId="8" xfId="26" applyNumberFormat="1" applyFill="1" applyBorder="1" applyAlignment="1" applyProtection="1">
      <alignment horizontal="center" vertical="center"/>
    </xf>
    <xf numFmtId="167" fontId="28" fillId="0" borderId="1" xfId="3" applyFont="1" applyFill="1" applyAlignment="1" applyProtection="1">
      <alignment horizontal="center"/>
    </xf>
    <xf numFmtId="0" fontId="28" fillId="0" borderId="1" xfId="24" applyFill="1" applyBorder="1" applyProtection="1"/>
    <xf numFmtId="2" fontId="64" fillId="0" borderId="1" xfId="24" applyNumberFormat="1" applyFont="1" applyFill="1" applyProtection="1"/>
    <xf numFmtId="2" fontId="28" fillId="0" borderId="1" xfId="26" applyNumberFormat="1" applyFill="1" applyAlignment="1" applyProtection="1">
      <alignment vertical="top"/>
    </xf>
    <xf numFmtId="2" fontId="64" fillId="0" borderId="1" xfId="33" applyNumberFormat="1" applyFill="1" applyAlignment="1" applyProtection="1"/>
    <xf numFmtId="2" fontId="64" fillId="0" borderId="1" xfId="33" applyNumberFormat="1" applyFill="1" applyBorder="1" applyAlignment="1" applyProtection="1"/>
    <xf numFmtId="2" fontId="64" fillId="0" borderId="1" xfId="3" applyNumberFormat="1" applyFont="1" applyFill="1" applyBorder="1" applyAlignment="1" applyProtection="1">
      <alignment horizontal="center"/>
    </xf>
    <xf numFmtId="2" fontId="28" fillId="0" borderId="1" xfId="24" applyNumberFormat="1" applyFill="1" applyBorder="1" applyProtection="1"/>
    <xf numFmtId="2" fontId="28" fillId="0" borderId="8" xfId="3" applyNumberFormat="1" applyFont="1" applyFill="1" applyBorder="1" applyAlignment="1" applyProtection="1">
      <alignment horizontal="center" vertical="center"/>
    </xf>
    <xf numFmtId="2" fontId="28" fillId="0" borderId="17" xfId="3" applyNumberFormat="1" applyFont="1" applyFill="1" applyBorder="1" applyAlignment="1" applyProtection="1">
      <alignment horizontal="center" vertical="center" wrapText="1"/>
    </xf>
    <xf numFmtId="2" fontId="28" fillId="0" borderId="6" xfId="26" applyNumberFormat="1" applyFill="1" applyBorder="1" applyAlignment="1" applyProtection="1">
      <alignment horizontal="center" vertical="center" wrapText="1"/>
    </xf>
    <xf numFmtId="2" fontId="28" fillId="0" borderId="11" xfId="3" applyNumberFormat="1" applyFont="1" applyFill="1" applyBorder="1" applyAlignment="1" applyProtection="1">
      <alignment horizontal="center" vertical="center"/>
    </xf>
    <xf numFmtId="2" fontId="28" fillId="0" borderId="6" xfId="3" applyNumberFormat="1" applyFont="1" applyFill="1" applyBorder="1" applyAlignment="1" applyProtection="1">
      <alignment horizontal="center" vertical="center"/>
    </xf>
    <xf numFmtId="2" fontId="28" fillId="0" borderId="1" xfId="24" applyNumberFormat="1" applyFill="1" applyProtection="1"/>
    <xf numFmtId="2" fontId="28" fillId="0" borderId="1" xfId="3" applyNumberFormat="1" applyFont="1" applyFill="1" applyAlignment="1" applyProtection="1">
      <alignment horizontal="center"/>
    </xf>
    <xf numFmtId="0" fontId="64" fillId="13" borderId="1" xfId="24" applyFont="1" applyFill="1" applyBorder="1" applyProtection="1"/>
    <xf numFmtId="168" fontId="28" fillId="13" borderId="11" xfId="24" applyNumberFormat="1" applyFill="1" applyBorder="1" applyAlignment="1" applyProtection="1">
      <alignment horizontal="center"/>
    </xf>
    <xf numFmtId="2" fontId="28" fillId="13" borderId="1" xfId="24" applyNumberFormat="1" applyFill="1" applyBorder="1" applyAlignment="1" applyProtection="1">
      <alignment horizontal="center"/>
    </xf>
    <xf numFmtId="0" fontId="28" fillId="13" borderId="1" xfId="24" applyFill="1" applyBorder="1" applyProtection="1"/>
    <xf numFmtId="172" fontId="28" fillId="4" borderId="29" xfId="2" applyNumberFormat="1" applyFont="1" applyFill="1" applyBorder="1" applyAlignment="1" applyProtection="1">
      <alignment horizontal="center" vertical="center" wrapText="1"/>
      <protection locked="0"/>
    </xf>
    <xf numFmtId="2" fontId="28" fillId="13" borderId="1" xfId="24" applyNumberFormat="1" applyFill="1" applyAlignment="1" applyProtection="1">
      <alignment horizontal="center"/>
    </xf>
    <xf numFmtId="0" fontId="6" fillId="0" borderId="1" xfId="37" applyFont="1" applyAlignment="1">
      <alignment horizontal="left"/>
    </xf>
    <xf numFmtId="0" fontId="6" fillId="0" borderId="1" xfId="37" applyFont="1" applyAlignment="1">
      <alignment wrapText="1"/>
    </xf>
    <xf numFmtId="168" fontId="28" fillId="4" borderId="11" xfId="8" applyNumberFormat="1" applyFont="1" applyFill="1" applyBorder="1" applyAlignment="1">
      <alignment horizontal="center" vertical="center"/>
    </xf>
    <xf numFmtId="2" fontId="28" fillId="0" borderId="1" xfId="24" applyNumberFormat="1" applyFill="1" applyAlignment="1" applyProtection="1">
      <alignment horizontal="center"/>
    </xf>
    <xf numFmtId="14" fontId="54" fillId="2" borderId="10" xfId="0" applyNumberFormat="1" applyFont="1" applyFill="1" applyBorder="1" applyAlignment="1">
      <alignment horizontal="center"/>
    </xf>
    <xf numFmtId="14" fontId="44" fillId="25" borderId="1" xfId="0" applyNumberFormat="1" applyFont="1" applyFill="1" applyBorder="1" applyAlignment="1">
      <alignment horizontal="center"/>
    </xf>
    <xf numFmtId="0" fontId="44" fillId="25" borderId="1" xfId="0" applyFont="1" applyFill="1" applyBorder="1" applyAlignment="1">
      <alignment horizontal="center"/>
    </xf>
    <xf numFmtId="0" fontId="44" fillId="25" borderId="2" xfId="0" applyFont="1" applyFill="1" applyBorder="1" applyAlignment="1">
      <alignment horizontal="center"/>
    </xf>
    <xf numFmtId="0" fontId="44" fillId="25" borderId="20" xfId="0" applyFont="1" applyFill="1" applyBorder="1" applyAlignment="1">
      <alignment horizontal="center"/>
    </xf>
    <xf numFmtId="0" fontId="44" fillId="25" borderId="11" xfId="0" applyFont="1" applyFill="1" applyBorder="1" applyAlignment="1">
      <alignment horizontal="center"/>
    </xf>
    <xf numFmtId="0" fontId="44" fillId="25" borderId="5" xfId="0" applyFont="1" applyFill="1" applyBorder="1" applyAlignment="1">
      <alignment horizontal="center"/>
    </xf>
    <xf numFmtId="2" fontId="58" fillId="25" borderId="1" xfId="0" applyNumberFormat="1" applyFont="1" applyFill="1" applyBorder="1" applyAlignment="1">
      <alignment horizontal="center"/>
    </xf>
    <xf numFmtId="2" fontId="44" fillId="25" borderId="1" xfId="0" applyNumberFormat="1" applyFont="1" applyFill="1" applyBorder="1" applyAlignment="1">
      <alignment horizontal="center"/>
    </xf>
    <xf numFmtId="2" fontId="44" fillId="25" borderId="11" xfId="0" applyNumberFormat="1" applyFont="1" applyFill="1" applyBorder="1" applyAlignment="1">
      <alignment horizontal="center"/>
    </xf>
    <xf numFmtId="2" fontId="44" fillId="25" borderId="3" xfId="0" applyNumberFormat="1" applyFont="1" applyFill="1" applyBorder="1" applyAlignment="1">
      <alignment horizontal="center"/>
    </xf>
    <xf numFmtId="4" fontId="64" fillId="13" borderId="1" xfId="24" applyNumberFormat="1" applyFont="1" applyFill="1" applyBorder="1" applyAlignment="1" applyProtection="1">
      <alignment horizontal="center"/>
    </xf>
    <xf numFmtId="2" fontId="64" fillId="13" borderId="1" xfId="24" applyNumberFormat="1" applyFont="1" applyFill="1" applyAlignment="1" applyProtection="1">
      <alignment horizontal="center"/>
    </xf>
    <xf numFmtId="0" fontId="28" fillId="0" borderId="17" xfId="24" applyBorder="1" applyProtection="1"/>
    <xf numFmtId="0" fontId="28" fillId="0" borderId="11" xfId="24" applyBorder="1" applyProtection="1"/>
    <xf numFmtId="2" fontId="27" fillId="8" borderId="2" xfId="0" applyNumberFormat="1" applyFont="1" applyFill="1" applyBorder="1" applyAlignment="1">
      <alignment horizontal="center"/>
    </xf>
    <xf numFmtId="2" fontId="0" fillId="22" borderId="2" xfId="0" applyNumberFormat="1" applyFill="1" applyBorder="1" applyAlignment="1">
      <alignment horizontal="center"/>
    </xf>
    <xf numFmtId="14" fontId="10" fillId="26" borderId="1" xfId="37" applyNumberFormat="1" applyFill="1" applyAlignment="1">
      <alignment horizontal="left"/>
    </xf>
    <xf numFmtId="0" fontId="10" fillId="26" borderId="1" xfId="37" applyFill="1" applyAlignment="1">
      <alignment horizontal="left"/>
    </xf>
    <xf numFmtId="0" fontId="10" fillId="26" borderId="1" xfId="37" applyFill="1" applyAlignment="1">
      <alignment wrapText="1"/>
    </xf>
    <xf numFmtId="0" fontId="9" fillId="26" borderId="1" xfId="37" applyFont="1" applyFill="1" applyAlignment="1">
      <alignment horizontal="left"/>
    </xf>
    <xf numFmtId="0" fontId="7" fillId="26" borderId="1" xfId="37" applyFont="1" applyFill="1" applyAlignment="1">
      <alignment horizontal="left"/>
    </xf>
    <xf numFmtId="0" fontId="7" fillId="26" borderId="1" xfId="37" applyFont="1" applyFill="1" applyAlignment="1">
      <alignment wrapText="1"/>
    </xf>
    <xf numFmtId="0" fontId="5" fillId="26" borderId="1" xfId="37" applyFont="1" applyFill="1" applyAlignment="1">
      <alignment horizontal="left"/>
    </xf>
    <xf numFmtId="0" fontId="5" fillId="26" borderId="1" xfId="37" applyFont="1" applyFill="1" applyAlignment="1">
      <alignment wrapText="1"/>
    </xf>
    <xf numFmtId="2" fontId="46" fillId="0" borderId="1" xfId="38" applyNumberFormat="1" applyFont="1" applyAlignment="1">
      <alignment horizontal="center"/>
    </xf>
    <xf numFmtId="0" fontId="4" fillId="0" borderId="1" xfId="37" applyFont="1" applyAlignment="1">
      <alignment horizontal="left"/>
    </xf>
    <xf numFmtId="0" fontId="4" fillId="0" borderId="1" xfId="37" applyFont="1" applyAlignment="1">
      <alignment wrapText="1"/>
    </xf>
    <xf numFmtId="2" fontId="58" fillId="9" borderId="20" xfId="0" applyNumberFormat="1" applyFont="1" applyFill="1" applyBorder="1" applyAlignment="1">
      <alignment horizontal="center"/>
    </xf>
    <xf numFmtId="2" fontId="0" fillId="9" borderId="1" xfId="0" applyNumberFormat="1" applyFill="1" applyBorder="1" applyAlignment="1">
      <alignment horizontal="center"/>
    </xf>
    <xf numFmtId="0" fontId="44" fillId="17" borderId="1" xfId="0" applyFont="1" applyFill="1" applyBorder="1" applyAlignment="1">
      <alignment horizontal="center"/>
    </xf>
    <xf numFmtId="0" fontId="3" fillId="26" borderId="1" xfId="37" applyFont="1" applyFill="1" applyAlignment="1">
      <alignment horizontal="left" wrapText="1"/>
    </xf>
    <xf numFmtId="0" fontId="22" fillId="0" borderId="3" xfId="0" applyFont="1" applyBorder="1" applyAlignment="1">
      <alignment horizontal="center"/>
    </xf>
    <xf numFmtId="0" fontId="22" fillId="0" borderId="1" xfId="0" applyFont="1" applyBorder="1" applyAlignment="1">
      <alignment horizontal="center"/>
    </xf>
    <xf numFmtId="0" fontId="22" fillId="0" borderId="11" xfId="0" applyFont="1" applyBorder="1" applyAlignment="1">
      <alignment horizontal="center"/>
    </xf>
    <xf numFmtId="2" fontId="61" fillId="3" borderId="2" xfId="29" applyNumberFormat="1" applyFont="1" applyFill="1" applyBorder="1" applyAlignment="1">
      <alignment horizontal="center"/>
    </xf>
    <xf numFmtId="2" fontId="61" fillId="5" borderId="11" xfId="29" applyNumberFormat="1" applyFont="1" applyFill="1" applyBorder="1" applyAlignment="1">
      <alignment horizontal="center"/>
    </xf>
    <xf numFmtId="0" fontId="61" fillId="3" borderId="11" xfId="29" applyFont="1" applyFill="1" applyBorder="1" applyAlignment="1">
      <alignment horizontal="center"/>
    </xf>
    <xf numFmtId="2" fontId="61" fillId="3" borderId="11" xfId="29" applyNumberFormat="1" applyFont="1" applyFill="1" applyBorder="1" applyAlignment="1">
      <alignment horizontal="center"/>
    </xf>
    <xf numFmtId="2" fontId="44" fillId="25" borderId="20" xfId="0" applyNumberFormat="1" applyFont="1" applyFill="1" applyBorder="1" applyAlignment="1">
      <alignment horizontal="center"/>
    </xf>
    <xf numFmtId="0" fontId="58" fillId="9" borderId="2" xfId="0" applyFont="1" applyFill="1" applyBorder="1"/>
    <xf numFmtId="0" fontId="61" fillId="0" borderId="7" xfId="0" applyFont="1" applyBorder="1" applyAlignment="1">
      <alignment horizontal="center"/>
    </xf>
    <xf numFmtId="0" fontId="61" fillId="0" borderId="19" xfId="0" applyFont="1" applyBorder="1" applyAlignment="1">
      <alignment horizontal="center"/>
    </xf>
    <xf numFmtId="2" fontId="44" fillId="25" borderId="12" xfId="0" applyNumberFormat="1" applyFont="1" applyFill="1" applyBorder="1" applyAlignment="1">
      <alignment horizontal="center"/>
    </xf>
    <xf numFmtId="0" fontId="61" fillId="0" borderId="12" xfId="0" applyFont="1" applyBorder="1" applyAlignment="1">
      <alignment horizontal="center"/>
    </xf>
    <xf numFmtId="0" fontId="58" fillId="0" borderId="19" xfId="0" applyFont="1" applyBorder="1" applyAlignment="1">
      <alignment horizontal="center"/>
    </xf>
    <xf numFmtId="2" fontId="44" fillId="25" borderId="5" xfId="0" applyNumberFormat="1" applyFont="1" applyFill="1" applyBorder="1" applyAlignment="1">
      <alignment horizontal="center"/>
    </xf>
    <xf numFmtId="2" fontId="58" fillId="9" borderId="5" xfId="0" applyNumberFormat="1" applyFont="1" applyFill="1" applyBorder="1" applyAlignment="1">
      <alignment horizontal="center"/>
    </xf>
    <xf numFmtId="2" fontId="61" fillId="6" borderId="5" xfId="29" applyNumberFormat="1" applyFont="1" applyFill="1" applyBorder="1" applyAlignment="1">
      <alignment horizontal="center"/>
    </xf>
    <xf numFmtId="14" fontId="58" fillId="27" borderId="1" xfId="0" applyNumberFormat="1" applyFont="1" applyFill="1" applyBorder="1" applyAlignment="1">
      <alignment horizontal="center"/>
    </xf>
    <xf numFmtId="0" fontId="58" fillId="27" borderId="1" xfId="0" applyFont="1" applyFill="1" applyBorder="1" applyAlignment="1">
      <alignment horizontal="center"/>
    </xf>
    <xf numFmtId="0" fontId="58" fillId="27" borderId="2" xfId="0" applyFont="1" applyFill="1" applyBorder="1" applyAlignment="1">
      <alignment horizontal="center"/>
    </xf>
    <xf numFmtId="0" fontId="58" fillId="27" borderId="20" xfId="0" applyFont="1" applyFill="1" applyBorder="1" applyAlignment="1">
      <alignment horizontal="center"/>
    </xf>
    <xf numFmtId="0" fontId="58" fillId="27" borderId="11" xfId="0" applyFont="1" applyFill="1" applyBorder="1" applyAlignment="1">
      <alignment horizontal="center"/>
    </xf>
    <xf numFmtId="0" fontId="58" fillId="27" borderId="5" xfId="0" applyFont="1" applyFill="1" applyBorder="1" applyAlignment="1">
      <alignment horizontal="center"/>
    </xf>
    <xf numFmtId="2" fontId="58" fillId="27" borderId="2" xfId="0" applyNumberFormat="1" applyFont="1" applyFill="1" applyBorder="1" applyAlignment="1">
      <alignment horizontal="center"/>
    </xf>
    <xf numFmtId="2" fontId="58" fillId="27" borderId="1" xfId="0" applyNumberFormat="1" applyFont="1" applyFill="1" applyBorder="1" applyAlignment="1">
      <alignment horizontal="center"/>
    </xf>
    <xf numFmtId="2" fontId="58" fillId="27" borderId="11" xfId="0" applyNumberFormat="1" applyFont="1" applyFill="1" applyBorder="1" applyAlignment="1">
      <alignment horizontal="center"/>
    </xf>
    <xf numFmtId="0" fontId="58" fillId="27" borderId="1" xfId="0" applyFont="1" applyFill="1" applyBorder="1"/>
    <xf numFmtId="0" fontId="0" fillId="27" borderId="1" xfId="0" applyFill="1" applyBorder="1"/>
    <xf numFmtId="14" fontId="58" fillId="28" borderId="1" xfId="0" applyNumberFormat="1" applyFont="1" applyFill="1" applyBorder="1" applyAlignment="1">
      <alignment horizontal="center"/>
    </xf>
    <xf numFmtId="0" fontId="58" fillId="28" borderId="1" xfId="0" applyFont="1" applyFill="1" applyBorder="1" applyAlignment="1">
      <alignment horizontal="center"/>
    </xf>
    <xf numFmtId="0" fontId="58" fillId="28" borderId="2" xfId="0" applyFont="1" applyFill="1" applyBorder="1" applyAlignment="1">
      <alignment horizontal="center"/>
    </xf>
    <xf numFmtId="0" fontId="58" fillId="28" borderId="20" xfId="0" applyFont="1" applyFill="1" applyBorder="1" applyAlignment="1">
      <alignment horizontal="center"/>
    </xf>
    <xf numFmtId="0" fontId="58" fillId="28" borderId="11" xfId="0" applyFont="1" applyFill="1" applyBorder="1" applyAlignment="1">
      <alignment horizontal="center"/>
    </xf>
    <xf numFmtId="0" fontId="58" fillId="28" borderId="5" xfId="0" applyFont="1" applyFill="1" applyBorder="1" applyAlignment="1">
      <alignment horizontal="center"/>
    </xf>
    <xf numFmtId="2" fontId="58" fillId="28" borderId="2" xfId="0" applyNumberFormat="1" applyFont="1" applyFill="1" applyBorder="1" applyAlignment="1">
      <alignment horizontal="center"/>
    </xf>
    <xf numFmtId="2" fontId="58" fillId="28" borderId="1" xfId="0" applyNumberFormat="1" applyFont="1" applyFill="1" applyBorder="1" applyAlignment="1">
      <alignment horizontal="center"/>
    </xf>
    <xf numFmtId="2" fontId="58" fillId="28" borderId="11" xfId="0" applyNumberFormat="1" applyFont="1" applyFill="1" applyBorder="1" applyAlignment="1">
      <alignment horizontal="center"/>
    </xf>
    <xf numFmtId="0" fontId="58" fillId="28" borderId="1" xfId="0" applyFont="1" applyFill="1" applyBorder="1"/>
    <xf numFmtId="0" fontId="0" fillId="28" borderId="1" xfId="0" applyFill="1" applyBorder="1"/>
    <xf numFmtId="2" fontId="46" fillId="0" borderId="3" xfId="0" applyNumberFormat="1" applyFont="1" applyFill="1" applyBorder="1" applyAlignment="1">
      <alignment horizontal="center"/>
    </xf>
    <xf numFmtId="14" fontId="46" fillId="29" borderId="12" xfId="0" applyNumberFormat="1" applyFont="1" applyFill="1" applyBorder="1" applyAlignment="1">
      <alignment horizontal="center"/>
    </xf>
    <xf numFmtId="0" fontId="46" fillId="29" borderId="1" xfId="0" applyFont="1" applyFill="1" applyBorder="1" applyAlignment="1">
      <alignment horizontal="center"/>
    </xf>
    <xf numFmtId="0" fontId="46" fillId="29" borderId="2" xfId="0" applyFont="1" applyFill="1" applyBorder="1" applyAlignment="1">
      <alignment horizontal="center"/>
    </xf>
    <xf numFmtId="0" fontId="46" fillId="29" borderId="20" xfId="0" applyFont="1" applyFill="1" applyBorder="1" applyAlignment="1">
      <alignment horizontal="center"/>
    </xf>
    <xf numFmtId="2" fontId="46" fillId="29" borderId="3" xfId="0" applyNumberFormat="1" applyFont="1" applyFill="1" applyBorder="1" applyAlignment="1">
      <alignment horizontal="center"/>
    </xf>
    <xf numFmtId="4" fontId="46" fillId="29" borderId="1" xfId="0" applyNumberFormat="1" applyFont="1" applyFill="1" applyBorder="1" applyAlignment="1">
      <alignment horizontal="center"/>
    </xf>
    <xf numFmtId="4" fontId="46" fillId="29" borderId="5" xfId="0" applyNumberFormat="1" applyFont="1" applyFill="1" applyBorder="1" applyAlignment="1">
      <alignment horizontal="center"/>
    </xf>
    <xf numFmtId="4" fontId="46" fillId="29" borderId="3" xfId="0" applyNumberFormat="1" applyFont="1" applyFill="1" applyBorder="1" applyAlignment="1">
      <alignment horizontal="center"/>
    </xf>
    <xf numFmtId="2" fontId="46" fillId="29" borderId="12" xfId="0" applyNumberFormat="1" applyFont="1" applyFill="1" applyBorder="1" applyAlignment="1">
      <alignment horizontal="center"/>
    </xf>
    <xf numFmtId="2" fontId="46" fillId="29" borderId="1" xfId="0" applyNumberFormat="1" applyFont="1" applyFill="1" applyBorder="1" applyAlignment="1">
      <alignment horizontal="center"/>
    </xf>
    <xf numFmtId="2" fontId="27" fillId="29" borderId="11" xfId="0" applyNumberFormat="1" applyFont="1" applyFill="1" applyBorder="1"/>
    <xf numFmtId="4" fontId="46" fillId="29" borderId="2" xfId="0" applyNumberFormat="1" applyFont="1" applyFill="1" applyBorder="1" applyAlignment="1">
      <alignment horizontal="center"/>
    </xf>
    <xf numFmtId="0" fontId="0" fillId="29" borderId="1" xfId="0" applyFill="1" applyBorder="1"/>
    <xf numFmtId="164" fontId="23" fillId="0" borderId="12" xfId="0" applyNumberFormat="1" applyFont="1" applyBorder="1" applyAlignment="1">
      <alignment horizontal="center" vertical="top"/>
    </xf>
    <xf numFmtId="0" fontId="23" fillId="0" borderId="1" xfId="0" applyFont="1" applyBorder="1" applyAlignment="1">
      <alignment horizontal="center" vertical="top"/>
    </xf>
    <xf numFmtId="0" fontId="23" fillId="0" borderId="2" xfId="0" applyFont="1" applyBorder="1" applyAlignment="1">
      <alignment horizontal="center" vertical="top"/>
    </xf>
    <xf numFmtId="4" fontId="0" fillId="0" borderId="1" xfId="0" applyNumberFormat="1" applyFont="1" applyBorder="1" applyAlignment="1">
      <alignment horizontal="center"/>
    </xf>
    <xf numFmtId="4" fontId="23" fillId="0" borderId="3" xfId="0" applyNumberFormat="1" applyFont="1" applyBorder="1" applyAlignment="1">
      <alignment horizontal="center" vertical="top"/>
    </xf>
    <xf numFmtId="4" fontId="23" fillId="0" borderId="1" xfId="0" applyNumberFormat="1" applyFont="1" applyBorder="1" applyAlignment="1">
      <alignment horizontal="center" vertical="top"/>
    </xf>
    <xf numFmtId="4" fontId="23" fillId="0" borderId="12" xfId="0" applyNumberFormat="1" applyFont="1" applyBorder="1" applyAlignment="1">
      <alignment horizontal="center"/>
    </xf>
    <xf numFmtId="4" fontId="23" fillId="0" borderId="1" xfId="0" applyNumberFormat="1" applyFont="1" applyBorder="1" applyAlignment="1">
      <alignment horizontal="center"/>
    </xf>
    <xf numFmtId="4" fontId="46" fillId="0" borderId="1" xfId="0" applyNumberFormat="1" applyFont="1" applyBorder="1" applyAlignment="1">
      <alignment horizontal="center"/>
    </xf>
    <xf numFmtId="2" fontId="0" fillId="0" borderId="1" xfId="0" applyNumberFormat="1" applyFont="1" applyBorder="1" applyAlignment="1">
      <alignment horizontal="center"/>
    </xf>
    <xf numFmtId="0" fontId="23" fillId="0" borderId="11" xfId="0" applyFont="1" applyBorder="1" applyAlignment="1">
      <alignment horizontal="center"/>
    </xf>
    <xf numFmtId="4" fontId="0" fillId="0" borderId="17" xfId="0" applyNumberFormat="1" applyFont="1" applyBorder="1" applyAlignment="1">
      <alignment horizontal="center"/>
    </xf>
    <xf numFmtId="4" fontId="0" fillId="0" borderId="15" xfId="0" applyNumberFormat="1" applyFont="1" applyBorder="1" applyAlignment="1">
      <alignment horizontal="center"/>
    </xf>
    <xf numFmtId="2" fontId="0" fillId="0" borderId="15" xfId="0" applyNumberFormat="1" applyFont="1" applyBorder="1" applyAlignment="1">
      <alignment horizontal="center"/>
    </xf>
    <xf numFmtId="4" fontId="46" fillId="5" borderId="19" xfId="0" applyNumberFormat="1" applyFont="1" applyFill="1" applyBorder="1" applyAlignment="1">
      <alignment horizontal="center"/>
    </xf>
    <xf numFmtId="0" fontId="27" fillId="0" borderId="6" xfId="0" applyFont="1" applyBorder="1" applyAlignment="1">
      <alignment horizontal="center"/>
    </xf>
    <xf numFmtId="0" fontId="27" fillId="0" borderId="4" xfId="0" applyFont="1" applyBorder="1" applyAlignment="1">
      <alignment horizontal="center"/>
    </xf>
    <xf numFmtId="0" fontId="0" fillId="0" borderId="11" xfId="0" applyBorder="1" applyAlignment="1">
      <alignment horizontal="center"/>
    </xf>
    <xf numFmtId="0" fontId="27" fillId="0" borderId="9" xfId="0" applyFont="1" applyBorder="1" applyAlignment="1">
      <alignment horizontal="center"/>
    </xf>
    <xf numFmtId="0" fontId="27" fillId="0" borderId="23" xfId="0" applyFont="1" applyBorder="1" applyAlignment="1">
      <alignment horizontal="center"/>
    </xf>
    <xf numFmtId="0" fontId="0" fillId="0" borderId="19" xfId="0" applyBorder="1"/>
    <xf numFmtId="14" fontId="0" fillId="30" borderId="1" xfId="0" applyNumberFormat="1" applyFill="1" applyBorder="1" applyAlignment="1">
      <alignment horizontal="center"/>
    </xf>
    <xf numFmtId="0" fontId="0" fillId="30" borderId="1" xfId="0" applyFill="1" applyBorder="1" applyAlignment="1">
      <alignment horizontal="center"/>
    </xf>
    <xf numFmtId="0" fontId="0" fillId="30" borderId="2" xfId="0" applyFill="1" applyBorder="1" applyAlignment="1">
      <alignment horizontal="center"/>
    </xf>
    <xf numFmtId="0" fontId="0" fillId="30" borderId="20" xfId="0" applyFill="1" applyBorder="1" applyAlignment="1">
      <alignment horizontal="center"/>
    </xf>
    <xf numFmtId="2" fontId="0" fillId="30" borderId="1" xfId="0" applyNumberFormat="1" applyFill="1" applyBorder="1" applyAlignment="1">
      <alignment horizontal="center"/>
    </xf>
    <xf numFmtId="0" fontId="0" fillId="30" borderId="11" xfId="0" applyFill="1" applyBorder="1" applyAlignment="1">
      <alignment horizontal="center"/>
    </xf>
    <xf numFmtId="2" fontId="0" fillId="30" borderId="11" xfId="0" applyNumberFormat="1" applyFill="1" applyBorder="1" applyAlignment="1">
      <alignment horizontal="center"/>
    </xf>
    <xf numFmtId="0" fontId="0" fillId="30" borderId="2" xfId="0" applyFill="1" applyBorder="1"/>
    <xf numFmtId="0" fontId="0" fillId="30" borderId="1" xfId="0" applyFill="1" applyBorder="1"/>
    <xf numFmtId="2" fontId="0" fillId="30" borderId="5" xfId="0" applyNumberFormat="1" applyFill="1" applyBorder="1" applyAlignment="1">
      <alignment horizontal="center"/>
    </xf>
    <xf numFmtId="0" fontId="0" fillId="30" borderId="19" xfId="0" applyFill="1" applyBorder="1"/>
    <xf numFmtId="0" fontId="44" fillId="30" borderId="2" xfId="0" applyFont="1" applyFill="1" applyBorder="1" applyAlignment="1">
      <alignment horizontal="center"/>
    </xf>
    <xf numFmtId="14" fontId="0" fillId="31" borderId="1" xfId="0" applyNumberFormat="1" applyFill="1" applyBorder="1" applyAlignment="1">
      <alignment horizontal="center"/>
    </xf>
    <xf numFmtId="0" fontId="44" fillId="31" borderId="1" xfId="0" applyFont="1" applyFill="1" applyBorder="1" applyAlignment="1">
      <alignment horizontal="center"/>
    </xf>
    <xf numFmtId="0" fontId="44" fillId="31" borderId="2" xfId="0" applyFont="1" applyFill="1" applyBorder="1" applyAlignment="1">
      <alignment horizontal="center"/>
    </xf>
    <xf numFmtId="0" fontId="44" fillId="31" borderId="20" xfId="0" applyFont="1" applyFill="1" applyBorder="1" applyAlignment="1">
      <alignment horizontal="center"/>
    </xf>
    <xf numFmtId="2" fontId="0" fillId="31" borderId="1" xfId="0" applyNumberFormat="1" applyFill="1" applyBorder="1" applyAlignment="1">
      <alignment horizontal="center"/>
    </xf>
    <xf numFmtId="2" fontId="0" fillId="31" borderId="11" xfId="0" applyNumberFormat="1" applyFill="1" applyBorder="1" applyAlignment="1">
      <alignment horizontal="center"/>
    </xf>
    <xf numFmtId="2" fontId="0" fillId="31" borderId="5" xfId="0" applyNumberFormat="1" applyFill="1" applyBorder="1" applyAlignment="1">
      <alignment horizontal="center"/>
    </xf>
    <xf numFmtId="2" fontId="0" fillId="31" borderId="2" xfId="0" applyNumberFormat="1" applyFill="1" applyBorder="1" applyAlignment="1">
      <alignment horizontal="center"/>
    </xf>
    <xf numFmtId="2" fontId="0" fillId="31" borderId="20" xfId="0" applyNumberFormat="1" applyFill="1" applyBorder="1" applyAlignment="1">
      <alignment horizontal="center"/>
    </xf>
    <xf numFmtId="0" fontId="0" fillId="31" borderId="13" xfId="0" applyFill="1" applyBorder="1" applyAlignment="1">
      <alignment horizontal="center"/>
    </xf>
    <xf numFmtId="0" fontId="0" fillId="31" borderId="1" xfId="0" applyFill="1" applyBorder="1" applyAlignment="1">
      <alignment horizontal="center"/>
    </xf>
    <xf numFmtId="0" fontId="0" fillId="31" borderId="2" xfId="0" applyFill="1" applyBorder="1" applyAlignment="1">
      <alignment horizontal="center"/>
    </xf>
    <xf numFmtId="0" fontId="0" fillId="31" borderId="20" xfId="0" applyFill="1" applyBorder="1" applyAlignment="1">
      <alignment horizontal="center"/>
    </xf>
    <xf numFmtId="14" fontId="0" fillId="26" borderId="1" xfId="0" applyNumberFormat="1" applyFill="1" applyBorder="1" applyAlignment="1">
      <alignment horizontal="center"/>
    </xf>
    <xf numFmtId="0" fontId="0" fillId="26" borderId="1" xfId="0" applyFill="1" applyBorder="1" applyAlignment="1">
      <alignment horizontal="center"/>
    </xf>
    <xf numFmtId="0" fontId="0" fillId="26" borderId="2" xfId="0" applyFill="1" applyBorder="1" applyAlignment="1">
      <alignment horizontal="center"/>
    </xf>
    <xf numFmtId="0" fontId="0" fillId="26" borderId="20" xfId="0" applyFill="1" applyBorder="1" applyAlignment="1">
      <alignment horizontal="center"/>
    </xf>
    <xf numFmtId="2" fontId="0" fillId="26" borderId="1" xfId="0" applyNumberFormat="1" applyFill="1" applyBorder="1" applyAlignment="1">
      <alignment horizontal="center"/>
    </xf>
    <xf numFmtId="2" fontId="0" fillId="26" borderId="11" xfId="0" applyNumberFormat="1" applyFill="1" applyBorder="1" applyAlignment="1">
      <alignment horizontal="center"/>
    </xf>
    <xf numFmtId="2" fontId="0" fillId="26" borderId="5" xfId="0" applyNumberFormat="1" applyFill="1" applyBorder="1" applyAlignment="1">
      <alignment horizontal="center"/>
    </xf>
    <xf numFmtId="2" fontId="0" fillId="26" borderId="2" xfId="0" applyNumberFormat="1" applyFill="1" applyBorder="1" applyAlignment="1">
      <alignment horizontal="center"/>
    </xf>
    <xf numFmtId="2" fontId="0" fillId="26" borderId="20" xfId="0" applyNumberFormat="1" applyFill="1" applyBorder="1" applyAlignment="1">
      <alignment horizontal="center"/>
    </xf>
    <xf numFmtId="0" fontId="44" fillId="26" borderId="1" xfId="0" applyFont="1" applyFill="1" applyBorder="1" applyAlignment="1">
      <alignment horizontal="center"/>
    </xf>
    <xf numFmtId="0" fontId="44" fillId="26" borderId="2" xfId="0" applyFont="1" applyFill="1" applyBorder="1" applyAlignment="1">
      <alignment horizontal="center"/>
    </xf>
    <xf numFmtId="0" fontId="44" fillId="26" borderId="20" xfId="0" applyFont="1" applyFill="1" applyBorder="1" applyAlignment="1">
      <alignment horizontal="center"/>
    </xf>
    <xf numFmtId="2" fontId="27" fillId="8" borderId="11" xfId="0" applyNumberFormat="1" applyFont="1" applyFill="1" applyBorder="1" applyAlignment="1">
      <alignment horizontal="center"/>
    </xf>
    <xf numFmtId="2" fontId="27" fillId="8" borderId="5" xfId="0" applyNumberFormat="1" applyFont="1" applyFill="1" applyBorder="1" applyAlignment="1">
      <alignment horizontal="center"/>
    </xf>
    <xf numFmtId="0" fontId="2" fillId="0" borderId="1" xfId="37" applyFont="1" applyAlignment="1">
      <alignment horizontal="left"/>
    </xf>
    <xf numFmtId="0" fontId="0" fillId="26" borderId="11" xfId="0" applyFill="1" applyBorder="1" applyAlignment="1">
      <alignment horizontal="center"/>
    </xf>
    <xf numFmtId="0" fontId="0" fillId="26" borderId="2" xfId="0" applyFill="1" applyBorder="1"/>
    <xf numFmtId="0" fontId="0" fillId="26" borderId="1" xfId="0" applyFill="1" applyBorder="1"/>
    <xf numFmtId="14" fontId="0" fillId="15" borderId="1" xfId="0" applyNumberFormat="1" applyFill="1" applyBorder="1" applyAlignment="1">
      <alignment horizontal="center"/>
    </xf>
    <xf numFmtId="0" fontId="0" fillId="15" borderId="2" xfId="0" applyFill="1" applyBorder="1" applyAlignment="1">
      <alignment horizontal="center"/>
    </xf>
    <xf numFmtId="0" fontId="0" fillId="15" borderId="20" xfId="0" applyFill="1" applyBorder="1" applyAlignment="1">
      <alignment horizontal="center"/>
    </xf>
    <xf numFmtId="2" fontId="0" fillId="15" borderId="1" xfId="0" applyNumberFormat="1" applyFill="1" applyBorder="1" applyAlignment="1">
      <alignment horizontal="center"/>
    </xf>
    <xf numFmtId="2" fontId="0" fillId="15" borderId="11" xfId="0" applyNumberFormat="1" applyFill="1" applyBorder="1" applyAlignment="1">
      <alignment horizontal="center"/>
    </xf>
    <xf numFmtId="2" fontId="0" fillId="15" borderId="5" xfId="0" applyNumberFormat="1" applyFill="1" applyBorder="1" applyAlignment="1">
      <alignment horizontal="center"/>
    </xf>
    <xf numFmtId="2" fontId="0" fillId="15" borderId="2" xfId="0" applyNumberFormat="1" applyFill="1" applyBorder="1" applyAlignment="1">
      <alignment horizontal="center"/>
    </xf>
    <xf numFmtId="2" fontId="0" fillId="15" borderId="20" xfId="0" applyNumberFormat="1" applyFill="1" applyBorder="1" applyAlignment="1">
      <alignment horizontal="center"/>
    </xf>
    <xf numFmtId="14" fontId="58" fillId="17" borderId="1" xfId="0" applyNumberFormat="1" applyFont="1" applyFill="1" applyBorder="1" applyAlignment="1">
      <alignment horizontal="center"/>
    </xf>
    <xf numFmtId="0" fontId="58" fillId="17" borderId="1" xfId="0" applyFont="1" applyFill="1" applyBorder="1" applyAlignment="1">
      <alignment horizontal="center"/>
    </xf>
    <xf numFmtId="0" fontId="58" fillId="17" borderId="2" xfId="0" applyFont="1" applyFill="1" applyBorder="1" applyAlignment="1">
      <alignment horizontal="center"/>
    </xf>
    <xf numFmtId="0" fontId="58" fillId="17" borderId="20" xfId="0" applyFont="1" applyFill="1" applyBorder="1" applyAlignment="1">
      <alignment horizontal="center"/>
    </xf>
    <xf numFmtId="2" fontId="58" fillId="17" borderId="1" xfId="0" applyNumberFormat="1" applyFont="1" applyFill="1" applyBorder="1" applyAlignment="1">
      <alignment horizontal="center"/>
    </xf>
    <xf numFmtId="2" fontId="58" fillId="17" borderId="11" xfId="0" applyNumberFormat="1" applyFont="1" applyFill="1" applyBorder="1" applyAlignment="1">
      <alignment horizontal="center"/>
    </xf>
    <xf numFmtId="0" fontId="58" fillId="17" borderId="5" xfId="0" applyFont="1" applyFill="1" applyBorder="1" applyAlignment="1">
      <alignment horizontal="center"/>
    </xf>
    <xf numFmtId="2" fontId="58" fillId="17" borderId="20" xfId="0" applyNumberFormat="1" applyFont="1" applyFill="1" applyBorder="1" applyAlignment="1">
      <alignment horizontal="center"/>
    </xf>
    <xf numFmtId="0" fontId="58" fillId="17" borderId="11" xfId="0" applyFont="1" applyFill="1" applyBorder="1" applyAlignment="1">
      <alignment horizontal="center"/>
    </xf>
    <xf numFmtId="14" fontId="2" fillId="26" borderId="1" xfId="37" applyNumberFormat="1" applyFont="1" applyFill="1" applyAlignment="1">
      <alignment horizontal="left" wrapText="1"/>
    </xf>
    <xf numFmtId="0" fontId="1" fillId="0" borderId="1" xfId="37" applyFont="1" applyAlignment="1">
      <alignment horizontal="left"/>
    </xf>
    <xf numFmtId="0" fontId="1" fillId="0" borderId="1" xfId="37" applyFont="1" applyAlignment="1">
      <alignment wrapText="1"/>
    </xf>
    <xf numFmtId="0" fontId="24" fillId="0" borderId="15" xfId="0" applyFont="1" applyBorder="1" applyAlignment="1">
      <alignment horizontal="center"/>
    </xf>
    <xf numFmtId="0" fontId="24" fillId="0" borderId="14" xfId="0" applyFont="1" applyBorder="1" applyAlignment="1">
      <alignment horizontal="center"/>
    </xf>
    <xf numFmtId="0" fontId="24" fillId="0" borderId="17" xfId="0" applyFont="1" applyBorder="1" applyAlignment="1">
      <alignment horizontal="center"/>
    </xf>
    <xf numFmtId="0" fontId="24" fillId="0" borderId="12" xfId="0" applyFont="1" applyBorder="1" applyAlignment="1">
      <alignment horizontal="center"/>
    </xf>
    <xf numFmtId="0" fontId="24" fillId="0" borderId="1" xfId="0" applyFont="1" applyBorder="1" applyAlignment="1">
      <alignment horizontal="center"/>
    </xf>
    <xf numFmtId="0" fontId="22" fillId="0" borderId="3" xfId="0" applyFont="1" applyBorder="1" applyAlignment="1">
      <alignment horizontal="center"/>
    </xf>
    <xf numFmtId="0" fontId="22" fillId="0" borderId="1" xfId="0" applyFont="1" applyBorder="1" applyAlignment="1">
      <alignment horizontal="center"/>
    </xf>
    <xf numFmtId="0" fontId="22" fillId="0" borderId="11" xfId="0" applyFont="1" applyBorder="1" applyAlignment="1">
      <alignment horizontal="center"/>
    </xf>
    <xf numFmtId="165" fontId="25" fillId="0" borderId="12" xfId="0" applyNumberFormat="1" applyFont="1" applyBorder="1" applyAlignment="1">
      <alignment horizontal="center"/>
    </xf>
    <xf numFmtId="165" fontId="25" fillId="0" borderId="1" xfId="0" applyNumberFormat="1" applyFont="1" applyBorder="1" applyAlignment="1">
      <alignment horizontal="center"/>
    </xf>
    <xf numFmtId="0" fontId="51" fillId="2" borderId="15" xfId="0" applyFont="1" applyFill="1" applyBorder="1" applyAlignment="1">
      <alignment horizontal="center" vertical="center"/>
    </xf>
    <xf numFmtId="0" fontId="51" fillId="2" borderId="13" xfId="0" applyFont="1" applyFill="1" applyBorder="1" applyAlignment="1">
      <alignment horizontal="center" vertical="center"/>
    </xf>
    <xf numFmtId="0" fontId="51" fillId="2" borderId="26" xfId="0" applyFont="1" applyFill="1" applyBorder="1" applyAlignment="1">
      <alignment horizontal="center" vertical="center"/>
    </xf>
    <xf numFmtId="0" fontId="51" fillId="2" borderId="21" xfId="0" applyFont="1" applyFill="1" applyBorder="1" applyAlignment="1">
      <alignment horizontal="center" vertical="center"/>
    </xf>
    <xf numFmtId="0" fontId="25" fillId="4" borderId="24" xfId="0" applyFont="1" applyFill="1" applyBorder="1" applyAlignment="1">
      <alignment horizontal="center"/>
    </xf>
    <xf numFmtId="0" fontId="25" fillId="4" borderId="14" xfId="0" applyFont="1" applyFill="1" applyBorder="1" applyAlignment="1">
      <alignment horizontal="center"/>
    </xf>
    <xf numFmtId="0" fontId="55" fillId="0" borderId="15" xfId="0" applyFont="1" applyBorder="1" applyAlignment="1">
      <alignment horizontal="center"/>
    </xf>
    <xf numFmtId="0" fontId="55" fillId="0" borderId="14" xfId="0" applyFont="1" applyBorder="1" applyAlignment="1">
      <alignment horizontal="center"/>
    </xf>
    <xf numFmtId="0" fontId="55" fillId="0" borderId="17" xfId="0" applyFont="1" applyBorder="1" applyAlignment="1">
      <alignment horizontal="center"/>
    </xf>
    <xf numFmtId="0" fontId="55" fillId="0" borderId="12" xfId="0" applyFont="1" applyBorder="1" applyAlignment="1">
      <alignment horizontal="center"/>
    </xf>
    <xf numFmtId="0" fontId="55" fillId="0" borderId="1" xfId="0" applyFont="1" applyBorder="1" applyAlignment="1">
      <alignment horizontal="center"/>
    </xf>
    <xf numFmtId="0" fontId="54" fillId="0" borderId="3" xfId="0" applyFont="1" applyBorder="1" applyAlignment="1">
      <alignment horizontal="center"/>
    </xf>
    <xf numFmtId="0" fontId="54" fillId="0" borderId="1" xfId="0" applyFont="1" applyBorder="1" applyAlignment="1">
      <alignment horizontal="center"/>
    </xf>
    <xf numFmtId="0" fontId="54" fillId="0" borderId="11" xfId="0" applyFont="1" applyBorder="1" applyAlignment="1">
      <alignment horizontal="center"/>
    </xf>
    <xf numFmtId="165" fontId="57" fillId="0" borderId="12" xfId="0" applyNumberFormat="1" applyFont="1" applyBorder="1" applyAlignment="1">
      <alignment horizontal="center"/>
    </xf>
    <xf numFmtId="165" fontId="57" fillId="0" borderId="1" xfId="0" applyNumberFormat="1" applyFont="1" applyBorder="1" applyAlignment="1">
      <alignment horizontal="center"/>
    </xf>
    <xf numFmtId="0" fontId="62" fillId="2" borderId="15" xfId="0" applyFont="1" applyFill="1" applyBorder="1" applyAlignment="1">
      <alignment horizontal="center" vertical="center"/>
    </xf>
    <xf numFmtId="0" fontId="62" fillId="2" borderId="13" xfId="0" applyFont="1" applyFill="1" applyBorder="1" applyAlignment="1">
      <alignment horizontal="center" vertical="center"/>
    </xf>
    <xf numFmtId="0" fontId="62" fillId="2" borderId="26" xfId="0" applyFont="1" applyFill="1" applyBorder="1" applyAlignment="1">
      <alignment horizontal="center" vertical="center"/>
    </xf>
    <xf numFmtId="0" fontId="62" fillId="2" borderId="21" xfId="0" applyFont="1" applyFill="1" applyBorder="1" applyAlignment="1">
      <alignment horizontal="center" vertical="center"/>
    </xf>
    <xf numFmtId="0" fontId="57" fillId="4" borderId="24" xfId="0" applyFont="1" applyFill="1" applyBorder="1" applyAlignment="1">
      <alignment horizontal="center"/>
    </xf>
    <xf numFmtId="0" fontId="57" fillId="4" borderId="14" xfId="0" applyFont="1" applyFill="1" applyBorder="1" applyAlignment="1">
      <alignment horizontal="center"/>
    </xf>
    <xf numFmtId="0" fontId="55" fillId="0" borderId="14" xfId="29" applyFont="1" applyBorder="1" applyAlignment="1">
      <alignment horizontal="center"/>
    </xf>
    <xf numFmtId="0" fontId="55" fillId="0" borderId="17" xfId="29" applyFont="1" applyBorder="1" applyAlignment="1">
      <alignment horizontal="center"/>
    </xf>
    <xf numFmtId="0" fontId="55" fillId="0" borderId="1" xfId="29" applyFont="1" applyAlignment="1">
      <alignment horizontal="center"/>
    </xf>
    <xf numFmtId="0" fontId="54" fillId="0" borderId="3" xfId="29" applyFont="1" applyBorder="1" applyAlignment="1">
      <alignment horizontal="center"/>
    </xf>
    <xf numFmtId="0" fontId="54" fillId="0" borderId="1" xfId="29" applyFont="1" applyAlignment="1">
      <alignment horizontal="center"/>
    </xf>
    <xf numFmtId="0" fontId="54" fillId="0" borderId="11" xfId="29" applyFont="1" applyBorder="1" applyAlignment="1">
      <alignment horizontal="center"/>
    </xf>
    <xf numFmtId="165" fontId="57" fillId="0" borderId="1" xfId="29" applyNumberFormat="1" applyFont="1" applyAlignment="1">
      <alignment horizontal="center"/>
    </xf>
    <xf numFmtId="0" fontId="79" fillId="2" borderId="15" xfId="29" applyFont="1" applyFill="1" applyBorder="1" applyAlignment="1">
      <alignment horizontal="center" vertical="center"/>
    </xf>
    <xf numFmtId="0" fontId="79" fillId="2" borderId="13" xfId="29" applyFont="1" applyFill="1" applyBorder="1" applyAlignment="1">
      <alignment horizontal="center" vertical="center"/>
    </xf>
    <xf numFmtId="0" fontId="79" fillId="2" borderId="26" xfId="29" applyFont="1" applyFill="1" applyBorder="1" applyAlignment="1">
      <alignment horizontal="center" vertical="center"/>
    </xf>
    <xf numFmtId="0" fontId="79" fillId="2" borderId="21" xfId="29" applyFont="1" applyFill="1" applyBorder="1" applyAlignment="1">
      <alignment horizontal="center" vertical="center"/>
    </xf>
    <xf numFmtId="0" fontId="57" fillId="4" borderId="14" xfId="29" applyFont="1" applyFill="1" applyBorder="1" applyAlignment="1">
      <alignment horizontal="center"/>
    </xf>
    <xf numFmtId="0" fontId="64" fillId="0" borderId="14" xfId="24" applyFont="1" applyBorder="1" applyAlignment="1" applyProtection="1">
      <alignment horizontal="center"/>
    </xf>
    <xf numFmtId="0" fontId="64" fillId="0" borderId="17" xfId="24" applyFont="1" applyBorder="1" applyAlignment="1" applyProtection="1">
      <alignment horizontal="center"/>
    </xf>
    <xf numFmtId="0" fontId="67" fillId="0" borderId="15" xfId="33" applyFont="1" applyBorder="1" applyAlignment="1" applyProtection="1">
      <alignment horizontal="center"/>
    </xf>
    <xf numFmtId="0" fontId="67" fillId="0" borderId="14" xfId="33" applyFont="1" applyBorder="1" applyAlignment="1" applyProtection="1">
      <alignment horizontal="center"/>
    </xf>
    <xf numFmtId="1" fontId="67" fillId="0" borderId="15" xfId="6" applyNumberFormat="1" applyFont="1" applyBorder="1" applyAlignment="1" applyProtection="1">
      <alignment horizontal="center"/>
    </xf>
    <xf numFmtId="1" fontId="67" fillId="0" borderId="14" xfId="6" applyNumberFormat="1" applyFont="1" applyBorder="1" applyAlignment="1" applyProtection="1">
      <alignment horizontal="center"/>
    </xf>
    <xf numFmtId="1" fontId="67" fillId="0" borderId="17" xfId="6" applyNumberFormat="1" applyFont="1" applyBorder="1" applyAlignment="1" applyProtection="1">
      <alignment horizontal="center"/>
    </xf>
    <xf numFmtId="0" fontId="76" fillId="0" borderId="3" xfId="35" applyFont="1" applyBorder="1" applyAlignment="1" applyProtection="1">
      <alignment horizontal="center"/>
    </xf>
    <xf numFmtId="0" fontId="76" fillId="0" borderId="1" xfId="35" applyFont="1" applyBorder="1" applyAlignment="1" applyProtection="1">
      <alignment horizontal="center"/>
    </xf>
    <xf numFmtId="0" fontId="76" fillId="0" borderId="2" xfId="35" applyFont="1" applyBorder="1" applyAlignment="1" applyProtection="1">
      <alignment horizontal="center"/>
    </xf>
    <xf numFmtId="172" fontId="76" fillId="0" borderId="3" xfId="35" applyNumberFormat="1" applyFont="1" applyBorder="1" applyAlignment="1" applyProtection="1">
      <alignment horizontal="center"/>
    </xf>
    <xf numFmtId="172" fontId="76" fillId="0" borderId="1" xfId="35" applyNumberFormat="1" applyFont="1" applyBorder="1" applyAlignment="1" applyProtection="1">
      <alignment horizontal="center"/>
    </xf>
    <xf numFmtId="172" fontId="76" fillId="0" borderId="2" xfId="35" applyNumberFormat="1" applyFont="1" applyBorder="1" applyAlignment="1" applyProtection="1">
      <alignment horizontal="center"/>
    </xf>
    <xf numFmtId="2" fontId="67" fillId="0" borderId="15" xfId="3" applyNumberFormat="1" applyFont="1" applyBorder="1" applyAlignment="1" applyProtection="1">
      <alignment horizontal="center"/>
    </xf>
    <xf numFmtId="2" fontId="67" fillId="0" borderId="17" xfId="3" applyNumberFormat="1" applyFont="1" applyBorder="1" applyAlignment="1" applyProtection="1">
      <alignment horizontal="center"/>
    </xf>
    <xf numFmtId="0" fontId="67" fillId="0" borderId="17" xfId="33" applyFont="1" applyBorder="1" applyAlignment="1" applyProtection="1">
      <alignment horizontal="center"/>
    </xf>
    <xf numFmtId="2" fontId="67" fillId="0" borderId="14" xfId="3" applyNumberFormat="1" applyFont="1" applyBorder="1" applyAlignment="1" applyProtection="1">
      <alignment horizontal="center"/>
    </xf>
  </cellXfs>
  <cellStyles count="39">
    <cellStyle name="??0" xfId="2" xr:uid="{00000000-0005-0000-0000-000000000000}"/>
    <cellStyle name="??0.0" xfId="11" xr:uid="{00000000-0005-0000-0000-000001000000}"/>
    <cellStyle name="?0.0" xfId="7" xr:uid="{00000000-0005-0000-0000-000002000000}"/>
    <cellStyle name="?0.00" xfId="12" xr:uid="{00000000-0005-0000-0000-000003000000}"/>
    <cellStyle name="0.00" xfId="13" xr:uid="{00000000-0005-0000-0000-000004000000}"/>
    <cellStyle name="0.000" xfId="3" xr:uid="{00000000-0005-0000-0000-000005000000}"/>
    <cellStyle name="Blank" xfId="14" xr:uid="{00000000-0005-0000-0000-000006000000}"/>
    <cellStyle name="EndYear" xfId="15" xr:uid="{00000000-0005-0000-0000-000007000000}"/>
    <cellStyle name="est. Annual Balance" xfId="16" xr:uid="{00000000-0005-0000-0000-000008000000}"/>
    <cellStyle name="est. bw(s)" xfId="17" xr:uid="{00000000-0005-0000-0000-000009000000}"/>
    <cellStyle name="hel8" xfId="5" xr:uid="{00000000-0005-0000-0000-00000A000000}"/>
    <cellStyle name="hel8 2" xfId="26" xr:uid="{00000000-0005-0000-0000-00000B000000}"/>
    <cellStyle name="hel8 blue" xfId="6" xr:uid="{00000000-0005-0000-0000-00000C000000}"/>
    <cellStyle name="hel8_PD860330" xfId="18" xr:uid="{00000000-0005-0000-0000-00000D000000}"/>
    <cellStyle name="hel8b" xfId="19" xr:uid="{00000000-0005-0000-0000-00000E000000}"/>
    <cellStyle name="hel8b_Snow Pit1" xfId="33" xr:uid="{BA2881D8-A634-4B74-96E2-0C8B21BF4D4C}"/>
    <cellStyle name="hel8i" xfId="20" xr:uid="{00000000-0005-0000-0000-000010000000}"/>
    <cellStyle name="Hyperlink 2" xfId="10" xr:uid="{00000000-0005-0000-0000-000011000000}"/>
    <cellStyle name="McCall" xfId="8" xr:uid="{00000000-0005-0000-0000-000012000000}"/>
    <cellStyle name="Normal" xfId="0" builtinId="0"/>
    <cellStyle name="Normal 2" xfId="1" xr:uid="{00000000-0005-0000-0000-000014000000}"/>
    <cellStyle name="Normal 2 2" xfId="21" xr:uid="{00000000-0005-0000-0000-000015000000}"/>
    <cellStyle name="Normal 2 3" xfId="24" xr:uid="{00000000-0005-0000-0000-000016000000}"/>
    <cellStyle name="Normal 3" xfId="4" xr:uid="{00000000-0005-0000-0000-000017000000}"/>
    <cellStyle name="Normal 3 2" xfId="25" xr:uid="{00000000-0005-0000-0000-000018000000}"/>
    <cellStyle name="Normal 4" xfId="23" xr:uid="{00000000-0005-0000-0000-000019000000}"/>
    <cellStyle name="Normal 4 2" xfId="27" xr:uid="{80CAEF7D-5EDC-42C0-8F80-1A51F2F3FEC5}"/>
    <cellStyle name="Normal 4 3" xfId="28" xr:uid="{B462064B-F4EC-4381-A953-668D6E7BAF1C}"/>
    <cellStyle name="Normal 4 4" xfId="30" xr:uid="{36C55D4B-D460-4412-9A4C-5FB200949E70}"/>
    <cellStyle name="Normal 4 5" xfId="31" xr:uid="{30E2F0E8-F171-4299-A227-498848C7B6A2}"/>
    <cellStyle name="Normal 4 6" xfId="32" xr:uid="{3A61A257-1F39-48DB-8B19-9E8C2391161E}"/>
    <cellStyle name="Normal 4 7" xfId="34" xr:uid="{73E2769B-13A7-47C1-B34E-B30A00D62F41}"/>
    <cellStyle name="Normal 4 8" xfId="36" xr:uid="{969B7C24-1B0F-4725-BA96-DB4D5963F204}"/>
    <cellStyle name="Normal 4 9" xfId="38" xr:uid="{853607F2-B8FE-4F7E-933C-AD4E78464D83}"/>
    <cellStyle name="Normal 5" xfId="29" xr:uid="{655553F0-066D-486C-BDD0-E61B85A5728B}"/>
    <cellStyle name="Normal 6" xfId="37" xr:uid="{3B7D8141-AC92-4556-9F43-DC1333C8A56F}"/>
    <cellStyle name="Normal_C-snowpits" xfId="35" xr:uid="{746FC747-09AB-47D1-93F1-DEB16F128C44}"/>
    <cellStyle name="OldStuff" xfId="22" xr:uid="{00000000-0005-0000-0000-00001B000000}"/>
    <cellStyle name="Probes" xfId="9" xr:uid="{00000000-0005-0000-0000-00001C000000}"/>
  </cellStyles>
  <dxfs count="6">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9" defaultPivotStyle="PivotStyleMedium4"/>
  <colors>
    <mruColors>
      <color rgb="FFFF9933"/>
      <color rgb="FFFFD215"/>
      <color rgb="FFCC6600"/>
      <color rgb="FFFFCC00"/>
      <color rgb="FFF79646"/>
      <color rgb="FF66CCFF"/>
      <color rgb="FF3399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Stratigraphic </a:t>
            </a:r>
            <a:r>
              <a:rPr lang="en-US" baseline="0"/>
              <a:t>Balance Gradients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bw</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'GUI Input'!$E$2:$E$8</c:f>
              <c:numCache>
                <c:formatCode>0</c:formatCode>
                <c:ptCount val="7"/>
                <c:pt idx="0">
                  <c:v>1431.41</c:v>
                </c:pt>
                <c:pt idx="1">
                  <c:v>1528.376</c:v>
                </c:pt>
                <c:pt idx="2">
                  <c:v>1674.2539999999999</c:v>
                </c:pt>
                <c:pt idx="3">
                  <c:v>1850.153</c:v>
                </c:pt>
                <c:pt idx="4">
                  <c:v>1868.3910000000001</c:v>
                </c:pt>
                <c:pt idx="5">
                  <c:v>1875.867</c:v>
                </c:pt>
                <c:pt idx="6">
                  <c:v>2076.1239999999998</c:v>
                </c:pt>
              </c:numCache>
            </c:numRef>
          </c:xVal>
          <c:yVal>
            <c:numRef>
              <c:f>'GUI Input'!$F$2:$F$8</c:f>
              <c:numCache>
                <c:formatCode>0.00</c:formatCode>
                <c:ptCount val="7"/>
                <c:pt idx="0">
                  <c:v>0.51847500000000002</c:v>
                </c:pt>
                <c:pt idx="1">
                  <c:v>0.73184882677708762</c:v>
                </c:pt>
                <c:pt idx="2">
                  <c:v>1.0669288267770876</c:v>
                </c:pt>
                <c:pt idx="3">
                  <c:v>1.3786065936912313</c:v>
                </c:pt>
                <c:pt idx="4" formatCode="#,##0.00">
                  <c:v>1.8140570702840657</c:v>
                </c:pt>
                <c:pt idx="5" formatCode="#,##0.00">
                  <c:v>1.3437749999999999</c:v>
                </c:pt>
                <c:pt idx="6">
                  <c:v>1.8024142086568682</c:v>
                </c:pt>
              </c:numCache>
            </c:numRef>
          </c:yVal>
          <c:smooth val="0"/>
          <c:extLst>
            <c:ext xmlns:c16="http://schemas.microsoft.com/office/drawing/2014/chart" uri="{C3380CC4-5D6E-409C-BE32-E72D297353CC}">
              <c16:uniqueId val="{00000001-052B-45DA-9701-3E30121851ED}"/>
            </c:ext>
          </c:extLst>
        </c:ser>
        <c:ser>
          <c:idx val="1"/>
          <c:order val="1"/>
          <c:tx>
            <c:v>ba</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'GUI Input'!$E$2:$E$8</c:f>
              <c:numCache>
                <c:formatCode>0</c:formatCode>
                <c:ptCount val="7"/>
                <c:pt idx="0">
                  <c:v>1431.41</c:v>
                </c:pt>
                <c:pt idx="1">
                  <c:v>1528.376</c:v>
                </c:pt>
                <c:pt idx="2">
                  <c:v>1674.2539999999999</c:v>
                </c:pt>
                <c:pt idx="3">
                  <c:v>1850.153</c:v>
                </c:pt>
                <c:pt idx="4">
                  <c:v>1868.3910000000001</c:v>
                </c:pt>
                <c:pt idx="5">
                  <c:v>1875.867</c:v>
                </c:pt>
                <c:pt idx="6">
                  <c:v>2076.1239999999998</c:v>
                </c:pt>
              </c:numCache>
            </c:numRef>
          </c:xVal>
          <c:yVal>
            <c:numRef>
              <c:f>'GUI Input'!$G$2:$G$8</c:f>
              <c:numCache>
                <c:formatCode>0.00</c:formatCode>
                <c:ptCount val="7"/>
                <c:pt idx="0" formatCode="#,##0.00">
                  <c:v>-2.7449999999999992</c:v>
                </c:pt>
                <c:pt idx="1">
                  <c:v>-2.3220000000000005</c:v>
                </c:pt>
                <c:pt idx="2">
                  <c:v>-0.79154999999999975</c:v>
                </c:pt>
                <c:pt idx="3" formatCode="#,##0.00">
                  <c:v>0.14144000000000001</c:v>
                </c:pt>
                <c:pt idx="4" formatCode="#,##0.00">
                  <c:v>0.67310000000000003</c:v>
                </c:pt>
                <c:pt idx="5" formatCode="#,##0.00">
                  <c:v>-0.1079999999999993</c:v>
                </c:pt>
                <c:pt idx="6">
                  <c:v>1.1440000000000001</c:v>
                </c:pt>
              </c:numCache>
            </c:numRef>
          </c:yVal>
          <c:smooth val="0"/>
          <c:extLst xmlns:c15="http://schemas.microsoft.com/office/drawing/2012/chart">
            <c:ext xmlns:c16="http://schemas.microsoft.com/office/drawing/2014/chart" uri="{C3380CC4-5D6E-409C-BE32-E72D297353CC}">
              <c16:uniqueId val="{00000002-052B-45DA-9701-3E30121851ED}"/>
            </c:ext>
          </c:extLst>
        </c:ser>
        <c:dLbls>
          <c:showLegendKey val="0"/>
          <c:showVal val="0"/>
          <c:showCatName val="0"/>
          <c:showSerName val="0"/>
          <c:showPercent val="0"/>
          <c:showBubbleSize val="0"/>
        </c:dLbls>
        <c:axId val="259304264"/>
        <c:axId val="195280152"/>
        <c:extLst/>
      </c:scatterChart>
      <c:valAx>
        <c:axId val="259304264"/>
        <c:scaling>
          <c:orientation val="minMax"/>
          <c:max val="2200"/>
          <c:min val="1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80152"/>
        <c:crosses val="autoZero"/>
        <c:crossBetween val="midCat"/>
      </c:valAx>
      <c:valAx>
        <c:axId val="195280152"/>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balance</a:t>
                </a:r>
                <a:r>
                  <a:rPr lang="en-US" baseline="0"/>
                  <a:t> (m w.e.)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042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8641-4249-BA5C-16076102627A}"/>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'20250419_Pit_B'!$G$13:$G$39</c:f>
              <c:numCache>
                <c:formatCode>0.00</c:formatCode>
                <c:ptCount val="27"/>
                <c:pt idx="0">
                  <c:v>0.12422360248447205</c:v>
                </c:pt>
                <c:pt idx="1">
                  <c:v>0.27950310559006208</c:v>
                </c:pt>
                <c:pt idx="2">
                  <c:v>0.3105590062111801</c:v>
                </c:pt>
                <c:pt idx="3">
                  <c:v>0.39337474120082816</c:v>
                </c:pt>
                <c:pt idx="4">
                  <c:v>0.35196687370600416</c:v>
                </c:pt>
                <c:pt idx="5">
                  <c:v>0.36231884057971014</c:v>
                </c:pt>
                <c:pt idx="6">
                  <c:v>0.42443064182194618</c:v>
                </c:pt>
                <c:pt idx="7">
                  <c:v>0.38302277432712217</c:v>
                </c:pt>
                <c:pt idx="8">
                  <c:v>0.37267080745341613</c:v>
                </c:pt>
                <c:pt idx="9">
                  <c:v>0.39855072463768115</c:v>
                </c:pt>
                <c:pt idx="10">
                  <c:v>0.41925465838509318</c:v>
                </c:pt>
                <c:pt idx="11">
                  <c:v>0.40890269151138714</c:v>
                </c:pt>
                <c:pt idx="12">
                  <c:v>0.42443064182194618</c:v>
                </c:pt>
                <c:pt idx="13">
                  <c:v>0.41407867494824019</c:v>
                </c:pt>
                <c:pt idx="14">
                  <c:v>0.4451345755693582</c:v>
                </c:pt>
                <c:pt idx="15">
                  <c:v>0.43478260869565216</c:v>
                </c:pt>
                <c:pt idx="16">
                  <c:v>0.45548654244306419</c:v>
                </c:pt>
                <c:pt idx="17">
                  <c:v>0.43478260869565216</c:v>
                </c:pt>
                <c:pt idx="18">
                  <c:v>0.41407867494824019</c:v>
                </c:pt>
                <c:pt idx="19">
                  <c:v>0.42443064182194618</c:v>
                </c:pt>
                <c:pt idx="20">
                  <c:v>0.42960662525879917</c:v>
                </c:pt>
                <c:pt idx="21">
                  <c:v>0.35714285714285715</c:v>
                </c:pt>
                <c:pt idx="22">
                  <c:v>0.41407867494824019</c:v>
                </c:pt>
                <c:pt idx="23">
                  <c:v>0.40890269151138714</c:v>
                </c:pt>
                <c:pt idx="24">
                  <c:v>0.42443064182194618</c:v>
                </c:pt>
                <c:pt idx="25">
                  <c:v>0.43995859213250516</c:v>
                </c:pt>
                <c:pt idx="26">
                  <c:v>0.46066252587991718</c:v>
                </c:pt>
              </c:numCache>
            </c:numRef>
          </c:xVal>
          <c:yVal>
            <c:numRef>
              <c:f>'20250419_Pit_B'!$F$13:$F$39</c:f>
              <c:numCache>
                <c:formatCode>??0</c:formatCode>
                <c:ptCount val="27"/>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273</c:v>
                </c:pt>
              </c:numCache>
            </c:numRef>
          </c:yVal>
          <c:smooth val="1"/>
          <c:extLst>
            <c:ext xmlns:c16="http://schemas.microsoft.com/office/drawing/2014/chart" uri="{C3380CC4-5D6E-409C-BE32-E72D297353CC}">
              <c16:uniqueId val="{00000000-0896-4C31-811E-41107F19B173}"/>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'20250419_PitCore_D'!$P$13:$P$19</c:f>
              <c:numCache>
                <c:formatCode>0.00</c:formatCode>
                <c:ptCount val="7"/>
                <c:pt idx="0">
                  <c:v>0.125</c:v>
                </c:pt>
                <c:pt idx="1">
                  <c:v>0.22</c:v>
                </c:pt>
                <c:pt idx="2">
                  <c:v>0.21</c:v>
                </c:pt>
                <c:pt idx="3">
                  <c:v>0.26500000000000001</c:v>
                </c:pt>
                <c:pt idx="4">
                  <c:v>0.31</c:v>
                </c:pt>
                <c:pt idx="5">
                  <c:v>0.34</c:v>
                </c:pt>
                <c:pt idx="6">
                  <c:v>0.375</c:v>
                </c:pt>
              </c:numCache>
            </c:numRef>
          </c:xVal>
          <c:yVal>
            <c:numRef>
              <c:f>'20250419_PitCore_D'!$C$13:$C$19</c:f>
              <c:numCache>
                <c:formatCode>??0</c:formatCode>
                <c:ptCount val="7"/>
                <c:pt idx="0">
                  <c:v>10</c:v>
                </c:pt>
                <c:pt idx="1">
                  <c:v>20</c:v>
                </c:pt>
                <c:pt idx="2">
                  <c:v>30</c:v>
                </c:pt>
                <c:pt idx="3">
                  <c:v>40</c:v>
                </c:pt>
                <c:pt idx="4">
                  <c:v>50</c:v>
                </c:pt>
                <c:pt idx="5">
                  <c:v>60</c:v>
                </c:pt>
                <c:pt idx="6">
                  <c:v>70</c:v>
                </c:pt>
              </c:numCache>
            </c:numRef>
          </c:yVal>
          <c:smooth val="1"/>
          <c:extLst>
            <c:ext xmlns:c16="http://schemas.microsoft.com/office/drawing/2014/chart" uri="{C3380CC4-5D6E-409C-BE32-E72D297353CC}">
              <c16:uniqueId val="{00000000-25D3-451E-A9E1-135DA245FCB0}"/>
            </c:ext>
          </c:extLst>
        </c:ser>
        <c:ser>
          <c:idx val="1"/>
          <c:order val="1"/>
          <c:tx>
            <c:v>core</c:v>
          </c:tx>
          <c:xVal>
            <c:numRef>
              <c:f>'20250419_PitCore_D'!$P$24:$P$28</c:f>
              <c:numCache>
                <c:formatCode>0.00</c:formatCode>
                <c:ptCount val="5"/>
                <c:pt idx="0">
                  <c:v>0.44020137984831303</c:v>
                </c:pt>
                <c:pt idx="1">
                  <c:v>0.4746182085979711</c:v>
                </c:pt>
                <c:pt idx="2">
                  <c:v>0.45284673113934859</c:v>
                </c:pt>
                <c:pt idx="3">
                  <c:v>0.46724940084274508</c:v>
                </c:pt>
                <c:pt idx="4">
                  <c:v>0.49530111218366252</c:v>
                </c:pt>
              </c:numCache>
            </c:numRef>
          </c:xVal>
          <c:yVal>
            <c:numRef>
              <c:f>'20250419_PitCore_D'!$C$24:$C$28</c:f>
              <c:numCache>
                <c:formatCode>??0</c:formatCode>
                <c:ptCount val="5"/>
                <c:pt idx="0">
                  <c:v>173</c:v>
                </c:pt>
                <c:pt idx="1">
                  <c:v>220</c:v>
                </c:pt>
                <c:pt idx="2">
                  <c:v>265</c:v>
                </c:pt>
                <c:pt idx="3">
                  <c:v>332</c:v>
                </c:pt>
                <c:pt idx="4">
                  <c:v>368</c:v>
                </c:pt>
              </c:numCache>
            </c:numRef>
          </c:yVal>
          <c:smooth val="1"/>
          <c:extLst>
            <c:ext xmlns:c16="http://schemas.microsoft.com/office/drawing/2014/chart" uri="{C3380CC4-5D6E-409C-BE32-E72D297353CC}">
              <c16:uniqueId val="{00000001-25D3-451E-A9E1-135DA245FCB0}"/>
            </c:ext>
          </c:extLst>
        </c:ser>
        <c:ser>
          <c:idx val="2"/>
          <c:order val="2"/>
          <c:tx>
            <c:v>firn</c:v>
          </c:tx>
          <c:xVal>
            <c:numRef>
              <c:f>'20250419_PitCore_D'!$P$29:$P$33</c:f>
              <c:numCache>
                <c:formatCode>0.00</c:formatCode>
                <c:ptCount val="5"/>
                <c:pt idx="0">
                  <c:v>0.56773314295946442</c:v>
                </c:pt>
              </c:numCache>
            </c:numRef>
          </c:xVal>
          <c:yVal>
            <c:numRef>
              <c:f>'20250419_PitCore_D'!$C$29:$C$33</c:f>
              <c:numCache>
                <c:formatCode>??0</c:formatCode>
                <c:ptCount val="5"/>
                <c:pt idx="0">
                  <c:v>407</c:v>
                </c:pt>
              </c:numCache>
            </c:numRef>
          </c:yVal>
          <c:smooth val="1"/>
          <c:extLst>
            <c:ext xmlns:c16="http://schemas.microsoft.com/office/drawing/2014/chart" uri="{C3380CC4-5D6E-409C-BE32-E72D297353CC}">
              <c16:uniqueId val="{00000002-25D3-451E-A9E1-135DA245FCB0}"/>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'20250420_FirnCore_T'!$P$13:$P$20</c:f>
              <c:numCache>
                <c:formatCode>0.00</c:formatCode>
                <c:ptCount val="8"/>
                <c:pt idx="0">
                  <c:v>0.105</c:v>
                </c:pt>
                <c:pt idx="1">
                  <c:v>0.25</c:v>
                </c:pt>
                <c:pt idx="2">
                  <c:v>0.245</c:v>
                </c:pt>
                <c:pt idx="3">
                  <c:v>0.24</c:v>
                </c:pt>
                <c:pt idx="4">
                  <c:v>0.27</c:v>
                </c:pt>
                <c:pt idx="5">
                  <c:v>0.27</c:v>
                </c:pt>
                <c:pt idx="6">
                  <c:v>0.32500000000000001</c:v>
                </c:pt>
                <c:pt idx="7">
                  <c:v>0.32</c:v>
                </c:pt>
              </c:numCache>
            </c:numRef>
          </c:xVal>
          <c:yVal>
            <c:numRef>
              <c:f>'20250420_FirnCore_T'!$O$13:$O$20</c:f>
              <c:numCache>
                <c:formatCode>??0</c:formatCode>
                <c:ptCount val="8"/>
                <c:pt idx="0">
                  <c:v>10</c:v>
                </c:pt>
                <c:pt idx="1">
                  <c:v>20</c:v>
                </c:pt>
                <c:pt idx="2">
                  <c:v>30</c:v>
                </c:pt>
                <c:pt idx="3">
                  <c:v>40</c:v>
                </c:pt>
                <c:pt idx="4">
                  <c:v>50</c:v>
                </c:pt>
                <c:pt idx="5">
                  <c:v>60</c:v>
                </c:pt>
                <c:pt idx="6">
                  <c:v>70</c:v>
                </c:pt>
                <c:pt idx="7">
                  <c:v>89.5</c:v>
                </c:pt>
              </c:numCache>
            </c:numRef>
          </c:yVal>
          <c:smooth val="1"/>
          <c:extLst>
            <c:ext xmlns:c16="http://schemas.microsoft.com/office/drawing/2014/chart" uri="{C3380CC4-5D6E-409C-BE32-E72D297353CC}">
              <c16:uniqueId val="{00000000-A3CC-4DE8-8182-37F5761508ED}"/>
            </c:ext>
          </c:extLst>
        </c:ser>
        <c:ser>
          <c:idx val="1"/>
          <c:order val="1"/>
          <c:tx>
            <c:v>Bw 2025</c:v>
          </c:tx>
          <c:xVal>
            <c:numRef>
              <c:f>'20250420_FirnCore_T'!$P$25:$P$30</c:f>
              <c:numCache>
                <c:formatCode>0.00</c:formatCode>
                <c:ptCount val="6"/>
                <c:pt idx="0">
                  <c:v>0.42633816298093785</c:v>
                </c:pt>
                <c:pt idx="1">
                  <c:v>0.45543577170199556</c:v>
                </c:pt>
                <c:pt idx="2">
                  <c:v>0.45346877335245211</c:v>
                </c:pt>
                <c:pt idx="3">
                  <c:v>0.50210469888948206</c:v>
                </c:pt>
                <c:pt idx="4">
                  <c:v>0.52251545900694063</c:v>
                </c:pt>
                <c:pt idx="5">
                  <c:v>0.52377150578339959</c:v>
                </c:pt>
              </c:numCache>
            </c:numRef>
          </c:xVal>
          <c:yVal>
            <c:numRef>
              <c:f>'20250420_FirnCore_T'!$O$25:$O$30</c:f>
              <c:numCache>
                <c:formatCode>??0</c:formatCode>
                <c:ptCount val="6"/>
                <c:pt idx="0">
                  <c:v>190.5</c:v>
                </c:pt>
                <c:pt idx="1">
                  <c:v>265</c:v>
                </c:pt>
                <c:pt idx="2">
                  <c:v>318.5</c:v>
                </c:pt>
                <c:pt idx="3">
                  <c:v>366</c:v>
                </c:pt>
                <c:pt idx="4">
                  <c:v>414</c:v>
                </c:pt>
                <c:pt idx="5">
                  <c:v>481</c:v>
                </c:pt>
              </c:numCache>
            </c:numRef>
          </c:yVal>
          <c:smooth val="1"/>
          <c:extLst>
            <c:ext xmlns:c16="http://schemas.microsoft.com/office/drawing/2014/chart" uri="{C3380CC4-5D6E-409C-BE32-E72D297353CC}">
              <c16:uniqueId val="{00000001-A3CC-4DE8-8182-37F5761508ED}"/>
            </c:ext>
          </c:extLst>
        </c:ser>
        <c:ser>
          <c:idx val="2"/>
          <c:order val="2"/>
          <c:tx>
            <c:v>2024 Firn</c:v>
          </c:tx>
          <c:xVal>
            <c:numRef>
              <c:f>'20250420_FirnCore_T'!$P$31:$P$32</c:f>
              <c:numCache>
                <c:formatCode>0.00</c:formatCode>
                <c:ptCount val="2"/>
                <c:pt idx="0">
                  <c:v>0.51048385304296506</c:v>
                </c:pt>
                <c:pt idx="1">
                  <c:v>0.57349257695883737</c:v>
                </c:pt>
              </c:numCache>
            </c:numRef>
          </c:xVal>
          <c:yVal>
            <c:numRef>
              <c:f>'20250420_FirnCore_T'!$O$31:$O$32</c:f>
              <c:numCache>
                <c:formatCode>??0</c:formatCode>
                <c:ptCount val="2"/>
                <c:pt idx="0">
                  <c:v>519</c:v>
                </c:pt>
                <c:pt idx="1">
                  <c:v>560.5</c:v>
                </c:pt>
              </c:numCache>
            </c:numRef>
          </c:yVal>
          <c:smooth val="1"/>
          <c:extLst>
            <c:ext xmlns:c16="http://schemas.microsoft.com/office/drawing/2014/chart" uri="{C3380CC4-5D6E-409C-BE32-E72D297353CC}">
              <c16:uniqueId val="{00000002-A3CC-4DE8-8182-37F5761508ED}"/>
            </c:ext>
          </c:extLst>
        </c:ser>
        <c:ser>
          <c:idx val="3"/>
          <c:order val="3"/>
          <c:tx>
            <c:v>2023 Firn</c:v>
          </c:tx>
          <c:xVal>
            <c:numRef>
              <c:f>'20250420_FirnCore_T'!$P$33:$P$36</c:f>
              <c:numCache>
                <c:formatCode>0.00</c:formatCode>
                <c:ptCount val="4"/>
                <c:pt idx="0">
                  <c:v>0.57892337787700821</c:v>
                </c:pt>
                <c:pt idx="1">
                  <c:v>0.56823556167004796</c:v>
                </c:pt>
                <c:pt idx="2">
                  <c:v>0.5902489444337663</c:v>
                </c:pt>
                <c:pt idx="3">
                  <c:v>0.65641004537746916</c:v>
                </c:pt>
              </c:numCache>
            </c:numRef>
          </c:xVal>
          <c:yVal>
            <c:numRef>
              <c:f>'20250420_FirnCore_T'!$O$33:$O$36</c:f>
              <c:numCache>
                <c:formatCode>??0</c:formatCode>
                <c:ptCount val="4"/>
                <c:pt idx="0">
                  <c:v>605</c:v>
                </c:pt>
                <c:pt idx="1">
                  <c:v>634.25</c:v>
                </c:pt>
                <c:pt idx="2">
                  <c:v>674</c:v>
                </c:pt>
                <c:pt idx="3">
                  <c:v>715.5</c:v>
                </c:pt>
              </c:numCache>
            </c:numRef>
          </c:yVal>
          <c:smooth val="1"/>
          <c:extLst>
            <c:ext xmlns:c16="http://schemas.microsoft.com/office/drawing/2014/chart" uri="{C3380CC4-5D6E-409C-BE32-E72D297353CC}">
              <c16:uniqueId val="{00000003-A3CC-4DE8-8182-37F5761508ED}"/>
            </c:ext>
          </c:extLst>
        </c:ser>
        <c:ser>
          <c:idx val="4"/>
          <c:order val="4"/>
          <c:tx>
            <c:v>2022 Firn</c:v>
          </c:tx>
          <c:xVal>
            <c:numRef>
              <c:f>'20250420_FirnCore_T'!$P$37:$P$38</c:f>
              <c:numCache>
                <c:formatCode>0.00</c:formatCode>
                <c:ptCount val="2"/>
                <c:pt idx="0">
                  <c:v>0.61031518777450033</c:v>
                </c:pt>
                <c:pt idx="1">
                  <c:v>0.62525726274426041</c:v>
                </c:pt>
              </c:numCache>
            </c:numRef>
          </c:xVal>
          <c:yVal>
            <c:numRef>
              <c:f>'20250420_FirnCore_T'!$O$37:$O$38</c:f>
              <c:numCache>
                <c:formatCode>??0</c:formatCode>
                <c:ptCount val="2"/>
                <c:pt idx="0">
                  <c:v>747.5</c:v>
                </c:pt>
                <c:pt idx="1">
                  <c:v>789</c:v>
                </c:pt>
              </c:numCache>
            </c:numRef>
          </c:yVal>
          <c:smooth val="1"/>
          <c:extLst>
            <c:ext xmlns:c16="http://schemas.microsoft.com/office/drawing/2014/chart" uri="{C3380CC4-5D6E-409C-BE32-E72D297353CC}">
              <c16:uniqueId val="{00000004-A3CC-4DE8-8182-37F5761508ED}"/>
            </c:ext>
          </c:extLst>
        </c:ser>
        <c:ser>
          <c:idx val="5"/>
          <c:order val="5"/>
          <c:tx>
            <c:v>2021 Firn</c:v>
          </c:tx>
          <c:xVal>
            <c:numRef>
              <c:f>'20250420_FirnCore_T'!$P$39:$P$42</c:f>
              <c:numCache>
                <c:formatCode>0.00</c:formatCode>
                <c:ptCount val="4"/>
                <c:pt idx="0">
                  <c:v>0.61284392931399145</c:v>
                </c:pt>
                <c:pt idx="1">
                  <c:v>0.6175182697354753</c:v>
                </c:pt>
                <c:pt idx="2">
                  <c:v>0.68134828319370966</c:v>
                </c:pt>
                <c:pt idx="3">
                  <c:v>0.66517592972265149</c:v>
                </c:pt>
              </c:numCache>
            </c:numRef>
          </c:xVal>
          <c:yVal>
            <c:numRef>
              <c:f>'20250420_FirnCore_T'!$O$39:$O$42</c:f>
              <c:numCache>
                <c:formatCode>??0</c:formatCode>
                <c:ptCount val="4"/>
                <c:pt idx="0">
                  <c:v>833</c:v>
                </c:pt>
                <c:pt idx="1">
                  <c:v>866</c:v>
                </c:pt>
                <c:pt idx="2">
                  <c:v>910</c:v>
                </c:pt>
                <c:pt idx="3">
                  <c:v>950.5</c:v>
                </c:pt>
              </c:numCache>
            </c:numRef>
          </c:yVal>
          <c:smooth val="1"/>
          <c:extLst>
            <c:ext xmlns:c16="http://schemas.microsoft.com/office/drawing/2014/chart" uri="{C3380CC4-5D6E-409C-BE32-E72D297353CC}">
              <c16:uniqueId val="{00000005-A3CC-4DE8-8182-37F5761508ED}"/>
            </c:ext>
          </c:extLst>
        </c:ser>
        <c:ser>
          <c:idx val="6"/>
          <c:order val="6"/>
          <c:tx>
            <c:v>older firn</c:v>
          </c:tx>
          <c:xVal>
            <c:numRef>
              <c:f>'20250420_FirnCore_T'!$P$43:$P$46</c:f>
              <c:numCache>
                <c:formatCode>0.00</c:formatCode>
                <c:ptCount val="4"/>
                <c:pt idx="0">
                  <c:v>0.66999966114599652</c:v>
                </c:pt>
                <c:pt idx="1">
                  <c:v>0.76925887020466277</c:v>
                </c:pt>
                <c:pt idx="2">
                  <c:v>0.68064513739062016</c:v>
                </c:pt>
                <c:pt idx="3">
                  <c:v>0.74458452908489048</c:v>
                </c:pt>
              </c:numCache>
            </c:numRef>
          </c:xVal>
          <c:yVal>
            <c:numRef>
              <c:f>'20250420_FirnCore_T'!$O$43:$O$46</c:f>
              <c:numCache>
                <c:formatCode>??0</c:formatCode>
                <c:ptCount val="4"/>
                <c:pt idx="0">
                  <c:v>984</c:v>
                </c:pt>
                <c:pt idx="1">
                  <c:v>1011</c:v>
                </c:pt>
                <c:pt idx="2">
                  <c:v>1029.25</c:v>
                </c:pt>
                <c:pt idx="3">
                  <c:v>1058.5</c:v>
                </c:pt>
              </c:numCache>
            </c:numRef>
          </c:yVal>
          <c:smooth val="1"/>
          <c:extLst>
            <c:ext xmlns:c16="http://schemas.microsoft.com/office/drawing/2014/chart" uri="{C3380CC4-5D6E-409C-BE32-E72D297353CC}">
              <c16:uniqueId val="{00000006-A3CC-4DE8-8182-37F5761508ED}"/>
            </c:ext>
          </c:extLst>
        </c:ser>
        <c:dLbls>
          <c:showLegendKey val="0"/>
          <c:showVal val="0"/>
          <c:showCatName val="0"/>
          <c:showSerName val="0"/>
          <c:showPercent val="0"/>
          <c:showBubbleSize val="0"/>
        </c:dLbls>
        <c:axId val="169073280"/>
        <c:axId val="169108608"/>
      </c:scatterChart>
      <c:valAx>
        <c:axId val="16907328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108608"/>
        <c:crosses val="autoZero"/>
        <c:crossBetween val="midCat"/>
      </c:valAx>
      <c:valAx>
        <c:axId val="169108608"/>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7328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'20250420_FirnCore_Z'!$P$13:$P$21</c:f>
              <c:numCache>
                <c:formatCode>0.00</c:formatCode>
                <c:ptCount val="9"/>
                <c:pt idx="0">
                  <c:v>0.105</c:v>
                </c:pt>
                <c:pt idx="1">
                  <c:v>0.24</c:v>
                </c:pt>
                <c:pt idx="2">
                  <c:v>0.28999999999999998</c:v>
                </c:pt>
                <c:pt idx="3">
                  <c:v>0.26500000000000001</c:v>
                </c:pt>
                <c:pt idx="4">
                  <c:v>0.3</c:v>
                </c:pt>
                <c:pt idx="5">
                  <c:v>0.32500000000000001</c:v>
                </c:pt>
                <c:pt idx="6">
                  <c:v>0.375</c:v>
                </c:pt>
                <c:pt idx="7">
                  <c:v>0.39</c:v>
                </c:pt>
                <c:pt idx="8">
                  <c:v>0.39</c:v>
                </c:pt>
              </c:numCache>
            </c:numRef>
          </c:xVal>
          <c:yVal>
            <c:numRef>
              <c:f>'20250420_FirnCore_Z'!$O$13:$O$21</c:f>
              <c:numCache>
                <c:formatCode>??0</c:formatCode>
                <c:ptCount val="9"/>
                <c:pt idx="0">
                  <c:v>10</c:v>
                </c:pt>
                <c:pt idx="1">
                  <c:v>20</c:v>
                </c:pt>
                <c:pt idx="2">
                  <c:v>30</c:v>
                </c:pt>
                <c:pt idx="3">
                  <c:v>40</c:v>
                </c:pt>
                <c:pt idx="4">
                  <c:v>50</c:v>
                </c:pt>
                <c:pt idx="5">
                  <c:v>60</c:v>
                </c:pt>
                <c:pt idx="6">
                  <c:v>70</c:v>
                </c:pt>
                <c:pt idx="7">
                  <c:v>80</c:v>
                </c:pt>
                <c:pt idx="8">
                  <c:v>89</c:v>
                </c:pt>
              </c:numCache>
            </c:numRef>
          </c:yVal>
          <c:smooth val="1"/>
          <c:extLst>
            <c:ext xmlns:c16="http://schemas.microsoft.com/office/drawing/2014/chart" uri="{C3380CC4-5D6E-409C-BE32-E72D297353CC}">
              <c16:uniqueId val="{00000000-AC86-4A22-87AB-3AD7B3ABA024}"/>
            </c:ext>
          </c:extLst>
        </c:ser>
        <c:ser>
          <c:idx val="1"/>
          <c:order val="1"/>
          <c:tx>
            <c:v>Bw 2025</c:v>
          </c:tx>
          <c:xVal>
            <c:numRef>
              <c:f>'20250420_FirnCore_Z'!$P$24:$P$32</c:f>
              <c:numCache>
                <c:formatCode>0.00</c:formatCode>
                <c:ptCount val="9"/>
                <c:pt idx="0">
                  <c:v>0.41826357656084429</c:v>
                </c:pt>
                <c:pt idx="1">
                  <c:v>0.42705590399605731</c:v>
                </c:pt>
                <c:pt idx="2">
                  <c:v>0.44445674714309896</c:v>
                </c:pt>
                <c:pt idx="3">
                  <c:v>0.45066958339348634</c:v>
                </c:pt>
                <c:pt idx="4">
                  <c:v>0.48985824281900686</c:v>
                </c:pt>
                <c:pt idx="5">
                  <c:v>0.44387155063599809</c:v>
                </c:pt>
                <c:pt idx="6">
                  <c:v>0.46536533067805652</c:v>
                </c:pt>
                <c:pt idx="7">
                  <c:v>0.5127877775892582</c:v>
                </c:pt>
                <c:pt idx="8">
                  <c:v>0.5083934195743206</c:v>
                </c:pt>
              </c:numCache>
            </c:numRef>
          </c:xVal>
          <c:yVal>
            <c:numRef>
              <c:f>'20250420_FirnCore_Z'!$O$24:$O$32</c:f>
              <c:numCache>
                <c:formatCode>??0</c:formatCode>
                <c:ptCount val="9"/>
                <c:pt idx="0">
                  <c:v>140</c:v>
                </c:pt>
                <c:pt idx="1">
                  <c:v>177</c:v>
                </c:pt>
                <c:pt idx="2">
                  <c:v>216</c:v>
                </c:pt>
                <c:pt idx="3">
                  <c:v>256.5</c:v>
                </c:pt>
                <c:pt idx="4">
                  <c:v>289</c:v>
                </c:pt>
                <c:pt idx="5">
                  <c:v>334.5</c:v>
                </c:pt>
                <c:pt idx="6">
                  <c:v>363</c:v>
                </c:pt>
                <c:pt idx="7">
                  <c:v>411.5</c:v>
                </c:pt>
                <c:pt idx="8">
                  <c:v>450</c:v>
                </c:pt>
              </c:numCache>
            </c:numRef>
          </c:yVal>
          <c:smooth val="1"/>
          <c:extLst>
            <c:ext xmlns:c16="http://schemas.microsoft.com/office/drawing/2014/chart" uri="{C3380CC4-5D6E-409C-BE32-E72D297353CC}">
              <c16:uniqueId val="{00000000-EF3F-42F5-BA94-F1A1C6374AE7}"/>
            </c:ext>
          </c:extLst>
        </c:ser>
        <c:ser>
          <c:idx val="2"/>
          <c:order val="2"/>
          <c:tx>
            <c:v>2024 Firn</c:v>
          </c:tx>
          <c:xVal>
            <c:numRef>
              <c:f>'20250420_FirnCore_Z'!$P$33:$P$38</c:f>
              <c:numCache>
                <c:formatCode>0.00</c:formatCode>
                <c:ptCount val="6"/>
                <c:pt idx="0">
                  <c:v>0.5136891843615532</c:v>
                </c:pt>
                <c:pt idx="1">
                  <c:v>0.53394548467271752</c:v>
                </c:pt>
                <c:pt idx="2">
                  <c:v>0.53394548467271752</c:v>
                </c:pt>
                <c:pt idx="3">
                  <c:v>0.56916862498970322</c:v>
                </c:pt>
                <c:pt idx="4">
                  <c:v>0.55050735859659827</c:v>
                </c:pt>
                <c:pt idx="5">
                  <c:v>0.55173507349088147</c:v>
                </c:pt>
              </c:numCache>
            </c:numRef>
          </c:xVal>
          <c:yVal>
            <c:numRef>
              <c:f>'20250420_FirnCore_Z'!$O$33:$O$38</c:f>
              <c:numCache>
                <c:formatCode>??0</c:formatCode>
                <c:ptCount val="6"/>
                <c:pt idx="0">
                  <c:v>488</c:v>
                </c:pt>
                <c:pt idx="1">
                  <c:v>529</c:v>
                </c:pt>
                <c:pt idx="2">
                  <c:v>568.5</c:v>
                </c:pt>
                <c:pt idx="3">
                  <c:v>610</c:v>
                </c:pt>
                <c:pt idx="4">
                  <c:v>650.5</c:v>
                </c:pt>
                <c:pt idx="5">
                  <c:v>687</c:v>
                </c:pt>
              </c:numCache>
            </c:numRef>
          </c:yVal>
          <c:smooth val="1"/>
          <c:extLst>
            <c:ext xmlns:c16="http://schemas.microsoft.com/office/drawing/2014/chart" uri="{C3380CC4-5D6E-409C-BE32-E72D297353CC}">
              <c16:uniqueId val="{00000001-EF3F-42F5-BA94-F1A1C6374AE7}"/>
            </c:ext>
          </c:extLst>
        </c:ser>
        <c:ser>
          <c:idx val="3"/>
          <c:order val="3"/>
          <c:tx>
            <c:v>2023 Firn</c:v>
          </c:tx>
          <c:xVal>
            <c:numRef>
              <c:f>'20250420_FirnCore_Z'!$P$39:$P$49</c:f>
              <c:numCache>
                <c:formatCode>0.00</c:formatCode>
                <c:ptCount val="11"/>
                <c:pt idx="0">
                  <c:v>0.57892337787700821</c:v>
                </c:pt>
                <c:pt idx="1">
                  <c:v>0.60960136884143079</c:v>
                </c:pt>
                <c:pt idx="2">
                  <c:v>0.63236245891180898</c:v>
                </c:pt>
                <c:pt idx="3">
                  <c:v>0.62456925959423371</c:v>
                </c:pt>
                <c:pt idx="4">
                  <c:v>0.62048710757074199</c:v>
                </c:pt>
                <c:pt idx="5">
                  <c:v>0.62240812028767922</c:v>
                </c:pt>
                <c:pt idx="6">
                  <c:v>0.65314432375867593</c:v>
                </c:pt>
                <c:pt idx="7">
                  <c:v>0.72022401106362088</c:v>
                </c:pt>
                <c:pt idx="8">
                  <c:v>0.60845550160676642</c:v>
                </c:pt>
                <c:pt idx="9">
                  <c:v>0.6025256386673784</c:v>
                </c:pt>
                <c:pt idx="10">
                  <c:v>0.64309594954700389</c:v>
                </c:pt>
              </c:numCache>
            </c:numRef>
          </c:xVal>
          <c:yVal>
            <c:numRef>
              <c:f>'20250420_FirnCore_Z'!$O$39:$O$49</c:f>
              <c:numCache>
                <c:formatCode>??0</c:formatCode>
                <c:ptCount val="11"/>
                <c:pt idx="0">
                  <c:v>709</c:v>
                </c:pt>
                <c:pt idx="1">
                  <c:v>728</c:v>
                </c:pt>
                <c:pt idx="2">
                  <c:v>773</c:v>
                </c:pt>
                <c:pt idx="3">
                  <c:v>803.5</c:v>
                </c:pt>
                <c:pt idx="4">
                  <c:v>826</c:v>
                </c:pt>
                <c:pt idx="5">
                  <c:v>860</c:v>
                </c:pt>
                <c:pt idx="6">
                  <c:v>887</c:v>
                </c:pt>
                <c:pt idx="7">
                  <c:v>924</c:v>
                </c:pt>
                <c:pt idx="8">
                  <c:v>962.5</c:v>
                </c:pt>
                <c:pt idx="9">
                  <c:v>1003</c:v>
                </c:pt>
                <c:pt idx="10">
                  <c:v>1041</c:v>
                </c:pt>
              </c:numCache>
            </c:numRef>
          </c:yVal>
          <c:smooth val="1"/>
          <c:extLst>
            <c:ext xmlns:c16="http://schemas.microsoft.com/office/drawing/2014/chart" uri="{C3380CC4-5D6E-409C-BE32-E72D297353CC}">
              <c16:uniqueId val="{00000002-EF3F-42F5-BA94-F1A1C6374AE7}"/>
            </c:ext>
          </c:extLst>
        </c:ser>
        <c:ser>
          <c:idx val="4"/>
          <c:order val="4"/>
          <c:tx>
            <c:v>2022 Firn</c:v>
          </c:tx>
          <c:xVal>
            <c:numRef>
              <c:f>'20250420_FirnCore_Z'!$P$50:$P$54</c:f>
              <c:numCache>
                <c:formatCode>0.00</c:formatCode>
                <c:ptCount val="5"/>
                <c:pt idx="0">
                  <c:v>0.74969609335778453</c:v>
                </c:pt>
                <c:pt idx="1">
                  <c:v>0.61134308703812057</c:v>
                </c:pt>
                <c:pt idx="2">
                  <c:v>0.61134308703812057</c:v>
                </c:pt>
                <c:pt idx="3">
                  <c:v>0.62939362107654218</c:v>
                </c:pt>
                <c:pt idx="4">
                  <c:v>0.71845875613454346</c:v>
                </c:pt>
              </c:numCache>
            </c:numRef>
          </c:xVal>
          <c:yVal>
            <c:numRef>
              <c:f>'20250420_FirnCore_Z'!$O$50:$O$54</c:f>
              <c:numCache>
                <c:formatCode>??0</c:formatCode>
                <c:ptCount val="5"/>
                <c:pt idx="0">
                  <c:v>1063</c:v>
                </c:pt>
                <c:pt idx="1">
                  <c:v>1088</c:v>
                </c:pt>
                <c:pt idx="2">
                  <c:v>1109.5</c:v>
                </c:pt>
                <c:pt idx="3">
                  <c:v>1139</c:v>
                </c:pt>
                <c:pt idx="4">
                  <c:v>1186</c:v>
                </c:pt>
              </c:numCache>
            </c:numRef>
          </c:yVal>
          <c:smooth val="1"/>
          <c:extLst>
            <c:ext xmlns:c16="http://schemas.microsoft.com/office/drawing/2014/chart" uri="{C3380CC4-5D6E-409C-BE32-E72D297353CC}">
              <c16:uniqueId val="{00000003-EF3F-42F5-BA94-F1A1C6374AE7}"/>
            </c:ext>
          </c:extLst>
        </c:ser>
        <c:ser>
          <c:idx val="5"/>
          <c:order val="5"/>
          <c:tx>
            <c:v>2021 Firn</c:v>
          </c:tx>
          <c:xVal>
            <c:numRef>
              <c:f>'20250420_FirnCore_Z'!$P$55:$P$63</c:f>
              <c:numCache>
                <c:formatCode>0.00</c:formatCode>
                <c:ptCount val="9"/>
                <c:pt idx="0">
                  <c:v>0.67689502644080957</c:v>
                </c:pt>
                <c:pt idx="1">
                  <c:v>0.71120159698166929</c:v>
                </c:pt>
                <c:pt idx="2">
                  <c:v>0.74252196806249471</c:v>
                </c:pt>
                <c:pt idx="3">
                  <c:v>0.78377318851041111</c:v>
                </c:pt>
                <c:pt idx="4">
                  <c:v>0.7021301480405765</c:v>
                </c:pt>
                <c:pt idx="5">
                  <c:v>0.71620653432847903</c:v>
                </c:pt>
                <c:pt idx="6">
                  <c:v>0.70539586965936996</c:v>
                </c:pt>
                <c:pt idx="7">
                  <c:v>0.70433671670192344</c:v>
                </c:pt>
                <c:pt idx="8">
                  <c:v>0.57751708627082921</c:v>
                </c:pt>
              </c:numCache>
            </c:numRef>
          </c:xVal>
          <c:yVal>
            <c:numRef>
              <c:f>'20250420_FirnCore_Z'!$O$55:$O$63</c:f>
              <c:numCache>
                <c:formatCode>??0</c:formatCode>
                <c:ptCount val="9"/>
                <c:pt idx="0">
                  <c:v>1213</c:v>
                </c:pt>
                <c:pt idx="1">
                  <c:v>1240</c:v>
                </c:pt>
                <c:pt idx="2">
                  <c:v>1259</c:v>
                </c:pt>
                <c:pt idx="3">
                  <c:v>1282</c:v>
                </c:pt>
                <c:pt idx="4">
                  <c:v>1306</c:v>
                </c:pt>
                <c:pt idx="5">
                  <c:v>1334.5</c:v>
                </c:pt>
                <c:pt idx="6">
                  <c:v>1364</c:v>
                </c:pt>
                <c:pt idx="7">
                  <c:v>1397.5</c:v>
                </c:pt>
                <c:pt idx="8">
                  <c:v>1432</c:v>
                </c:pt>
              </c:numCache>
            </c:numRef>
          </c:yVal>
          <c:smooth val="1"/>
          <c:extLst>
            <c:ext xmlns:c16="http://schemas.microsoft.com/office/drawing/2014/chart" uri="{C3380CC4-5D6E-409C-BE32-E72D297353CC}">
              <c16:uniqueId val="{00000004-EF3F-42F5-BA94-F1A1C6374AE7}"/>
            </c:ext>
          </c:extLst>
        </c:ser>
        <c:ser>
          <c:idx val="6"/>
          <c:order val="6"/>
          <c:tx>
            <c:v>2020 Firn</c:v>
          </c:tx>
          <c:xVal>
            <c:numRef>
              <c:f>'20250420_FirnCore_Z'!$P$64:$P$70</c:f>
              <c:numCache>
                <c:formatCode>0.00</c:formatCode>
                <c:ptCount val="7"/>
                <c:pt idx="0">
                  <c:v>0.79601964458088614</c:v>
                </c:pt>
                <c:pt idx="1">
                  <c:v>0.77257642867454801</c:v>
                </c:pt>
                <c:pt idx="2">
                  <c:v>0.67689502644080957</c:v>
                </c:pt>
                <c:pt idx="3">
                  <c:v>0.67566654181931984</c:v>
                </c:pt>
                <c:pt idx="4">
                  <c:v>0.7021301480405765</c:v>
                </c:pt>
                <c:pt idx="5">
                  <c:v>0.72056567330795851</c:v>
                </c:pt>
                <c:pt idx="6">
                  <c:v>0.82731614342765603</c:v>
                </c:pt>
              </c:numCache>
            </c:numRef>
          </c:xVal>
          <c:yVal>
            <c:numRef>
              <c:f>'20250420_FirnCore_Z'!$O$64:$O$70</c:f>
              <c:numCache>
                <c:formatCode>??0</c:formatCode>
                <c:ptCount val="7"/>
                <c:pt idx="0">
                  <c:v>1463</c:v>
                </c:pt>
                <c:pt idx="1">
                  <c:v>1497</c:v>
                </c:pt>
                <c:pt idx="2">
                  <c:v>1519</c:v>
                </c:pt>
                <c:pt idx="3">
                  <c:v>1548.5</c:v>
                </c:pt>
                <c:pt idx="4">
                  <c:v>1573</c:v>
                </c:pt>
                <c:pt idx="5">
                  <c:v>1605</c:v>
                </c:pt>
                <c:pt idx="6">
                  <c:v>1651</c:v>
                </c:pt>
              </c:numCache>
            </c:numRef>
          </c:yVal>
          <c:smooth val="1"/>
          <c:extLst>
            <c:ext xmlns:c16="http://schemas.microsoft.com/office/drawing/2014/chart" uri="{C3380CC4-5D6E-409C-BE32-E72D297353CC}">
              <c16:uniqueId val="{00000005-EF3F-42F5-BA94-F1A1C6374AE7}"/>
            </c:ext>
          </c:extLst>
        </c:ser>
        <c:dLbls>
          <c:showLegendKey val="0"/>
          <c:showVal val="0"/>
          <c:showCatName val="0"/>
          <c:showSerName val="0"/>
          <c:showPercent val="0"/>
          <c:showBubbleSize val="0"/>
        </c:dLbls>
        <c:axId val="169073280"/>
        <c:axId val="169108608"/>
      </c:scatterChart>
      <c:valAx>
        <c:axId val="16907328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108608"/>
        <c:crosses val="autoZero"/>
        <c:crossBetween val="midCat"/>
      </c:valAx>
      <c:valAx>
        <c:axId val="169108608"/>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7328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Ref>
              <c:f>'20250822_Pit_D'!$G$12:$G$15</c:f>
              <c:numCache>
                <c:formatCode>0.000</c:formatCode>
                <c:ptCount val="4"/>
                <c:pt idx="0">
                  <c:v>0.48499999999999999</c:v>
                </c:pt>
                <c:pt idx="1">
                  <c:v>0.53500000000000003</c:v>
                </c:pt>
                <c:pt idx="2">
                  <c:v>0.52500000000000002</c:v>
                </c:pt>
                <c:pt idx="3">
                  <c:v>0.54</c:v>
                </c:pt>
              </c:numCache>
            </c:numRef>
          </c:xVal>
          <c:yVal>
            <c:numRef>
              <c:f>'20250822_Pit_D'!$F$12:$F$15</c:f>
              <c:numCache>
                <c:formatCode>??0</c:formatCode>
                <c:ptCount val="4"/>
                <c:pt idx="0">
                  <c:v>10</c:v>
                </c:pt>
                <c:pt idx="1">
                  <c:v>20</c:v>
                </c:pt>
                <c:pt idx="2">
                  <c:v>30</c:v>
                </c:pt>
                <c:pt idx="3">
                  <c:v>40</c:v>
                </c:pt>
              </c:numCache>
            </c:numRef>
          </c:yVal>
          <c:smooth val="1"/>
          <c:extLst>
            <c:ext xmlns:c16="http://schemas.microsoft.com/office/drawing/2014/chart" uri="{C3380CC4-5D6E-409C-BE32-E72D297353CC}">
              <c16:uniqueId val="{00000000-5336-4AC6-AC19-E67AFE00A176}"/>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Ref>
              <c:f>'20250822_Pit_T'!$G$12:$G$24</c:f>
              <c:numCache>
                <c:formatCode>0.000</c:formatCode>
                <c:ptCount val="13"/>
                <c:pt idx="0">
                  <c:v>0.54500000000000004</c:v>
                </c:pt>
                <c:pt idx="1">
                  <c:v>0.495</c:v>
                </c:pt>
                <c:pt idx="2">
                  <c:v>0.54500000000000004</c:v>
                </c:pt>
                <c:pt idx="3">
                  <c:v>0.53500000000000003</c:v>
                </c:pt>
                <c:pt idx="4">
                  <c:v>0.54</c:v>
                </c:pt>
                <c:pt idx="5">
                  <c:v>0.53500000000000003</c:v>
                </c:pt>
                <c:pt idx="6">
                  <c:v>0.53</c:v>
                </c:pt>
                <c:pt idx="7">
                  <c:v>0.47499999999999998</c:v>
                </c:pt>
                <c:pt idx="8">
                  <c:v>0.51</c:v>
                </c:pt>
                <c:pt idx="9">
                  <c:v>0.52</c:v>
                </c:pt>
                <c:pt idx="10">
                  <c:v>0.56999999999999995</c:v>
                </c:pt>
                <c:pt idx="11">
                  <c:v>0.53500000000000003</c:v>
                </c:pt>
                <c:pt idx="12">
                  <c:v>0.53</c:v>
                </c:pt>
              </c:numCache>
            </c:numRef>
          </c:xVal>
          <c:yVal>
            <c:numRef>
              <c:f>'20250822_Pit_T'!$F$12:$F$24</c:f>
              <c:numCache>
                <c:formatCode>??0</c:formatCode>
                <c:ptCount val="13"/>
                <c:pt idx="0">
                  <c:v>10</c:v>
                </c:pt>
                <c:pt idx="1">
                  <c:v>20</c:v>
                </c:pt>
                <c:pt idx="2">
                  <c:v>30</c:v>
                </c:pt>
                <c:pt idx="3">
                  <c:v>40</c:v>
                </c:pt>
                <c:pt idx="4">
                  <c:v>50</c:v>
                </c:pt>
                <c:pt idx="5">
                  <c:v>60</c:v>
                </c:pt>
                <c:pt idx="6">
                  <c:v>70</c:v>
                </c:pt>
                <c:pt idx="7">
                  <c:v>80</c:v>
                </c:pt>
                <c:pt idx="8">
                  <c:v>90</c:v>
                </c:pt>
                <c:pt idx="9">
                  <c:v>100</c:v>
                </c:pt>
                <c:pt idx="10">
                  <c:v>110</c:v>
                </c:pt>
                <c:pt idx="11">
                  <c:v>120</c:v>
                </c:pt>
                <c:pt idx="12">
                  <c:v>130</c:v>
                </c:pt>
              </c:numCache>
            </c:numRef>
          </c:yVal>
          <c:smooth val="1"/>
          <c:extLst>
            <c:ext xmlns:c16="http://schemas.microsoft.com/office/drawing/2014/chart" uri="{C3380CC4-5D6E-409C-BE32-E72D297353CC}">
              <c16:uniqueId val="{00000000-EE21-4CB3-AC2F-52573E079E61}"/>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Ref>
              <c:f>'20250823_Pit_Z'!$G$13:$G$33</c:f>
              <c:numCache>
                <c:formatCode>0.00</c:formatCode>
                <c:ptCount val="21"/>
                <c:pt idx="0">
                  <c:v>0.54347826086956519</c:v>
                </c:pt>
                <c:pt idx="1">
                  <c:v>0.56935817805383027</c:v>
                </c:pt>
                <c:pt idx="2">
                  <c:v>0.55383022774327118</c:v>
                </c:pt>
                <c:pt idx="3">
                  <c:v>0.55383022774327118</c:v>
                </c:pt>
                <c:pt idx="4">
                  <c:v>0.55900621118012417</c:v>
                </c:pt>
                <c:pt idx="5">
                  <c:v>0.54347826086956519</c:v>
                </c:pt>
                <c:pt idx="6">
                  <c:v>0.54865424430641818</c:v>
                </c:pt>
                <c:pt idx="7">
                  <c:v>0.56935817805383027</c:v>
                </c:pt>
                <c:pt idx="8">
                  <c:v>0.5331262939958592</c:v>
                </c:pt>
                <c:pt idx="9">
                  <c:v>0.5383022774327122</c:v>
                </c:pt>
                <c:pt idx="10">
                  <c:v>0.54347826086956519</c:v>
                </c:pt>
                <c:pt idx="11">
                  <c:v>0.55900621118012417</c:v>
                </c:pt>
                <c:pt idx="12">
                  <c:v>0.55900621118012417</c:v>
                </c:pt>
                <c:pt idx="13">
                  <c:v>0.54347826086956519</c:v>
                </c:pt>
                <c:pt idx="14">
                  <c:v>0.55383022774327118</c:v>
                </c:pt>
                <c:pt idx="15">
                  <c:v>0.51242236024844723</c:v>
                </c:pt>
                <c:pt idx="16">
                  <c:v>0.54865424430641818</c:v>
                </c:pt>
                <c:pt idx="17">
                  <c:v>0.56935817805383027</c:v>
                </c:pt>
                <c:pt idx="18">
                  <c:v>0.57453416149068326</c:v>
                </c:pt>
                <c:pt idx="19">
                  <c:v>0.57453416149068326</c:v>
                </c:pt>
                <c:pt idx="20">
                  <c:v>0.55383022774327118</c:v>
                </c:pt>
              </c:numCache>
            </c:numRef>
          </c:xVal>
          <c:yVal>
            <c:numRef>
              <c:f>'20250823_Pit_Z'!$F$13:$F$33</c:f>
              <c:numCache>
                <c:formatCode>??0</c:formatCode>
                <c:ptCount val="21"/>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numCache>
            </c:numRef>
          </c:yVal>
          <c:smooth val="1"/>
          <c:extLst>
            <c:ext xmlns:c16="http://schemas.microsoft.com/office/drawing/2014/chart" uri="{C3380CC4-5D6E-409C-BE32-E72D297353CC}">
              <c16:uniqueId val="{00000000-0407-4A0F-9FF8-ED05CC283CBC}"/>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342900</xdr:colOff>
      <xdr:row>4</xdr:row>
      <xdr:rowOff>11430</xdr:rowOff>
    </xdr:from>
    <xdr:to>
      <xdr:col>19</xdr:col>
      <xdr:colOff>78105</xdr:colOff>
      <xdr:row>19</xdr:row>
      <xdr:rowOff>64770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56</xdr:row>
      <xdr:rowOff>142875</xdr:rowOff>
    </xdr:to>
    <xdr:sp macro="" textlink="">
      <xdr:nvSpPr>
        <xdr:cNvPr id="2" name="AutoShape 5">
          <a:extLst>
            <a:ext uri="{FF2B5EF4-FFF2-40B4-BE49-F238E27FC236}">
              <a16:creationId xmlns:a16="http://schemas.microsoft.com/office/drawing/2014/main" id="{72B2CE6C-1DA4-4A7E-8190-0132AAF7B13C}"/>
            </a:ext>
          </a:extLst>
        </xdr:cNvPr>
        <xdr:cNvSpPr>
          <a:spLocks noChangeArrowheads="1"/>
        </xdr:cNvSpPr>
      </xdr:nvSpPr>
      <xdr:spPr bwMode="auto">
        <a:xfrm>
          <a:off x="0" y="0"/>
          <a:ext cx="13344525" cy="11258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3" name="AutoShape 5">
          <a:extLst>
            <a:ext uri="{FF2B5EF4-FFF2-40B4-BE49-F238E27FC236}">
              <a16:creationId xmlns:a16="http://schemas.microsoft.com/office/drawing/2014/main" id="{7C7A88FB-1C56-4EDD-9FC6-10D0578B0C19}"/>
            </a:ext>
          </a:extLst>
        </xdr:cNvPr>
        <xdr:cNvSpPr>
          <a:spLocks noChangeArrowheads="1"/>
        </xdr:cNvSpPr>
      </xdr:nvSpPr>
      <xdr:spPr bwMode="auto">
        <a:xfrm>
          <a:off x="0" y="0"/>
          <a:ext cx="13344525" cy="11258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4" name="AutoShape 5">
          <a:extLst>
            <a:ext uri="{FF2B5EF4-FFF2-40B4-BE49-F238E27FC236}">
              <a16:creationId xmlns:a16="http://schemas.microsoft.com/office/drawing/2014/main" id="{5ED82F65-126C-47AF-BE8D-41F0D34C42BE}"/>
            </a:ext>
          </a:extLst>
        </xdr:cNvPr>
        <xdr:cNvSpPr>
          <a:spLocks noChangeArrowheads="1"/>
        </xdr:cNvSpPr>
      </xdr:nvSpPr>
      <xdr:spPr bwMode="auto">
        <a:xfrm>
          <a:off x="0" y="0"/>
          <a:ext cx="13344525" cy="11258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5" name="AutoShape 5">
          <a:extLst>
            <a:ext uri="{FF2B5EF4-FFF2-40B4-BE49-F238E27FC236}">
              <a16:creationId xmlns:a16="http://schemas.microsoft.com/office/drawing/2014/main" id="{211FD8F3-A379-4301-A731-F27873F98BD1}"/>
            </a:ext>
          </a:extLst>
        </xdr:cNvPr>
        <xdr:cNvSpPr>
          <a:spLocks noChangeArrowheads="1"/>
        </xdr:cNvSpPr>
      </xdr:nvSpPr>
      <xdr:spPr bwMode="auto">
        <a:xfrm>
          <a:off x="0" y="0"/>
          <a:ext cx="13344525" cy="11458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6" name="AutoShape 5">
          <a:extLst>
            <a:ext uri="{FF2B5EF4-FFF2-40B4-BE49-F238E27FC236}">
              <a16:creationId xmlns:a16="http://schemas.microsoft.com/office/drawing/2014/main" id="{B25E203A-BE3B-43D6-996A-05393012E7F5}"/>
            </a:ext>
          </a:extLst>
        </xdr:cNvPr>
        <xdr:cNvSpPr>
          <a:spLocks noChangeArrowheads="1"/>
        </xdr:cNvSpPr>
      </xdr:nvSpPr>
      <xdr:spPr bwMode="auto">
        <a:xfrm>
          <a:off x="0" y="0"/>
          <a:ext cx="13344525" cy="114585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7" name="AutoShape 5">
          <a:extLst>
            <a:ext uri="{FF2B5EF4-FFF2-40B4-BE49-F238E27FC236}">
              <a16:creationId xmlns:a16="http://schemas.microsoft.com/office/drawing/2014/main" id="{8860353F-4738-4915-ACE9-2DCD3D4874B0}"/>
            </a:ext>
          </a:extLst>
        </xdr:cNvPr>
        <xdr:cNvSpPr>
          <a:spLocks noChangeArrowheads="1"/>
        </xdr:cNvSpPr>
      </xdr:nvSpPr>
      <xdr:spPr bwMode="auto">
        <a:xfrm>
          <a:off x="0" y="0"/>
          <a:ext cx="13344525" cy="114585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2B840320-E6B9-49F6-A9A0-403D2DBF9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115BD6EA-82E6-4359-8E4D-66AED9113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54</xdr:row>
      <xdr:rowOff>30480</xdr:rowOff>
    </xdr:to>
    <xdr:graphicFrame macro="">
      <xdr:nvGraphicFramePr>
        <xdr:cNvPr id="2" name="Chart 1">
          <a:extLst>
            <a:ext uri="{FF2B5EF4-FFF2-40B4-BE49-F238E27FC236}">
              <a16:creationId xmlns:a16="http://schemas.microsoft.com/office/drawing/2014/main" id="{4E5739B0-1BEA-4AC2-B4F6-15EC81362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29</xdr:col>
      <xdr:colOff>20955</xdr:colOff>
      <xdr:row>8</xdr:row>
      <xdr:rowOff>116205</xdr:rowOff>
    </xdr:from>
    <xdr:to>
      <xdr:col>35</xdr:col>
      <xdr:colOff>503873</xdr:colOff>
      <xdr:row>53</xdr:row>
      <xdr:rowOff>47625</xdr:rowOff>
    </xdr:to>
    <xdr:graphicFrame macro="">
      <xdr:nvGraphicFramePr>
        <xdr:cNvPr id="3" name="Chart 2">
          <a:extLst>
            <a:ext uri="{FF2B5EF4-FFF2-40B4-BE49-F238E27FC236}">
              <a16:creationId xmlns:a16="http://schemas.microsoft.com/office/drawing/2014/main" id="{3E6AD241-1D31-4560-8099-3E61846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22861</xdr:colOff>
      <xdr:row>6</xdr:row>
      <xdr:rowOff>30480</xdr:rowOff>
    </xdr:from>
    <xdr:to>
      <xdr:col>38</xdr:col>
      <xdr:colOff>335281</xdr:colOff>
      <xdr:row>51</xdr:row>
      <xdr:rowOff>30480</xdr:rowOff>
    </xdr:to>
    <xdr:graphicFrame macro="">
      <xdr:nvGraphicFramePr>
        <xdr:cNvPr id="2" name="Chart 1">
          <a:extLst>
            <a:ext uri="{FF2B5EF4-FFF2-40B4-BE49-F238E27FC236}">
              <a16:creationId xmlns:a16="http://schemas.microsoft.com/office/drawing/2014/main" id="{C6A7B91A-EBAF-436E-9D3C-21F007D93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428626</xdr:colOff>
      <xdr:row>0</xdr:row>
      <xdr:rowOff>85725</xdr:rowOff>
    </xdr:from>
    <xdr:to>
      <xdr:col>20</xdr:col>
      <xdr:colOff>323851</xdr:colOff>
      <xdr:row>45</xdr:row>
      <xdr:rowOff>28575</xdr:rowOff>
    </xdr:to>
    <xdr:graphicFrame macro="">
      <xdr:nvGraphicFramePr>
        <xdr:cNvPr id="2" name="Chart 1">
          <a:extLst>
            <a:ext uri="{FF2B5EF4-FFF2-40B4-BE49-F238E27FC236}">
              <a16:creationId xmlns:a16="http://schemas.microsoft.com/office/drawing/2014/main" id="{4EA50153-D6AE-42A9-ABEA-E6685249C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0</xdr:colOff>
      <xdr:row>9</xdr:row>
      <xdr:rowOff>0</xdr:rowOff>
    </xdr:from>
    <xdr:to>
      <xdr:col>29</xdr:col>
      <xdr:colOff>281978</xdr:colOff>
      <xdr:row>30</xdr:row>
      <xdr:rowOff>20320</xdr:rowOff>
    </xdr:to>
    <xdr:pic>
      <xdr:nvPicPr>
        <xdr:cNvPr id="3" name="Picture 2">
          <a:extLst>
            <a:ext uri="{FF2B5EF4-FFF2-40B4-BE49-F238E27FC236}">
              <a16:creationId xmlns:a16="http://schemas.microsoft.com/office/drawing/2014/main" id="{FC0262AB-CCFD-4AAB-AFCD-16B537F24050}"/>
            </a:ext>
          </a:extLst>
        </xdr:cNvPr>
        <xdr:cNvPicPr>
          <a:picLocks noChangeAspect="1"/>
        </xdr:cNvPicPr>
      </xdr:nvPicPr>
      <xdr:blipFill>
        <a:blip xmlns:r="http://schemas.openxmlformats.org/officeDocument/2006/relationships" r:embed="rId2"/>
        <a:stretch>
          <a:fillRect/>
        </a:stretch>
      </xdr:blipFill>
      <xdr:spPr>
        <a:xfrm>
          <a:off x="13858875" y="1428750"/>
          <a:ext cx="3438563" cy="308229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428626</xdr:colOff>
      <xdr:row>0</xdr:row>
      <xdr:rowOff>85725</xdr:rowOff>
    </xdr:from>
    <xdr:to>
      <xdr:col>20</xdr:col>
      <xdr:colOff>323851</xdr:colOff>
      <xdr:row>45</xdr:row>
      <xdr:rowOff>28575</xdr:rowOff>
    </xdr:to>
    <xdr:graphicFrame macro="">
      <xdr:nvGraphicFramePr>
        <xdr:cNvPr id="2" name="Chart 1">
          <a:extLst>
            <a:ext uri="{FF2B5EF4-FFF2-40B4-BE49-F238E27FC236}">
              <a16:creationId xmlns:a16="http://schemas.microsoft.com/office/drawing/2014/main" id="{33786083-6E99-4CFA-8D03-1752BBFC4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5E6CBC53-0105-4175-ACC4-E6757B70B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0</xdr:row>
      <xdr:rowOff>0</xdr:rowOff>
    </xdr:to>
    <xdr:sp macro="" textlink="">
      <xdr:nvSpPr>
        <xdr:cNvPr id="2053" name="Rectangle 5" hidden="1">
          <a:extLst>
            <a:ext uri="{FF2B5EF4-FFF2-40B4-BE49-F238E27FC236}">
              <a16:creationId xmlns:a16="http://schemas.microsoft.com/office/drawing/2014/main" id="{00000000-0008-0000-0100-000005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53</xdr:row>
      <xdr:rowOff>142875</xdr:rowOff>
    </xdr:to>
    <xdr:sp macro="" textlink="">
      <xdr:nvSpPr>
        <xdr:cNvPr id="9" name="AutoShape 5">
          <a:extLst>
            <a:ext uri="{FF2B5EF4-FFF2-40B4-BE49-F238E27FC236}">
              <a16:creationId xmlns:a16="http://schemas.microsoft.com/office/drawing/2014/main" id="{00000000-0008-0000-01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53</xdr:row>
      <xdr:rowOff>142875</xdr:rowOff>
    </xdr:to>
    <xdr:sp macro="" textlink="">
      <xdr:nvSpPr>
        <xdr:cNvPr id="10" name="AutoShape 5">
          <a:extLst>
            <a:ext uri="{FF2B5EF4-FFF2-40B4-BE49-F238E27FC236}">
              <a16:creationId xmlns:a16="http://schemas.microsoft.com/office/drawing/2014/main" id="{00000000-0008-0000-01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53</xdr:row>
      <xdr:rowOff>142875</xdr:rowOff>
    </xdr:to>
    <xdr:sp macro="" textlink="">
      <xdr:nvSpPr>
        <xdr:cNvPr id="11" name="AutoShape 5">
          <a:extLst>
            <a:ext uri="{FF2B5EF4-FFF2-40B4-BE49-F238E27FC236}">
              <a16:creationId xmlns:a16="http://schemas.microsoft.com/office/drawing/2014/main" id="{00000000-0008-0000-01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54</xdr:row>
      <xdr:rowOff>142875</xdr:rowOff>
    </xdr:to>
    <xdr:sp macro="" textlink="">
      <xdr:nvSpPr>
        <xdr:cNvPr id="12" name="AutoShape 5">
          <a:extLst>
            <a:ext uri="{FF2B5EF4-FFF2-40B4-BE49-F238E27FC236}">
              <a16:creationId xmlns:a16="http://schemas.microsoft.com/office/drawing/2014/main" id="{00000000-0008-0000-01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54</xdr:row>
      <xdr:rowOff>142875</xdr:rowOff>
    </xdr:to>
    <xdr:sp macro="" textlink="">
      <xdr:nvSpPr>
        <xdr:cNvPr id="13" name="AutoShape 5">
          <a:extLst>
            <a:ext uri="{FF2B5EF4-FFF2-40B4-BE49-F238E27FC236}">
              <a16:creationId xmlns:a16="http://schemas.microsoft.com/office/drawing/2014/main" id="{00000000-0008-0000-01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54</xdr:row>
      <xdr:rowOff>142875</xdr:rowOff>
    </xdr:to>
    <xdr:sp macro="" textlink="">
      <xdr:nvSpPr>
        <xdr:cNvPr id="14" name="AutoShape 5">
          <a:extLst>
            <a:ext uri="{FF2B5EF4-FFF2-40B4-BE49-F238E27FC236}">
              <a16:creationId xmlns:a16="http://schemas.microsoft.com/office/drawing/2014/main" id="{00000000-0008-0000-01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571500</xdr:colOff>
      <xdr:row>0</xdr:row>
      <xdr:rowOff>0</xdr:rowOff>
    </xdr:to>
    <xdr:sp macro="" textlink="">
      <xdr:nvSpPr>
        <xdr:cNvPr id="1030" name="Rectangle 6" hidden="1">
          <a:extLst>
            <a:ext uri="{FF2B5EF4-FFF2-40B4-BE49-F238E27FC236}">
              <a16:creationId xmlns:a16="http://schemas.microsoft.com/office/drawing/2014/main" id="{00000000-0008-0000-0200-000006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68</xdr:row>
      <xdr:rowOff>142875</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68</xdr:row>
      <xdr:rowOff>142875</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68</xdr:row>
      <xdr:rowOff>142875</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69</xdr:row>
      <xdr:rowOff>142875</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69</xdr:row>
      <xdr:rowOff>142875</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69</xdr:row>
      <xdr:rowOff>142875</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47</xdr:row>
      <xdr:rowOff>142875</xdr:rowOff>
    </xdr:to>
    <xdr:sp macro="" textlink="">
      <xdr:nvSpPr>
        <xdr:cNvPr id="2" name="AutoShape 5">
          <a:extLst>
            <a:ext uri="{FF2B5EF4-FFF2-40B4-BE49-F238E27FC236}">
              <a16:creationId xmlns:a16="http://schemas.microsoft.com/office/drawing/2014/main" id="{C0DCF045-9A29-43B2-881D-719A2E0C417B}"/>
            </a:ext>
          </a:extLst>
        </xdr:cNvPr>
        <xdr:cNvSpPr>
          <a:spLocks noChangeArrowheads="1"/>
        </xdr:cNvSpPr>
      </xdr:nvSpPr>
      <xdr:spPr bwMode="auto">
        <a:xfrm>
          <a:off x="0" y="406400"/>
          <a:ext cx="13411200" cy="13239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47</xdr:row>
      <xdr:rowOff>142875</xdr:rowOff>
    </xdr:to>
    <xdr:sp macro="" textlink="">
      <xdr:nvSpPr>
        <xdr:cNvPr id="3" name="AutoShape 5">
          <a:extLst>
            <a:ext uri="{FF2B5EF4-FFF2-40B4-BE49-F238E27FC236}">
              <a16:creationId xmlns:a16="http://schemas.microsoft.com/office/drawing/2014/main" id="{66F8A145-E56B-4206-82FF-B65377F6AF71}"/>
            </a:ext>
          </a:extLst>
        </xdr:cNvPr>
        <xdr:cNvSpPr>
          <a:spLocks noChangeArrowheads="1"/>
        </xdr:cNvSpPr>
      </xdr:nvSpPr>
      <xdr:spPr bwMode="auto">
        <a:xfrm>
          <a:off x="0" y="406400"/>
          <a:ext cx="13411200" cy="132397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47</xdr:row>
      <xdr:rowOff>142875</xdr:rowOff>
    </xdr:to>
    <xdr:sp macro="" textlink="">
      <xdr:nvSpPr>
        <xdr:cNvPr id="4" name="AutoShape 5">
          <a:extLst>
            <a:ext uri="{FF2B5EF4-FFF2-40B4-BE49-F238E27FC236}">
              <a16:creationId xmlns:a16="http://schemas.microsoft.com/office/drawing/2014/main" id="{8007C283-7DD5-4AFC-9ED5-F20D533F0F3A}"/>
            </a:ext>
          </a:extLst>
        </xdr:cNvPr>
        <xdr:cNvSpPr>
          <a:spLocks noChangeArrowheads="1"/>
        </xdr:cNvSpPr>
      </xdr:nvSpPr>
      <xdr:spPr bwMode="auto">
        <a:xfrm>
          <a:off x="0" y="406400"/>
          <a:ext cx="13411200" cy="132397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48</xdr:row>
      <xdr:rowOff>142875</xdr:rowOff>
    </xdr:to>
    <xdr:sp macro="" textlink="">
      <xdr:nvSpPr>
        <xdr:cNvPr id="5" name="AutoShape 5">
          <a:extLst>
            <a:ext uri="{FF2B5EF4-FFF2-40B4-BE49-F238E27FC236}">
              <a16:creationId xmlns:a16="http://schemas.microsoft.com/office/drawing/2014/main" id="{3E859F47-C15B-47B8-BA70-ABF0C4806510}"/>
            </a:ext>
          </a:extLst>
        </xdr:cNvPr>
        <xdr:cNvSpPr>
          <a:spLocks noChangeArrowheads="1"/>
        </xdr:cNvSpPr>
      </xdr:nvSpPr>
      <xdr:spPr bwMode="auto">
        <a:xfrm>
          <a:off x="0" y="406400"/>
          <a:ext cx="13411200" cy="13442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48</xdr:row>
      <xdr:rowOff>142875</xdr:rowOff>
    </xdr:to>
    <xdr:sp macro="" textlink="">
      <xdr:nvSpPr>
        <xdr:cNvPr id="6" name="AutoShape 5">
          <a:extLst>
            <a:ext uri="{FF2B5EF4-FFF2-40B4-BE49-F238E27FC236}">
              <a16:creationId xmlns:a16="http://schemas.microsoft.com/office/drawing/2014/main" id="{58F8835B-B8DB-43C1-9768-474D1C96B69A}"/>
            </a:ext>
          </a:extLst>
        </xdr:cNvPr>
        <xdr:cNvSpPr>
          <a:spLocks noChangeArrowheads="1"/>
        </xdr:cNvSpPr>
      </xdr:nvSpPr>
      <xdr:spPr bwMode="auto">
        <a:xfrm>
          <a:off x="0" y="406400"/>
          <a:ext cx="13411200" cy="134429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48</xdr:row>
      <xdr:rowOff>142875</xdr:rowOff>
    </xdr:to>
    <xdr:sp macro="" textlink="">
      <xdr:nvSpPr>
        <xdr:cNvPr id="7" name="AutoShape 5">
          <a:extLst>
            <a:ext uri="{FF2B5EF4-FFF2-40B4-BE49-F238E27FC236}">
              <a16:creationId xmlns:a16="http://schemas.microsoft.com/office/drawing/2014/main" id="{2313C692-CDCF-49AA-8C51-383F4804FCE2}"/>
            </a:ext>
          </a:extLst>
        </xdr:cNvPr>
        <xdr:cNvSpPr>
          <a:spLocks noChangeArrowheads="1"/>
        </xdr:cNvSpPr>
      </xdr:nvSpPr>
      <xdr:spPr bwMode="auto">
        <a:xfrm>
          <a:off x="0" y="406400"/>
          <a:ext cx="13411200" cy="1344295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3080" name="Rectangle 8" hidden="1">
          <a:extLst>
            <a:ext uri="{FF2B5EF4-FFF2-40B4-BE49-F238E27FC236}">
              <a16:creationId xmlns:a16="http://schemas.microsoft.com/office/drawing/2014/main" id="{00000000-0008-0000-0300-000008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9" name="AutoShape 5">
          <a:extLst>
            <a:ext uri="{FF2B5EF4-FFF2-40B4-BE49-F238E27FC236}">
              <a16:creationId xmlns:a16="http://schemas.microsoft.com/office/drawing/2014/main" id="{00000000-0008-0000-03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10" name="AutoShape 5">
          <a:extLst>
            <a:ext uri="{FF2B5EF4-FFF2-40B4-BE49-F238E27FC236}">
              <a16:creationId xmlns:a16="http://schemas.microsoft.com/office/drawing/2014/main" id="{00000000-0008-0000-03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75</xdr:row>
      <xdr:rowOff>142875</xdr:rowOff>
    </xdr:to>
    <xdr:sp macro="" textlink="">
      <xdr:nvSpPr>
        <xdr:cNvPr id="11" name="AutoShape 5">
          <a:extLst>
            <a:ext uri="{FF2B5EF4-FFF2-40B4-BE49-F238E27FC236}">
              <a16:creationId xmlns:a16="http://schemas.microsoft.com/office/drawing/2014/main" id="{00000000-0008-0000-03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76</xdr:row>
      <xdr:rowOff>142875</xdr:rowOff>
    </xdr:to>
    <xdr:sp macro="" textlink="">
      <xdr:nvSpPr>
        <xdr:cNvPr id="12" name="AutoShape 5">
          <a:extLst>
            <a:ext uri="{FF2B5EF4-FFF2-40B4-BE49-F238E27FC236}">
              <a16:creationId xmlns:a16="http://schemas.microsoft.com/office/drawing/2014/main" id="{00000000-0008-0000-03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76</xdr:row>
      <xdr:rowOff>142875</xdr:rowOff>
    </xdr:to>
    <xdr:sp macro="" textlink="">
      <xdr:nvSpPr>
        <xdr:cNvPr id="13" name="AutoShape 5">
          <a:extLst>
            <a:ext uri="{FF2B5EF4-FFF2-40B4-BE49-F238E27FC236}">
              <a16:creationId xmlns:a16="http://schemas.microsoft.com/office/drawing/2014/main" id="{00000000-0008-0000-03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76</xdr:row>
      <xdr:rowOff>142875</xdr:rowOff>
    </xdr:to>
    <xdr:sp macro="" textlink="">
      <xdr:nvSpPr>
        <xdr:cNvPr id="14" name="AutoShape 5">
          <a:extLst>
            <a:ext uri="{FF2B5EF4-FFF2-40B4-BE49-F238E27FC236}">
              <a16:creationId xmlns:a16="http://schemas.microsoft.com/office/drawing/2014/main" id="{00000000-0008-0000-03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45</xdr:row>
      <xdr:rowOff>142875</xdr:rowOff>
    </xdr:to>
    <xdr:sp macro="" textlink="">
      <xdr:nvSpPr>
        <xdr:cNvPr id="2" name="AutoShape 5">
          <a:extLst>
            <a:ext uri="{FF2B5EF4-FFF2-40B4-BE49-F238E27FC236}">
              <a16:creationId xmlns:a16="http://schemas.microsoft.com/office/drawing/2014/main" id="{EAB6620D-3E45-4F8A-AF65-08B905CBCFF7}"/>
            </a:ext>
          </a:extLst>
        </xdr:cNvPr>
        <xdr:cNvSpPr>
          <a:spLocks noChangeArrowheads="1"/>
        </xdr:cNvSpPr>
      </xdr:nvSpPr>
      <xdr:spPr bwMode="auto">
        <a:xfrm>
          <a:off x="0" y="0"/>
          <a:ext cx="13512800" cy="13652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45</xdr:row>
      <xdr:rowOff>142875</xdr:rowOff>
    </xdr:to>
    <xdr:sp macro="" textlink="">
      <xdr:nvSpPr>
        <xdr:cNvPr id="3" name="AutoShape 5">
          <a:extLst>
            <a:ext uri="{FF2B5EF4-FFF2-40B4-BE49-F238E27FC236}">
              <a16:creationId xmlns:a16="http://schemas.microsoft.com/office/drawing/2014/main" id="{E3DBC3DD-DEB1-421C-BAC4-18E19ED4D5DB}"/>
            </a:ext>
          </a:extLst>
        </xdr:cNvPr>
        <xdr:cNvSpPr>
          <a:spLocks noChangeArrowheads="1"/>
        </xdr:cNvSpPr>
      </xdr:nvSpPr>
      <xdr:spPr bwMode="auto">
        <a:xfrm>
          <a:off x="0" y="0"/>
          <a:ext cx="13512800" cy="136525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45</xdr:row>
      <xdr:rowOff>142875</xdr:rowOff>
    </xdr:to>
    <xdr:sp macro="" textlink="">
      <xdr:nvSpPr>
        <xdr:cNvPr id="4" name="AutoShape 5">
          <a:extLst>
            <a:ext uri="{FF2B5EF4-FFF2-40B4-BE49-F238E27FC236}">
              <a16:creationId xmlns:a16="http://schemas.microsoft.com/office/drawing/2014/main" id="{D0B459D2-6490-493A-82DB-4FA66B112C99}"/>
            </a:ext>
          </a:extLst>
        </xdr:cNvPr>
        <xdr:cNvSpPr>
          <a:spLocks noChangeArrowheads="1"/>
        </xdr:cNvSpPr>
      </xdr:nvSpPr>
      <xdr:spPr bwMode="auto">
        <a:xfrm>
          <a:off x="0" y="0"/>
          <a:ext cx="13512800" cy="136525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46</xdr:row>
      <xdr:rowOff>142875</xdr:rowOff>
    </xdr:to>
    <xdr:sp macro="" textlink="">
      <xdr:nvSpPr>
        <xdr:cNvPr id="5" name="AutoShape 5">
          <a:extLst>
            <a:ext uri="{FF2B5EF4-FFF2-40B4-BE49-F238E27FC236}">
              <a16:creationId xmlns:a16="http://schemas.microsoft.com/office/drawing/2014/main" id="{65F6BDA4-7910-4148-995F-54FDA3784DE4}"/>
            </a:ext>
          </a:extLst>
        </xdr:cNvPr>
        <xdr:cNvSpPr>
          <a:spLocks noChangeArrowheads="1"/>
        </xdr:cNvSpPr>
      </xdr:nvSpPr>
      <xdr:spPr bwMode="auto">
        <a:xfrm>
          <a:off x="0" y="0"/>
          <a:ext cx="13512800" cy="13855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46</xdr:row>
      <xdr:rowOff>142875</xdr:rowOff>
    </xdr:to>
    <xdr:sp macro="" textlink="">
      <xdr:nvSpPr>
        <xdr:cNvPr id="6" name="AutoShape 5">
          <a:extLst>
            <a:ext uri="{FF2B5EF4-FFF2-40B4-BE49-F238E27FC236}">
              <a16:creationId xmlns:a16="http://schemas.microsoft.com/office/drawing/2014/main" id="{37C68585-011C-47AF-BB99-7461206433FE}"/>
            </a:ext>
          </a:extLst>
        </xdr:cNvPr>
        <xdr:cNvSpPr>
          <a:spLocks noChangeArrowheads="1"/>
        </xdr:cNvSpPr>
      </xdr:nvSpPr>
      <xdr:spPr bwMode="auto">
        <a:xfrm>
          <a:off x="0" y="0"/>
          <a:ext cx="13512800" cy="13855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46</xdr:row>
      <xdr:rowOff>142875</xdr:rowOff>
    </xdr:to>
    <xdr:sp macro="" textlink="">
      <xdr:nvSpPr>
        <xdr:cNvPr id="7" name="AutoShape 5">
          <a:extLst>
            <a:ext uri="{FF2B5EF4-FFF2-40B4-BE49-F238E27FC236}">
              <a16:creationId xmlns:a16="http://schemas.microsoft.com/office/drawing/2014/main" id="{6B0C70DC-BE9A-4C25-9CE1-0427B134C8EC}"/>
            </a:ext>
          </a:extLst>
        </xdr:cNvPr>
        <xdr:cNvSpPr>
          <a:spLocks noChangeArrowheads="1"/>
        </xdr:cNvSpPr>
      </xdr:nvSpPr>
      <xdr:spPr bwMode="auto">
        <a:xfrm>
          <a:off x="0" y="0"/>
          <a:ext cx="13512800" cy="138557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466725</xdr:colOff>
      <xdr:row>2</xdr:row>
      <xdr:rowOff>0</xdr:rowOff>
    </xdr:to>
    <xdr:sp macro="" textlink="">
      <xdr:nvSpPr>
        <xdr:cNvPr id="4109" name="Rectangle 13" hidden="1">
          <a:extLst>
            <a:ext uri="{FF2B5EF4-FFF2-40B4-BE49-F238E27FC236}">
              <a16:creationId xmlns:a16="http://schemas.microsoft.com/office/drawing/2014/main" id="{00000000-0008-0000-0400-00000D1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77</xdr:row>
      <xdr:rowOff>142875</xdr:rowOff>
    </xdr:to>
    <xdr:sp macro="" textlink="">
      <xdr:nvSpPr>
        <xdr:cNvPr id="9" name="AutoShape 5">
          <a:extLst>
            <a:ext uri="{FF2B5EF4-FFF2-40B4-BE49-F238E27FC236}">
              <a16:creationId xmlns:a16="http://schemas.microsoft.com/office/drawing/2014/main" id="{00000000-0008-0000-04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77</xdr:row>
      <xdr:rowOff>142875</xdr:rowOff>
    </xdr:to>
    <xdr:sp macro="" textlink="">
      <xdr:nvSpPr>
        <xdr:cNvPr id="10" name="AutoShape 5">
          <a:extLst>
            <a:ext uri="{FF2B5EF4-FFF2-40B4-BE49-F238E27FC236}">
              <a16:creationId xmlns:a16="http://schemas.microsoft.com/office/drawing/2014/main" id="{00000000-0008-0000-04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77</xdr:row>
      <xdr:rowOff>142875</xdr:rowOff>
    </xdr:to>
    <xdr:sp macro="" textlink="">
      <xdr:nvSpPr>
        <xdr:cNvPr id="11" name="AutoShape 5">
          <a:extLst>
            <a:ext uri="{FF2B5EF4-FFF2-40B4-BE49-F238E27FC236}">
              <a16:creationId xmlns:a16="http://schemas.microsoft.com/office/drawing/2014/main" id="{00000000-0008-0000-04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78</xdr:row>
      <xdr:rowOff>142875</xdr:rowOff>
    </xdr:to>
    <xdr:sp macro="" textlink="">
      <xdr:nvSpPr>
        <xdr:cNvPr id="12" name="AutoShape 5">
          <a:extLst>
            <a:ext uri="{FF2B5EF4-FFF2-40B4-BE49-F238E27FC236}">
              <a16:creationId xmlns:a16="http://schemas.microsoft.com/office/drawing/2014/main" id="{00000000-0008-0000-04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78</xdr:row>
      <xdr:rowOff>142875</xdr:rowOff>
    </xdr:to>
    <xdr:sp macro="" textlink="">
      <xdr:nvSpPr>
        <xdr:cNvPr id="13" name="AutoShape 5">
          <a:extLst>
            <a:ext uri="{FF2B5EF4-FFF2-40B4-BE49-F238E27FC236}">
              <a16:creationId xmlns:a16="http://schemas.microsoft.com/office/drawing/2014/main" id="{00000000-0008-0000-04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78</xdr:row>
      <xdr:rowOff>142875</xdr:rowOff>
    </xdr:to>
    <xdr:sp macro="" textlink="">
      <xdr:nvSpPr>
        <xdr:cNvPr id="14" name="AutoShape 5">
          <a:extLst>
            <a:ext uri="{FF2B5EF4-FFF2-40B4-BE49-F238E27FC236}">
              <a16:creationId xmlns:a16="http://schemas.microsoft.com/office/drawing/2014/main" id="{00000000-0008-0000-04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77</xdr:row>
      <xdr:rowOff>142875</xdr:rowOff>
    </xdr:to>
    <xdr:sp macro="" textlink="">
      <xdr:nvSpPr>
        <xdr:cNvPr id="15" name="AutoShape 5">
          <a:extLst>
            <a:ext uri="{FF2B5EF4-FFF2-40B4-BE49-F238E27FC236}">
              <a16:creationId xmlns:a16="http://schemas.microsoft.com/office/drawing/2014/main" id="{0F8E1B39-33F1-4F56-8B98-7F483225B11A}"/>
            </a:ext>
          </a:extLst>
        </xdr:cNvPr>
        <xdr:cNvSpPr>
          <a:spLocks noChangeArrowheads="1"/>
        </xdr:cNvSpPr>
      </xdr:nvSpPr>
      <xdr:spPr bwMode="auto">
        <a:xfrm>
          <a:off x="0" y="0"/>
          <a:ext cx="13963650" cy="15992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77</xdr:row>
      <xdr:rowOff>142875</xdr:rowOff>
    </xdr:to>
    <xdr:sp macro="" textlink="">
      <xdr:nvSpPr>
        <xdr:cNvPr id="16" name="AutoShape 5">
          <a:extLst>
            <a:ext uri="{FF2B5EF4-FFF2-40B4-BE49-F238E27FC236}">
              <a16:creationId xmlns:a16="http://schemas.microsoft.com/office/drawing/2014/main" id="{6DDEE4F3-1D94-4A90-997D-54BB690DEBAC}"/>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77</xdr:row>
      <xdr:rowOff>142875</xdr:rowOff>
    </xdr:to>
    <xdr:sp macro="" textlink="">
      <xdr:nvSpPr>
        <xdr:cNvPr id="17" name="AutoShape 5">
          <a:extLst>
            <a:ext uri="{FF2B5EF4-FFF2-40B4-BE49-F238E27FC236}">
              <a16:creationId xmlns:a16="http://schemas.microsoft.com/office/drawing/2014/main" id="{FFC7497D-6545-4648-BF23-EFA7A544E26D}"/>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78</xdr:row>
      <xdr:rowOff>142875</xdr:rowOff>
    </xdr:to>
    <xdr:sp macro="" textlink="">
      <xdr:nvSpPr>
        <xdr:cNvPr id="18" name="AutoShape 5">
          <a:extLst>
            <a:ext uri="{FF2B5EF4-FFF2-40B4-BE49-F238E27FC236}">
              <a16:creationId xmlns:a16="http://schemas.microsoft.com/office/drawing/2014/main" id="{C5974907-87AC-4375-8A68-2E03C2E8D0BA}"/>
            </a:ext>
          </a:extLst>
        </xdr:cNvPr>
        <xdr:cNvSpPr>
          <a:spLocks noChangeArrowheads="1"/>
        </xdr:cNvSpPr>
      </xdr:nvSpPr>
      <xdr:spPr bwMode="auto">
        <a:xfrm>
          <a:off x="0" y="0"/>
          <a:ext cx="13963650" cy="16195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78</xdr:row>
      <xdr:rowOff>142875</xdr:rowOff>
    </xdr:to>
    <xdr:sp macro="" textlink="">
      <xdr:nvSpPr>
        <xdr:cNvPr id="19" name="AutoShape 5">
          <a:extLst>
            <a:ext uri="{FF2B5EF4-FFF2-40B4-BE49-F238E27FC236}">
              <a16:creationId xmlns:a16="http://schemas.microsoft.com/office/drawing/2014/main" id="{DBA77266-AB5C-4907-8156-1D8A778C7870}"/>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78</xdr:row>
      <xdr:rowOff>142875</xdr:rowOff>
    </xdr:to>
    <xdr:sp macro="" textlink="">
      <xdr:nvSpPr>
        <xdr:cNvPr id="20" name="AutoShape 5">
          <a:extLst>
            <a:ext uri="{FF2B5EF4-FFF2-40B4-BE49-F238E27FC236}">
              <a16:creationId xmlns:a16="http://schemas.microsoft.com/office/drawing/2014/main" id="{13C4FAFE-A92D-40F6-B260-469F845B4FA6}"/>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6156" name="Rectangle 12" hidden="1">
          <a:extLst>
            <a:ext uri="{FF2B5EF4-FFF2-40B4-BE49-F238E27FC236}">
              <a16:creationId xmlns:a16="http://schemas.microsoft.com/office/drawing/2014/main" id="{00000000-0008-0000-0500-00000C1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64</xdr:row>
      <xdr:rowOff>142875</xdr:rowOff>
    </xdr:to>
    <xdr:sp macro="" textlink="">
      <xdr:nvSpPr>
        <xdr:cNvPr id="9" name="AutoShape 5">
          <a:extLst>
            <a:ext uri="{FF2B5EF4-FFF2-40B4-BE49-F238E27FC236}">
              <a16:creationId xmlns:a16="http://schemas.microsoft.com/office/drawing/2014/main" id="{00000000-0008-0000-05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64</xdr:row>
      <xdr:rowOff>142875</xdr:rowOff>
    </xdr:to>
    <xdr:sp macro="" textlink="">
      <xdr:nvSpPr>
        <xdr:cNvPr id="10" name="AutoShape 5">
          <a:extLst>
            <a:ext uri="{FF2B5EF4-FFF2-40B4-BE49-F238E27FC236}">
              <a16:creationId xmlns:a16="http://schemas.microsoft.com/office/drawing/2014/main" id="{00000000-0008-0000-05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64</xdr:row>
      <xdr:rowOff>142875</xdr:rowOff>
    </xdr:to>
    <xdr:sp macro="" textlink="">
      <xdr:nvSpPr>
        <xdr:cNvPr id="11" name="AutoShape 5">
          <a:extLst>
            <a:ext uri="{FF2B5EF4-FFF2-40B4-BE49-F238E27FC236}">
              <a16:creationId xmlns:a16="http://schemas.microsoft.com/office/drawing/2014/main" id="{00000000-0008-0000-05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65</xdr:row>
      <xdr:rowOff>142875</xdr:rowOff>
    </xdr:to>
    <xdr:sp macro="" textlink="">
      <xdr:nvSpPr>
        <xdr:cNvPr id="12" name="AutoShape 5">
          <a:extLst>
            <a:ext uri="{FF2B5EF4-FFF2-40B4-BE49-F238E27FC236}">
              <a16:creationId xmlns:a16="http://schemas.microsoft.com/office/drawing/2014/main" id="{00000000-0008-0000-05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65</xdr:row>
      <xdr:rowOff>142875</xdr:rowOff>
    </xdr:to>
    <xdr:sp macro="" textlink="">
      <xdr:nvSpPr>
        <xdr:cNvPr id="13" name="AutoShape 5">
          <a:extLst>
            <a:ext uri="{FF2B5EF4-FFF2-40B4-BE49-F238E27FC236}">
              <a16:creationId xmlns:a16="http://schemas.microsoft.com/office/drawing/2014/main" id="{00000000-0008-0000-05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65</xdr:row>
      <xdr:rowOff>142875</xdr:rowOff>
    </xdr:to>
    <xdr:sp macro="" textlink="">
      <xdr:nvSpPr>
        <xdr:cNvPr id="14" name="AutoShape 5">
          <a:extLst>
            <a:ext uri="{FF2B5EF4-FFF2-40B4-BE49-F238E27FC236}">
              <a16:creationId xmlns:a16="http://schemas.microsoft.com/office/drawing/2014/main" id="{00000000-0008-0000-05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314325</xdr:colOff>
      <xdr:row>0</xdr:row>
      <xdr:rowOff>0</xdr:rowOff>
    </xdr:to>
    <xdr:sp macro="" textlink="">
      <xdr:nvSpPr>
        <xdr:cNvPr id="7185" name="Rectangle 17" hidden="1">
          <a:extLst>
            <a:ext uri="{FF2B5EF4-FFF2-40B4-BE49-F238E27FC236}">
              <a16:creationId xmlns:a16="http://schemas.microsoft.com/office/drawing/2014/main" id="{00000000-0008-0000-0600-0000111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49</xdr:row>
      <xdr:rowOff>142875</xdr:rowOff>
    </xdr:to>
    <xdr:sp macro="" textlink="">
      <xdr:nvSpPr>
        <xdr:cNvPr id="9" name="AutoShape 5">
          <a:extLst>
            <a:ext uri="{FF2B5EF4-FFF2-40B4-BE49-F238E27FC236}">
              <a16:creationId xmlns:a16="http://schemas.microsoft.com/office/drawing/2014/main" id="{00000000-0008-0000-06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49</xdr:row>
      <xdr:rowOff>142875</xdr:rowOff>
    </xdr:to>
    <xdr:sp macro="" textlink="">
      <xdr:nvSpPr>
        <xdr:cNvPr id="10" name="AutoShape 5">
          <a:extLst>
            <a:ext uri="{FF2B5EF4-FFF2-40B4-BE49-F238E27FC236}">
              <a16:creationId xmlns:a16="http://schemas.microsoft.com/office/drawing/2014/main" id="{00000000-0008-0000-06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49</xdr:row>
      <xdr:rowOff>142875</xdr:rowOff>
    </xdr:to>
    <xdr:sp macro="" textlink="">
      <xdr:nvSpPr>
        <xdr:cNvPr id="11" name="AutoShape 5">
          <a:extLst>
            <a:ext uri="{FF2B5EF4-FFF2-40B4-BE49-F238E27FC236}">
              <a16:creationId xmlns:a16="http://schemas.microsoft.com/office/drawing/2014/main" id="{00000000-0008-0000-06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12" name="AutoShape 5">
          <a:extLst>
            <a:ext uri="{FF2B5EF4-FFF2-40B4-BE49-F238E27FC236}">
              <a16:creationId xmlns:a16="http://schemas.microsoft.com/office/drawing/2014/main" id="{00000000-0008-0000-06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13" name="AutoShape 5">
          <a:extLst>
            <a:ext uri="{FF2B5EF4-FFF2-40B4-BE49-F238E27FC236}">
              <a16:creationId xmlns:a16="http://schemas.microsoft.com/office/drawing/2014/main" id="{00000000-0008-0000-06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14" name="AutoShape 5">
          <a:extLst>
            <a:ext uri="{FF2B5EF4-FFF2-40B4-BE49-F238E27FC236}">
              <a16:creationId xmlns:a16="http://schemas.microsoft.com/office/drawing/2014/main" id="{00000000-0008-0000-06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LVERINE\STAKEBAL.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Q:\Project%20Data\GlacierData\Benchmark_Program\Data\_Templates\Mass_Balance_template_2021.xlsx" TargetMode="External"/><Relationship Id="rId1" Type="http://schemas.openxmlformats.org/officeDocument/2006/relationships/externalLinkPath" Target="/Project%20Data/GlacierData/Benchmark_Program/Data/_Templates/Mass_Balance_template_202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Q:\Project%20Data\GlacierData\Benchmark_Program\Data\_Templates\Mass_Balance_template_2024.xlsx" TargetMode="External"/><Relationship Id="rId1" Type="http://schemas.openxmlformats.org/officeDocument/2006/relationships/externalLinkPath" Target="/Project%20Data/GlacierData/Benchmark_Program/Data/_Templates/Mass_Balance_template_202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OLVERINE\Wolv-C%20Snowpi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WOLVERINE\Wolv-B%20Snowp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 A"/>
      <sheetName val="Stake B"/>
      <sheetName val="Stake C"/>
      <sheetName val="SNOWPIT"/>
    </sheetNames>
    <sheetDataSet>
      <sheetData sheetId="0">
        <row r="103">
          <cell r="A103">
            <v>32784</v>
          </cell>
          <cell r="D103" t="str">
            <v>89T157</v>
          </cell>
          <cell r="E103" t="str">
            <v>89-A</v>
          </cell>
          <cell r="F103" t="str">
            <v>I</v>
          </cell>
          <cell r="H103">
            <v>7.9</v>
          </cell>
          <cell r="I103">
            <v>0</v>
          </cell>
          <cell r="J103">
            <v>0</v>
          </cell>
          <cell r="K103" t="str">
            <v/>
          </cell>
          <cell r="M103">
            <v>7.9</v>
          </cell>
          <cell r="N103" t="str">
            <v/>
          </cell>
          <cell r="X103" t="str">
            <v/>
          </cell>
          <cell r="Z103" t="str">
            <v/>
          </cell>
          <cell r="AA103" t="str">
            <v/>
          </cell>
          <cell r="AF103" t="str">
            <v/>
          </cell>
          <cell r="AJ103" t="str">
            <v/>
          </cell>
          <cell r="AM103" t="str">
            <v/>
          </cell>
          <cell r="AN103" t="str">
            <v/>
          </cell>
          <cell r="BG103" t="str">
            <v/>
          </cell>
          <cell r="BK103" t="str">
            <v/>
          </cell>
          <cell r="BL103" t="str">
            <v/>
          </cell>
          <cell r="BO103">
            <v>7.65</v>
          </cell>
          <cell r="BP103">
            <v>7.9</v>
          </cell>
          <cell r="BQ103">
            <v>7.9</v>
          </cell>
          <cell r="BU103" t="str">
            <v/>
          </cell>
          <cell r="BW103">
            <v>0</v>
          </cell>
          <cell r="BX103">
            <v>0</v>
          </cell>
          <cell r="BY103">
            <v>0</v>
          </cell>
          <cell r="BZ103">
            <v>0.23</v>
          </cell>
          <cell r="CA103">
            <v>0.23</v>
          </cell>
          <cell r="CB103">
            <v>0.23</v>
          </cell>
        </row>
        <row r="104">
          <cell r="A104">
            <v>32789</v>
          </cell>
          <cell r="D104" t="str">
            <v>89T160</v>
          </cell>
          <cell r="E104" t="str">
            <v>89-A</v>
          </cell>
          <cell r="F104" t="str">
            <v>I</v>
          </cell>
          <cell r="G104" t="str">
            <v>?/?</v>
          </cell>
          <cell r="H104">
            <v>7.85</v>
          </cell>
          <cell r="K104" t="str">
            <v/>
          </cell>
          <cell r="M104">
            <v>7.85</v>
          </cell>
          <cell r="N104" t="str">
            <v/>
          </cell>
          <cell r="X104" t="str">
            <v/>
          </cell>
          <cell r="Z104" t="str">
            <v/>
          </cell>
          <cell r="AA104" t="str">
            <v/>
          </cell>
          <cell r="AF104" t="str">
            <v/>
          </cell>
          <cell r="AJ104" t="str">
            <v/>
          </cell>
          <cell r="AM104" t="str">
            <v/>
          </cell>
          <cell r="AN104" t="str">
            <v/>
          </cell>
          <cell r="BG104" t="str">
            <v/>
          </cell>
          <cell r="BK104" t="str">
            <v/>
          </cell>
          <cell r="BL104" t="str">
            <v/>
          </cell>
          <cell r="BO104">
            <v>7.65</v>
          </cell>
          <cell r="BP104">
            <v>7.85</v>
          </cell>
          <cell r="BQ104">
            <v>7.85</v>
          </cell>
          <cell r="BU104" t="str">
            <v/>
          </cell>
          <cell r="BW104">
            <v>0</v>
          </cell>
          <cell r="BX104">
            <v>0</v>
          </cell>
          <cell r="BY104">
            <v>0</v>
          </cell>
          <cell r="BZ104">
            <v>0.18</v>
          </cell>
          <cell r="CA104">
            <v>0.18</v>
          </cell>
          <cell r="CB104">
            <v>0.18</v>
          </cell>
        </row>
        <row r="105">
          <cell r="A105">
            <v>32918</v>
          </cell>
          <cell r="D105" t="str">
            <v>90T53</v>
          </cell>
          <cell r="E105" t="str">
            <v>89-A</v>
          </cell>
          <cell r="F105" t="str">
            <v>S</v>
          </cell>
          <cell r="G105" t="str">
            <v>12/12</v>
          </cell>
          <cell r="H105">
            <v>9.5</v>
          </cell>
          <cell r="I105">
            <v>7.18</v>
          </cell>
          <cell r="J105">
            <v>7.15</v>
          </cell>
          <cell r="K105">
            <v>2.9999999999999361E-2</v>
          </cell>
          <cell r="M105">
            <v>9.4700000000000006</v>
          </cell>
          <cell r="N105">
            <v>1.8200000000000003</v>
          </cell>
          <cell r="X105">
            <v>1.82</v>
          </cell>
          <cell r="Z105" t="str">
            <v/>
          </cell>
          <cell r="AA105">
            <v>1</v>
          </cell>
          <cell r="AE105">
            <v>0.36</v>
          </cell>
          <cell r="AF105">
            <v>0.36</v>
          </cell>
          <cell r="AI105">
            <v>-1</v>
          </cell>
          <cell r="AJ105">
            <v>-1</v>
          </cell>
          <cell r="AM105">
            <v>7.65</v>
          </cell>
          <cell r="AN105">
            <v>7.65</v>
          </cell>
          <cell r="BG105" t="str">
            <v/>
          </cell>
          <cell r="BK105" t="str">
            <v/>
          </cell>
          <cell r="BL105" t="str">
            <v/>
          </cell>
          <cell r="BO105">
            <v>7.65</v>
          </cell>
          <cell r="BP105">
            <v>7.65</v>
          </cell>
          <cell r="BQ105">
            <v>7.65</v>
          </cell>
          <cell r="BU105">
            <v>0.66</v>
          </cell>
          <cell r="BW105">
            <v>0</v>
          </cell>
          <cell r="BX105">
            <v>0</v>
          </cell>
          <cell r="BY105">
            <v>0</v>
          </cell>
          <cell r="BZ105">
            <v>0</v>
          </cell>
          <cell r="CA105">
            <v>0.66</v>
          </cell>
          <cell r="CB105">
            <v>0</v>
          </cell>
        </row>
        <row r="106">
          <cell r="A106">
            <v>32949</v>
          </cell>
          <cell r="D106" t="str">
            <v>90T63</v>
          </cell>
          <cell r="E106" t="str">
            <v>89-A</v>
          </cell>
          <cell r="F106" t="str">
            <v>S</v>
          </cell>
          <cell r="G106" t="str">
            <v>12/12</v>
          </cell>
          <cell r="H106">
            <v>9.6</v>
          </cell>
          <cell r="K106" t="str">
            <v/>
          </cell>
          <cell r="M106">
            <v>9.6</v>
          </cell>
          <cell r="N106">
            <v>1.9499999999999993</v>
          </cell>
          <cell r="U106">
            <v>1.95</v>
          </cell>
          <cell r="V106">
            <v>3</v>
          </cell>
          <cell r="X106">
            <v>1.95</v>
          </cell>
          <cell r="AA106">
            <v>4</v>
          </cell>
          <cell r="AE106">
            <v>0.36</v>
          </cell>
          <cell r="AF106">
            <v>0.36</v>
          </cell>
          <cell r="AI106">
            <v>-1</v>
          </cell>
          <cell r="AJ106">
            <v>-1</v>
          </cell>
          <cell r="AM106">
            <v>7.65</v>
          </cell>
          <cell r="AN106">
            <v>7.65</v>
          </cell>
          <cell r="BG106" t="str">
            <v/>
          </cell>
          <cell r="BK106" t="str">
            <v/>
          </cell>
          <cell r="BL106" t="str">
            <v/>
          </cell>
          <cell r="BO106">
            <v>7.65</v>
          </cell>
          <cell r="BP106">
            <v>7.65</v>
          </cell>
          <cell r="BQ106">
            <v>7.65</v>
          </cell>
          <cell r="BU106">
            <v>0.7</v>
          </cell>
          <cell r="BW106">
            <v>0</v>
          </cell>
          <cell r="BX106">
            <v>0</v>
          </cell>
          <cell r="BY106">
            <v>0</v>
          </cell>
          <cell r="BZ106">
            <v>0</v>
          </cell>
          <cell r="CA106">
            <v>0.7</v>
          </cell>
          <cell r="CB106">
            <v>0</v>
          </cell>
        </row>
        <row r="107">
          <cell r="A107">
            <v>33026</v>
          </cell>
          <cell r="D107" t="str">
            <v>90M24</v>
          </cell>
          <cell r="E107" t="str">
            <v>89-A</v>
          </cell>
          <cell r="F107" t="str">
            <v>I</v>
          </cell>
          <cell r="G107" t="str">
            <v>12/6</v>
          </cell>
          <cell r="H107">
            <v>7.87</v>
          </cell>
          <cell r="I107">
            <v>3.26</v>
          </cell>
          <cell r="J107">
            <v>3.3</v>
          </cell>
          <cell r="K107">
            <v>-4.0000000000000036E-2</v>
          </cell>
          <cell r="M107">
            <v>7.91</v>
          </cell>
          <cell r="N107" t="str">
            <v/>
          </cell>
          <cell r="X107" t="str">
            <v/>
          </cell>
          <cell r="AA107" t="str">
            <v/>
          </cell>
          <cell r="AE107">
            <v>0.35</v>
          </cell>
          <cell r="AF107" t="str">
            <v/>
          </cell>
          <cell r="AI107">
            <v>-1</v>
          </cell>
          <cell r="AJ107" t="str">
            <v/>
          </cell>
          <cell r="AM107" t="str">
            <v/>
          </cell>
          <cell r="AN107" t="str">
            <v/>
          </cell>
          <cell r="BG107" t="str">
            <v/>
          </cell>
          <cell r="BK107" t="str">
            <v/>
          </cell>
          <cell r="BL107" t="str">
            <v/>
          </cell>
          <cell r="BO107">
            <v>7.65</v>
          </cell>
          <cell r="BP107">
            <v>7.91</v>
          </cell>
          <cell r="BQ107">
            <v>7.91</v>
          </cell>
          <cell r="BU107" t="str">
            <v/>
          </cell>
          <cell r="BW107">
            <v>0</v>
          </cell>
          <cell r="BX107">
            <v>0</v>
          </cell>
          <cell r="BY107">
            <v>0</v>
          </cell>
          <cell r="BZ107">
            <v>0.23</v>
          </cell>
          <cell r="CA107">
            <v>0.23</v>
          </cell>
          <cell r="CB107">
            <v>0.23</v>
          </cell>
        </row>
        <row r="108">
          <cell r="A108">
            <v>33123</v>
          </cell>
          <cell r="D108" t="str">
            <v>90M35</v>
          </cell>
          <cell r="E108" t="str">
            <v>89-A</v>
          </cell>
          <cell r="F108" t="str">
            <v>I</v>
          </cell>
          <cell r="G108" t="str">
            <v>9/3</v>
          </cell>
          <cell r="H108">
            <v>1.2</v>
          </cell>
          <cell r="I108">
            <v>3.29</v>
          </cell>
          <cell r="J108">
            <v>3.33</v>
          </cell>
          <cell r="K108">
            <v>-4.0000000000000036E-2</v>
          </cell>
          <cell r="M108">
            <v>1.2400000000000002</v>
          </cell>
          <cell r="N108" t="str">
            <v/>
          </cell>
          <cell r="X108" t="str">
            <v/>
          </cell>
          <cell r="AA108" t="str">
            <v/>
          </cell>
          <cell r="AF108" t="str">
            <v/>
          </cell>
          <cell r="AJ108" t="str">
            <v/>
          </cell>
          <cell r="AM108" t="str">
            <v/>
          </cell>
          <cell r="AN108" t="str">
            <v/>
          </cell>
          <cell r="BG108" t="str">
            <v/>
          </cell>
          <cell r="BK108" t="str">
            <v/>
          </cell>
          <cell r="BL108" t="str">
            <v/>
          </cell>
          <cell r="BO108">
            <v>7.65</v>
          </cell>
          <cell r="BP108">
            <v>1.2400000000000002</v>
          </cell>
          <cell r="BQ108">
            <v>1.2400000000000002</v>
          </cell>
          <cell r="BU108" t="str">
            <v/>
          </cell>
          <cell r="BW108">
            <v>0</v>
          </cell>
          <cell r="BX108">
            <v>0</v>
          </cell>
          <cell r="BY108">
            <v>0</v>
          </cell>
          <cell r="BZ108">
            <v>-5.77</v>
          </cell>
          <cell r="CA108">
            <v>-5.77</v>
          </cell>
          <cell r="CB108">
            <v>-5.77</v>
          </cell>
        </row>
        <row r="109">
          <cell r="D109" t="str">
            <v>bn 1990</v>
          </cell>
          <cell r="F109" t="str">
            <v>I</v>
          </cell>
          <cell r="M109" t="e">
            <v>#VALUE!</v>
          </cell>
          <cell r="BO109">
            <v>7.91</v>
          </cell>
          <cell r="BP109" t="e">
            <v>#VALUE!</v>
          </cell>
          <cell r="BQ109" t="e">
            <v>#VALUE!</v>
          </cell>
          <cell r="BU109" t="str">
            <v/>
          </cell>
          <cell r="BW109">
            <v>0</v>
          </cell>
          <cell r="BX109">
            <v>0</v>
          </cell>
          <cell r="BY109">
            <v>0</v>
          </cell>
          <cell r="BZ109" t="e">
            <v>#VALUE!</v>
          </cell>
          <cell r="CA109" t="e">
            <v>#VALUE!</v>
          </cell>
          <cell r="CB109" t="e">
            <v>#VALUE!</v>
          </cell>
        </row>
        <row r="110">
          <cell r="D110" t="str">
            <v>1990 HY end</v>
          </cell>
        </row>
        <row r="111">
          <cell r="K111" t="str">
            <v/>
          </cell>
          <cell r="N111" t="str">
            <v/>
          </cell>
          <cell r="X111" t="str">
            <v/>
          </cell>
          <cell r="AA111" t="str">
            <v/>
          </cell>
          <cell r="AF111" t="str">
            <v/>
          </cell>
          <cell r="AJ111" t="str">
            <v/>
          </cell>
          <cell r="AM111" t="str">
            <v/>
          </cell>
          <cell r="AN111" t="str">
            <v/>
          </cell>
          <cell r="BG111" t="str">
            <v/>
          </cell>
          <cell r="BK111" t="str">
            <v/>
          </cell>
          <cell r="BL111" t="str">
            <v/>
          </cell>
          <cell r="BP111" t="str">
            <v/>
          </cell>
          <cell r="BQ111" t="str">
            <v/>
          </cell>
          <cell r="BU111" t="str">
            <v/>
          </cell>
        </row>
        <row r="112">
          <cell r="A112">
            <v>33123</v>
          </cell>
          <cell r="D112" t="str">
            <v>90M35</v>
          </cell>
          <cell r="E112" t="str">
            <v>90-A</v>
          </cell>
          <cell r="F112" t="str">
            <v>I</v>
          </cell>
          <cell r="G112" t="str">
            <v>0/12</v>
          </cell>
          <cell r="H112">
            <v>8.1</v>
          </cell>
          <cell r="K112" t="str">
            <v/>
          </cell>
          <cell r="M112">
            <v>8.1</v>
          </cell>
          <cell r="N112" t="str">
            <v/>
          </cell>
          <cell r="X112" t="str">
            <v/>
          </cell>
          <cell r="AA112" t="str">
            <v/>
          </cell>
          <cell r="AF112" t="str">
            <v/>
          </cell>
          <cell r="AJ112" t="str">
            <v/>
          </cell>
          <cell r="AM112" t="str">
            <v/>
          </cell>
          <cell r="AN112" t="str">
            <v/>
          </cell>
          <cell r="BG112" t="str">
            <v/>
          </cell>
          <cell r="BK112" t="str">
            <v/>
          </cell>
          <cell r="BL112" t="str">
            <v/>
          </cell>
          <cell r="BO112">
            <v>8.1</v>
          </cell>
          <cell r="BP112">
            <v>8.1</v>
          </cell>
          <cell r="BQ112">
            <v>8.1</v>
          </cell>
          <cell r="BU112" t="str">
            <v/>
          </cell>
          <cell r="BW112">
            <v>0</v>
          </cell>
          <cell r="BX112">
            <v>0</v>
          </cell>
          <cell r="BY112">
            <v>0</v>
          </cell>
          <cell r="BZ112">
            <v>0</v>
          </cell>
          <cell r="CA112">
            <v>0</v>
          </cell>
          <cell r="CB112">
            <v>0</v>
          </cell>
        </row>
        <row r="113">
          <cell r="D113" t="str">
            <v>bn 1990</v>
          </cell>
          <cell r="F113" t="str">
            <v>I</v>
          </cell>
          <cell r="M113" t="e">
            <v>#VALUE!</v>
          </cell>
        </row>
        <row r="114">
          <cell r="D114" t="str">
            <v>1990 HY end</v>
          </cell>
        </row>
        <row r="115">
          <cell r="A115">
            <v>33245</v>
          </cell>
          <cell r="D115" t="str">
            <v>91M6</v>
          </cell>
          <cell r="E115" t="str">
            <v>90-A</v>
          </cell>
          <cell r="F115" t="str">
            <v>S</v>
          </cell>
          <cell r="G115" t="str">
            <v>12/12</v>
          </cell>
          <cell r="H115">
            <v>7.75</v>
          </cell>
          <cell r="I115">
            <v>3.3</v>
          </cell>
          <cell r="J115">
            <v>3.26</v>
          </cell>
          <cell r="K115">
            <v>4.0000000000000036E-2</v>
          </cell>
          <cell r="M115">
            <v>7.71</v>
          </cell>
          <cell r="N115" t="str">
            <v/>
          </cell>
          <cell r="U115">
            <v>0.12000000000000002</v>
          </cell>
          <cell r="V115">
            <v>10</v>
          </cell>
          <cell r="X115" t="e">
            <v>#VALUE!</v>
          </cell>
          <cell r="AA115">
            <v>10</v>
          </cell>
          <cell r="AE115">
            <v>0.37</v>
          </cell>
          <cell r="AF115">
            <v>0.37</v>
          </cell>
          <cell r="AI115">
            <v>-1</v>
          </cell>
          <cell r="AJ115" t="str">
            <v/>
          </cell>
          <cell r="AM115" t="e">
            <v>#VALUE!</v>
          </cell>
          <cell r="AN115" t="e">
            <v>#VALUE!</v>
          </cell>
          <cell r="BG115" t="str">
            <v/>
          </cell>
          <cell r="BK115" t="str">
            <v/>
          </cell>
          <cell r="BL115" t="str">
            <v/>
          </cell>
          <cell r="BO115" t="e">
            <v>#VALUE!</v>
          </cell>
          <cell r="BP115" t="e">
            <v>#VALUE!</v>
          </cell>
          <cell r="BQ115" t="e">
            <v>#VALUE!</v>
          </cell>
          <cell r="BU115" t="e">
            <v>#VALUE!</v>
          </cell>
          <cell r="BW115">
            <v>0</v>
          </cell>
          <cell r="BX115">
            <v>0</v>
          </cell>
          <cell r="BY115">
            <v>0</v>
          </cell>
          <cell r="BZ115">
            <v>0</v>
          </cell>
          <cell r="CA115" t="e">
            <v>#VALUE!</v>
          </cell>
          <cell r="CB115">
            <v>0</v>
          </cell>
        </row>
        <row r="116">
          <cell r="A116">
            <v>33371</v>
          </cell>
          <cell r="D116" t="str">
            <v>91M16</v>
          </cell>
          <cell r="E116" t="str">
            <v>90-A</v>
          </cell>
          <cell r="F116" t="str">
            <v>S</v>
          </cell>
          <cell r="G116" t="str">
            <v>12/9</v>
          </cell>
          <cell r="I116">
            <v>0</v>
          </cell>
          <cell r="J116">
            <v>0</v>
          </cell>
          <cell r="M116" t="str">
            <v/>
          </cell>
          <cell r="N116" t="str">
            <v/>
          </cell>
          <cell r="X116" t="str">
            <v/>
          </cell>
          <cell r="AA116" t="str">
            <v/>
          </cell>
          <cell r="AE116">
            <v>0.37</v>
          </cell>
          <cell r="AF116" t="str">
            <v/>
          </cell>
          <cell r="AI116">
            <v>-1</v>
          </cell>
          <cell r="AJ116" t="str">
            <v/>
          </cell>
          <cell r="AM116" t="str">
            <v/>
          </cell>
          <cell r="AN116" t="str">
            <v/>
          </cell>
          <cell r="BG116" t="str">
            <v/>
          </cell>
          <cell r="BK116" t="str">
            <v/>
          </cell>
          <cell r="BL116" t="str">
            <v/>
          </cell>
          <cell r="BO116" t="e">
            <v>#VALUE!</v>
          </cell>
          <cell r="BP116" t="str">
            <v/>
          </cell>
          <cell r="BQ116" t="str">
            <v/>
          </cell>
          <cell r="BU116" t="e">
            <v>#VALUE!</v>
          </cell>
          <cell r="BW116">
            <v>0</v>
          </cell>
          <cell r="BX116">
            <v>0</v>
          </cell>
          <cell r="BY116">
            <v>0</v>
          </cell>
          <cell r="BZ116">
            <v>0</v>
          </cell>
          <cell r="CA116" t="e">
            <v>#VALUE!</v>
          </cell>
          <cell r="CB116">
            <v>0</v>
          </cell>
        </row>
        <row r="117">
          <cell r="A117">
            <v>33493</v>
          </cell>
          <cell r="D117" t="str">
            <v>91M32</v>
          </cell>
          <cell r="E117" t="str">
            <v>90-A</v>
          </cell>
          <cell r="F117" t="str">
            <v>I</v>
          </cell>
          <cell r="G117" t="str">
            <v>9/6</v>
          </cell>
          <cell r="H117">
            <v>3.48</v>
          </cell>
          <cell r="I117">
            <v>3.57</v>
          </cell>
          <cell r="J117">
            <v>3.57</v>
          </cell>
          <cell r="K117" t="str">
            <v/>
          </cell>
          <cell r="M117">
            <v>3.48</v>
          </cell>
          <cell r="N117" t="str">
            <v/>
          </cell>
          <cell r="X117" t="str">
            <v/>
          </cell>
          <cell r="AA117" t="str">
            <v/>
          </cell>
          <cell r="AF117" t="str">
            <v/>
          </cell>
          <cell r="AJ117" t="str">
            <v/>
          </cell>
          <cell r="AM117" t="str">
            <v/>
          </cell>
          <cell r="AN117" t="str">
            <v/>
          </cell>
          <cell r="BG117" t="str">
            <v/>
          </cell>
          <cell r="BK117" t="str">
            <v/>
          </cell>
          <cell r="BL117" t="str">
            <v/>
          </cell>
          <cell r="BO117" t="e">
            <v>#VALUE!</v>
          </cell>
          <cell r="BP117">
            <v>3.48</v>
          </cell>
          <cell r="BQ117">
            <v>3.48</v>
          </cell>
          <cell r="BU117" t="str">
            <v/>
          </cell>
          <cell r="BW117">
            <v>0</v>
          </cell>
          <cell r="BX117">
            <v>0</v>
          </cell>
          <cell r="BY117">
            <v>0</v>
          </cell>
          <cell r="BZ117">
            <v>0</v>
          </cell>
          <cell r="CA117">
            <v>0</v>
          </cell>
          <cell r="CB117">
            <v>0</v>
          </cell>
        </row>
        <row r="118">
          <cell r="A118">
            <v>33499</v>
          </cell>
          <cell r="D118" t="str">
            <v>91M39</v>
          </cell>
          <cell r="E118" t="str">
            <v>90-A</v>
          </cell>
          <cell r="F118" t="str">
            <v>I</v>
          </cell>
          <cell r="G118" t="str">
            <v>9/6</v>
          </cell>
          <cell r="H118">
            <v>3.15</v>
          </cell>
          <cell r="K118" t="str">
            <v/>
          </cell>
          <cell r="M118">
            <v>3.15</v>
          </cell>
          <cell r="N118" t="str">
            <v/>
          </cell>
          <cell r="X118" t="str">
            <v/>
          </cell>
          <cell r="AA118" t="str">
            <v/>
          </cell>
          <cell r="AF118" t="str">
            <v/>
          </cell>
          <cell r="AJ118" t="str">
            <v/>
          </cell>
          <cell r="AM118" t="str">
            <v/>
          </cell>
          <cell r="AN118" t="str">
            <v/>
          </cell>
          <cell r="BG118" t="str">
            <v/>
          </cell>
          <cell r="BK118" t="str">
            <v/>
          </cell>
          <cell r="BL118" t="str">
            <v/>
          </cell>
          <cell r="BO118" t="e">
            <v>#VALUE!</v>
          </cell>
          <cell r="BP118">
            <v>3.15</v>
          </cell>
          <cell r="BQ118">
            <v>3.15</v>
          </cell>
          <cell r="BU118" t="str">
            <v/>
          </cell>
          <cell r="BW118">
            <v>0</v>
          </cell>
          <cell r="BX118">
            <v>0</v>
          </cell>
          <cell r="BY118">
            <v>0</v>
          </cell>
          <cell r="BZ118">
            <v>0</v>
          </cell>
          <cell r="CA118">
            <v>0</v>
          </cell>
          <cell r="CB118">
            <v>0</v>
          </cell>
        </row>
        <row r="119">
          <cell r="D119" t="str">
            <v>bn 1991</v>
          </cell>
          <cell r="F119" t="str">
            <v>I</v>
          </cell>
          <cell r="M119" t="e">
            <v>#VALUE!</v>
          </cell>
          <cell r="BO119" t="str">
            <v/>
          </cell>
          <cell r="BP119" t="e">
            <v>#VALUE!</v>
          </cell>
          <cell r="BQ119" t="e">
            <v>#VALUE!</v>
          </cell>
          <cell r="BU119" t="str">
            <v/>
          </cell>
          <cell r="BW119">
            <v>0</v>
          </cell>
          <cell r="BX119">
            <v>0</v>
          </cell>
          <cell r="BY119">
            <v>0</v>
          </cell>
          <cell r="BZ119">
            <v>0</v>
          </cell>
          <cell r="CA119">
            <v>0</v>
          </cell>
          <cell r="CB119">
            <v>0</v>
          </cell>
        </row>
        <row r="120">
          <cell r="D120" t="str">
            <v>1991 HY end</v>
          </cell>
        </row>
        <row r="121">
          <cell r="K121" t="str">
            <v/>
          </cell>
          <cell r="N121" t="str">
            <v/>
          </cell>
          <cell r="X121" t="str">
            <v/>
          </cell>
          <cell r="AA121" t="str">
            <v/>
          </cell>
          <cell r="AF121" t="str">
            <v/>
          </cell>
          <cell r="AJ121" t="str">
            <v/>
          </cell>
          <cell r="AM121" t="str">
            <v/>
          </cell>
          <cell r="AN121" t="str">
            <v/>
          </cell>
          <cell r="BG121" t="str">
            <v/>
          </cell>
          <cell r="BK121" t="str">
            <v/>
          </cell>
          <cell r="BL121" t="str">
            <v/>
          </cell>
          <cell r="BP121" t="str">
            <v/>
          </cell>
          <cell r="BQ121" t="str">
            <v/>
          </cell>
          <cell r="BU121" t="str">
            <v/>
          </cell>
        </row>
        <row r="122">
          <cell r="A122">
            <v>33499</v>
          </cell>
          <cell r="D122" t="str">
            <v>91M39</v>
          </cell>
          <cell r="E122" t="str">
            <v>91-A</v>
          </cell>
          <cell r="F122" t="str">
            <v>I</v>
          </cell>
          <cell r="G122" t="str">
            <v>0/12</v>
          </cell>
          <cell r="H122">
            <v>8.9</v>
          </cell>
          <cell r="K122" t="str">
            <v/>
          </cell>
          <cell r="M122">
            <v>8.9</v>
          </cell>
          <cell r="N122" t="str">
            <v/>
          </cell>
          <cell r="X122" t="str">
            <v/>
          </cell>
          <cell r="AA122" t="str">
            <v/>
          </cell>
          <cell r="AF122" t="str">
            <v/>
          </cell>
          <cell r="AJ122" t="str">
            <v/>
          </cell>
          <cell r="AM122" t="str">
            <v/>
          </cell>
          <cell r="AN122" t="str">
            <v/>
          </cell>
          <cell r="BG122" t="str">
            <v/>
          </cell>
          <cell r="BK122" t="str">
            <v/>
          </cell>
          <cell r="BL122" t="str">
            <v/>
          </cell>
          <cell r="BP122">
            <v>8.9</v>
          </cell>
          <cell r="BQ122">
            <v>8.9</v>
          </cell>
          <cell r="BU122" t="str">
            <v/>
          </cell>
          <cell r="BW122">
            <v>0</v>
          </cell>
          <cell r="BX122">
            <v>0</v>
          </cell>
          <cell r="BY122">
            <v>0</v>
          </cell>
          <cell r="BZ122">
            <v>0</v>
          </cell>
          <cell r="CA122">
            <v>0</v>
          </cell>
          <cell r="CB122">
            <v>0</v>
          </cell>
        </row>
        <row r="123">
          <cell r="D123" t="str">
            <v>bn 1991</v>
          </cell>
          <cell r="F123" t="str">
            <v>I</v>
          </cell>
          <cell r="M123" t="e">
            <v>#VALUE!</v>
          </cell>
        </row>
        <row r="124">
          <cell r="D124" t="str">
            <v>1991 HY end</v>
          </cell>
        </row>
        <row r="125">
          <cell r="A125">
            <v>33626</v>
          </cell>
          <cell r="D125" t="str">
            <v>92M3&amp;7</v>
          </cell>
          <cell r="E125" t="str">
            <v>91-A</v>
          </cell>
          <cell r="F125" t="str">
            <v>S</v>
          </cell>
          <cell r="I125">
            <v>3.29</v>
          </cell>
          <cell r="J125">
            <v>3.24</v>
          </cell>
          <cell r="K125">
            <v>4.9999999999999822E-2</v>
          </cell>
          <cell r="M125">
            <v>3.24</v>
          </cell>
          <cell r="N125" t="str">
            <v/>
          </cell>
          <cell r="X125" t="str">
            <v/>
          </cell>
          <cell r="AA125" t="str">
            <v/>
          </cell>
          <cell r="AE125">
            <v>0.39</v>
          </cell>
          <cell r="AF125" t="str">
            <v/>
          </cell>
          <cell r="AI125">
            <v>-1</v>
          </cell>
          <cell r="AJ125" t="str">
            <v/>
          </cell>
          <cell r="AM125" t="e">
            <v>#VALUE!</v>
          </cell>
          <cell r="AN125" t="e">
            <v>#VALUE!</v>
          </cell>
          <cell r="BG125" t="str">
            <v/>
          </cell>
          <cell r="BK125" t="str">
            <v/>
          </cell>
          <cell r="BL125" t="str">
            <v/>
          </cell>
          <cell r="BO125" t="e">
            <v>#VALUE!</v>
          </cell>
          <cell r="BP125" t="e">
            <v>#VALUE!</v>
          </cell>
          <cell r="BQ125" t="e">
            <v>#VALUE!</v>
          </cell>
          <cell r="BU125" t="e">
            <v>#VALUE!</v>
          </cell>
          <cell r="BW125">
            <v>0</v>
          </cell>
          <cell r="BX125">
            <v>0</v>
          </cell>
          <cell r="BY125">
            <v>0</v>
          </cell>
          <cell r="BZ125">
            <v>0</v>
          </cell>
          <cell r="CA125" t="e">
            <v>#VALUE!</v>
          </cell>
          <cell r="CB125">
            <v>0</v>
          </cell>
        </row>
        <row r="126">
          <cell r="A126">
            <v>33737</v>
          </cell>
          <cell r="D126" t="str">
            <v>92M12,14</v>
          </cell>
          <cell r="E126" t="str">
            <v>91-A</v>
          </cell>
          <cell r="F126" t="str">
            <v>S</v>
          </cell>
          <cell r="H126">
            <v>10.73</v>
          </cell>
          <cell r="I126">
            <v>0</v>
          </cell>
          <cell r="J126">
            <v>0</v>
          </cell>
          <cell r="K126" t="str">
            <v/>
          </cell>
          <cell r="M126">
            <v>10.73</v>
          </cell>
          <cell r="N126" t="str">
            <v/>
          </cell>
          <cell r="U126">
            <v>1.8233333333333333</v>
          </cell>
          <cell r="V126">
            <v>6</v>
          </cell>
          <cell r="X126" t="e">
            <v>#VALUE!</v>
          </cell>
          <cell r="AA126">
            <v>6</v>
          </cell>
          <cell r="AE126">
            <v>0.39</v>
          </cell>
          <cell r="AF126">
            <v>0.39</v>
          </cell>
          <cell r="AI126">
            <v>-1</v>
          </cell>
          <cell r="AJ126" t="str">
            <v/>
          </cell>
          <cell r="AM126" t="e">
            <v>#VALUE!</v>
          </cell>
          <cell r="AN126" t="e">
            <v>#VALUE!</v>
          </cell>
          <cell r="BG126" t="str">
            <v/>
          </cell>
          <cell r="BK126" t="str">
            <v/>
          </cell>
          <cell r="BL126" t="str">
            <v/>
          </cell>
          <cell r="BO126" t="e">
            <v>#VALUE!</v>
          </cell>
          <cell r="BP126" t="e">
            <v>#VALUE!</v>
          </cell>
          <cell r="BQ126" t="e">
            <v>#VALUE!</v>
          </cell>
          <cell r="BU126" t="e">
            <v>#VALUE!</v>
          </cell>
          <cell r="BW126">
            <v>0</v>
          </cell>
          <cell r="BX126">
            <v>0</v>
          </cell>
          <cell r="BY126">
            <v>0</v>
          </cell>
          <cell r="BZ126">
            <v>0</v>
          </cell>
          <cell r="CA126" t="e">
            <v>#VALUE!</v>
          </cell>
          <cell r="CB126">
            <v>0</v>
          </cell>
        </row>
        <row r="127">
          <cell r="A127">
            <v>33853</v>
          </cell>
          <cell r="D127" t="str">
            <v>92M61</v>
          </cell>
          <cell r="E127" t="str">
            <v>91-A</v>
          </cell>
          <cell r="F127" t="str">
            <v>I</v>
          </cell>
          <cell r="G127" t="str">
            <v>12/9</v>
          </cell>
          <cell r="I127">
            <v>4.79</v>
          </cell>
          <cell r="J127">
            <v>4.5999999999999996</v>
          </cell>
          <cell r="K127">
            <v>0.19000000000000039</v>
          </cell>
          <cell r="M127">
            <v>4.5999999999999996</v>
          </cell>
          <cell r="N127" t="str">
            <v/>
          </cell>
          <cell r="X127" t="str">
            <v/>
          </cell>
          <cell r="AA127" t="str">
            <v/>
          </cell>
          <cell r="AF127" t="str">
            <v/>
          </cell>
          <cell r="AJ127" t="str">
            <v/>
          </cell>
          <cell r="AM127" t="str">
            <v/>
          </cell>
          <cell r="AN127" t="str">
            <v/>
          </cell>
          <cell r="BG127" t="str">
            <v/>
          </cell>
          <cell r="BK127" t="str">
            <v/>
          </cell>
          <cell r="BL127" t="str">
            <v/>
          </cell>
          <cell r="BO127" t="e">
            <v>#VALUE!</v>
          </cell>
          <cell r="BP127">
            <v>4.5999999999999996</v>
          </cell>
          <cell r="BQ127">
            <v>4.5999999999999996</v>
          </cell>
          <cell r="BU127" t="str">
            <v/>
          </cell>
          <cell r="BW127">
            <v>0</v>
          </cell>
          <cell r="BX127">
            <v>0</v>
          </cell>
          <cell r="BY127">
            <v>0</v>
          </cell>
          <cell r="BZ127">
            <v>0</v>
          </cell>
          <cell r="CA127">
            <v>0</v>
          </cell>
          <cell r="CB127">
            <v>0</v>
          </cell>
        </row>
        <row r="128">
          <cell r="D128" t="str">
            <v>bn 1992</v>
          </cell>
          <cell r="F128" t="str">
            <v>I</v>
          </cell>
          <cell r="M128">
            <v>4.54</v>
          </cell>
          <cell r="BO128" t="e">
            <v>#VALUE!</v>
          </cell>
          <cell r="BP128">
            <v>4.54</v>
          </cell>
          <cell r="BQ128">
            <v>4.54</v>
          </cell>
          <cell r="BU128" t="str">
            <v/>
          </cell>
          <cell r="BW128">
            <v>0</v>
          </cell>
          <cell r="BX128">
            <v>0</v>
          </cell>
          <cell r="BY128">
            <v>0</v>
          </cell>
          <cell r="BZ128">
            <v>0</v>
          </cell>
          <cell r="CA128">
            <v>0</v>
          </cell>
          <cell r="CB128">
            <v>0</v>
          </cell>
        </row>
        <row r="129">
          <cell r="D129" t="str">
            <v>1992 HY end</v>
          </cell>
        </row>
        <row r="130">
          <cell r="A130">
            <v>34009</v>
          </cell>
          <cell r="D130" t="str">
            <v>93M5</v>
          </cell>
          <cell r="E130" t="str">
            <v>91-A</v>
          </cell>
          <cell r="F130" t="str">
            <v>S</v>
          </cell>
          <cell r="I130">
            <v>4.47</v>
          </cell>
          <cell r="J130">
            <v>4.3899999999999997</v>
          </cell>
          <cell r="K130">
            <v>8.0000000000000071E-2</v>
          </cell>
          <cell r="M130">
            <v>4.3899999999999997</v>
          </cell>
          <cell r="N130" t="str">
            <v/>
          </cell>
          <cell r="U130">
            <v>-0.15000000000000036</v>
          </cell>
          <cell r="V130">
            <v>1</v>
          </cell>
          <cell r="X130" t="e">
            <v>#VALUE!</v>
          </cell>
          <cell r="AA130">
            <v>1</v>
          </cell>
          <cell r="AE130">
            <v>0.39</v>
          </cell>
          <cell r="AF130">
            <v>0.39</v>
          </cell>
          <cell r="AI130">
            <v>-1</v>
          </cell>
          <cell r="AJ130" t="str">
            <v/>
          </cell>
          <cell r="AM130" t="e">
            <v>#VALUE!</v>
          </cell>
          <cell r="AN130" t="e">
            <v>#VALUE!</v>
          </cell>
          <cell r="BG130" t="str">
            <v/>
          </cell>
          <cell r="BK130" t="str">
            <v/>
          </cell>
          <cell r="BL130" t="str">
            <v/>
          </cell>
          <cell r="BO130" t="e">
            <v>#VALUE!</v>
          </cell>
          <cell r="BP130" t="e">
            <v>#VALUE!</v>
          </cell>
          <cell r="BQ130" t="e">
            <v>#VALUE!</v>
          </cell>
          <cell r="BU130" t="e">
            <v>#VALUE!</v>
          </cell>
          <cell r="BW130">
            <v>0</v>
          </cell>
          <cell r="BX130">
            <v>0</v>
          </cell>
          <cell r="BY130">
            <v>0</v>
          </cell>
          <cell r="BZ130">
            <v>0</v>
          </cell>
          <cell r="CA130" t="e">
            <v>#VALUE!</v>
          </cell>
          <cell r="CB130">
            <v>0</v>
          </cell>
        </row>
        <row r="131">
          <cell r="A131">
            <v>34105</v>
          </cell>
          <cell r="D131" t="str">
            <v>93M7</v>
          </cell>
          <cell r="E131" t="str">
            <v>91-A</v>
          </cell>
          <cell r="F131" t="str">
            <v>S</v>
          </cell>
          <cell r="G131" t="str">
            <v>13.?/12</v>
          </cell>
          <cell r="I131">
            <v>4.9000000000000004</v>
          </cell>
          <cell r="J131">
            <v>4.8499999999999996</v>
          </cell>
          <cell r="K131">
            <v>5.0000000000000711E-2</v>
          </cell>
          <cell r="M131">
            <v>4.8499999999999996</v>
          </cell>
          <cell r="N131" t="str">
            <v/>
          </cell>
          <cell r="X131" t="str">
            <v/>
          </cell>
          <cell r="AA131" t="str">
            <v/>
          </cell>
          <cell r="AE131">
            <v>0.39</v>
          </cell>
          <cell r="AF131" t="str">
            <v/>
          </cell>
          <cell r="AI131">
            <v>-1</v>
          </cell>
          <cell r="AJ131" t="str">
            <v/>
          </cell>
          <cell r="AM131" t="e">
            <v>#VALUE!</v>
          </cell>
          <cell r="AN131" t="e">
            <v>#VALUE!</v>
          </cell>
          <cell r="BG131" t="str">
            <v/>
          </cell>
          <cell r="BK131" t="str">
            <v/>
          </cell>
          <cell r="BL131" t="str">
            <v/>
          </cell>
          <cell r="BO131" t="e">
            <v>#VALUE!</v>
          </cell>
          <cell r="BP131" t="e">
            <v>#VALUE!</v>
          </cell>
          <cell r="BQ131" t="e">
            <v>#VALUE!</v>
          </cell>
          <cell r="BU131" t="e">
            <v>#VALUE!</v>
          </cell>
          <cell r="BW131">
            <v>0</v>
          </cell>
          <cell r="BX131">
            <v>0</v>
          </cell>
          <cell r="BY131">
            <v>0</v>
          </cell>
          <cell r="BZ131">
            <v>0</v>
          </cell>
          <cell r="CA131" t="e">
            <v>#VALUE!</v>
          </cell>
          <cell r="CB131">
            <v>0</v>
          </cell>
        </row>
        <row r="132">
          <cell r="A132">
            <v>34222</v>
          </cell>
          <cell r="D132" t="str">
            <v>93M32</v>
          </cell>
          <cell r="E132" t="str">
            <v>91-A</v>
          </cell>
          <cell r="F132" t="str">
            <v>I</v>
          </cell>
          <cell r="G132" t="str">
            <v>?/0</v>
          </cell>
          <cell r="H132" t="str">
            <v>STAKE MELTED OUT</v>
          </cell>
          <cell r="K132" t="str">
            <v/>
          </cell>
          <cell r="M132" t="str">
            <v>&lt;0</v>
          </cell>
          <cell r="N132" t="str">
            <v/>
          </cell>
          <cell r="X132" t="str">
            <v/>
          </cell>
          <cell r="AA132" t="str">
            <v/>
          </cell>
          <cell r="AF132" t="str">
            <v/>
          </cell>
          <cell r="AJ132" t="str">
            <v/>
          </cell>
          <cell r="AM132" t="str">
            <v/>
          </cell>
          <cell r="AN132" t="str">
            <v/>
          </cell>
          <cell r="BG132" t="str">
            <v/>
          </cell>
          <cell r="BK132" t="str">
            <v/>
          </cell>
          <cell r="BL132" t="str">
            <v/>
          </cell>
          <cell r="BO132" t="e">
            <v>#VALUE!</v>
          </cell>
          <cell r="BP132" t="str">
            <v>&lt;0</v>
          </cell>
          <cell r="BQ132">
            <v>0</v>
          </cell>
          <cell r="BU132" t="str">
            <v/>
          </cell>
          <cell r="BW132">
            <v>0</v>
          </cell>
          <cell r="BX132">
            <v>0</v>
          </cell>
          <cell r="BY132">
            <v>0</v>
          </cell>
          <cell r="BZ132">
            <v>0</v>
          </cell>
          <cell r="CA132">
            <v>0</v>
          </cell>
          <cell r="CB132">
            <v>0</v>
          </cell>
        </row>
        <row r="133">
          <cell r="K133" t="str">
            <v/>
          </cell>
          <cell r="N133" t="str">
            <v/>
          </cell>
          <cell r="X133" t="str">
            <v/>
          </cell>
          <cell r="AA133" t="str">
            <v/>
          </cell>
          <cell r="AF133" t="str">
            <v/>
          </cell>
          <cell r="AJ133" t="str">
            <v/>
          </cell>
          <cell r="AM133" t="str">
            <v/>
          </cell>
          <cell r="AN133" t="str">
            <v/>
          </cell>
          <cell r="BG133" t="str">
            <v/>
          </cell>
          <cell r="BK133" t="str">
            <v/>
          </cell>
          <cell r="BL133" t="str">
            <v/>
          </cell>
          <cell r="BP133" t="str">
            <v/>
          </cell>
          <cell r="BQ133" t="str">
            <v/>
          </cell>
          <cell r="BU133" t="str">
            <v/>
          </cell>
        </row>
        <row r="134">
          <cell r="A134">
            <v>33854</v>
          </cell>
          <cell r="D134" t="str">
            <v>92M63</v>
          </cell>
          <cell r="E134" t="str">
            <v>92-A</v>
          </cell>
          <cell r="F134" t="str">
            <v>I</v>
          </cell>
          <cell r="G134" t="str">
            <v>0/12</v>
          </cell>
          <cell r="H134">
            <v>8</v>
          </cell>
          <cell r="I134">
            <v>0</v>
          </cell>
          <cell r="J134">
            <v>0</v>
          </cell>
          <cell r="K134" t="str">
            <v/>
          </cell>
          <cell r="M134">
            <v>8</v>
          </cell>
          <cell r="N134" t="str">
            <v/>
          </cell>
          <cell r="X134" t="str">
            <v/>
          </cell>
          <cell r="AA134" t="str">
            <v/>
          </cell>
          <cell r="AF134" t="str">
            <v/>
          </cell>
          <cell r="AJ134" t="str">
            <v/>
          </cell>
          <cell r="AM134" t="str">
            <v/>
          </cell>
          <cell r="AN134" t="str">
            <v/>
          </cell>
          <cell r="BG134" t="str">
            <v/>
          </cell>
          <cell r="BK134" t="str">
            <v/>
          </cell>
          <cell r="BL134" t="str">
            <v/>
          </cell>
          <cell r="BO134" t="e">
            <v>#VALUE!</v>
          </cell>
          <cell r="BP134">
            <v>8</v>
          </cell>
          <cell r="BQ134">
            <v>8</v>
          </cell>
          <cell r="BU134" t="str">
            <v/>
          </cell>
          <cell r="BW134">
            <v>0</v>
          </cell>
          <cell r="BX134">
            <v>0</v>
          </cell>
          <cell r="BY134">
            <v>0</v>
          </cell>
          <cell r="BZ134">
            <v>0</v>
          </cell>
          <cell r="CA134">
            <v>0</v>
          </cell>
          <cell r="CB134">
            <v>0</v>
          </cell>
          <cell r="CC134" t="str">
            <v>This -2.93 agrees with B(I) for stk 91-A makes bn=-7.25</v>
          </cell>
        </row>
        <row r="135">
          <cell r="D135" t="str">
            <v>bn 1992</v>
          </cell>
          <cell r="M135">
            <v>7.94</v>
          </cell>
          <cell r="BO135" t="e">
            <v>#VALUE!</v>
          </cell>
          <cell r="BP135">
            <v>7.94</v>
          </cell>
          <cell r="BQ135">
            <v>7.94</v>
          </cell>
          <cell r="BU135" t="str">
            <v/>
          </cell>
          <cell r="BW135">
            <v>0</v>
          </cell>
          <cell r="BX135">
            <v>0</v>
          </cell>
          <cell r="BY135">
            <v>0</v>
          </cell>
          <cell r="BZ135">
            <v>0</v>
          </cell>
          <cell r="CA135">
            <v>0</v>
          </cell>
          <cell r="CB135">
            <v>0</v>
          </cell>
        </row>
        <row r="136">
          <cell r="D136" t="str">
            <v>1992 HY end</v>
          </cell>
        </row>
        <row r="137">
          <cell r="A137">
            <v>34105</v>
          </cell>
          <cell r="D137" t="str">
            <v>92M17</v>
          </cell>
          <cell r="E137" t="str">
            <v>92-A</v>
          </cell>
          <cell r="F137" t="str">
            <v>S</v>
          </cell>
          <cell r="I137">
            <v>4.57</v>
          </cell>
          <cell r="J137">
            <v>4.51</v>
          </cell>
          <cell r="K137">
            <v>6.0000000000000497E-2</v>
          </cell>
          <cell r="M137">
            <v>4.51</v>
          </cell>
          <cell r="N137" t="str">
            <v/>
          </cell>
          <cell r="U137">
            <v>-3.4300000000000006</v>
          </cell>
          <cell r="V137">
            <v>1</v>
          </cell>
          <cell r="X137" t="e">
            <v>#VALUE!</v>
          </cell>
          <cell r="AA137">
            <v>1</v>
          </cell>
          <cell r="AE137">
            <v>0.39</v>
          </cell>
          <cell r="AF137">
            <v>0.39</v>
          </cell>
          <cell r="AI137">
            <v>-1</v>
          </cell>
          <cell r="AJ137" t="str">
            <v/>
          </cell>
          <cell r="AM137" t="e">
            <v>#VALUE!</v>
          </cell>
          <cell r="AN137" t="e">
            <v>#VALUE!</v>
          </cell>
          <cell r="BG137" t="str">
            <v/>
          </cell>
          <cell r="BK137" t="str">
            <v/>
          </cell>
          <cell r="BL137" t="str">
            <v/>
          </cell>
          <cell r="BO137" t="e">
            <v>#VALUE!</v>
          </cell>
          <cell r="BP137" t="e">
            <v>#VALUE!</v>
          </cell>
          <cell r="BQ137" t="e">
            <v>#VALUE!</v>
          </cell>
          <cell r="BU137" t="e">
            <v>#VALUE!</v>
          </cell>
          <cell r="BW137">
            <v>0</v>
          </cell>
          <cell r="BX137">
            <v>0</v>
          </cell>
          <cell r="BY137">
            <v>0</v>
          </cell>
          <cell r="BZ137">
            <v>0</v>
          </cell>
          <cell r="CA137" t="e">
            <v>#VALUE!</v>
          </cell>
          <cell r="CB137">
            <v>0</v>
          </cell>
        </row>
        <row r="138">
          <cell r="A138">
            <v>34222</v>
          </cell>
          <cell r="D138" t="str">
            <v>93M32,34,37</v>
          </cell>
          <cell r="E138" t="str">
            <v>92-A</v>
          </cell>
          <cell r="F138" t="str">
            <v>I</v>
          </cell>
          <cell r="G138" t="str">
            <v>12/8</v>
          </cell>
          <cell r="H138">
            <v>3.7</v>
          </cell>
          <cell r="I138">
            <v>6.83</v>
          </cell>
          <cell r="J138">
            <v>6.53</v>
          </cell>
          <cell r="K138">
            <v>0.29999999999999982</v>
          </cell>
          <cell r="M138">
            <v>3.4000000000000004</v>
          </cell>
          <cell r="N138" t="str">
            <v/>
          </cell>
          <cell r="X138" t="str">
            <v/>
          </cell>
          <cell r="AA138" t="str">
            <v/>
          </cell>
          <cell r="AF138" t="str">
            <v/>
          </cell>
          <cell r="AJ138" t="str">
            <v/>
          </cell>
          <cell r="AM138" t="str">
            <v/>
          </cell>
          <cell r="AN138" t="str">
            <v/>
          </cell>
          <cell r="BG138" t="str">
            <v/>
          </cell>
          <cell r="BK138" t="str">
            <v/>
          </cell>
          <cell r="BL138" t="str">
            <v/>
          </cell>
          <cell r="BO138" t="e">
            <v>#VALUE!</v>
          </cell>
          <cell r="BP138">
            <v>3.4000000000000004</v>
          </cell>
          <cell r="BQ138">
            <v>3.4000000000000004</v>
          </cell>
          <cell r="BU138" t="str">
            <v/>
          </cell>
          <cell r="BW138">
            <v>0</v>
          </cell>
          <cell r="BX138">
            <v>0</v>
          </cell>
          <cell r="BY138">
            <v>0</v>
          </cell>
          <cell r="BZ138">
            <v>0</v>
          </cell>
          <cell r="CA138">
            <v>0</v>
          </cell>
          <cell r="CB138">
            <v>0</v>
          </cell>
        </row>
        <row r="139">
          <cell r="A139">
            <v>34225</v>
          </cell>
          <cell r="D139" t="str">
            <v>93M37</v>
          </cell>
          <cell r="E139" t="str">
            <v>92-A</v>
          </cell>
          <cell r="F139" t="str">
            <v>I</v>
          </cell>
          <cell r="G139" t="str">
            <v>8/8</v>
          </cell>
          <cell r="H139">
            <v>3.4</v>
          </cell>
          <cell r="K139" t="str">
            <v/>
          </cell>
          <cell r="M139">
            <v>3.4</v>
          </cell>
          <cell r="N139" t="str">
            <v/>
          </cell>
          <cell r="X139" t="str">
            <v/>
          </cell>
          <cell r="AA139" t="str">
            <v/>
          </cell>
          <cell r="AF139" t="str">
            <v/>
          </cell>
          <cell r="AJ139" t="str">
            <v/>
          </cell>
          <cell r="AM139" t="str">
            <v/>
          </cell>
          <cell r="AN139" t="str">
            <v/>
          </cell>
          <cell r="BG139" t="str">
            <v/>
          </cell>
          <cell r="BK139" t="str">
            <v/>
          </cell>
          <cell r="BL139" t="str">
            <v/>
          </cell>
          <cell r="BO139" t="e">
            <v>#VALUE!</v>
          </cell>
          <cell r="BP139">
            <v>3.4</v>
          </cell>
          <cell r="BQ139">
            <v>3.4</v>
          </cell>
          <cell r="BU139" t="str">
            <v/>
          </cell>
          <cell r="BW139">
            <v>0</v>
          </cell>
          <cell r="BX139">
            <v>0</v>
          </cell>
          <cell r="BY139">
            <v>0</v>
          </cell>
          <cell r="BZ139">
            <v>0</v>
          </cell>
          <cell r="CA139">
            <v>0</v>
          </cell>
          <cell r="CB139">
            <v>0</v>
          </cell>
        </row>
        <row r="140">
          <cell r="D140" t="str">
            <v>bn 1993</v>
          </cell>
          <cell r="F140" t="str">
            <v>I</v>
          </cell>
          <cell r="M140" t="e">
            <v>#VALUE!</v>
          </cell>
          <cell r="N140" t="str">
            <v/>
          </cell>
          <cell r="BO140" t="e">
            <v>#VALUE!</v>
          </cell>
          <cell r="BP140" t="e">
            <v>#VALUE!</v>
          </cell>
          <cell r="BQ140" t="e">
            <v>#VALUE!</v>
          </cell>
          <cell r="BU140" t="str">
            <v/>
          </cell>
          <cell r="BW140">
            <v>0</v>
          </cell>
          <cell r="BX140">
            <v>0</v>
          </cell>
          <cell r="BY140">
            <v>0</v>
          </cell>
          <cell r="BZ140">
            <v>0</v>
          </cell>
          <cell r="CA140">
            <v>0</v>
          </cell>
          <cell r="CB140">
            <v>0</v>
          </cell>
        </row>
        <row r="141">
          <cell r="D141" t="str">
            <v>1993 HY end</v>
          </cell>
        </row>
        <row r="142">
          <cell r="A142">
            <v>34370</v>
          </cell>
          <cell r="D142" t="str">
            <v>94M4</v>
          </cell>
          <cell r="E142" t="str">
            <v>92-A</v>
          </cell>
          <cell r="F142" t="str">
            <v>S</v>
          </cell>
          <cell r="I142">
            <v>4.3600000000000003</v>
          </cell>
          <cell r="J142">
            <v>3.95</v>
          </cell>
          <cell r="K142">
            <v>0.41000000000000014</v>
          </cell>
          <cell r="M142">
            <v>3.95</v>
          </cell>
          <cell r="N142" t="str">
            <v/>
          </cell>
          <cell r="X142" t="str">
            <v/>
          </cell>
          <cell r="AA142" t="str">
            <v/>
          </cell>
          <cell r="AE142">
            <v>0.38</v>
          </cell>
          <cell r="AF142" t="str">
            <v/>
          </cell>
          <cell r="AI142">
            <v>-1</v>
          </cell>
          <cell r="AJ142" t="str">
            <v/>
          </cell>
          <cell r="AM142" t="e">
            <v>#VALUE!</v>
          </cell>
          <cell r="AN142" t="e">
            <v>#VALUE!</v>
          </cell>
          <cell r="BG142" t="str">
            <v/>
          </cell>
          <cell r="BK142" t="str">
            <v/>
          </cell>
          <cell r="BL142" t="str">
            <v/>
          </cell>
          <cell r="BO142" t="e">
            <v>#VALUE!</v>
          </cell>
          <cell r="BP142" t="e">
            <v>#VALUE!</v>
          </cell>
          <cell r="BQ142" t="e">
            <v>#VALUE!</v>
          </cell>
          <cell r="BU142" t="e">
            <v>#VALUE!</v>
          </cell>
          <cell r="BW142">
            <v>0</v>
          </cell>
          <cell r="BX142">
            <v>0</v>
          </cell>
          <cell r="BY142">
            <v>0</v>
          </cell>
          <cell r="BZ142">
            <v>0</v>
          </cell>
          <cell r="CA142" t="e">
            <v>#VALUE!</v>
          </cell>
          <cell r="CB142">
            <v>0</v>
          </cell>
        </row>
        <row r="143">
          <cell r="A143">
            <v>34469</v>
          </cell>
          <cell r="D143" t="str">
            <v>94M14,16</v>
          </cell>
          <cell r="E143" t="str">
            <v>92-A</v>
          </cell>
          <cell r="F143" t="str">
            <v>S</v>
          </cell>
          <cell r="G143" t="str">
            <v>8/6?</v>
          </cell>
          <cell r="H143">
            <v>4.55</v>
          </cell>
          <cell r="I143">
            <v>0</v>
          </cell>
          <cell r="J143">
            <v>0</v>
          </cell>
          <cell r="K143" t="str">
            <v/>
          </cell>
          <cell r="M143">
            <v>4.55</v>
          </cell>
          <cell r="N143" t="str">
            <v/>
          </cell>
          <cell r="U143">
            <v>1.8199999999999998</v>
          </cell>
          <cell r="V143">
            <v>5</v>
          </cell>
          <cell r="X143" t="e">
            <v>#VALUE!</v>
          </cell>
          <cell r="AA143">
            <v>5</v>
          </cell>
          <cell r="AE143">
            <v>0.39</v>
          </cell>
          <cell r="AF143">
            <v>0.39</v>
          </cell>
          <cell r="AI143">
            <v>-1</v>
          </cell>
          <cell r="AJ143" t="str">
            <v/>
          </cell>
          <cell r="AM143" t="e">
            <v>#VALUE!</v>
          </cell>
          <cell r="AN143" t="e">
            <v>#VALUE!</v>
          </cell>
          <cell r="BG143" t="str">
            <v/>
          </cell>
          <cell r="BK143" t="str">
            <v/>
          </cell>
          <cell r="BL143" t="str">
            <v/>
          </cell>
          <cell r="BO143" t="e">
            <v>#VALUE!</v>
          </cell>
          <cell r="BP143" t="e">
            <v>#VALUE!</v>
          </cell>
          <cell r="BQ143" t="e">
            <v>#VALUE!</v>
          </cell>
          <cell r="BU143" t="e">
            <v>#VALUE!</v>
          </cell>
          <cell r="BW143">
            <v>0</v>
          </cell>
          <cell r="BX143">
            <v>0</v>
          </cell>
          <cell r="BY143">
            <v>0</v>
          </cell>
          <cell r="BZ143">
            <v>0</v>
          </cell>
          <cell r="CA143" t="e">
            <v>#VALUE!</v>
          </cell>
          <cell r="CB143">
            <v>0</v>
          </cell>
        </row>
        <row r="144">
          <cell r="K144" t="str">
            <v/>
          </cell>
          <cell r="N144" t="str">
            <v/>
          </cell>
          <cell r="X144" t="str">
            <v/>
          </cell>
          <cell r="AA144" t="str">
            <v/>
          </cell>
          <cell r="AF144" t="str">
            <v/>
          </cell>
          <cell r="AJ144" t="str">
            <v/>
          </cell>
          <cell r="AM144" t="str">
            <v/>
          </cell>
          <cell r="AN144" t="str">
            <v/>
          </cell>
          <cell r="BG144" t="str">
            <v/>
          </cell>
          <cell r="BK144" t="str">
            <v/>
          </cell>
          <cell r="BL144" t="str">
            <v/>
          </cell>
          <cell r="BP144" t="str">
            <v/>
          </cell>
          <cell r="BQ144" t="str">
            <v/>
          </cell>
          <cell r="BU144" t="str">
            <v/>
          </cell>
        </row>
        <row r="145">
          <cell r="A145">
            <v>34225</v>
          </cell>
          <cell r="D145" t="str">
            <v>93M37</v>
          </cell>
          <cell r="E145" t="str">
            <v>93-A</v>
          </cell>
          <cell r="F145" t="str">
            <v>I</v>
          </cell>
          <cell r="G145" t="str">
            <v>0/12</v>
          </cell>
          <cell r="H145">
            <v>9.1300000000000008</v>
          </cell>
          <cell r="I145">
            <v>6.83</v>
          </cell>
          <cell r="J145">
            <v>2.2599999999999998</v>
          </cell>
          <cell r="K145">
            <v>4.57</v>
          </cell>
          <cell r="M145">
            <v>4.5600000000000005</v>
          </cell>
          <cell r="N145" t="str">
            <v/>
          </cell>
          <cell r="X145" t="str">
            <v/>
          </cell>
          <cell r="AA145" t="str">
            <v/>
          </cell>
          <cell r="AF145" t="str">
            <v/>
          </cell>
          <cell r="AJ145" t="str">
            <v/>
          </cell>
          <cell r="AM145" t="str">
            <v/>
          </cell>
          <cell r="AN145" t="str">
            <v/>
          </cell>
          <cell r="BG145" t="str">
            <v/>
          </cell>
          <cell r="BK145" t="str">
            <v/>
          </cell>
          <cell r="BL145" t="str">
            <v/>
          </cell>
          <cell r="BP145">
            <v>4.5600000000000005</v>
          </cell>
          <cell r="BQ145">
            <v>4.5600000000000005</v>
          </cell>
          <cell r="BU145" t="str">
            <v/>
          </cell>
          <cell r="BW145">
            <v>0</v>
          </cell>
          <cell r="BX145">
            <v>0</v>
          </cell>
          <cell r="BY145">
            <v>0</v>
          </cell>
          <cell r="BZ145">
            <v>0</v>
          </cell>
          <cell r="CA145">
            <v>0</v>
          </cell>
          <cell r="CB145">
            <v>0</v>
          </cell>
        </row>
        <row r="146">
          <cell r="D146" t="str">
            <v>bn 1993</v>
          </cell>
          <cell r="F146" t="str">
            <v>I</v>
          </cell>
          <cell r="M146">
            <v>8.8800000000000008</v>
          </cell>
          <cell r="BP146">
            <v>8.8800000000000008</v>
          </cell>
          <cell r="BQ146">
            <v>8.8800000000000008</v>
          </cell>
          <cell r="BU146" t="str">
            <v/>
          </cell>
          <cell r="BW146">
            <v>0</v>
          </cell>
          <cell r="BX146">
            <v>0</v>
          </cell>
          <cell r="BY146">
            <v>0</v>
          </cell>
          <cell r="BZ146">
            <v>0</v>
          </cell>
          <cell r="CA146">
            <v>0</v>
          </cell>
          <cell r="CB146">
            <v>0</v>
          </cell>
        </row>
        <row r="147">
          <cell r="D147" t="str">
            <v>1993 HY end</v>
          </cell>
        </row>
        <row r="148">
          <cell r="A148">
            <v>34370</v>
          </cell>
          <cell r="D148" t="str">
            <v>94M4</v>
          </cell>
          <cell r="E148" t="str">
            <v>93-A</v>
          </cell>
          <cell r="F148" t="str">
            <v>S</v>
          </cell>
          <cell r="I148" t="str">
            <v>not observed or surveyed</v>
          </cell>
          <cell r="N148" t="str">
            <v/>
          </cell>
          <cell r="X148" t="str">
            <v/>
          </cell>
          <cell r="AA148" t="str">
            <v/>
          </cell>
          <cell r="AF148" t="str">
            <v/>
          </cell>
          <cell r="AI148">
            <v>-1</v>
          </cell>
          <cell r="AJ148" t="str">
            <v/>
          </cell>
          <cell r="AM148" t="str">
            <v/>
          </cell>
          <cell r="AN148" t="str">
            <v/>
          </cell>
          <cell r="BG148" t="str">
            <v/>
          </cell>
          <cell r="BK148" t="str">
            <v/>
          </cell>
          <cell r="BL148" t="str">
            <v/>
          </cell>
          <cell r="BU148" t="e">
            <v>#VALUE!</v>
          </cell>
          <cell r="BW148">
            <v>0</v>
          </cell>
          <cell r="BX148">
            <v>0</v>
          </cell>
          <cell r="BY148">
            <v>0</v>
          </cell>
          <cell r="BZ148">
            <v>0</v>
          </cell>
          <cell r="CA148" t="e">
            <v>#VALUE!</v>
          </cell>
          <cell r="CB148">
            <v>0</v>
          </cell>
        </row>
        <row r="149">
          <cell r="A149">
            <v>34468</v>
          </cell>
          <cell r="D149" t="str">
            <v>94M14,16</v>
          </cell>
          <cell r="E149" t="str">
            <v>93-A</v>
          </cell>
          <cell r="F149" t="str">
            <v>S</v>
          </cell>
          <cell r="G149" t="str">
            <v>9/9 or 12/12?</v>
          </cell>
          <cell r="H149">
            <v>10.7</v>
          </cell>
          <cell r="I149">
            <v>6.82</v>
          </cell>
          <cell r="J149">
            <v>6.82</v>
          </cell>
          <cell r="K149" t="str">
            <v/>
          </cell>
          <cell r="M149">
            <v>10.7</v>
          </cell>
          <cell r="U149">
            <v>1.8199999999999998</v>
          </cell>
          <cell r="V149">
            <v>5</v>
          </cell>
          <cell r="X149">
            <v>1.82</v>
          </cell>
          <cell r="AA149">
            <v>5</v>
          </cell>
          <cell r="AE149">
            <v>0.39</v>
          </cell>
          <cell r="AF149">
            <v>0.39</v>
          </cell>
          <cell r="AI149">
            <v>-1</v>
          </cell>
          <cell r="AJ149">
            <v>-1</v>
          </cell>
          <cell r="AM149">
            <v>8.8800000000000008</v>
          </cell>
          <cell r="AN149">
            <v>8.8800000000000008</v>
          </cell>
          <cell r="BG149" t="str">
            <v/>
          </cell>
          <cell r="BK149" t="str">
            <v/>
          </cell>
          <cell r="BL149" t="str">
            <v/>
          </cell>
          <cell r="BO149">
            <v>8.8800000000000008</v>
          </cell>
          <cell r="BP149">
            <v>8.8800000000000008</v>
          </cell>
          <cell r="BQ149">
            <v>8.8800000000000008</v>
          </cell>
          <cell r="BU149">
            <v>0.71</v>
          </cell>
          <cell r="BW149">
            <v>0</v>
          </cell>
          <cell r="BX149">
            <v>0</v>
          </cell>
          <cell r="BY149">
            <v>0</v>
          </cell>
          <cell r="BZ149">
            <v>0</v>
          </cell>
          <cell r="CA149">
            <v>0.71</v>
          </cell>
          <cell r="CB149">
            <v>0</v>
          </cell>
        </row>
        <row r="150">
          <cell r="A150">
            <v>34586</v>
          </cell>
          <cell r="D150" t="str">
            <v>94M27</v>
          </cell>
          <cell r="E150" t="str">
            <v>93-A</v>
          </cell>
          <cell r="F150" t="str">
            <v>I</v>
          </cell>
          <cell r="I150">
            <v>6.83</v>
          </cell>
          <cell r="J150">
            <v>2.2599999999999998</v>
          </cell>
          <cell r="K150">
            <v>4.57</v>
          </cell>
          <cell r="M150">
            <v>2.2599999999999998</v>
          </cell>
          <cell r="N150" t="str">
            <v/>
          </cell>
          <cell r="X150" t="str">
            <v/>
          </cell>
          <cell r="AA150" t="str">
            <v/>
          </cell>
          <cell r="AF150" t="str">
            <v/>
          </cell>
          <cell r="AJ150" t="str">
            <v/>
          </cell>
          <cell r="AM150" t="str">
            <v/>
          </cell>
          <cell r="AN150" t="str">
            <v/>
          </cell>
          <cell r="BG150" t="str">
            <v/>
          </cell>
          <cell r="BK150" t="str">
            <v/>
          </cell>
          <cell r="BL150" t="str">
            <v/>
          </cell>
          <cell r="BO150">
            <v>8.8800000000000008</v>
          </cell>
          <cell r="BP150">
            <v>2.2599999999999998</v>
          </cell>
          <cell r="BQ150">
            <v>2.2599999999999998</v>
          </cell>
          <cell r="BU150" t="str">
            <v/>
          </cell>
          <cell r="BW150">
            <v>0</v>
          </cell>
          <cell r="BX150">
            <v>0</v>
          </cell>
          <cell r="BY150">
            <v>0</v>
          </cell>
          <cell r="BZ150">
            <v>-5.96</v>
          </cell>
          <cell r="CA150">
            <v>-5.96</v>
          </cell>
          <cell r="CB150">
            <v>-5.96</v>
          </cell>
        </row>
        <row r="151">
          <cell r="D151" t="str">
            <v>bn 1994</v>
          </cell>
          <cell r="F151" t="str">
            <v>I</v>
          </cell>
          <cell r="M151">
            <v>0.77333333333333343</v>
          </cell>
          <cell r="BO151">
            <v>7.49</v>
          </cell>
          <cell r="BP151">
            <v>0.77333333333333343</v>
          </cell>
          <cell r="BQ151">
            <v>0.77333333333333343</v>
          </cell>
          <cell r="BU151" t="str">
            <v/>
          </cell>
          <cell r="BW151">
            <v>0</v>
          </cell>
          <cell r="BX151">
            <v>0</v>
          </cell>
          <cell r="BY151">
            <v>0</v>
          </cell>
          <cell r="BZ151">
            <v>-6.05</v>
          </cell>
          <cell r="CA151">
            <v>-6.05</v>
          </cell>
          <cell r="CB151">
            <v>-6.05</v>
          </cell>
        </row>
        <row r="152">
          <cell r="D152" t="str">
            <v>1994 HY end</v>
          </cell>
        </row>
        <row r="153">
          <cell r="A153">
            <v>34730</v>
          </cell>
          <cell r="D153" t="str">
            <v>95M3</v>
          </cell>
          <cell r="E153" t="str">
            <v>93-A</v>
          </cell>
          <cell r="F153" t="str">
            <v>S</v>
          </cell>
          <cell r="I153">
            <v>6.82</v>
          </cell>
          <cell r="J153">
            <v>6.82</v>
          </cell>
          <cell r="K153" t="str">
            <v/>
          </cell>
          <cell r="M153">
            <v>6.82</v>
          </cell>
          <cell r="N153">
            <v>3.33</v>
          </cell>
          <cell r="U153">
            <v>1.32</v>
          </cell>
          <cell r="V153">
            <v>1</v>
          </cell>
          <cell r="X153">
            <v>2.33</v>
          </cell>
          <cell r="AA153">
            <v>2</v>
          </cell>
          <cell r="AE153">
            <v>0.38</v>
          </cell>
          <cell r="AF153">
            <v>0.38</v>
          </cell>
          <cell r="AI153">
            <v>-1</v>
          </cell>
          <cell r="AJ153">
            <v>-1</v>
          </cell>
          <cell r="AM153">
            <v>4.49</v>
          </cell>
          <cell r="AN153">
            <v>4.49</v>
          </cell>
          <cell r="BG153" t="str">
            <v/>
          </cell>
          <cell r="BK153" t="str">
            <v/>
          </cell>
          <cell r="BL153" t="str">
            <v/>
          </cell>
          <cell r="BO153">
            <v>3.49</v>
          </cell>
          <cell r="BP153">
            <v>4.49</v>
          </cell>
          <cell r="BQ153">
            <v>4.49</v>
          </cell>
          <cell r="BU153">
            <v>0.89</v>
          </cell>
          <cell r="BW153">
            <v>0</v>
          </cell>
          <cell r="BX153">
            <v>0</v>
          </cell>
          <cell r="BY153">
            <v>0</v>
          </cell>
          <cell r="BZ153">
            <v>0.9</v>
          </cell>
          <cell r="CA153">
            <v>1.79</v>
          </cell>
          <cell r="CB153">
            <v>0.9</v>
          </cell>
        </row>
        <row r="154">
          <cell r="A154">
            <v>34833</v>
          </cell>
          <cell r="D154" t="str">
            <v>95M9,12</v>
          </cell>
          <cell r="E154" t="str">
            <v>93-A</v>
          </cell>
          <cell r="F154" t="str">
            <v>S</v>
          </cell>
          <cell r="I154">
            <v>1.5</v>
          </cell>
          <cell r="J154">
            <v>1.29</v>
          </cell>
          <cell r="K154">
            <v>0.20999999999999996</v>
          </cell>
          <cell r="M154">
            <v>1.29</v>
          </cell>
          <cell r="N154">
            <v>-2.2000000000000002</v>
          </cell>
          <cell r="U154">
            <v>1.952</v>
          </cell>
          <cell r="V154">
            <v>5</v>
          </cell>
          <cell r="X154">
            <v>1.26</v>
          </cell>
          <cell r="AA154">
            <v>6</v>
          </cell>
          <cell r="AE154">
            <v>0.4</v>
          </cell>
          <cell r="AF154">
            <v>0.4</v>
          </cell>
          <cell r="AJ154" t="e">
            <v>#DIV/0!</v>
          </cell>
          <cell r="AM154">
            <v>0.03</v>
          </cell>
          <cell r="AN154">
            <v>0.03</v>
          </cell>
          <cell r="BG154" t="str">
            <v/>
          </cell>
          <cell r="BK154" t="str">
            <v/>
          </cell>
          <cell r="BL154" t="str">
            <v/>
          </cell>
          <cell r="BO154">
            <v>3.49</v>
          </cell>
          <cell r="BP154">
            <v>0.03</v>
          </cell>
          <cell r="BQ154">
            <v>0.03</v>
          </cell>
          <cell r="BU154">
            <v>0.5</v>
          </cell>
          <cell r="BW154">
            <v>0</v>
          </cell>
          <cell r="BX154">
            <v>0</v>
          </cell>
          <cell r="BY154">
            <v>0</v>
          </cell>
          <cell r="BZ154">
            <v>-3.11</v>
          </cell>
          <cell r="CA154">
            <v>-2.61</v>
          </cell>
          <cell r="CB154">
            <v>-3.11</v>
          </cell>
        </row>
        <row r="155">
          <cell r="A155">
            <v>34957</v>
          </cell>
          <cell r="D155" t="str">
            <v>95M31</v>
          </cell>
          <cell r="E155" t="str">
            <v>93-A</v>
          </cell>
          <cell r="F155" t="str">
            <v>I</v>
          </cell>
          <cell r="G155" t="str">
            <v>6/0</v>
          </cell>
          <cell r="H155">
            <v>0.71</v>
          </cell>
          <cell r="K155" t="str">
            <v/>
          </cell>
          <cell r="M155">
            <v>0.71</v>
          </cell>
          <cell r="N155" t="str">
            <v/>
          </cell>
          <cell r="X155" t="str">
            <v/>
          </cell>
          <cell r="AA155" t="str">
            <v/>
          </cell>
          <cell r="AF155" t="str">
            <v/>
          </cell>
          <cell r="AJ155" t="str">
            <v/>
          </cell>
          <cell r="AM155" t="str">
            <v/>
          </cell>
          <cell r="AN155" t="str">
            <v/>
          </cell>
          <cell r="BG155" t="str">
            <v/>
          </cell>
          <cell r="BK155" t="str">
            <v/>
          </cell>
          <cell r="BL155" t="str">
            <v/>
          </cell>
          <cell r="BO155">
            <v>3.49</v>
          </cell>
          <cell r="BP155">
            <v>0.71</v>
          </cell>
          <cell r="BQ155">
            <v>0.71</v>
          </cell>
          <cell r="BU155" t="str">
            <v/>
          </cell>
          <cell r="BW155">
            <v>0</v>
          </cell>
          <cell r="BX155">
            <v>0</v>
          </cell>
          <cell r="BY155">
            <v>0</v>
          </cell>
          <cell r="BZ155">
            <v>-2.5</v>
          </cell>
          <cell r="CA155">
            <v>-2.5</v>
          </cell>
          <cell r="CB155">
            <v>-2.5</v>
          </cell>
        </row>
        <row r="156">
          <cell r="D156" t="str">
            <v>bn 1995</v>
          </cell>
        </row>
        <row r="157">
          <cell r="D157" t="str">
            <v>1995 HY end</v>
          </cell>
        </row>
        <row r="158">
          <cell r="K158" t="str">
            <v/>
          </cell>
          <cell r="N158" t="str">
            <v/>
          </cell>
          <cell r="X158" t="str">
            <v/>
          </cell>
          <cell r="AA158" t="str">
            <v/>
          </cell>
          <cell r="AF158" t="str">
            <v/>
          </cell>
          <cell r="AJ158" t="str">
            <v/>
          </cell>
          <cell r="AM158" t="str">
            <v/>
          </cell>
          <cell r="AN158" t="str">
            <v/>
          </cell>
          <cell r="BG158" t="str">
            <v/>
          </cell>
          <cell r="BK158" t="str">
            <v/>
          </cell>
          <cell r="BL158" t="str">
            <v/>
          </cell>
          <cell r="BP158" t="str">
            <v/>
          </cell>
          <cell r="BQ158" t="str">
            <v/>
          </cell>
          <cell r="BU158" t="str">
            <v/>
          </cell>
        </row>
        <row r="159">
          <cell r="A159">
            <v>34584</v>
          </cell>
          <cell r="D159" t="str">
            <v>94M25</v>
          </cell>
          <cell r="E159" t="str">
            <v>94-A</v>
          </cell>
          <cell r="F159" t="str">
            <v>I</v>
          </cell>
          <cell r="K159" t="str">
            <v/>
          </cell>
          <cell r="M159" t="str">
            <v/>
          </cell>
          <cell r="N159" t="str">
            <v/>
          </cell>
          <cell r="X159" t="str">
            <v/>
          </cell>
          <cell r="AA159" t="str">
            <v/>
          </cell>
          <cell r="AF159" t="str">
            <v/>
          </cell>
          <cell r="AJ159" t="str">
            <v/>
          </cell>
          <cell r="AM159" t="str">
            <v/>
          </cell>
          <cell r="AN159" t="str">
            <v/>
          </cell>
          <cell r="BG159" t="str">
            <v/>
          </cell>
          <cell r="BK159" t="str">
            <v/>
          </cell>
          <cell r="BL159" t="str">
            <v/>
          </cell>
          <cell r="BP159" t="str">
            <v/>
          </cell>
          <cell r="BQ159" t="str">
            <v/>
          </cell>
          <cell r="BU159" t="str">
            <v/>
          </cell>
          <cell r="BW159">
            <v>0</v>
          </cell>
          <cell r="BX159">
            <v>0</v>
          </cell>
          <cell r="BY159">
            <v>0</v>
          </cell>
          <cell r="BZ159">
            <v>0</v>
          </cell>
          <cell r="CA159">
            <v>0</v>
          </cell>
          <cell r="CB159">
            <v>0</v>
          </cell>
        </row>
        <row r="160">
          <cell r="A160">
            <v>34586</v>
          </cell>
          <cell r="D160" t="str">
            <v>94M27</v>
          </cell>
          <cell r="E160" t="str">
            <v>94-A</v>
          </cell>
          <cell r="F160" t="str">
            <v>I</v>
          </cell>
          <cell r="I160">
            <v>3.15</v>
          </cell>
          <cell r="J160">
            <v>3.17</v>
          </cell>
          <cell r="K160">
            <v>-2.0000000000000018E-2</v>
          </cell>
          <cell r="M160">
            <v>3.17</v>
          </cell>
          <cell r="N160" t="str">
            <v/>
          </cell>
          <cell r="X160" t="str">
            <v/>
          </cell>
          <cell r="AA160" t="str">
            <v/>
          </cell>
          <cell r="AF160" t="str">
            <v/>
          </cell>
          <cell r="AJ160" t="str">
            <v/>
          </cell>
          <cell r="AM160" t="str">
            <v/>
          </cell>
          <cell r="AN160" t="str">
            <v/>
          </cell>
          <cell r="BG160" t="str">
            <v/>
          </cell>
          <cell r="BK160" t="str">
            <v/>
          </cell>
          <cell r="BL160" t="str">
            <v/>
          </cell>
          <cell r="BO160">
            <v>15.58</v>
          </cell>
          <cell r="BP160">
            <v>3.17</v>
          </cell>
          <cell r="BQ160">
            <v>3.17</v>
          </cell>
          <cell r="BU160" t="str">
            <v/>
          </cell>
          <cell r="BW160">
            <v>0</v>
          </cell>
          <cell r="BX160">
            <v>0</v>
          </cell>
          <cell r="BY160">
            <v>0</v>
          </cell>
          <cell r="BZ160">
            <v>-11.17</v>
          </cell>
          <cell r="CA160">
            <v>-11.17</v>
          </cell>
          <cell r="CB160">
            <v>-11.17</v>
          </cell>
        </row>
        <row r="161">
          <cell r="D161" t="str">
            <v>bn 1994</v>
          </cell>
          <cell r="F161" t="str">
            <v>I</v>
          </cell>
          <cell r="M161" t="e">
            <v>#VALUE!</v>
          </cell>
          <cell r="BP161" t="e">
            <v>#VALUE!</v>
          </cell>
          <cell r="BQ161" t="e">
            <v>#VALUE!</v>
          </cell>
          <cell r="BU161" t="str">
            <v/>
          </cell>
          <cell r="BW161">
            <v>0</v>
          </cell>
          <cell r="BX161">
            <v>0</v>
          </cell>
          <cell r="BY161">
            <v>0</v>
          </cell>
          <cell r="BZ161">
            <v>0</v>
          </cell>
          <cell r="CA161">
            <v>0</v>
          </cell>
          <cell r="CB161">
            <v>0</v>
          </cell>
        </row>
        <row r="162">
          <cell r="D162" t="str">
            <v>1994 HY end</v>
          </cell>
        </row>
        <row r="163">
          <cell r="A163">
            <v>34730</v>
          </cell>
          <cell r="D163" t="str">
            <v>95M3</v>
          </cell>
          <cell r="E163" t="str">
            <v>94-A</v>
          </cell>
          <cell r="F163" t="str">
            <v>S</v>
          </cell>
          <cell r="I163">
            <v>1.96</v>
          </cell>
          <cell r="J163">
            <v>1.98</v>
          </cell>
          <cell r="K163">
            <v>-2.0000000000000018E-2</v>
          </cell>
          <cell r="M163">
            <v>1.98</v>
          </cell>
          <cell r="N163">
            <v>-7.4599999999999991</v>
          </cell>
          <cell r="U163">
            <v>1.32</v>
          </cell>
          <cell r="V163">
            <v>1</v>
          </cell>
          <cell r="X163">
            <v>-3.07</v>
          </cell>
          <cell r="AA163">
            <v>2</v>
          </cell>
          <cell r="AE163">
            <v>0.38</v>
          </cell>
          <cell r="AF163">
            <v>0.38</v>
          </cell>
          <cell r="AI163">
            <v>-1</v>
          </cell>
          <cell r="AJ163">
            <v>-1</v>
          </cell>
          <cell r="AM163">
            <v>5.05</v>
          </cell>
          <cell r="AN163">
            <v>5.05</v>
          </cell>
          <cell r="BG163" t="str">
            <v/>
          </cell>
          <cell r="BK163" t="str">
            <v/>
          </cell>
          <cell r="BL163" t="str">
            <v/>
          </cell>
          <cell r="BO163">
            <v>9.44</v>
          </cell>
          <cell r="BP163">
            <v>5.05</v>
          </cell>
          <cell r="BQ163">
            <v>5.05</v>
          </cell>
          <cell r="BU163">
            <v>-1.17</v>
          </cell>
          <cell r="BW163">
            <v>0</v>
          </cell>
          <cell r="BX163">
            <v>0</v>
          </cell>
          <cell r="BY163">
            <v>0</v>
          </cell>
          <cell r="BZ163">
            <v>-3.95</v>
          </cell>
          <cell r="CA163">
            <v>-5.12</v>
          </cell>
          <cell r="CB163">
            <v>-3.95</v>
          </cell>
        </row>
        <row r="164">
          <cell r="A164">
            <v>34831</v>
          </cell>
          <cell r="D164" t="str">
            <v>95M9,12</v>
          </cell>
          <cell r="E164" t="str">
            <v>94-A</v>
          </cell>
          <cell r="F164" t="str">
            <v>S</v>
          </cell>
          <cell r="G164" t="str">
            <v>12/12</v>
          </cell>
          <cell r="H164">
            <v>11.43</v>
          </cell>
          <cell r="I164" t="str">
            <v>No Data</v>
          </cell>
          <cell r="J164" t="str">
            <v>No Data</v>
          </cell>
          <cell r="K164" t="e">
            <v>#VALUE!</v>
          </cell>
          <cell r="M164" t="e">
            <v>#VALUE!</v>
          </cell>
          <cell r="N164" t="e">
            <v>#VALUE!</v>
          </cell>
          <cell r="U164">
            <v>1.952</v>
          </cell>
          <cell r="V164">
            <v>5</v>
          </cell>
          <cell r="X164" t="e">
            <v>#VALUE!</v>
          </cell>
          <cell r="AA164">
            <v>5</v>
          </cell>
          <cell r="AE164">
            <v>0.4</v>
          </cell>
          <cell r="AF164">
            <v>0.4</v>
          </cell>
          <cell r="AJ164" t="str">
            <v/>
          </cell>
          <cell r="AM164" t="str">
            <v/>
          </cell>
          <cell r="AN164" t="str">
            <v/>
          </cell>
          <cell r="BG164" t="str">
            <v/>
          </cell>
          <cell r="BK164" t="str">
            <v/>
          </cell>
          <cell r="BL164" t="str">
            <v/>
          </cell>
          <cell r="BO164">
            <v>9.44</v>
          </cell>
          <cell r="BP164" t="str">
            <v/>
          </cell>
          <cell r="BQ164" t="str">
            <v/>
          </cell>
          <cell r="BU164" t="e">
            <v>#VALUE!</v>
          </cell>
          <cell r="BW164">
            <v>0</v>
          </cell>
          <cell r="BX164">
            <v>0</v>
          </cell>
          <cell r="BY164">
            <v>0</v>
          </cell>
          <cell r="BZ164" t="e">
            <v>#VALUE!</v>
          </cell>
          <cell r="CA164" t="e">
            <v>#VALUE!</v>
          </cell>
          <cell r="CB164" t="e">
            <v>#VALUE!</v>
          </cell>
        </row>
        <row r="165">
          <cell r="A165">
            <v>34956</v>
          </cell>
          <cell r="D165" t="str">
            <v>95M26</v>
          </cell>
          <cell r="E165" t="str">
            <v>94-A</v>
          </cell>
          <cell r="F165" t="str">
            <v>I</v>
          </cell>
          <cell r="G165" t="str">
            <v>6/9</v>
          </cell>
          <cell r="H165">
            <v>5.09</v>
          </cell>
          <cell r="I165">
            <v>0</v>
          </cell>
          <cell r="J165">
            <v>0</v>
          </cell>
          <cell r="K165" t="str">
            <v/>
          </cell>
          <cell r="M165">
            <v>5.09</v>
          </cell>
          <cell r="N165" t="str">
            <v/>
          </cell>
          <cell r="X165" t="str">
            <v/>
          </cell>
          <cell r="AA165" t="str">
            <v/>
          </cell>
          <cell r="AF165" t="str">
            <v/>
          </cell>
          <cell r="AJ165" t="str">
            <v/>
          </cell>
          <cell r="AM165" t="str">
            <v/>
          </cell>
          <cell r="AN165" t="str">
            <v/>
          </cell>
          <cell r="BG165" t="str">
            <v/>
          </cell>
          <cell r="BK165" t="str">
            <v/>
          </cell>
          <cell r="BL165" t="str">
            <v/>
          </cell>
          <cell r="BO165">
            <v>9.44</v>
          </cell>
          <cell r="BP165">
            <v>5.09</v>
          </cell>
          <cell r="BQ165">
            <v>5.09</v>
          </cell>
          <cell r="BU165" t="str">
            <v/>
          </cell>
          <cell r="BW165">
            <v>0</v>
          </cell>
          <cell r="BX165">
            <v>0</v>
          </cell>
          <cell r="BY165">
            <v>0</v>
          </cell>
          <cell r="BZ165">
            <v>-3.92</v>
          </cell>
          <cell r="CA165">
            <v>-3.92</v>
          </cell>
          <cell r="CB165">
            <v>-3.92</v>
          </cell>
        </row>
        <row r="166">
          <cell r="F166" t="str">
            <v>I</v>
          </cell>
          <cell r="M166">
            <v>4.1499999999999995</v>
          </cell>
          <cell r="BO166">
            <v>9.44</v>
          </cell>
          <cell r="BP166">
            <v>4.1499999999999995</v>
          </cell>
          <cell r="BQ166">
            <v>4.1499999999999995</v>
          </cell>
          <cell r="BU166" t="str">
            <v/>
          </cell>
          <cell r="BW166">
            <v>0</v>
          </cell>
          <cell r="BX166">
            <v>0</v>
          </cell>
          <cell r="BY166">
            <v>0</v>
          </cell>
          <cell r="BZ166">
            <v>-4.76</v>
          </cell>
          <cell r="CA166">
            <v>-4.76</v>
          </cell>
          <cell r="CB166">
            <v>-4.76</v>
          </cell>
        </row>
        <row r="167">
          <cell r="M167">
            <v>4.16</v>
          </cell>
          <cell r="N167" t="str">
            <v/>
          </cell>
          <cell r="X167" t="str">
            <v/>
          </cell>
        </row>
        <row r="168">
          <cell r="F168" t="str">
            <v>S</v>
          </cell>
          <cell r="G168" t="str">
            <v>9/9</v>
          </cell>
          <cell r="H168">
            <v>5.0999999999999996</v>
          </cell>
          <cell r="I168">
            <v>4.8499999999999996</v>
          </cell>
          <cell r="J168">
            <v>4.8499999999999996</v>
          </cell>
          <cell r="K168" t="str">
            <v/>
          </cell>
          <cell r="M168">
            <v>5.0999999999999996</v>
          </cell>
          <cell r="N168">
            <v>0.94999999999999929</v>
          </cell>
          <cell r="S168">
            <v>0.9</v>
          </cell>
          <cell r="T168">
            <v>4</v>
          </cell>
          <cell r="U168">
            <v>0.96</v>
          </cell>
          <cell r="V168">
            <v>20</v>
          </cell>
          <cell r="X168">
            <v>0.95</v>
          </cell>
          <cell r="AA168">
            <v>25</v>
          </cell>
          <cell r="AD168">
            <v>0.35199999999999998</v>
          </cell>
          <cell r="AF168">
            <v>0.35199999999999998</v>
          </cell>
          <cell r="AJ168" t="e">
            <v>#DIV/0!</v>
          </cell>
          <cell r="AM168">
            <v>4.1500000000000004</v>
          </cell>
          <cell r="AN168">
            <v>4.1500000000000004</v>
          </cell>
          <cell r="BG168" t="str">
            <v/>
          </cell>
          <cell r="BK168" t="str">
            <v/>
          </cell>
          <cell r="BL168" t="str">
            <v/>
          </cell>
          <cell r="BO168">
            <v>4.1500000000000004</v>
          </cell>
          <cell r="BP168">
            <v>4.1500000000000004</v>
          </cell>
          <cell r="BQ168">
            <v>4.1500000000000004</v>
          </cell>
          <cell r="BU168">
            <v>0.33</v>
          </cell>
          <cell r="BW168">
            <v>0</v>
          </cell>
          <cell r="BX168">
            <v>0</v>
          </cell>
          <cell r="BY168">
            <v>0</v>
          </cell>
          <cell r="BZ168">
            <v>0</v>
          </cell>
          <cell r="CA168">
            <v>0.33</v>
          </cell>
          <cell r="CB168">
            <v>0</v>
          </cell>
        </row>
        <row r="169">
          <cell r="F169" t="str">
            <v>I</v>
          </cell>
          <cell r="G169" t="str">
            <v>9/3</v>
          </cell>
          <cell r="H169">
            <v>4.1500000000000004</v>
          </cell>
          <cell r="I169">
            <v>2.61</v>
          </cell>
          <cell r="J169">
            <v>2.64</v>
          </cell>
          <cell r="K169">
            <v>-3.0000000000000249E-2</v>
          </cell>
          <cell r="M169">
            <v>4.1800000000000006</v>
          </cell>
        </row>
        <row r="170">
          <cell r="K170" t="str">
            <v/>
          </cell>
          <cell r="N170" t="str">
            <v/>
          </cell>
          <cell r="X170" t="str">
            <v/>
          </cell>
          <cell r="AA170" t="str">
            <v/>
          </cell>
          <cell r="AF170" t="str">
            <v/>
          </cell>
          <cell r="AJ170" t="str">
            <v/>
          </cell>
          <cell r="AM170" t="str">
            <v/>
          </cell>
          <cell r="AN170" t="str">
            <v/>
          </cell>
          <cell r="BG170" t="str">
            <v/>
          </cell>
          <cell r="BK170" t="str">
            <v/>
          </cell>
          <cell r="BL170" t="str">
            <v/>
          </cell>
          <cell r="BP170" t="str">
            <v/>
          </cell>
          <cell r="BQ170" t="str">
            <v/>
          </cell>
          <cell r="BU170" t="str">
            <v/>
          </cell>
        </row>
        <row r="171">
          <cell r="F171" t="str">
            <v>I</v>
          </cell>
          <cell r="G171" t="str">
            <v>0/12</v>
          </cell>
          <cell r="H171">
            <v>9.1999999999999993</v>
          </cell>
          <cell r="I171">
            <v>7.98</v>
          </cell>
          <cell r="J171">
            <v>7.96</v>
          </cell>
          <cell r="K171">
            <v>2.0000000000000462E-2</v>
          </cell>
          <cell r="M171">
            <v>9.18</v>
          </cell>
          <cell r="N171" t="str">
            <v/>
          </cell>
          <cell r="X171" t="str">
            <v/>
          </cell>
          <cell r="AA171" t="str">
            <v/>
          </cell>
          <cell r="AF171" t="str">
            <v/>
          </cell>
          <cell r="AJ171" t="str">
            <v/>
          </cell>
          <cell r="AM171" t="str">
            <v/>
          </cell>
          <cell r="AN171" t="str">
            <v/>
          </cell>
          <cell r="BG171" t="str">
            <v/>
          </cell>
          <cell r="BK171" t="str">
            <v/>
          </cell>
          <cell r="BL171" t="str">
            <v/>
          </cell>
          <cell r="BO171">
            <v>9.0499999999999989</v>
          </cell>
          <cell r="BP171">
            <v>9.18</v>
          </cell>
          <cell r="BQ171">
            <v>9.18</v>
          </cell>
          <cell r="BU171" t="str">
            <v/>
          </cell>
          <cell r="BW171">
            <v>0</v>
          </cell>
          <cell r="BX171">
            <v>0</v>
          </cell>
          <cell r="BY171">
            <v>0</v>
          </cell>
          <cell r="BZ171">
            <v>0.12</v>
          </cell>
          <cell r="CA171">
            <v>0.12</v>
          </cell>
          <cell r="CB171">
            <v>0.12</v>
          </cell>
        </row>
        <row r="172">
          <cell r="F172" t="str">
            <v>S</v>
          </cell>
          <cell r="G172" t="str">
            <v>12/12</v>
          </cell>
          <cell r="H172">
            <v>9.41</v>
          </cell>
          <cell r="I172">
            <v>9.4600000000000009</v>
          </cell>
          <cell r="J172">
            <v>9.41</v>
          </cell>
          <cell r="K172">
            <v>5.0000000000000711E-2</v>
          </cell>
          <cell r="M172">
            <v>9.36</v>
          </cell>
          <cell r="N172">
            <v>0.3100000000000005</v>
          </cell>
          <cell r="S172">
            <v>0.9</v>
          </cell>
          <cell r="T172">
            <v>4</v>
          </cell>
          <cell r="U172">
            <v>0.96</v>
          </cell>
          <cell r="V172">
            <v>20</v>
          </cell>
          <cell r="X172">
            <v>0.92</v>
          </cell>
          <cell r="AA172">
            <v>25</v>
          </cell>
          <cell r="AD172">
            <v>0.35199999999999998</v>
          </cell>
          <cell r="AF172">
            <v>0.35199999999999998</v>
          </cell>
          <cell r="AJ172" t="e">
            <v>#DIV/0!</v>
          </cell>
          <cell r="AM172">
            <v>8.44</v>
          </cell>
          <cell r="AN172">
            <v>8.44</v>
          </cell>
          <cell r="BG172" t="str">
            <v/>
          </cell>
          <cell r="BK172" t="str">
            <v/>
          </cell>
          <cell r="BL172" t="str">
            <v/>
          </cell>
          <cell r="BO172">
            <v>9.0499999999999989</v>
          </cell>
          <cell r="BP172">
            <v>8.44</v>
          </cell>
          <cell r="BQ172">
            <v>8.44</v>
          </cell>
          <cell r="BU172">
            <v>0.32</v>
          </cell>
          <cell r="BW172">
            <v>0</v>
          </cell>
          <cell r="BX172">
            <v>0</v>
          </cell>
          <cell r="BY172">
            <v>0</v>
          </cell>
          <cell r="BZ172">
            <v>-0.55000000000000004</v>
          </cell>
          <cell r="CA172">
            <v>-0.23000000000000004</v>
          </cell>
          <cell r="CB172">
            <v>-0.55000000000000004</v>
          </cell>
        </row>
        <row r="173">
          <cell r="F173" t="str">
            <v>I</v>
          </cell>
          <cell r="G173" t="str">
            <v>12/9</v>
          </cell>
          <cell r="H173">
            <v>8.2799999999999994</v>
          </cell>
          <cell r="I173">
            <v>7.89</v>
          </cell>
          <cell r="J173">
            <v>7.77</v>
          </cell>
          <cell r="K173">
            <v>0.12000000000000011</v>
          </cell>
          <cell r="M173">
            <v>8.16</v>
          </cell>
          <cell r="N173" t="str">
            <v/>
          </cell>
          <cell r="X173" t="str">
            <v/>
          </cell>
          <cell r="AA173" t="str">
            <v/>
          </cell>
          <cell r="AF173" t="str">
            <v/>
          </cell>
          <cell r="AJ173" t="str">
            <v/>
          </cell>
          <cell r="AM173" t="str">
            <v/>
          </cell>
          <cell r="AN173" t="str">
            <v/>
          </cell>
          <cell r="BG173" t="str">
            <v/>
          </cell>
          <cell r="BK173" t="str">
            <v/>
          </cell>
          <cell r="BL173" t="str">
            <v/>
          </cell>
          <cell r="BO173">
            <v>9.0499999999999989</v>
          </cell>
          <cell r="BP173">
            <v>8.16</v>
          </cell>
          <cell r="BQ173">
            <v>8.16</v>
          </cell>
          <cell r="BU173" t="str">
            <v/>
          </cell>
          <cell r="BW173">
            <v>0</v>
          </cell>
          <cell r="BX173">
            <v>0</v>
          </cell>
          <cell r="BY173">
            <v>0</v>
          </cell>
          <cell r="BZ173">
            <v>-0.8</v>
          </cell>
          <cell r="CA173">
            <v>-0.8</v>
          </cell>
          <cell r="CB173">
            <v>-0.8</v>
          </cell>
        </row>
        <row r="174">
          <cell r="F174" t="str">
            <v>I</v>
          </cell>
          <cell r="G174" t="str">
            <v>6/6</v>
          </cell>
          <cell r="H174">
            <v>2.5</v>
          </cell>
          <cell r="I174">
            <v>2.0499999999999998</v>
          </cell>
          <cell r="J174">
            <v>1.36</v>
          </cell>
          <cell r="K174">
            <v>0.68999999999999972</v>
          </cell>
          <cell r="M174">
            <v>1.8100000000000003</v>
          </cell>
          <cell r="N174" t="str">
            <v/>
          </cell>
          <cell r="X174" t="str">
            <v/>
          </cell>
          <cell r="AA174" t="str">
            <v/>
          </cell>
          <cell r="AF174" t="str">
            <v/>
          </cell>
          <cell r="AJ174" t="str">
            <v/>
          </cell>
          <cell r="AM174" t="str">
            <v/>
          </cell>
          <cell r="AN174" t="str">
            <v/>
          </cell>
          <cell r="BG174" t="str">
            <v/>
          </cell>
          <cell r="BK174" t="str">
            <v/>
          </cell>
          <cell r="BL174" t="str">
            <v/>
          </cell>
          <cell r="BO174">
            <v>9.0499999999999989</v>
          </cell>
          <cell r="BP174">
            <v>1.8100000000000003</v>
          </cell>
          <cell r="BQ174">
            <v>1.8100000000000003</v>
          </cell>
          <cell r="BU174" t="str">
            <v/>
          </cell>
          <cell r="BW174">
            <v>0</v>
          </cell>
          <cell r="BX174">
            <v>0</v>
          </cell>
          <cell r="BY174">
            <v>0</v>
          </cell>
          <cell r="BZ174">
            <v>-6.52</v>
          </cell>
          <cell r="CA174">
            <v>-6.52</v>
          </cell>
          <cell r="CB174">
            <v>-6.52</v>
          </cell>
        </row>
        <row r="175">
          <cell r="F175" t="str">
            <v>I</v>
          </cell>
          <cell r="M175">
            <v>2.44</v>
          </cell>
          <cell r="BO175">
            <v>9.0499999999999989</v>
          </cell>
          <cell r="BP175">
            <v>2.44</v>
          </cell>
          <cell r="BQ175">
            <v>2.44</v>
          </cell>
          <cell r="BU175" t="str">
            <v/>
          </cell>
          <cell r="BW175">
            <v>0</v>
          </cell>
          <cell r="BX175">
            <v>0</v>
          </cell>
          <cell r="BY175">
            <v>0</v>
          </cell>
          <cell r="BZ175">
            <v>-5.95</v>
          </cell>
          <cell r="CA175">
            <v>-5.95</v>
          </cell>
          <cell r="CB175">
            <v>-5.95</v>
          </cell>
        </row>
        <row r="176">
          <cell r="N176" t="str">
            <v/>
          </cell>
          <cell r="X176" t="str">
            <v/>
          </cell>
        </row>
        <row r="177">
          <cell r="F177" t="str">
            <v>S</v>
          </cell>
          <cell r="G177" t="str">
            <v>6/6</v>
          </cell>
          <cell r="H177">
            <v>3.37</v>
          </cell>
          <cell r="I177">
            <v>0</v>
          </cell>
          <cell r="J177">
            <v>0</v>
          </cell>
          <cell r="K177" t="str">
            <v/>
          </cell>
          <cell r="M177">
            <v>3.37</v>
          </cell>
          <cell r="N177">
            <v>0.93000000000000016</v>
          </cell>
          <cell r="U177">
            <v>0.93</v>
          </cell>
          <cell r="V177">
            <v>3</v>
          </cell>
          <cell r="X177">
            <v>0.93</v>
          </cell>
          <cell r="AA177">
            <v>4</v>
          </cell>
          <cell r="AF177" t="e">
            <v>#DIV/0!</v>
          </cell>
          <cell r="AJ177" t="e">
            <v>#DIV/0!</v>
          </cell>
          <cell r="AM177">
            <v>2.44</v>
          </cell>
          <cell r="AN177">
            <v>2.44</v>
          </cell>
          <cell r="BG177" t="str">
            <v/>
          </cell>
          <cell r="BK177" t="str">
            <v/>
          </cell>
          <cell r="BL177" t="str">
            <v/>
          </cell>
          <cell r="BO177">
            <v>2.44</v>
          </cell>
          <cell r="BP177">
            <v>2.44</v>
          </cell>
          <cell r="BQ177">
            <v>2.44</v>
          </cell>
          <cell r="BU177" t="e">
            <v>#DIV/0!</v>
          </cell>
          <cell r="BW177">
            <v>0</v>
          </cell>
          <cell r="BX177">
            <v>0</v>
          </cell>
          <cell r="BY177">
            <v>0</v>
          </cell>
          <cell r="BZ177">
            <v>0</v>
          </cell>
          <cell r="CA177" t="e">
            <v>#DIV/0!</v>
          </cell>
          <cell r="CB177">
            <v>0</v>
          </cell>
        </row>
        <row r="178">
          <cell r="F178" t="str">
            <v>S</v>
          </cell>
          <cell r="G178" t="str">
            <v>-</v>
          </cell>
          <cell r="H178">
            <v>3.96</v>
          </cell>
          <cell r="AJ178" t="str">
            <v/>
          </cell>
          <cell r="BO178">
            <v>2.44</v>
          </cell>
          <cell r="BP178" t="str">
            <v/>
          </cell>
          <cell r="BQ178" t="str">
            <v/>
          </cell>
        </row>
        <row r="179">
          <cell r="AJ179" t="str">
            <v/>
          </cell>
          <cell r="BP179" t="str">
            <v/>
          </cell>
          <cell r="BQ179" t="str">
            <v/>
          </cell>
        </row>
        <row r="180">
          <cell r="K180" t="str">
            <v/>
          </cell>
          <cell r="N180" t="str">
            <v/>
          </cell>
          <cell r="X180" t="str">
            <v/>
          </cell>
          <cell r="AA180" t="str">
            <v/>
          </cell>
          <cell r="AF180" t="str">
            <v/>
          </cell>
          <cell r="AJ180" t="str">
            <v/>
          </cell>
          <cell r="AM180" t="str">
            <v/>
          </cell>
          <cell r="AN180" t="str">
            <v/>
          </cell>
          <cell r="BG180" t="str">
            <v/>
          </cell>
          <cell r="BK180" t="str">
            <v/>
          </cell>
          <cell r="BL180" t="str">
            <v/>
          </cell>
          <cell r="BP180" t="str">
            <v/>
          </cell>
          <cell r="BQ180" t="str">
            <v/>
          </cell>
          <cell r="BU180" t="str">
            <v/>
          </cell>
        </row>
        <row r="181">
          <cell r="F181" t="str">
            <v>I</v>
          </cell>
          <cell r="G181" t="str">
            <v>0/9</v>
          </cell>
          <cell r="H181">
            <v>5.56</v>
          </cell>
          <cell r="I181">
            <v>0</v>
          </cell>
          <cell r="J181">
            <v>0</v>
          </cell>
          <cell r="K181" t="str">
            <v/>
          </cell>
          <cell r="M181">
            <v>5.56</v>
          </cell>
          <cell r="N181" t="str">
            <v/>
          </cell>
          <cell r="X181" t="str">
            <v/>
          </cell>
          <cell r="AA181" t="str">
            <v/>
          </cell>
          <cell r="AF181" t="str">
            <v/>
          </cell>
          <cell r="AJ181" t="str">
            <v/>
          </cell>
          <cell r="AM181" t="str">
            <v/>
          </cell>
          <cell r="AN181" t="str">
            <v/>
          </cell>
          <cell r="BG181" t="str">
            <v/>
          </cell>
          <cell r="BK181" t="str">
            <v/>
          </cell>
          <cell r="BL181" t="str">
            <v/>
          </cell>
          <cell r="BO181">
            <v>5.56</v>
          </cell>
          <cell r="BP181">
            <v>5.56</v>
          </cell>
          <cell r="BQ181">
            <v>5.56</v>
          </cell>
          <cell r="BU181" t="str">
            <v/>
          </cell>
          <cell r="BW181">
            <v>0</v>
          </cell>
          <cell r="BX181">
            <v>0</v>
          </cell>
          <cell r="BY181">
            <v>0</v>
          </cell>
          <cell r="BZ181">
            <v>0</v>
          </cell>
          <cell r="CA181">
            <v>0</v>
          </cell>
          <cell r="CB181">
            <v>0</v>
          </cell>
        </row>
        <row r="182">
          <cell r="F182" t="str">
            <v>I</v>
          </cell>
          <cell r="M182" t="e">
            <v>#VALUE!</v>
          </cell>
          <cell r="BP182" t="e">
            <v>#VALUE!</v>
          </cell>
          <cell r="BQ182" t="e">
            <v>#VALUE!</v>
          </cell>
          <cell r="BU182" t="str">
            <v/>
          </cell>
          <cell r="BW182">
            <v>0</v>
          </cell>
          <cell r="BX182">
            <v>0</v>
          </cell>
          <cell r="BY182">
            <v>0</v>
          </cell>
          <cell r="BZ182">
            <v>0</v>
          </cell>
          <cell r="CA182">
            <v>0</v>
          </cell>
          <cell r="CB182">
            <v>0</v>
          </cell>
        </row>
        <row r="183">
          <cell r="N183" t="str">
            <v/>
          </cell>
          <cell r="X183" t="str">
            <v/>
          </cell>
        </row>
        <row r="184">
          <cell r="F184" t="str">
            <v>S</v>
          </cell>
          <cell r="G184" t="str">
            <v>9/9</v>
          </cell>
          <cell r="H184">
            <v>6.46</v>
          </cell>
          <cell r="I184">
            <v>8.1</v>
          </cell>
          <cell r="J184">
            <v>8.1</v>
          </cell>
          <cell r="K184" t="str">
            <v/>
          </cell>
          <cell r="M184">
            <v>6.46</v>
          </cell>
          <cell r="N184" t="str">
            <v/>
          </cell>
          <cell r="U184">
            <v>0.93</v>
          </cell>
          <cell r="V184">
            <v>3</v>
          </cell>
          <cell r="X184" t="e">
            <v>#VALUE!</v>
          </cell>
          <cell r="AA184">
            <v>3</v>
          </cell>
          <cell r="AF184" t="e">
            <v>#DIV/0!</v>
          </cell>
          <cell r="AJ184" t="str">
            <v/>
          </cell>
          <cell r="AM184" t="e">
            <v>#VALUE!</v>
          </cell>
          <cell r="AN184" t="e">
            <v>#VALUE!</v>
          </cell>
          <cell r="BG184" t="str">
            <v/>
          </cell>
          <cell r="BK184" t="str">
            <v/>
          </cell>
          <cell r="BL184" t="str">
            <v/>
          </cell>
          <cell r="BO184" t="e">
            <v>#VALUE!</v>
          </cell>
          <cell r="BP184" t="e">
            <v>#VALUE!</v>
          </cell>
          <cell r="BQ184" t="e">
            <v>#VALUE!</v>
          </cell>
          <cell r="BU184" t="e">
            <v>#VALUE!</v>
          </cell>
          <cell r="BW184">
            <v>0</v>
          </cell>
          <cell r="BX184">
            <v>0</v>
          </cell>
          <cell r="BY184">
            <v>0</v>
          </cell>
          <cell r="BZ184">
            <v>0</v>
          </cell>
          <cell r="CA184" t="e">
            <v>#VALUE!</v>
          </cell>
          <cell r="CB184">
            <v>0</v>
          </cell>
        </row>
        <row r="185">
          <cell r="F185" t="str">
            <v>S</v>
          </cell>
          <cell r="G185" t="str">
            <v>-</v>
          </cell>
          <cell r="H185">
            <v>7.03</v>
          </cell>
          <cell r="K185" t="str">
            <v/>
          </cell>
          <cell r="M185">
            <v>7.03</v>
          </cell>
          <cell r="N185" t="str">
            <v/>
          </cell>
          <cell r="X185" t="str">
            <v/>
          </cell>
          <cell r="AA185" t="str">
            <v/>
          </cell>
          <cell r="AE185">
            <v>0.4</v>
          </cell>
          <cell r="AF185" t="str">
            <v/>
          </cell>
          <cell r="AJ185" t="str">
            <v/>
          </cell>
          <cell r="AM185" t="e">
            <v>#VALUE!</v>
          </cell>
          <cell r="AN185" t="e">
            <v>#VALUE!</v>
          </cell>
          <cell r="BG185" t="str">
            <v/>
          </cell>
          <cell r="BK185" t="str">
            <v/>
          </cell>
          <cell r="BL185" t="str">
            <v/>
          </cell>
          <cell r="BO185" t="e">
            <v>#VALUE!</v>
          </cell>
          <cell r="BP185" t="e">
            <v>#VALUE!</v>
          </cell>
          <cell r="BQ185" t="e">
            <v>#VALUE!</v>
          </cell>
          <cell r="BU185" t="e">
            <v>#VALUE!</v>
          </cell>
          <cell r="BW185">
            <v>0</v>
          </cell>
          <cell r="BX185">
            <v>0</v>
          </cell>
          <cell r="BY185">
            <v>0</v>
          </cell>
          <cell r="BZ185">
            <v>0</v>
          </cell>
          <cell r="CA185" t="e">
            <v>#VALUE!</v>
          </cell>
          <cell r="CB185">
            <v>0</v>
          </cell>
        </row>
        <row r="186">
          <cell r="F186" t="str">
            <v>I</v>
          </cell>
          <cell r="G186" t="str">
            <v>3/0</v>
          </cell>
          <cell r="H186">
            <v>0.45</v>
          </cell>
          <cell r="BO186" t="e">
            <v>#VALUE!</v>
          </cell>
        </row>
        <row r="187">
          <cell r="F187" t="str">
            <v>I</v>
          </cell>
          <cell r="M187">
            <v>0.15</v>
          </cell>
          <cell r="BO187" t="e">
            <v>#VALUE!</v>
          </cell>
          <cell r="BP187">
            <v>0.15</v>
          </cell>
          <cell r="BQ187">
            <v>0.15</v>
          </cell>
          <cell r="BU187" t="str">
            <v/>
          </cell>
          <cell r="BW187">
            <v>0</v>
          </cell>
          <cell r="BX187">
            <v>0</v>
          </cell>
          <cell r="BY187">
            <v>0</v>
          </cell>
          <cell r="BZ187">
            <v>0</v>
          </cell>
          <cell r="CA187">
            <v>0</v>
          </cell>
          <cell r="CB187">
            <v>0</v>
          </cell>
        </row>
        <row r="188">
          <cell r="N188" t="str">
            <v/>
          </cell>
          <cell r="X188" t="str">
            <v/>
          </cell>
        </row>
        <row r="191">
          <cell r="F191" t="str">
            <v>S</v>
          </cell>
          <cell r="G191" t="str">
            <v>0/12</v>
          </cell>
          <cell r="H191">
            <v>9.61</v>
          </cell>
          <cell r="I191">
            <v>3.49</v>
          </cell>
          <cell r="J191">
            <v>3</v>
          </cell>
          <cell r="K191">
            <v>0.49000000000000021</v>
          </cell>
          <cell r="M191">
            <v>9.1199999999999992</v>
          </cell>
          <cell r="N191">
            <v>0.92999999999999972</v>
          </cell>
          <cell r="U191">
            <v>0.93</v>
          </cell>
          <cell r="V191">
            <v>3</v>
          </cell>
          <cell r="X191">
            <v>0.93</v>
          </cell>
          <cell r="AA191">
            <v>4</v>
          </cell>
          <cell r="AF191" t="e">
            <v>#DIV/0!</v>
          </cell>
          <cell r="AJ191" t="e">
            <v>#DIV/0!</v>
          </cell>
          <cell r="AM191">
            <v>8.19</v>
          </cell>
          <cell r="AN191">
            <v>8.19</v>
          </cell>
          <cell r="BG191" t="str">
            <v/>
          </cell>
          <cell r="BK191" t="str">
            <v/>
          </cell>
          <cell r="BL191" t="str">
            <v/>
          </cell>
          <cell r="BO191">
            <v>8.19</v>
          </cell>
          <cell r="BP191">
            <v>8.19</v>
          </cell>
          <cell r="BQ191">
            <v>8.19</v>
          </cell>
          <cell r="BU191" t="e">
            <v>#DIV/0!</v>
          </cell>
          <cell r="BW191">
            <v>0</v>
          </cell>
          <cell r="BX191">
            <v>0</v>
          </cell>
          <cell r="BY191">
            <v>0</v>
          </cell>
          <cell r="BZ191">
            <v>0</v>
          </cell>
          <cell r="CA191" t="e">
            <v>#DIV/0!</v>
          </cell>
          <cell r="CB191">
            <v>0</v>
          </cell>
        </row>
        <row r="192">
          <cell r="F192" t="str">
            <v>S</v>
          </cell>
          <cell r="G192" t="str">
            <v>12/9</v>
          </cell>
          <cell r="H192">
            <v>10.26</v>
          </cell>
          <cell r="K192" t="str">
            <v/>
          </cell>
          <cell r="M192">
            <v>10.26</v>
          </cell>
          <cell r="N192">
            <v>1.08</v>
          </cell>
          <cell r="X192">
            <v>1.08</v>
          </cell>
          <cell r="AA192">
            <v>1</v>
          </cell>
          <cell r="AF192" t="e">
            <v>#DIV/0!</v>
          </cell>
          <cell r="AJ192" t="e">
            <v>#DIV/0!</v>
          </cell>
          <cell r="AM192">
            <v>9.18</v>
          </cell>
          <cell r="AN192">
            <v>9.18</v>
          </cell>
          <cell r="BG192" t="str">
            <v/>
          </cell>
          <cell r="BK192" t="str">
            <v/>
          </cell>
          <cell r="BL192" t="str">
            <v/>
          </cell>
          <cell r="BO192">
            <v>9.18</v>
          </cell>
          <cell r="BP192">
            <v>9.18</v>
          </cell>
          <cell r="BQ192">
            <v>9.18</v>
          </cell>
          <cell r="BU192" t="e">
            <v>#DIV/0!</v>
          </cell>
          <cell r="BW192">
            <v>0</v>
          </cell>
          <cell r="BX192">
            <v>0</v>
          </cell>
          <cell r="BY192">
            <v>0</v>
          </cell>
          <cell r="BZ192">
            <v>0</v>
          </cell>
          <cell r="CA192" t="e">
            <v>#DIV/0!</v>
          </cell>
          <cell r="CB192">
            <v>0</v>
          </cell>
        </row>
        <row r="193">
          <cell r="F193" t="str">
            <v>I</v>
          </cell>
          <cell r="G193" t="str">
            <v>9/6</v>
          </cell>
          <cell r="H193">
            <v>3.5300000000000002</v>
          </cell>
        </row>
        <row r="194">
          <cell r="F194" t="str">
            <v>I</v>
          </cell>
          <cell r="M194">
            <v>0</v>
          </cell>
          <cell r="BO194">
            <v>0</v>
          </cell>
          <cell r="BP194">
            <v>0</v>
          </cell>
          <cell r="BQ194">
            <v>0</v>
          </cell>
          <cell r="BU194" t="str">
            <v/>
          </cell>
          <cell r="BW194">
            <v>0</v>
          </cell>
          <cell r="BX194">
            <v>0</v>
          </cell>
          <cell r="BY194">
            <v>0</v>
          </cell>
          <cell r="BZ194">
            <v>0</v>
          </cell>
          <cell r="CA194">
            <v>0</v>
          </cell>
          <cell r="CB194">
            <v>0</v>
          </cell>
        </row>
        <row r="195">
          <cell r="N195" t="str">
            <v/>
          </cell>
          <cell r="X195" t="str">
            <v/>
          </cell>
        </row>
        <row r="198">
          <cell r="F198" t="str">
            <v>S</v>
          </cell>
          <cell r="G198" t="str">
            <v>6/3</v>
          </cell>
          <cell r="H198">
            <v>5.4370000000000003</v>
          </cell>
          <cell r="I198">
            <v>5.47</v>
          </cell>
          <cell r="J198">
            <v>4.96</v>
          </cell>
          <cell r="K198">
            <v>0.50999999999999979</v>
          </cell>
          <cell r="M198">
            <v>4.9270000000000005</v>
          </cell>
          <cell r="N198" t="str">
            <v/>
          </cell>
          <cell r="U198">
            <v>2.9292857142857147</v>
          </cell>
          <cell r="V198">
            <v>14</v>
          </cell>
          <cell r="X198" t="e">
            <v>#VALUE!</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ke_Summary"/>
      <sheetName val="Stake_Sheet"/>
      <sheetName val="Pit_Sheet"/>
      <sheetName val="PitCore_Sheet"/>
      <sheetName val="FirnCore_Sheet"/>
    </sheetNames>
    <sheetDataSet>
      <sheetData sheetId="0" refreshError="1"/>
      <sheetData sheetId="1" refreshError="1"/>
      <sheetData sheetId="2"/>
      <sheetData sheetId="3">
        <row r="2">
          <cell r="B2"/>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ke_Summary"/>
      <sheetName val="Stake_Sheet"/>
      <sheetName val="Pit_Sheet"/>
      <sheetName val="Probe_Sheet"/>
      <sheetName val="PitCore_Sheet"/>
      <sheetName val="FirnCore_Sheet"/>
    </sheetNames>
    <sheetDataSet>
      <sheetData sheetId="0"/>
      <sheetData sheetId="1"/>
      <sheetData sheetId="2"/>
      <sheetData sheetId="3"/>
      <sheetData sheetId="4">
        <row r="2">
          <cell r="B2"/>
        </row>
      </sheetData>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 Template"/>
      <sheetName val="Core Template"/>
      <sheetName val="SNOWPIT"/>
      <sheetName val="70.09.29"/>
      <sheetName val="76.10.20"/>
      <sheetName val="77.06.08"/>
      <sheetName val="96.01.13"/>
      <sheetName val="96.09.20"/>
      <sheetName val="97.05.19"/>
      <sheetName val="98.05.27"/>
      <sheetName val="99.05.14"/>
      <sheetName val="99.05.15"/>
      <sheetName val="99.09.24"/>
      <sheetName val="00.05.12"/>
      <sheetName val="00.05.12redone"/>
      <sheetName val="00.09.20"/>
      <sheetName val="01.05.17"/>
      <sheetName val="02.05.16"/>
      <sheetName val="02.10.02 core"/>
      <sheetName val="02.10.04 pit"/>
      <sheetName val="03.05.29"/>
      <sheetName val="03.09.14"/>
      <sheetName val="04.05.13 Pit"/>
      <sheetName val="04.05.13core"/>
      <sheetName val="2005.05.14Pit"/>
      <sheetName val="2005.05.14Core"/>
      <sheetName val="2006.05.13Pit"/>
      <sheetName val="2006.05.13Core"/>
      <sheetName val="2006.09.24Pit"/>
      <sheetName val="2007.05.10 Core"/>
      <sheetName val="2007.09.17Core"/>
      <sheetName val="2008.5.18 Core"/>
      <sheetName val="2008.5.18 Core (2)"/>
      <sheetName val="2008.9.28 Core"/>
      <sheetName val="2009.04.28 Pit"/>
      <sheetName val="2009.04.28 Core"/>
      <sheetName val="2010.05.05 Pit"/>
      <sheetName val="2010.05.05 Core"/>
      <sheetName val="2010.09.13 Core"/>
      <sheetName val="2011.04.27 Pit "/>
      <sheetName val="2011.04.27 Core"/>
    </sheetNames>
    <sheetDataSet>
      <sheetData sheetId="0"/>
      <sheetData sheetId="1"/>
      <sheetData sheetId="2">
        <row r="1">
          <cell r="Q1">
            <v>41.05</v>
          </cell>
        </row>
        <row r="9">
          <cell r="P9">
            <v>0</v>
          </cell>
          <cell r="Q9">
            <v>0</v>
          </cell>
        </row>
        <row r="10">
          <cell r="P10">
            <v>10</v>
          </cell>
          <cell r="Q10">
            <v>0</v>
          </cell>
        </row>
        <row r="11">
          <cell r="P11">
            <v>20</v>
          </cell>
          <cell r="Q11">
            <v>0</v>
          </cell>
        </row>
        <row r="12">
          <cell r="P12">
            <v>40</v>
          </cell>
          <cell r="Q12">
            <v>0</v>
          </cell>
        </row>
        <row r="13">
          <cell r="P13">
            <v>60</v>
          </cell>
          <cell r="Q13">
            <v>0</v>
          </cell>
        </row>
        <row r="14">
          <cell r="P14">
            <v>100</v>
          </cell>
          <cell r="Q14">
            <v>0</v>
          </cell>
        </row>
        <row r="15">
          <cell r="P15">
            <v>150</v>
          </cell>
          <cell r="Q15">
            <v>0</v>
          </cell>
        </row>
        <row r="16">
          <cell r="P16">
            <v>200</v>
          </cell>
          <cell r="Q16">
            <v>0</v>
          </cell>
        </row>
        <row r="17">
          <cell r="P17">
            <v>250</v>
          </cell>
          <cell r="Q17">
            <v>0</v>
          </cell>
        </row>
        <row r="18">
          <cell r="P18">
            <v>300</v>
          </cell>
          <cell r="Q18">
            <v>0</v>
          </cell>
        </row>
        <row r="19">
          <cell r="P19">
            <v>350</v>
          </cell>
          <cell r="Q19">
            <v>0</v>
          </cell>
        </row>
        <row r="20">
          <cell r="P20">
            <v>400</v>
          </cell>
          <cell r="Q20">
            <v>0</v>
          </cell>
        </row>
      </sheetData>
      <sheetData sheetId="3"/>
      <sheetData sheetId="4"/>
      <sheetData sheetId="5"/>
      <sheetData sheetId="6"/>
      <sheetData sheetId="7"/>
      <sheetData sheetId="8"/>
      <sheetData sheetId="9">
        <row r="3">
          <cell r="K3">
            <v>45.6</v>
          </cell>
        </row>
      </sheetData>
      <sheetData sheetId="10">
        <row r="3">
          <cell r="M3">
            <v>45.6</v>
          </cell>
        </row>
      </sheetData>
      <sheetData sheetId="11"/>
      <sheetData sheetId="12"/>
      <sheetData sheetId="13">
        <row r="3">
          <cell r="M3">
            <v>45.6</v>
          </cell>
        </row>
      </sheetData>
      <sheetData sheetId="14"/>
      <sheetData sheetId="15"/>
      <sheetData sheetId="16"/>
      <sheetData sheetId="17"/>
      <sheetData sheetId="18"/>
      <sheetData sheetId="19"/>
      <sheetData sheetId="20">
        <row r="35">
          <cell r="K35">
            <v>0.57713054921597162</v>
          </cell>
        </row>
      </sheetData>
      <sheetData sheetId="21"/>
      <sheetData sheetId="22"/>
      <sheetData sheetId="23">
        <row r="45">
          <cell r="G45">
            <v>0.54024015122222246</v>
          </cell>
        </row>
      </sheetData>
      <sheetData sheetId="24"/>
      <sheetData sheetId="25">
        <row r="33">
          <cell r="H33">
            <v>0.59710988796244679</v>
          </cell>
        </row>
      </sheetData>
      <sheetData sheetId="26"/>
      <sheetData sheetId="27">
        <row r="47">
          <cell r="M47">
            <v>-2.7</v>
          </cell>
        </row>
      </sheetData>
      <sheetData sheetId="28">
        <row r="13">
          <cell r="L13">
            <v>0.60899999999999999</v>
          </cell>
        </row>
      </sheetData>
      <sheetData sheetId="29">
        <row r="64">
          <cell r="I64">
            <v>0.48714429343263665</v>
          </cell>
        </row>
      </sheetData>
      <sheetData sheetId="30">
        <row r="32">
          <cell r="I32">
            <v>0.66464019559897736</v>
          </cell>
        </row>
      </sheetData>
      <sheetData sheetId="31">
        <row r="91">
          <cell r="I91">
            <v>0.55362323186368045</v>
          </cell>
        </row>
      </sheetData>
      <sheetData sheetId="32"/>
      <sheetData sheetId="33">
        <row r="12">
          <cell r="G12">
            <v>31</v>
          </cell>
        </row>
      </sheetData>
      <sheetData sheetId="34">
        <row r="28">
          <cell r="L28">
            <v>0.42199999999999999</v>
          </cell>
        </row>
      </sheetData>
      <sheetData sheetId="35"/>
      <sheetData sheetId="36">
        <row r="20">
          <cell r="Q20">
            <v>-1.7</v>
          </cell>
        </row>
      </sheetData>
      <sheetData sheetId="37">
        <row r="22">
          <cell r="R22">
            <v>0.41078164602432693</v>
          </cell>
        </row>
      </sheetData>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owpit Template"/>
      <sheetName val="Core Density Template"/>
      <sheetName val="SCD May 97, 1998"/>
      <sheetName val="Sipri Core 5-13-99"/>
      <sheetName val="Sipri 5-13-99"/>
      <sheetName val="Sipri 5-10-2000"/>
      <sheetName val="2001.05.16"/>
      <sheetName val="2002.05.14"/>
      <sheetName val="2004.05.12"/>
      <sheetName val="2005.05.12 Pit"/>
      <sheetName val="2006.5.12 Pit"/>
      <sheetName val="2006.5.12 Core"/>
      <sheetName val="2007.05.10 Core"/>
      <sheetName val="2008.5.18.Core"/>
      <sheetName val="2008.09.28 Pit"/>
      <sheetName val="2009.04.27 Pit"/>
      <sheetName val="2010.5.04.Core"/>
      <sheetName val="2010.05.04 Core 2"/>
      <sheetName val="2011.04.28 Pit"/>
    </sheetNames>
    <sheetDataSet>
      <sheetData sheetId="0"/>
      <sheetData sheetId="1"/>
      <sheetData sheetId="2">
        <row r="4">
          <cell r="K4">
            <v>41.05</v>
          </cell>
        </row>
      </sheetData>
      <sheetData sheetId="3"/>
      <sheetData sheetId="4"/>
      <sheetData sheetId="5">
        <row r="28">
          <cell r="K28">
            <v>0.48334576705493021</v>
          </cell>
        </row>
      </sheetData>
      <sheetData sheetId="6">
        <row r="68">
          <cell r="K68">
            <v>0.53855464348355564</v>
          </cell>
        </row>
      </sheetData>
      <sheetData sheetId="7">
        <row r="19">
          <cell r="L19">
            <v>0.55000000000000004</v>
          </cell>
        </row>
      </sheetData>
      <sheetData sheetId="8">
        <row r="9">
          <cell r="X9">
            <v>2.52</v>
          </cell>
        </row>
      </sheetData>
      <sheetData sheetId="9">
        <row r="19">
          <cell r="L19">
            <v>0.63100000000000001</v>
          </cell>
        </row>
      </sheetData>
      <sheetData sheetId="10">
        <row r="9">
          <cell r="P9">
            <v>0</v>
          </cell>
        </row>
        <row r="10">
          <cell r="P10">
            <v>20</v>
          </cell>
          <cell r="Q10">
            <v>0</v>
          </cell>
        </row>
        <row r="11">
          <cell r="P11">
            <v>40</v>
          </cell>
          <cell r="Q11">
            <v>-1.2</v>
          </cell>
        </row>
        <row r="12">
          <cell r="P12">
            <v>60</v>
          </cell>
          <cell r="Q12">
            <v>-2.6</v>
          </cell>
        </row>
        <row r="13">
          <cell r="P13">
            <v>120</v>
          </cell>
          <cell r="Q13">
            <v>-3.5</v>
          </cell>
        </row>
        <row r="14">
          <cell r="P14">
            <v>160</v>
          </cell>
          <cell r="Q14">
            <v>-4</v>
          </cell>
        </row>
        <row r="15">
          <cell r="P15">
            <v>200</v>
          </cell>
          <cell r="Q15">
            <v>-4</v>
          </cell>
        </row>
        <row r="16">
          <cell r="P16">
            <v>230</v>
          </cell>
          <cell r="Q16">
            <v>-4</v>
          </cell>
        </row>
        <row r="17">
          <cell r="P17">
            <v>243</v>
          </cell>
          <cell r="Q17">
            <v>-2.4</v>
          </cell>
        </row>
        <row r="18">
          <cell r="P18">
            <v>298</v>
          </cell>
          <cell r="Q18">
            <v>-2.4</v>
          </cell>
        </row>
        <row r="19">
          <cell r="P19">
            <v>330</v>
          </cell>
          <cell r="Q19">
            <v>-2.7</v>
          </cell>
        </row>
        <row r="20">
          <cell r="P20">
            <v>380</v>
          </cell>
          <cell r="Q20">
            <v>-2</v>
          </cell>
        </row>
        <row r="21">
          <cell r="P21">
            <v>416</v>
          </cell>
          <cell r="Q21">
            <v>-0.9</v>
          </cell>
        </row>
        <row r="22">
          <cell r="P22">
            <v>440</v>
          </cell>
          <cell r="Q22">
            <v>-0.6</v>
          </cell>
        </row>
        <row r="23">
          <cell r="P23">
            <v>477</v>
          </cell>
          <cell r="Q23">
            <v>-0.6</v>
          </cell>
        </row>
      </sheetData>
      <sheetData sheetId="11">
        <row r="31">
          <cell r="M31">
            <v>0.49883238314309786</v>
          </cell>
        </row>
      </sheetData>
      <sheetData sheetId="12">
        <row r="37">
          <cell r="T37">
            <v>0.12153188881934174</v>
          </cell>
        </row>
      </sheetData>
      <sheetData sheetId="13">
        <row r="60">
          <cell r="O60">
            <v>-1.1000000000000001</v>
          </cell>
        </row>
      </sheetData>
      <sheetData sheetId="14">
        <row r="9">
          <cell r="P9">
            <v>0</v>
          </cell>
        </row>
        <row r="10">
          <cell r="P10">
            <v>20</v>
          </cell>
          <cell r="Q10">
            <v>0</v>
          </cell>
        </row>
      </sheetData>
      <sheetData sheetId="15">
        <row r="17">
          <cell r="L17">
            <v>0.40899999999999997</v>
          </cell>
        </row>
      </sheetData>
      <sheetData sheetId="16"/>
      <sheetData sheetId="17">
        <row r="37">
          <cell r="U37">
            <v>0.47323391440778073</v>
          </cell>
        </row>
      </sheetData>
      <sheetData sheetId="18"/>
    </sheetDataSet>
  </externalBook>
</externalLink>
</file>

<file path=xl/persons/person.xml><?xml version="1.0" encoding="utf-8"?>
<personList xmlns="http://schemas.microsoft.com/office/spreadsheetml/2018/threadedcomments" xmlns:x="http://schemas.openxmlformats.org/spreadsheetml/2006/main">
  <person displayName="Otto, Daniel R" id="{36731DFA-CEA5-4825-8513-57B2AD324658}" userId="S::dotto@usgs.gov::025c054c-a2a2-44f4-8321-f8b55e414e5e" providerId="AD"/>
  <person displayName="Sass, Louis" id="{18DE5DDD-DBD1-4AB4-B515-3E27AD5F4F64}" userId="S::lsass@usgs.gov::532b36c5-14fd-4389-948c-e9e662e1f233" providerId="AD"/>
  <person displayName="Frederick, Zanden A" id="{02DF3E75-548A-4BE0-A8C8-978CF8E0D510}" userId="S::zfrederick@usgs.gov::b22bea4d-08eb-487c-b709-fe03712c2124"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8" dT="2021-06-01T18:13:33.17" personId="{36731DFA-CEA5-4825-8513-57B2AD324658}" id="{66F4ECC1-2E6F-412F-9CFA-7C15BF7136ED}">
    <text>Mean density 2015-2020</text>
  </threadedComment>
  <threadedComment ref="R14" dT="2024-04-25T21:27:44.67" personId="{18DE5DDD-DBD1-4AB4-B515-3E27AD5F4F64}" id="{E69B41B0-FEB6-4B8A-86D1-502F86AEC2D1}">
    <text xml:space="preserve">I didn't average this number as it is suspect given how old the stake is </text>
  </threadedComment>
</ThreadedComments>
</file>

<file path=xl/threadedComments/threadedComment2.xml><?xml version="1.0" encoding="utf-8"?>
<ThreadedComments xmlns="http://schemas.microsoft.com/office/spreadsheetml/2018/threadedcomments" xmlns:x="http://schemas.openxmlformats.org/spreadsheetml/2006/main">
  <threadedComment ref="K9" dT="2021-06-01T18:13:33.17" personId="{36731DFA-CEA5-4825-8513-57B2AD324658}" id="{BA2CE813-B0B4-45C5-AFD5-FFFBB218C98F}">
    <text>Mean density 2015-2020</text>
  </threadedComment>
</ThreadedComments>
</file>

<file path=xl/threadedComments/threadedComment3.xml><?xml version="1.0" encoding="utf-8"?>
<ThreadedComments xmlns="http://schemas.microsoft.com/office/spreadsheetml/2018/threadedcomments" xmlns:x="http://schemas.openxmlformats.org/spreadsheetml/2006/main">
  <threadedComment ref="K9" dT="2021-06-01T18:14:33.05" personId="{36731DFA-CEA5-4825-8513-57B2AD324658}" id="{EE181FB6-59DE-46BF-9E14-8C5CE822952F}">
    <text>Mean density 2011-2020</text>
  </threadedComment>
  <threadedComment ref="I24" dT="2024-05-13T21:31:24.73" personId="{18DE5DDD-DBD1-4AB4-B515-3E27AD5F4F64}" id="{21897E21-D9AF-4557-ACCC-B3A3C6F2A09E}">
    <text>Using the stake measurement here rather than the pit. It appears the pit was not deep enough to get the 22 summer surface and the full 23 accumulation.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H19" dT="2025-08-26T18:31:24.86" personId="{18DE5DDD-DBD1-4AB4-B515-3E27AD5F4F64}" id="{9EECA823-851D-45DB-A495-F6887067DCA4}">
    <text>Stake bend? Or spatial variability</text>
  </threadedComment>
  <threadedComment ref="J19" dT="2025-08-04T23:18:38.28" personId="{02DF3E75-548A-4BE0-A8C8-978CF8E0D510}" id="{19BA599C-EAEC-4E46-B1BF-81C5A7DA2699}">
    <text xml:space="preserve">From firn core
</text>
  </threadedComment>
  <threadedComment ref="H21" dT="2025-08-26T18:32:03.08" personId="{18DE5DDD-DBD1-4AB4-B515-3E27AD5F4F64}" id="{6C252493-A9C7-4071-954A-962B36515DF1}">
    <text>This suggest the spring reading was mostly or entirely stake bend</text>
  </threadedComment>
  <threadedComment ref="I23" dT="2025-08-26T22:03:34.43" personId="{02DF3E75-548A-4BE0-A8C8-978CF8E0D510}" id="{0F3AE0FA-0B0F-4A97-ABB4-CDFAE42600F8}">
    <text>From 2024 pit core at T</text>
  </threadedComment>
</ThreadedComments>
</file>

<file path=xl/threadedComments/threadedComment5.xml><?xml version="1.0" encoding="utf-8"?>
<ThreadedComments xmlns="http://schemas.microsoft.com/office/spreadsheetml/2018/threadedcomments" xmlns:x="http://schemas.openxmlformats.org/spreadsheetml/2006/main">
  <threadedComment ref="L11" dT="2025-05-02T18:25:38.99" personId="{18DE5DDD-DBD1-4AB4-B515-3E27AD5F4F64}" id="{1AE533A3-D8AA-4035-BD3E-1061342EAE4F}">
    <text>This suggests &gt;3.28 snow depth, or stake punch, but is likely just due to stake bend. 5.48 from last fall is probably still reasonable. The 3.28 snow depth is also probably correct.  Check for any evidence for/against these 3 separate scenarios in fall</text>
  </threadedComment>
</ThreadedComments>
</file>

<file path=xl/threadedComments/threadedComment6.xml><?xml version="1.0" encoding="utf-8"?>
<ThreadedComments xmlns="http://schemas.microsoft.com/office/spreadsheetml/2018/threadedcomments" xmlns:x="http://schemas.openxmlformats.org/spreadsheetml/2006/main">
  <threadedComment ref="I4" dT="2025-05-02T18:37:57.25" personId="{18DE5DDD-DBD1-4AB4-B515-3E27AD5F4F64}" id="{EFFCE026-20D2-4A43-86DB-8814A669E6DB}">
    <text>From AB</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4.bin"/><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5.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6.bin"/><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zoomScale="130" zoomScaleNormal="130" workbookViewId="0">
      <selection activeCell="H7" sqref="H7"/>
    </sheetView>
  </sheetViews>
  <sheetFormatPr defaultColWidth="8.88671875" defaultRowHeight="13.2"/>
  <cols>
    <col min="1" max="1" width="9.109375" style="11" bestFit="1" customWidth="1"/>
    <col min="2" max="2" width="9.6640625" style="11" bestFit="1" customWidth="1"/>
    <col min="3" max="4" width="11.33203125" style="11" bestFit="1" customWidth="1"/>
    <col min="5" max="5" width="9.109375" style="982" bestFit="1" customWidth="1"/>
    <col min="6" max="7" width="8.88671875" style="11"/>
    <col min="8" max="8" width="13.5546875" style="11" customWidth="1"/>
    <col min="9" max="9" width="21.5546875" style="11" customWidth="1"/>
    <col min="10" max="16384" width="8.88671875" style="11"/>
  </cols>
  <sheetData>
    <row r="1" spans="1:9">
      <c r="A1" s="350" t="s">
        <v>70</v>
      </c>
      <c r="B1" s="351" t="s">
        <v>71</v>
      </c>
      <c r="C1" s="351" t="s">
        <v>72</v>
      </c>
      <c r="D1" s="351" t="s">
        <v>73</v>
      </c>
      <c r="E1" s="979" t="s">
        <v>74</v>
      </c>
      <c r="F1" s="351" t="s">
        <v>1</v>
      </c>
      <c r="G1" s="351" t="s">
        <v>2</v>
      </c>
      <c r="H1" s="351" t="s">
        <v>75</v>
      </c>
      <c r="I1" s="352" t="s">
        <v>76</v>
      </c>
    </row>
    <row r="2" spans="1:9">
      <c r="A2" s="353">
        <v>2025</v>
      </c>
      <c r="B2" s="20" t="s">
        <v>5</v>
      </c>
      <c r="C2" s="97">
        <f>AU!G22</f>
        <v>45768</v>
      </c>
      <c r="D2" s="97">
        <f>AU!I22</f>
        <v>45891</v>
      </c>
      <c r="E2" s="980">
        <f>AU!V7</f>
        <v>1431.41</v>
      </c>
      <c r="F2" s="44">
        <f>AU!C23</f>
        <v>0.51847500000000002</v>
      </c>
      <c r="G2" s="98">
        <f>AU!C25</f>
        <v>-2.7449999999999992</v>
      </c>
      <c r="H2" s="44" t="str">
        <f>AU!C27</f>
        <v>nan</v>
      </c>
      <c r="I2" s="102">
        <f>AU!C28</f>
        <v>0</v>
      </c>
    </row>
    <row r="3" spans="1:9">
      <c r="A3" s="353">
        <v>2025</v>
      </c>
      <c r="B3" s="20" t="s">
        <v>6</v>
      </c>
      <c r="C3" s="97">
        <f>AB!G37</f>
        <v>45768</v>
      </c>
      <c r="D3" s="97">
        <f>AB!I37</f>
        <v>45891</v>
      </c>
      <c r="E3" s="980">
        <f>AB!V16</f>
        <v>1528.376</v>
      </c>
      <c r="F3" s="44">
        <f>AB!C38</f>
        <v>0.73184882677708762</v>
      </c>
      <c r="G3" s="44">
        <f>AB!C40</f>
        <v>-2.3220000000000005</v>
      </c>
      <c r="H3" s="98">
        <f>AB!C42</f>
        <v>-0.22949999999999912</v>
      </c>
      <c r="I3" s="102">
        <f>AB!C43</f>
        <v>0</v>
      </c>
    </row>
    <row r="4" spans="1:9">
      <c r="A4" s="353">
        <v>2025</v>
      </c>
      <c r="B4" s="20" t="s">
        <v>7</v>
      </c>
      <c r="C4" s="97">
        <f>B!G44</f>
        <v>45766</v>
      </c>
      <c r="D4" s="97">
        <f>B!I44</f>
        <v>45891</v>
      </c>
      <c r="E4" s="980">
        <f>B!V26</f>
        <v>1674.2539999999999</v>
      </c>
      <c r="F4" s="44">
        <f>B!C45</f>
        <v>1.0669288267770876</v>
      </c>
      <c r="G4" s="44">
        <f>B!C47</f>
        <v>-0.79154999999999975</v>
      </c>
      <c r="H4" s="98">
        <f>B!C49</f>
        <v>-0.16649999999999965</v>
      </c>
      <c r="I4" s="102">
        <f>B!C50</f>
        <v>0</v>
      </c>
    </row>
    <row r="5" spans="1:9">
      <c r="A5" s="353">
        <v>2025</v>
      </c>
      <c r="B5" s="20" t="s">
        <v>8</v>
      </c>
      <c r="C5" s="97">
        <f>D!G46</f>
        <v>45766</v>
      </c>
      <c r="D5" s="97">
        <f>D!I46</f>
        <v>45891</v>
      </c>
      <c r="E5" s="980">
        <f>D!V31</f>
        <v>1850.153</v>
      </c>
      <c r="F5" s="44">
        <f>D!C47</f>
        <v>1.3786065936912313</v>
      </c>
      <c r="G5" s="98">
        <f>D!C49</f>
        <v>0.14144000000000001</v>
      </c>
      <c r="H5" s="44">
        <f>D!C51</f>
        <v>0</v>
      </c>
      <c r="I5" s="102">
        <f>D!C52</f>
        <v>0</v>
      </c>
    </row>
    <row r="6" spans="1:9">
      <c r="A6" s="353">
        <v>2025</v>
      </c>
      <c r="B6" s="20" t="s">
        <v>9</v>
      </c>
      <c r="C6" s="101">
        <f>T!G33</f>
        <v>45767</v>
      </c>
      <c r="D6" s="97">
        <f>T!I33</f>
        <v>45892</v>
      </c>
      <c r="E6" s="980">
        <f>T!V18</f>
        <v>1868.3910000000001</v>
      </c>
      <c r="F6" s="98">
        <f>T!C34</f>
        <v>1.8140570702840657</v>
      </c>
      <c r="G6" s="98">
        <f>T!C36</f>
        <v>0.67310000000000003</v>
      </c>
      <c r="H6" s="44">
        <f>T!C38</f>
        <v>0</v>
      </c>
      <c r="I6" s="102">
        <f>T!C39</f>
        <v>0</v>
      </c>
    </row>
    <row r="7" spans="1:9">
      <c r="A7" s="353">
        <v>2025</v>
      </c>
      <c r="B7" s="20" t="s">
        <v>10</v>
      </c>
      <c r="C7" s="101">
        <f>V!G18</f>
        <v>45768</v>
      </c>
      <c r="D7" s="97">
        <f>V!I18</f>
        <v>45891</v>
      </c>
      <c r="E7" s="980">
        <f>V!V10</f>
        <v>1875.867</v>
      </c>
      <c r="F7" s="98">
        <f>V!C19</f>
        <v>1.3437749999999999</v>
      </c>
      <c r="G7" s="98">
        <f>V!C21</f>
        <v>-0.1079999999999993</v>
      </c>
      <c r="H7" s="98" t="str">
        <f>V!C23</f>
        <v>NaN</v>
      </c>
      <c r="I7" s="102">
        <f>V!C24</f>
        <v>0</v>
      </c>
    </row>
    <row r="8" spans="1:9">
      <c r="A8" s="353">
        <v>2025</v>
      </c>
      <c r="B8" s="339" t="s">
        <v>88</v>
      </c>
      <c r="C8" s="101">
        <f>Z!G25</f>
        <v>45767</v>
      </c>
      <c r="D8" s="97">
        <f>Z!I25</f>
        <v>45892</v>
      </c>
      <c r="E8" s="980">
        <f>Z!V14</f>
        <v>2076.1239999999998</v>
      </c>
      <c r="F8" s="44">
        <f>Z!C26</f>
        <v>1.8024142086568682</v>
      </c>
      <c r="G8" s="44">
        <f>Z!C28</f>
        <v>1.1440000000000001</v>
      </c>
      <c r="H8" s="98">
        <f>Z!C30</f>
        <v>0</v>
      </c>
      <c r="I8" s="102">
        <f>Z!C31</f>
        <v>0</v>
      </c>
    </row>
    <row r="9" spans="1:9">
      <c r="A9" s="62"/>
      <c r="B9" s="20"/>
      <c r="C9" s="20"/>
      <c r="D9" s="20"/>
      <c r="E9" s="980"/>
      <c r="F9" s="20"/>
      <c r="G9" s="20"/>
      <c r="H9" s="20"/>
      <c r="I9" s="63"/>
    </row>
    <row r="10" spans="1:9">
      <c r="A10" s="62"/>
      <c r="B10" s="20"/>
      <c r="C10" s="20"/>
      <c r="D10" s="20"/>
      <c r="E10" s="980"/>
      <c r="F10" s="20"/>
      <c r="G10" s="20"/>
      <c r="H10" s="20"/>
      <c r="I10" s="63"/>
    </row>
    <row r="11" spans="1:9">
      <c r="A11" s="62"/>
      <c r="B11" s="20"/>
      <c r="C11" s="20"/>
      <c r="D11" s="20"/>
      <c r="E11" s="980"/>
      <c r="F11" s="20"/>
      <c r="G11" s="20"/>
      <c r="H11" s="20"/>
      <c r="I11" s="63"/>
    </row>
    <row r="12" spans="1:9">
      <c r="A12" s="62"/>
      <c r="B12" s="20"/>
      <c r="C12" s="20"/>
      <c r="D12" s="20"/>
      <c r="E12" s="980"/>
      <c r="F12" s="20"/>
      <c r="G12" s="20"/>
      <c r="H12" s="20"/>
      <c r="I12" s="63"/>
    </row>
    <row r="13" spans="1:9">
      <c r="A13" s="62"/>
      <c r="B13" s="20"/>
      <c r="C13" s="20"/>
      <c r="D13" s="20"/>
      <c r="E13" s="980"/>
      <c r="F13" s="20"/>
      <c r="G13" s="20"/>
      <c r="H13" s="20"/>
      <c r="I13" s="63"/>
    </row>
    <row r="14" spans="1:9">
      <c r="A14" s="62"/>
      <c r="B14" s="20"/>
      <c r="C14" s="20"/>
      <c r="D14" s="20"/>
      <c r="E14" s="980"/>
      <c r="F14" s="20"/>
      <c r="G14" s="20"/>
      <c r="H14" s="20"/>
      <c r="I14" s="63"/>
    </row>
    <row r="15" spans="1:9" ht="13.8" thickBot="1">
      <c r="A15" s="354"/>
      <c r="B15" s="99"/>
      <c r="C15" s="99"/>
      <c r="D15" s="99"/>
      <c r="E15" s="981"/>
      <c r="F15" s="99"/>
      <c r="G15" s="99"/>
      <c r="H15" s="99"/>
      <c r="I15" s="100"/>
    </row>
  </sheetData>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E82B-A59A-42FA-A9EE-AA1D0D9140D2}">
  <dimension ref="A1:AH35"/>
  <sheetViews>
    <sheetView zoomScale="90" zoomScaleNormal="90" workbookViewId="0">
      <pane xSplit="4" ySplit="4" topLeftCell="E5" activePane="bottomRight" state="frozen"/>
      <selection pane="topRight" activeCell="E1" sqref="E1"/>
      <selection pane="bottomLeft" activeCell="A5" sqref="A5"/>
      <selection pane="bottomRight" activeCell="J19" sqref="J19"/>
    </sheetView>
  </sheetViews>
  <sheetFormatPr defaultColWidth="17.33203125" defaultRowHeight="15.75" customHeight="1"/>
  <cols>
    <col min="1" max="1" width="12.44140625" style="338" customWidth="1"/>
    <col min="2" max="2" width="8.33203125" style="338" customWidth="1"/>
    <col min="3" max="3" width="13.44140625" style="338" customWidth="1"/>
    <col min="4" max="4" width="13.33203125" style="338" customWidth="1"/>
    <col min="5" max="5" width="12.6640625" style="338" customWidth="1"/>
    <col min="6" max="7" width="13.6640625" style="338" bestFit="1" customWidth="1"/>
    <col min="8" max="8" width="14.44140625" style="338" bestFit="1" customWidth="1"/>
    <col min="9" max="9" width="17.33203125" style="338" bestFit="1" customWidth="1"/>
    <col min="10" max="10" width="13.109375" style="338" customWidth="1"/>
    <col min="11" max="11" width="11" style="338" customWidth="1"/>
    <col min="12" max="12" width="18" style="338" customWidth="1"/>
    <col min="13" max="13" width="13.6640625" style="338" customWidth="1"/>
    <col min="14" max="14" width="8.6640625" style="338" customWidth="1"/>
    <col min="15" max="15" width="9.44140625" style="338" customWidth="1"/>
    <col min="16" max="17" width="7.88671875" style="338" bestFit="1" customWidth="1"/>
    <col min="18" max="18" width="9.5546875" style="338" customWidth="1"/>
    <col min="19" max="19" width="11.109375" style="338" customWidth="1"/>
    <col min="20" max="20" width="21" style="338" bestFit="1" customWidth="1"/>
    <col min="21" max="21" width="17.109375" style="338" customWidth="1"/>
    <col min="22" max="16384" width="17.33203125" style="338"/>
  </cols>
  <sheetData>
    <row r="1" spans="1:23" s="789" customFormat="1" ht="15" customHeight="1">
      <c r="A1" s="774"/>
      <c r="B1" s="775"/>
      <c r="C1" s="776"/>
      <c r="D1" s="777"/>
      <c r="E1" s="778"/>
      <c r="F1" s="779"/>
      <c r="G1" s="780"/>
      <c r="H1" s="781"/>
      <c r="I1" s="780"/>
      <c r="J1" s="782"/>
      <c r="K1" s="779"/>
      <c r="L1" s="783"/>
      <c r="M1" s="784"/>
      <c r="N1" s="780"/>
      <c r="O1" s="785"/>
      <c r="P1" s="786"/>
      <c r="Q1" s="786"/>
      <c r="R1" s="786"/>
      <c r="S1" s="787"/>
      <c r="T1" s="1400" t="s">
        <v>11</v>
      </c>
      <c r="U1" s="1400"/>
      <c r="V1" s="1401"/>
      <c r="W1" s="788"/>
    </row>
    <row r="2" spans="1:23" s="789" customFormat="1" ht="15" customHeight="1">
      <c r="A2" s="790"/>
      <c r="B2" s="791"/>
      <c r="C2" s="792"/>
      <c r="D2" s="793"/>
      <c r="E2" s="794"/>
      <c r="F2" s="795"/>
      <c r="G2" s="796"/>
      <c r="H2" s="797"/>
      <c r="I2" s="796"/>
      <c r="J2" s="798"/>
      <c r="K2" s="799"/>
      <c r="L2" s="800"/>
      <c r="M2" s="801"/>
      <c r="N2" s="798"/>
      <c r="O2" s="802"/>
      <c r="S2" s="803"/>
      <c r="T2" s="1402" t="s">
        <v>12</v>
      </c>
      <c r="U2" s="1402"/>
      <c r="V2" s="804"/>
      <c r="W2" s="805"/>
    </row>
    <row r="3" spans="1:23" s="789" customFormat="1" ht="15" customHeight="1">
      <c r="A3" s="790"/>
      <c r="B3" s="791"/>
      <c r="C3" s="792"/>
      <c r="D3" s="806"/>
      <c r="E3" s="1403" t="s">
        <v>13</v>
      </c>
      <c r="F3" s="1404"/>
      <c r="G3" s="1405"/>
      <c r="H3" s="807"/>
      <c r="I3" s="795"/>
      <c r="J3" s="798"/>
      <c r="K3" s="795"/>
      <c r="L3" s="808"/>
      <c r="M3" s="809"/>
      <c r="N3" s="798"/>
      <c r="O3" s="810"/>
      <c r="P3" s="798"/>
      <c r="Q3" s="798"/>
      <c r="R3" s="811"/>
      <c r="S3" s="812"/>
      <c r="T3" s="1406" t="s">
        <v>14</v>
      </c>
      <c r="U3" s="1406"/>
      <c r="V3" s="804"/>
      <c r="W3" s="813"/>
    </row>
    <row r="4" spans="1:23" s="827" customFormat="1" ht="59.25" customHeight="1">
      <c r="A4" s="814" t="s">
        <v>15</v>
      </c>
      <c r="B4" s="815" t="s">
        <v>16</v>
      </c>
      <c r="C4" s="816" t="s">
        <v>17</v>
      </c>
      <c r="D4" s="817" t="s">
        <v>18</v>
      </c>
      <c r="E4" s="818" t="s">
        <v>19</v>
      </c>
      <c r="F4" s="815" t="s">
        <v>20</v>
      </c>
      <c r="G4" s="819" t="s">
        <v>21</v>
      </c>
      <c r="H4" s="820" t="s">
        <v>22</v>
      </c>
      <c r="I4" s="819" t="s">
        <v>23</v>
      </c>
      <c r="J4" s="819" t="s">
        <v>24</v>
      </c>
      <c r="K4" s="815" t="s">
        <v>25</v>
      </c>
      <c r="L4" s="821" t="s">
        <v>26</v>
      </c>
      <c r="M4" s="821" t="s">
        <v>27</v>
      </c>
      <c r="N4" s="819" t="s">
        <v>28</v>
      </c>
      <c r="O4" s="822" t="s">
        <v>60</v>
      </c>
      <c r="P4" s="819" t="s">
        <v>61</v>
      </c>
      <c r="Q4" s="819" t="s">
        <v>62</v>
      </c>
      <c r="R4" s="823" t="s">
        <v>3</v>
      </c>
      <c r="S4" s="824" t="s">
        <v>4</v>
      </c>
      <c r="T4" s="825" t="s">
        <v>32</v>
      </c>
      <c r="U4" s="825" t="s">
        <v>33</v>
      </c>
      <c r="V4" s="826" t="s">
        <v>0</v>
      </c>
      <c r="W4" s="816" t="s">
        <v>34</v>
      </c>
    </row>
    <row r="5" spans="1:23" s="789" customFormat="1" ht="15.75" customHeight="1" thickBot="1">
      <c r="A5" s="828" t="s">
        <v>35</v>
      </c>
      <c r="B5" s="829"/>
      <c r="C5" s="830"/>
      <c r="D5" s="831"/>
      <c r="E5" s="832" t="s">
        <v>36</v>
      </c>
      <c r="F5" s="832" t="s">
        <v>36</v>
      </c>
      <c r="G5" s="832" t="s">
        <v>36</v>
      </c>
      <c r="H5" s="832" t="s">
        <v>36</v>
      </c>
      <c r="I5" s="832" t="s">
        <v>36</v>
      </c>
      <c r="J5" s="832" t="s">
        <v>36</v>
      </c>
      <c r="K5" s="833" t="s">
        <v>37</v>
      </c>
      <c r="L5" s="834" t="s">
        <v>36</v>
      </c>
      <c r="M5" s="835" t="s">
        <v>36</v>
      </c>
      <c r="N5" s="835" t="s">
        <v>37</v>
      </c>
      <c r="O5" s="836" t="s">
        <v>38</v>
      </c>
      <c r="P5" s="837" t="s">
        <v>38</v>
      </c>
      <c r="Q5" s="837" t="s">
        <v>38</v>
      </c>
      <c r="R5" s="838" t="s">
        <v>38</v>
      </c>
      <c r="S5" s="839" t="s">
        <v>38</v>
      </c>
      <c r="T5" s="840" t="s">
        <v>36</v>
      </c>
      <c r="U5" s="840" t="s">
        <v>36</v>
      </c>
      <c r="V5" s="841" t="s">
        <v>36</v>
      </c>
      <c r="W5" s="842"/>
    </row>
    <row r="6" spans="1:23" s="789" customFormat="1" ht="15" customHeight="1">
      <c r="A6" s="843">
        <v>44670</v>
      </c>
      <c r="B6" s="844" t="s">
        <v>79</v>
      </c>
      <c r="C6" s="845" t="s">
        <v>89</v>
      </c>
      <c r="D6" s="846" t="s">
        <v>39</v>
      </c>
      <c r="E6" s="847">
        <v>9.7899999999999991</v>
      </c>
      <c r="F6" s="848">
        <v>0.75</v>
      </c>
      <c r="G6" s="848">
        <f>E6-F6</f>
        <v>9.0399999999999991</v>
      </c>
      <c r="H6" s="849"/>
      <c r="I6" s="848" t="s">
        <v>177</v>
      </c>
      <c r="J6" s="848"/>
      <c r="K6" s="848">
        <v>0.26</v>
      </c>
      <c r="L6" s="850">
        <v>4.9000000000000004</v>
      </c>
      <c r="M6" s="848"/>
      <c r="N6" s="848"/>
      <c r="O6" s="851"/>
      <c r="P6" s="848">
        <f>L6*K6</f>
        <v>1.2740000000000002</v>
      </c>
      <c r="Q6" s="848"/>
      <c r="R6" s="946"/>
      <c r="S6" s="946"/>
      <c r="T6" s="947"/>
      <c r="U6" s="946"/>
      <c r="V6" s="948"/>
      <c r="W6" s="852"/>
    </row>
    <row r="7" spans="1:23" s="789" customFormat="1" ht="15" customHeight="1">
      <c r="A7" s="843">
        <v>44795</v>
      </c>
      <c r="B7" s="844" t="s">
        <v>86</v>
      </c>
      <c r="C7" s="845" t="s">
        <v>89</v>
      </c>
      <c r="D7" s="846" t="s">
        <v>57</v>
      </c>
      <c r="E7" s="847">
        <v>9.7899999999999991</v>
      </c>
      <c r="F7" s="848">
        <v>2.15</v>
      </c>
      <c r="G7" s="848">
        <f t="shared" ref="G7:G14" si="0">E7-F7</f>
        <v>7.6399999999999988</v>
      </c>
      <c r="H7" s="849"/>
      <c r="I7" s="848"/>
      <c r="J7" s="848">
        <v>1.1599999999999999</v>
      </c>
      <c r="K7" s="848">
        <v>0.65</v>
      </c>
      <c r="L7" s="850">
        <v>6.42</v>
      </c>
      <c r="M7" s="848"/>
      <c r="N7" s="848"/>
      <c r="O7" s="851"/>
      <c r="P7" s="848"/>
      <c r="Q7" s="848"/>
      <c r="R7" s="946"/>
      <c r="S7" s="946">
        <f>J7*K7</f>
        <v>0.754</v>
      </c>
      <c r="T7" s="947"/>
      <c r="U7" s="946"/>
      <c r="V7" s="948"/>
      <c r="W7" s="852"/>
    </row>
    <row r="8" spans="1:23" s="789" customFormat="1" ht="15" customHeight="1">
      <c r="A8" s="853">
        <v>44795</v>
      </c>
      <c r="B8" s="854" t="s">
        <v>86</v>
      </c>
      <c r="C8" s="855" t="s">
        <v>89</v>
      </c>
      <c r="D8" s="856" t="s">
        <v>92</v>
      </c>
      <c r="E8" s="857">
        <v>10.9</v>
      </c>
      <c r="F8" s="858">
        <f>E8-G8</f>
        <v>4.4200000000000017</v>
      </c>
      <c r="G8" s="848">
        <f>G7-J7</f>
        <v>6.4799999999999986</v>
      </c>
      <c r="H8" s="849"/>
      <c r="I8" s="854"/>
      <c r="J8" s="859">
        <v>1.5</v>
      </c>
      <c r="K8" s="858">
        <v>0.79</v>
      </c>
      <c r="L8" s="857"/>
      <c r="M8" s="858"/>
      <c r="N8" s="854"/>
      <c r="O8" s="860">
        <f>Q8-P6</f>
        <v>-8.900000000000019E-2</v>
      </c>
      <c r="P8" s="848"/>
      <c r="Q8" s="858">
        <f>J8*K8</f>
        <v>1.1850000000000001</v>
      </c>
      <c r="R8" s="858"/>
      <c r="S8" s="858"/>
      <c r="T8" s="860"/>
      <c r="U8" s="858"/>
      <c r="V8" s="948"/>
      <c r="W8" s="861"/>
    </row>
    <row r="9" spans="1:23" s="789" customFormat="1" ht="15" customHeight="1">
      <c r="A9" s="853">
        <v>45161</v>
      </c>
      <c r="B9" s="854" t="s">
        <v>94</v>
      </c>
      <c r="C9" s="855" t="s">
        <v>89</v>
      </c>
      <c r="D9" s="856" t="s">
        <v>68</v>
      </c>
      <c r="E9" s="857">
        <v>10.9</v>
      </c>
      <c r="F9" s="858">
        <f>E9-G9</f>
        <v>0.98000000000000043</v>
      </c>
      <c r="G9" s="848">
        <v>9.92</v>
      </c>
      <c r="H9" s="849">
        <f>G9-G8</f>
        <v>3.4400000000000013</v>
      </c>
      <c r="I9" s="859">
        <f>H9</f>
        <v>3.4400000000000013</v>
      </c>
      <c r="J9" s="859"/>
      <c r="K9" s="858">
        <v>0.56999999999999995</v>
      </c>
      <c r="L9" s="857"/>
      <c r="M9" s="858"/>
      <c r="N9" s="854"/>
      <c r="O9" s="860"/>
      <c r="P9" s="848"/>
      <c r="Q9" s="858">
        <f>K9*I9</f>
        <v>1.9608000000000005</v>
      </c>
      <c r="R9" s="858"/>
      <c r="S9" s="858"/>
      <c r="T9" s="860"/>
      <c r="U9" s="858"/>
      <c r="V9" s="948"/>
      <c r="W9" s="861"/>
    </row>
    <row r="10" spans="1:23" s="789" customFormat="1" ht="15" customHeight="1">
      <c r="A10" s="853">
        <v>45161</v>
      </c>
      <c r="B10" s="854" t="s">
        <v>94</v>
      </c>
      <c r="C10" s="855" t="s">
        <v>89</v>
      </c>
      <c r="D10" s="856" t="s">
        <v>68</v>
      </c>
      <c r="E10" s="857">
        <v>14.65</v>
      </c>
      <c r="F10" s="858">
        <f>E10-G10</f>
        <v>4.7300000000000004</v>
      </c>
      <c r="G10" s="848">
        <f>G9</f>
        <v>9.92</v>
      </c>
      <c r="H10" s="849"/>
      <c r="I10" s="854"/>
      <c r="J10" s="859"/>
      <c r="K10" s="858"/>
      <c r="L10" s="857"/>
      <c r="M10" s="858"/>
      <c r="N10" s="854"/>
      <c r="O10" s="860"/>
      <c r="P10" s="848"/>
      <c r="Q10" s="858"/>
      <c r="R10" s="858"/>
      <c r="S10" s="858">
        <v>0</v>
      </c>
      <c r="T10" s="860"/>
      <c r="U10" s="858"/>
      <c r="V10" s="948"/>
      <c r="W10" s="861"/>
    </row>
    <row r="11" spans="1:23" s="863" customFormat="1" ht="15.75" customHeight="1">
      <c r="A11" s="843">
        <v>45401</v>
      </c>
      <c r="B11" s="844" t="s">
        <v>171</v>
      </c>
      <c r="C11" s="845" t="s">
        <v>89</v>
      </c>
      <c r="D11" s="846" t="s">
        <v>175</v>
      </c>
      <c r="E11" s="847"/>
      <c r="F11" s="844"/>
      <c r="G11" s="848">
        <f t="shared" si="0"/>
        <v>0</v>
      </c>
      <c r="H11" s="849"/>
      <c r="I11" s="854"/>
      <c r="J11" s="854"/>
      <c r="K11" s="854"/>
      <c r="L11" s="857"/>
      <c r="M11" s="858"/>
      <c r="N11" s="854"/>
      <c r="O11" s="862"/>
      <c r="P11" s="848"/>
      <c r="Q11" s="854"/>
      <c r="R11" s="858"/>
      <c r="S11" s="858"/>
      <c r="T11" s="860"/>
      <c r="U11" s="858"/>
      <c r="V11" s="948"/>
      <c r="W11" s="855"/>
    </row>
    <row r="12" spans="1:23" s="789" customFormat="1" ht="15" customHeight="1">
      <c r="A12" s="802"/>
      <c r="C12" s="864"/>
      <c r="D12" s="865"/>
      <c r="E12" s="783"/>
      <c r="H12" s="866"/>
      <c r="I12" s="867"/>
      <c r="J12" s="799"/>
      <c r="K12" s="799"/>
      <c r="L12" s="868"/>
      <c r="M12" s="799"/>
      <c r="N12" s="799"/>
      <c r="O12" s="869"/>
      <c r="P12" s="799"/>
      <c r="Q12" s="867"/>
      <c r="R12" s="867"/>
      <c r="S12" s="867"/>
      <c r="T12" s="869"/>
      <c r="U12" s="867"/>
      <c r="V12" s="949"/>
      <c r="W12" s="871"/>
    </row>
    <row r="13" spans="1:23" s="789" customFormat="1" ht="15" customHeight="1">
      <c r="A13" s="872">
        <v>45401</v>
      </c>
      <c r="B13" s="873" t="s">
        <v>171</v>
      </c>
      <c r="C13" s="874" t="s">
        <v>174</v>
      </c>
      <c r="D13" s="875" t="s">
        <v>39</v>
      </c>
      <c r="E13" s="876">
        <v>8</v>
      </c>
      <c r="F13" s="877">
        <v>0.31</v>
      </c>
      <c r="G13" s="877">
        <f t="shared" si="0"/>
        <v>7.69</v>
      </c>
      <c r="H13" s="878"/>
      <c r="I13" s="877"/>
      <c r="J13" s="877">
        <v>4.4800000000000004</v>
      </c>
      <c r="K13" s="877">
        <v>0.45</v>
      </c>
      <c r="L13" s="879">
        <f>G13-J13</f>
        <v>3.21</v>
      </c>
      <c r="M13" s="877"/>
      <c r="N13" s="877"/>
      <c r="O13" s="880"/>
      <c r="P13" s="877">
        <f>J13*K13</f>
        <v>2.0160000000000005</v>
      </c>
      <c r="Q13" s="877"/>
      <c r="R13" s="950"/>
      <c r="S13" s="950"/>
      <c r="T13" s="951">
        <v>576093.51100000006</v>
      </c>
      <c r="U13" s="950">
        <v>7018666.6519999998</v>
      </c>
      <c r="V13" s="952">
        <v>2079.3939999999998</v>
      </c>
      <c r="W13" s="881"/>
    </row>
    <row r="14" spans="1:23" s="789" customFormat="1" ht="15" customHeight="1">
      <c r="A14" s="872">
        <v>45524</v>
      </c>
      <c r="B14" s="873" t="s">
        <v>180</v>
      </c>
      <c r="C14" s="874" t="s">
        <v>174</v>
      </c>
      <c r="D14" s="875" t="s">
        <v>57</v>
      </c>
      <c r="E14" s="876">
        <v>8</v>
      </c>
      <c r="F14" s="877">
        <v>2.19</v>
      </c>
      <c r="G14" s="877">
        <f t="shared" si="0"/>
        <v>5.8100000000000005</v>
      </c>
      <c r="H14" s="878"/>
      <c r="I14" s="877">
        <v>0.15</v>
      </c>
      <c r="J14" s="877">
        <f>AVERAGE(0.15, 0)</f>
        <v>7.4999999999999997E-2</v>
      </c>
      <c r="K14" s="877">
        <v>0.45</v>
      </c>
      <c r="L14" s="879"/>
      <c r="M14" s="877"/>
      <c r="N14" s="877"/>
      <c r="O14" s="880"/>
      <c r="P14" s="877"/>
      <c r="Q14" s="877"/>
      <c r="R14" s="950"/>
      <c r="S14" s="950">
        <f>J14*K14</f>
        <v>3.3750000000000002E-2</v>
      </c>
      <c r="T14" s="951">
        <v>576093.21299999999</v>
      </c>
      <c r="U14" s="950">
        <v>7018659.3569999998</v>
      </c>
      <c r="V14" s="952">
        <v>2076.1239999999998</v>
      </c>
      <c r="W14" s="881"/>
    </row>
    <row r="15" spans="1:23" s="789" customFormat="1" ht="15" customHeight="1">
      <c r="A15" s="872">
        <v>45524</v>
      </c>
      <c r="B15" s="873" t="s">
        <v>180</v>
      </c>
      <c r="C15" s="874" t="s">
        <v>174</v>
      </c>
      <c r="D15" s="875" t="s">
        <v>181</v>
      </c>
      <c r="E15" s="876">
        <v>10</v>
      </c>
      <c r="F15" s="877">
        <f>E15-G15</f>
        <v>4.34</v>
      </c>
      <c r="G15" s="877">
        <f>G14-0.15</f>
        <v>5.66</v>
      </c>
      <c r="H15" s="878"/>
      <c r="I15" s="877">
        <f>G15-L15</f>
        <v>2.4500000000000002</v>
      </c>
      <c r="J15" s="877">
        <v>2.12</v>
      </c>
      <c r="K15" s="877">
        <v>0.54</v>
      </c>
      <c r="L15" s="879">
        <f>L13</f>
        <v>3.21</v>
      </c>
      <c r="M15" s="877"/>
      <c r="N15" s="877"/>
      <c r="O15" s="880"/>
      <c r="P15" s="877"/>
      <c r="Q15" s="877">
        <f>J15*K15</f>
        <v>1.1448</v>
      </c>
      <c r="R15" s="950"/>
      <c r="S15" s="950"/>
      <c r="T15" s="951"/>
      <c r="U15" s="950"/>
      <c r="V15" s="952"/>
      <c r="W15" s="881"/>
    </row>
    <row r="16" spans="1:23" s="789" customFormat="1" ht="15" customHeight="1">
      <c r="A16" s="882">
        <v>45767</v>
      </c>
      <c r="B16" s="883" t="s">
        <v>195</v>
      </c>
      <c r="C16" s="884" t="s">
        <v>174</v>
      </c>
      <c r="D16" s="885" t="s">
        <v>39</v>
      </c>
      <c r="E16" s="886" t="s">
        <v>67</v>
      </c>
      <c r="F16" s="887"/>
      <c r="G16" s="887"/>
      <c r="H16" s="878"/>
      <c r="I16" s="877"/>
      <c r="J16" s="877"/>
      <c r="K16" s="877"/>
      <c r="L16" s="879"/>
      <c r="M16" s="877"/>
      <c r="N16" s="877"/>
      <c r="O16" s="880"/>
      <c r="P16" s="877"/>
      <c r="Q16" s="877"/>
      <c r="R16" s="950"/>
      <c r="S16" s="950"/>
      <c r="T16" s="951"/>
      <c r="U16" s="950"/>
      <c r="V16" s="952"/>
      <c r="W16" s="881"/>
    </row>
    <row r="17" spans="1:34" s="789" customFormat="1" ht="15" customHeight="1">
      <c r="A17" s="882">
        <v>45892</v>
      </c>
      <c r="B17" s="883" t="s">
        <v>195</v>
      </c>
      <c r="C17" s="884" t="s">
        <v>174</v>
      </c>
      <c r="D17" s="885" t="s">
        <v>68</v>
      </c>
      <c r="E17" s="886">
        <v>10</v>
      </c>
      <c r="F17" s="887">
        <f>2+0.25</f>
        <v>2.25</v>
      </c>
      <c r="G17" s="887">
        <v>7.75</v>
      </c>
      <c r="H17" s="878">
        <f>G17-G15</f>
        <v>2.09</v>
      </c>
      <c r="I17" s="877"/>
      <c r="J17" s="877">
        <v>2.08</v>
      </c>
      <c r="K17" s="877">
        <v>0.55000000000000004</v>
      </c>
      <c r="L17" s="879">
        <f>G15</f>
        <v>5.66</v>
      </c>
      <c r="M17" s="877"/>
      <c r="N17" s="877"/>
      <c r="O17" s="880"/>
      <c r="P17" s="877"/>
      <c r="Q17" s="877">
        <f>H17*K17</f>
        <v>1.1495</v>
      </c>
      <c r="R17" s="950"/>
      <c r="S17" s="950"/>
      <c r="T17" s="951">
        <v>576092.43700000003</v>
      </c>
      <c r="U17" s="950">
        <v>7018637.8679999998</v>
      </c>
      <c r="V17" s="952">
        <v>2073.5129999999999</v>
      </c>
      <c r="W17" s="881" t="s">
        <v>272</v>
      </c>
    </row>
    <row r="18" spans="1:34" s="789" customFormat="1" ht="15" customHeight="1">
      <c r="A18" s="882">
        <v>45892</v>
      </c>
      <c r="B18" s="883" t="s">
        <v>195</v>
      </c>
      <c r="C18" s="884" t="s">
        <v>174</v>
      </c>
      <c r="D18" s="885" t="s">
        <v>68</v>
      </c>
      <c r="E18" s="886"/>
      <c r="F18" s="887"/>
      <c r="G18" s="887"/>
      <c r="H18" s="878"/>
      <c r="I18" s="877"/>
      <c r="J18" s="877"/>
      <c r="K18" s="877"/>
      <c r="L18" s="879"/>
      <c r="M18" s="877"/>
      <c r="N18" s="877"/>
      <c r="O18" s="880"/>
      <c r="P18" s="877"/>
      <c r="Q18" s="877"/>
      <c r="R18" s="950"/>
      <c r="S18" s="950"/>
      <c r="T18" s="951"/>
      <c r="U18" s="950"/>
      <c r="V18" s="952"/>
      <c r="W18" s="881"/>
    </row>
    <row r="19" spans="1:34" s="789" customFormat="1" ht="15" customHeight="1">
      <c r="A19" s="888"/>
      <c r="B19" s="889"/>
      <c r="C19" s="890"/>
      <c r="D19" s="891"/>
      <c r="E19" s="892"/>
      <c r="F19" s="893"/>
      <c r="G19" s="893"/>
      <c r="H19" s="894"/>
      <c r="I19" s="893"/>
      <c r="J19" s="893"/>
      <c r="K19" s="893"/>
      <c r="L19" s="895"/>
      <c r="M19" s="893"/>
      <c r="N19" s="893"/>
      <c r="O19" s="896"/>
      <c r="P19" s="893"/>
      <c r="Q19" s="893"/>
      <c r="R19" s="953"/>
      <c r="S19" s="953"/>
      <c r="T19" s="954"/>
      <c r="U19" s="953"/>
      <c r="V19" s="949"/>
      <c r="W19" s="897"/>
    </row>
    <row r="20" spans="1:34" s="789" customFormat="1" ht="15" customHeight="1">
      <c r="A20" s="898">
        <v>45767</v>
      </c>
      <c r="B20" s="899" t="s">
        <v>199</v>
      </c>
      <c r="C20" s="900" t="s">
        <v>204</v>
      </c>
      <c r="D20" s="901" t="s">
        <v>39</v>
      </c>
      <c r="E20" s="902">
        <v>8</v>
      </c>
      <c r="F20" s="903">
        <v>0.3</v>
      </c>
      <c r="G20" s="903">
        <v>7.7</v>
      </c>
      <c r="H20" s="904"/>
      <c r="I20" s="905"/>
      <c r="J20" s="906">
        <f>'20250420_FirnCore_Z'!I3</f>
        <v>4.25</v>
      </c>
      <c r="K20" s="906">
        <f>'20250420_FirnCore_Z'!I4</f>
        <v>0.42409746086043959</v>
      </c>
      <c r="L20" s="907">
        <f>G20-J20</f>
        <v>3.45</v>
      </c>
      <c r="M20" s="906"/>
      <c r="N20" s="908"/>
      <c r="O20" s="909"/>
      <c r="P20" s="906">
        <f>J20*K20</f>
        <v>1.8024142086568682</v>
      </c>
      <c r="Q20" s="908"/>
      <c r="R20" s="906"/>
      <c r="S20" s="906"/>
      <c r="T20" s="955">
        <v>576092.57700000005</v>
      </c>
      <c r="U20" s="906">
        <v>7018667.0290000001</v>
      </c>
      <c r="V20" s="956">
        <v>2079.9059999999999</v>
      </c>
      <c r="W20" s="910"/>
    </row>
    <row r="21" spans="1:34" s="789" customFormat="1" ht="15" customHeight="1">
      <c r="A21" s="1086">
        <v>45892</v>
      </c>
      <c r="B21" s="899" t="s">
        <v>195</v>
      </c>
      <c r="C21" s="900" t="s">
        <v>204</v>
      </c>
      <c r="D21" s="900" t="s">
        <v>68</v>
      </c>
      <c r="E21" s="903">
        <v>8</v>
      </c>
      <c r="F21" s="903">
        <f>2+0.72</f>
        <v>2.7199999999999998</v>
      </c>
      <c r="G21" s="1235">
        <v>5.28</v>
      </c>
      <c r="H21" s="1247">
        <f>G21-L20</f>
        <v>1.83</v>
      </c>
      <c r="I21" s="1087"/>
      <c r="J21" s="906">
        <v>2.08</v>
      </c>
      <c r="K21" s="1234">
        <v>0.55000000000000004</v>
      </c>
      <c r="L21" s="906">
        <f>G21-J21</f>
        <v>3.2</v>
      </c>
      <c r="M21" s="906"/>
      <c r="N21" s="1236"/>
      <c r="O21" s="908"/>
      <c r="P21" s="906"/>
      <c r="Q21" s="908">
        <f>H21*K21</f>
        <v>1.0065000000000002</v>
      </c>
      <c r="R21" s="906"/>
      <c r="S21" s="1237">
        <v>0</v>
      </c>
      <c r="T21" s="906">
        <v>576092.43700000003</v>
      </c>
      <c r="U21" s="906">
        <v>7018637.8679999998</v>
      </c>
      <c r="V21" s="956">
        <v>2073.5129999999999</v>
      </c>
      <c r="W21" s="1088"/>
    </row>
    <row r="22" spans="1:34" s="789" customFormat="1" ht="15" customHeight="1">
      <c r="A22" s="1086">
        <v>45892</v>
      </c>
      <c r="B22" s="899" t="s">
        <v>195</v>
      </c>
      <c r="C22" s="900" t="s">
        <v>204</v>
      </c>
      <c r="D22" s="900" t="s">
        <v>68</v>
      </c>
      <c r="E22" s="903">
        <v>10</v>
      </c>
      <c r="F22" s="903">
        <f>E22-G22</f>
        <v>4.72</v>
      </c>
      <c r="G22" s="1235">
        <v>5.28</v>
      </c>
      <c r="H22" s="904"/>
      <c r="I22" s="905"/>
      <c r="J22" s="906"/>
      <c r="K22" s="1234"/>
      <c r="L22" s="906"/>
      <c r="M22" s="906"/>
      <c r="N22" s="1236"/>
      <c r="O22" s="908"/>
      <c r="P22" s="906"/>
      <c r="Q22" s="908"/>
      <c r="R22" s="906"/>
      <c r="S22" s="1237"/>
      <c r="T22" s="906"/>
      <c r="U22" s="906"/>
      <c r="V22" s="956"/>
      <c r="W22" s="1088"/>
    </row>
    <row r="23" spans="1:34" s="789" customFormat="1" ht="15" customHeight="1" thickBot="1">
      <c r="A23" s="911"/>
      <c r="B23" s="911"/>
      <c r="C23" s="911"/>
      <c r="D23" s="911"/>
      <c r="E23" s="911"/>
      <c r="F23" s="911"/>
      <c r="G23" s="911"/>
      <c r="H23" s="911"/>
      <c r="I23" s="911"/>
      <c r="J23" s="911"/>
      <c r="K23" s="911"/>
      <c r="L23" s="911"/>
      <c r="M23" s="911"/>
      <c r="N23" s="911"/>
      <c r="O23" s="911"/>
      <c r="P23" s="911"/>
      <c r="Q23" s="911"/>
      <c r="R23" s="911"/>
      <c r="S23" s="911"/>
      <c r="T23" s="911"/>
      <c r="U23" s="911"/>
      <c r="V23" s="911"/>
      <c r="W23" s="911"/>
      <c r="X23" s="911"/>
      <c r="Y23" s="911"/>
      <c r="Z23" s="911"/>
      <c r="AA23" s="911"/>
      <c r="AB23" s="911"/>
      <c r="AC23" s="911"/>
      <c r="AD23" s="911"/>
      <c r="AE23" s="911"/>
      <c r="AF23" s="911"/>
      <c r="AG23" s="911"/>
      <c r="AH23" s="911"/>
    </row>
    <row r="24" spans="1:34" s="789" customFormat="1" ht="15.75" customHeight="1">
      <c r="A24" s="1407" t="s">
        <v>42</v>
      </c>
      <c r="B24" s="1408"/>
      <c r="C24" s="1411" t="s">
        <v>43</v>
      </c>
      <c r="D24" s="1411"/>
      <c r="E24" s="912" t="s">
        <v>44</v>
      </c>
      <c r="F24" s="913"/>
      <c r="G24" s="912" t="s">
        <v>45</v>
      </c>
      <c r="H24" s="913"/>
      <c r="I24" s="914" t="s">
        <v>46</v>
      </c>
      <c r="R24" s="870"/>
      <c r="S24" s="870"/>
      <c r="T24" s="870"/>
      <c r="U24" s="870"/>
    </row>
    <row r="25" spans="1:34" s="789" customFormat="1" ht="15.75" customHeight="1">
      <c r="A25" s="1409"/>
      <c r="B25" s="1410"/>
      <c r="C25" s="915" t="s">
        <v>47</v>
      </c>
      <c r="D25" s="915" t="s">
        <v>48</v>
      </c>
      <c r="E25" s="916">
        <f>A15</f>
        <v>45524</v>
      </c>
      <c r="F25" s="917" t="s">
        <v>49</v>
      </c>
      <c r="G25" s="918">
        <f>A20</f>
        <v>45767</v>
      </c>
      <c r="H25" s="917" t="s">
        <v>49</v>
      </c>
      <c r="I25" s="919">
        <f>A21</f>
        <v>45892</v>
      </c>
      <c r="R25" s="870"/>
      <c r="S25" s="870"/>
      <c r="T25" s="870"/>
      <c r="U25" s="870"/>
    </row>
    <row r="26" spans="1:34" s="789" customFormat="1" ht="15.75" customHeight="1">
      <c r="A26" s="920"/>
      <c r="B26" s="921" t="s">
        <v>50</v>
      </c>
      <c r="C26" s="922">
        <f>P20</f>
        <v>1.8024142086568682</v>
      </c>
      <c r="D26" s="922"/>
      <c r="E26" s="923"/>
      <c r="F26" s="923"/>
      <c r="G26" s="924"/>
      <c r="H26" s="922"/>
      <c r="I26" s="925"/>
      <c r="R26" s="870"/>
      <c r="S26" s="870"/>
      <c r="T26" s="870"/>
      <c r="U26" s="870"/>
    </row>
    <row r="27" spans="1:34" s="789" customFormat="1" ht="15.75" customHeight="1">
      <c r="A27" s="920"/>
      <c r="B27" s="921" t="s">
        <v>51</v>
      </c>
      <c r="C27" s="922">
        <f>C28-C26</f>
        <v>-0.65841420865686806</v>
      </c>
      <c r="D27" s="922"/>
      <c r="E27" s="923"/>
      <c r="F27" s="923"/>
      <c r="G27" s="924"/>
      <c r="H27" s="922"/>
      <c r="I27" s="925"/>
      <c r="R27" s="870"/>
      <c r="S27" s="870"/>
      <c r="T27" s="870"/>
      <c r="U27" s="870"/>
    </row>
    <row r="28" spans="1:34" s="789" customFormat="1" ht="15.75" customHeight="1">
      <c r="A28" s="920"/>
      <c r="B28" s="921" t="s">
        <v>52</v>
      </c>
      <c r="C28" s="922">
        <f>J21*K21</f>
        <v>1.1440000000000001</v>
      </c>
      <c r="D28" s="922"/>
      <c r="E28" s="923"/>
      <c r="F28" s="923"/>
      <c r="G28" s="924"/>
      <c r="H28" s="922"/>
      <c r="I28" s="925"/>
      <c r="R28" s="870"/>
      <c r="S28" s="870"/>
      <c r="T28" s="870"/>
      <c r="U28" s="870"/>
    </row>
    <row r="29" spans="1:34" s="789" customFormat="1" ht="15.75" customHeight="1">
      <c r="A29" s="920"/>
      <c r="B29" s="926" t="s">
        <v>53</v>
      </c>
      <c r="C29" s="922">
        <f>S14</f>
        <v>3.3750000000000002E-2</v>
      </c>
      <c r="D29" s="922"/>
      <c r="E29" s="923"/>
      <c r="F29" s="923"/>
      <c r="G29" s="922"/>
      <c r="H29" s="922"/>
      <c r="I29" s="925"/>
      <c r="R29" s="870"/>
      <c r="S29" s="870"/>
      <c r="T29" s="870"/>
      <c r="U29" s="870"/>
    </row>
    <row r="30" spans="1:34" s="789" customFormat="1" ht="15.75" customHeight="1">
      <c r="A30" s="920"/>
      <c r="B30" s="926" t="s">
        <v>54</v>
      </c>
      <c r="C30" s="922">
        <v>0</v>
      </c>
      <c r="D30" s="922"/>
      <c r="E30" s="923"/>
      <c r="F30" s="923"/>
      <c r="G30" s="922"/>
      <c r="H30" s="922"/>
      <c r="I30" s="925"/>
      <c r="R30" s="870"/>
      <c r="S30" s="870"/>
      <c r="T30" s="870"/>
      <c r="U30" s="870"/>
    </row>
    <row r="31" spans="1:34" s="789" customFormat="1" ht="15.75" customHeight="1" thickBot="1">
      <c r="A31" s="927"/>
      <c r="B31" s="928" t="s">
        <v>55</v>
      </c>
      <c r="C31" s="929">
        <f>S21</f>
        <v>0</v>
      </c>
      <c r="D31" s="929"/>
      <c r="E31" s="930"/>
      <c r="F31" s="930"/>
      <c r="G31" s="931"/>
      <c r="H31" s="931"/>
      <c r="I31" s="932"/>
      <c r="R31" s="870"/>
      <c r="S31" s="870"/>
      <c r="T31" s="870"/>
      <c r="U31" s="870"/>
    </row>
    <row r="32" spans="1:34" s="789" customFormat="1" ht="15.75" customHeight="1">
      <c r="A32" s="870"/>
      <c r="B32" s="870"/>
      <c r="C32" s="870"/>
      <c r="D32" s="870"/>
      <c r="E32" s="870"/>
      <c r="F32" s="870"/>
      <c r="G32" s="870"/>
      <c r="H32" s="870"/>
      <c r="I32" s="870"/>
      <c r="J32" s="870"/>
      <c r="K32" s="870"/>
      <c r="L32" s="870"/>
      <c r="M32" s="870"/>
      <c r="N32" s="870"/>
      <c r="O32" s="870"/>
      <c r="P32" s="870"/>
      <c r="Q32" s="870"/>
      <c r="R32" s="870"/>
      <c r="S32" s="870"/>
      <c r="T32" s="870"/>
      <c r="U32" s="870"/>
    </row>
    <row r="33" s="789" customFormat="1" ht="15.75" customHeight="1"/>
    <row r="34" s="789" customFormat="1" ht="15.75" customHeight="1"/>
    <row r="35" s="789" customFormat="1" ht="15.75" customHeight="1"/>
  </sheetData>
  <mergeCells count="6">
    <mergeCell ref="T1:V1"/>
    <mergeCell ref="T2:U2"/>
    <mergeCell ref="E3:G3"/>
    <mergeCell ref="T3:U3"/>
    <mergeCell ref="A24:B25"/>
    <mergeCell ref="C24:D24"/>
  </mergeCells>
  <pageMargins left="0.7" right="0.7" top="0.75" bottom="0.75" header="0.3" footer="0.3"/>
  <pageSetup orientation="portrait" verticalDpi="12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50E0-9945-407F-8C72-64210EBBFFEB}">
  <dimension ref="A1:Q168"/>
  <sheetViews>
    <sheetView workbookViewId="0">
      <selection activeCell="H5" sqref="H5:I5"/>
    </sheetView>
  </sheetViews>
  <sheetFormatPr defaultColWidth="7.88671875" defaultRowHeight="10.199999999999999"/>
  <cols>
    <col min="1" max="1" width="15.6640625" style="516" bestFit="1" customWidth="1"/>
    <col min="2" max="2" width="9.5546875" style="516" bestFit="1" customWidth="1"/>
    <col min="3" max="3" width="5.109375" style="579" customWidth="1"/>
    <col min="4" max="6" width="7.6640625" style="579" customWidth="1"/>
    <col min="7" max="7" width="6.33203125" style="575" customWidth="1"/>
    <col min="8" max="8" width="6.88671875" style="580" customWidth="1"/>
    <col min="9" max="9" width="9.6640625" style="575" customWidth="1"/>
    <col min="10" max="10" width="8.6640625" style="575" bestFit="1" customWidth="1"/>
    <col min="11" max="11" width="12.5546875" style="570" customWidth="1"/>
    <col min="12" max="12" width="17.33203125" style="576" bestFit="1" customWidth="1"/>
    <col min="13" max="13" width="12.88671875" style="516" customWidth="1"/>
    <col min="14" max="14" width="11.33203125" style="516" customWidth="1"/>
    <col min="15" max="15" width="14.5546875" style="458" customWidth="1"/>
    <col min="16" max="16" width="2.44140625" style="458" customWidth="1"/>
    <col min="17" max="17" width="14" style="516" bestFit="1" customWidth="1"/>
    <col min="18" max="18" width="5.44140625" style="516" customWidth="1"/>
    <col min="19" max="27" width="5.33203125" style="516" customWidth="1"/>
    <col min="28" max="28" width="17" style="516" customWidth="1"/>
    <col min="29" max="16384" width="7.88671875" style="516"/>
  </cols>
  <sheetData>
    <row r="1" spans="1:14" s="405" customFormat="1" ht="13.2">
      <c r="A1" s="395" t="s">
        <v>103</v>
      </c>
      <c r="B1" s="396" t="s">
        <v>147</v>
      </c>
      <c r="C1" s="397"/>
      <c r="D1" s="396"/>
      <c r="E1" s="398"/>
      <c r="F1" s="398"/>
      <c r="G1" s="399"/>
      <c r="H1" s="400" t="s">
        <v>104</v>
      </c>
      <c r="I1" s="401" t="s">
        <v>211</v>
      </c>
      <c r="J1" s="402"/>
      <c r="K1" s="396"/>
      <c r="L1" s="396"/>
      <c r="M1" s="403"/>
      <c r="N1" s="404"/>
    </row>
    <row r="2" spans="1:14" s="405" customFormat="1" ht="13.2">
      <c r="A2" s="406" t="s">
        <v>105</v>
      </c>
      <c r="B2" s="407" t="s">
        <v>5</v>
      </c>
      <c r="C2" s="408"/>
      <c r="D2" s="407"/>
      <c r="E2" s="409"/>
      <c r="F2" s="409"/>
      <c r="G2" s="410"/>
      <c r="H2" s="411" t="s">
        <v>106</v>
      </c>
      <c r="I2" s="412">
        <f>AVERAGE(B12:B21)</f>
        <v>170.5</v>
      </c>
      <c r="J2" s="413"/>
      <c r="K2" s="407"/>
      <c r="L2" s="407"/>
      <c r="M2" s="414"/>
      <c r="N2" s="415"/>
    </row>
    <row r="3" spans="1:14" s="421" customFormat="1" ht="11.25" customHeight="1">
      <c r="A3" s="416" t="s">
        <v>107</v>
      </c>
      <c r="B3" s="581">
        <v>45768</v>
      </c>
      <c r="C3" s="408"/>
      <c r="D3" s="409"/>
      <c r="E3" s="409"/>
      <c r="F3" s="409"/>
      <c r="G3" s="410"/>
      <c r="H3" s="417" t="s">
        <v>108</v>
      </c>
      <c r="I3" s="418">
        <f>B52/100</f>
        <v>1.6864285714285714</v>
      </c>
      <c r="J3" s="413"/>
      <c r="K3" s="407"/>
      <c r="L3" s="407"/>
      <c r="M3" s="419"/>
      <c r="N3" s="420"/>
    </row>
    <row r="4" spans="1:14" s="405" customFormat="1" ht="13.2">
      <c r="A4" s="416" t="s">
        <v>109</v>
      </c>
      <c r="B4" s="407" t="s">
        <v>207</v>
      </c>
      <c r="C4" s="408"/>
      <c r="D4" s="409"/>
      <c r="E4" s="409"/>
      <c r="F4" s="409"/>
      <c r="G4" s="410"/>
      <c r="H4" s="417" t="s">
        <v>110</v>
      </c>
      <c r="I4" s="418">
        <v>0.31</v>
      </c>
      <c r="J4" s="413"/>
      <c r="K4" s="407"/>
      <c r="L4" s="407"/>
      <c r="M4" s="414"/>
      <c r="N4" s="404"/>
    </row>
    <row r="5" spans="1:14" s="425" customFormat="1" ht="13.2">
      <c r="A5" s="406" t="s">
        <v>111</v>
      </c>
      <c r="B5" s="422" t="s">
        <v>112</v>
      </c>
      <c r="C5" s="408"/>
      <c r="D5" s="409"/>
      <c r="E5" s="409"/>
      <c r="F5" s="409"/>
      <c r="G5" s="410"/>
      <c r="H5" s="417" t="s">
        <v>261</v>
      </c>
      <c r="I5" s="1224">
        <f>(I2*I4)/100</f>
        <v>0.52854999999999996</v>
      </c>
      <c r="J5" s="413"/>
      <c r="K5" s="407"/>
      <c r="L5" s="407"/>
      <c r="M5" s="423"/>
      <c r="N5" s="424"/>
    </row>
    <row r="6" spans="1:14" s="424" customFormat="1" ht="13.8" thickBot="1">
      <c r="A6" s="426"/>
      <c r="B6" s="427"/>
      <c r="C6" s="428"/>
      <c r="D6" s="429"/>
      <c r="E6" s="429"/>
      <c r="F6" s="429"/>
      <c r="G6" s="430"/>
      <c r="H6" s="431"/>
      <c r="I6" s="432"/>
      <c r="J6" s="430"/>
      <c r="K6" s="433"/>
      <c r="L6" s="427"/>
      <c r="M6" s="434"/>
    </row>
    <row r="7" spans="1:14" s="425" customFormat="1" ht="13.2" customHeight="1">
      <c r="A7" s="1412" t="s">
        <v>212</v>
      </c>
      <c r="B7" s="1413"/>
      <c r="C7" s="424"/>
      <c r="D7" s="424"/>
    </row>
    <row r="8" spans="1:14" s="454" customFormat="1" ht="11.25" customHeight="1">
      <c r="A8" s="423"/>
      <c r="B8" s="423"/>
      <c r="C8" s="453"/>
    </row>
    <row r="9" spans="1:14" s="455" customFormat="1">
      <c r="A9" s="459"/>
      <c r="B9" s="460"/>
      <c r="C9" s="461"/>
      <c r="D9" s="462"/>
    </row>
    <row r="10" spans="1:14" s="455" customFormat="1">
      <c r="A10" s="459" t="s">
        <v>213</v>
      </c>
      <c r="B10" s="459" t="s">
        <v>129</v>
      </c>
      <c r="C10" s="469"/>
    </row>
    <row r="11" spans="1:14" s="455" customFormat="1" ht="10.8" thickBot="1">
      <c r="A11" s="479"/>
      <c r="B11" s="480" t="s">
        <v>131</v>
      </c>
      <c r="C11" s="469"/>
    </row>
    <row r="12" spans="1:14" s="455" customFormat="1">
      <c r="A12" s="501" t="s">
        <v>214</v>
      </c>
      <c r="B12" s="502">
        <v>185</v>
      </c>
      <c r="C12" s="469"/>
    </row>
    <row r="13" spans="1:14" s="455" customFormat="1">
      <c r="A13" s="501" t="s">
        <v>215</v>
      </c>
      <c r="B13" s="502">
        <v>144</v>
      </c>
      <c r="C13" s="469"/>
    </row>
    <row r="14" spans="1:14" s="455" customFormat="1">
      <c r="A14" s="501" t="s">
        <v>216</v>
      </c>
      <c r="B14" s="503">
        <v>128</v>
      </c>
      <c r="C14" s="469"/>
    </row>
    <row r="15" spans="1:14" s="455" customFormat="1">
      <c r="A15" s="501" t="s">
        <v>217</v>
      </c>
      <c r="B15" s="502">
        <v>129</v>
      </c>
      <c r="C15" s="469"/>
    </row>
    <row r="16" spans="1:14" s="455" customFormat="1">
      <c r="A16" s="501" t="s">
        <v>218</v>
      </c>
      <c r="B16" s="502">
        <v>188</v>
      </c>
      <c r="C16" s="461"/>
    </row>
    <row r="17" spans="1:16" s="455" customFormat="1">
      <c r="A17" s="501" t="s">
        <v>219</v>
      </c>
      <c r="B17" s="502">
        <v>205</v>
      </c>
      <c r="C17" s="461"/>
    </row>
    <row r="18" spans="1:16" s="455" customFormat="1" ht="10.199999999999999" customHeight="1">
      <c r="A18" s="501" t="s">
        <v>221</v>
      </c>
      <c r="B18" s="502">
        <v>226</v>
      </c>
      <c r="C18" s="507"/>
    </row>
    <row r="19" spans="1:16" s="455" customFormat="1">
      <c r="A19" s="501" t="s">
        <v>220</v>
      </c>
      <c r="B19" s="502">
        <v>136</v>
      </c>
      <c r="C19" s="508"/>
    </row>
    <row r="20" spans="1:16" s="510" customFormat="1">
      <c r="A20" s="501" t="s">
        <v>222</v>
      </c>
      <c r="B20" s="502">
        <v>171</v>
      </c>
      <c r="C20" s="508"/>
    </row>
    <row r="21" spans="1:16" s="510" customFormat="1">
      <c r="A21" s="501" t="s">
        <v>223</v>
      </c>
      <c r="B21" s="511">
        <v>193</v>
      </c>
      <c r="C21" s="508"/>
    </row>
    <row r="22" spans="1:16" s="510" customFormat="1">
      <c r="A22" s="501" t="s">
        <v>224</v>
      </c>
      <c r="B22" s="513">
        <v>163</v>
      </c>
      <c r="C22" s="514"/>
    </row>
    <row r="23" spans="1:16" s="510" customFormat="1">
      <c r="A23" s="501" t="s">
        <v>224</v>
      </c>
      <c r="B23" s="513">
        <v>150</v>
      </c>
      <c r="C23" s="514"/>
    </row>
    <row r="24" spans="1:16" s="510" customFormat="1">
      <c r="A24" s="501" t="s">
        <v>224</v>
      </c>
      <c r="B24" s="513">
        <v>182</v>
      </c>
      <c r="C24" s="514"/>
    </row>
    <row r="25" spans="1:16" s="510" customFormat="1">
      <c r="A25" s="501" t="s">
        <v>224</v>
      </c>
      <c r="B25" s="502">
        <v>161</v>
      </c>
      <c r="C25" s="514"/>
      <c r="D25" s="1064">
        <f>AVERAGE(B22:B25)</f>
        <v>164</v>
      </c>
    </row>
    <row r="26" spans="1:16" s="510" customFormat="1">
      <c r="A26" s="501"/>
      <c r="B26" s="502"/>
      <c r="C26" s="514"/>
    </row>
    <row r="27" spans="1:16" s="510" customFormat="1">
      <c r="A27" s="501"/>
      <c r="B27" s="502"/>
      <c r="C27" s="514"/>
    </row>
    <row r="28" spans="1:16">
      <c r="A28" s="501"/>
      <c r="B28" s="502"/>
      <c r="C28" s="514"/>
      <c r="D28" s="510"/>
      <c r="E28" s="510"/>
      <c r="F28" s="516"/>
      <c r="G28" s="516"/>
      <c r="H28" s="516"/>
      <c r="I28" s="516"/>
      <c r="J28" s="516"/>
      <c r="K28" s="516"/>
      <c r="L28" s="516"/>
      <c r="O28" s="516"/>
      <c r="P28" s="516"/>
    </row>
    <row r="29" spans="1:16">
      <c r="A29" s="501"/>
      <c r="B29" s="502"/>
      <c r="C29" s="514"/>
      <c r="D29" s="510"/>
      <c r="E29" s="510"/>
      <c r="F29" s="516"/>
      <c r="G29" s="516"/>
      <c r="H29" s="516"/>
      <c r="I29" s="516"/>
      <c r="J29" s="516"/>
      <c r="K29" s="516"/>
      <c r="L29" s="516"/>
      <c r="O29" s="516"/>
      <c r="P29" s="516"/>
    </row>
    <row r="30" spans="1:16">
      <c r="A30" s="501"/>
      <c r="B30" s="502"/>
      <c r="C30" s="514"/>
      <c r="D30" s="510"/>
      <c r="E30" s="510"/>
      <c r="F30" s="516"/>
      <c r="G30" s="516"/>
      <c r="H30" s="516"/>
      <c r="I30" s="516"/>
      <c r="J30" s="516"/>
      <c r="K30" s="516"/>
      <c r="L30" s="516"/>
      <c r="O30" s="516"/>
      <c r="P30" s="516"/>
    </row>
    <row r="31" spans="1:16">
      <c r="A31" s="501"/>
      <c r="B31" s="502"/>
      <c r="C31" s="514"/>
      <c r="D31" s="510"/>
      <c r="E31" s="510"/>
      <c r="F31" s="516"/>
      <c r="G31" s="516"/>
      <c r="H31" s="516"/>
      <c r="I31" s="516"/>
      <c r="J31" s="516"/>
      <c r="K31" s="516"/>
      <c r="L31" s="516"/>
      <c r="O31" s="516"/>
      <c r="P31" s="516"/>
    </row>
    <row r="32" spans="1:16">
      <c r="A32" s="501"/>
      <c r="B32" s="502"/>
      <c r="C32" s="514"/>
      <c r="D32" s="510"/>
      <c r="E32" s="510"/>
      <c r="F32" s="516"/>
      <c r="G32" s="516"/>
      <c r="H32" s="516"/>
      <c r="I32" s="516"/>
      <c r="J32" s="516"/>
      <c r="K32" s="516"/>
      <c r="L32" s="516"/>
      <c r="O32" s="516"/>
      <c r="P32" s="516"/>
    </row>
    <row r="33" spans="1:16">
      <c r="A33" s="501"/>
      <c r="B33" s="502"/>
      <c r="C33" s="518"/>
      <c r="D33" s="516"/>
      <c r="E33" s="516"/>
      <c r="F33" s="516"/>
      <c r="G33" s="516"/>
      <c r="H33" s="516"/>
      <c r="I33" s="516"/>
      <c r="J33" s="516"/>
      <c r="K33" s="516"/>
      <c r="L33" s="516"/>
      <c r="O33" s="516"/>
      <c r="P33" s="516"/>
    </row>
    <row r="34" spans="1:16">
      <c r="A34" s="501"/>
      <c r="B34" s="502"/>
      <c r="C34" s="519"/>
      <c r="D34" s="520"/>
      <c r="E34" s="521"/>
      <c r="F34" s="520"/>
      <c r="G34" s="516"/>
      <c r="H34" s="516"/>
      <c r="I34" s="516"/>
      <c r="J34" s="516"/>
      <c r="K34" s="516"/>
      <c r="L34" s="516"/>
      <c r="O34" s="516"/>
      <c r="P34" s="516"/>
    </row>
    <row r="35" spans="1:16">
      <c r="A35" s="501"/>
      <c r="B35" s="502"/>
      <c r="C35" s="519"/>
      <c r="D35" s="520"/>
      <c r="E35" s="522"/>
      <c r="F35" s="520"/>
      <c r="G35" s="516"/>
      <c r="H35" s="516"/>
      <c r="I35" s="516"/>
      <c r="J35" s="516"/>
      <c r="K35" s="516"/>
      <c r="L35" s="516"/>
      <c r="O35" s="516"/>
      <c r="P35" s="516"/>
    </row>
    <row r="36" spans="1:16">
      <c r="A36" s="501"/>
      <c r="B36" s="502"/>
      <c r="C36" s="523"/>
      <c r="D36" s="520"/>
      <c r="E36" s="520"/>
      <c r="F36" s="520"/>
      <c r="G36" s="516"/>
      <c r="H36" s="516"/>
      <c r="I36" s="516"/>
      <c r="J36" s="516"/>
      <c r="K36" s="516"/>
      <c r="L36" s="516"/>
      <c r="O36" s="516"/>
      <c r="P36" s="516"/>
    </row>
    <row r="37" spans="1:16">
      <c r="A37" s="501"/>
      <c r="B37" s="502"/>
      <c r="C37" s="524"/>
      <c r="D37" s="525"/>
      <c r="E37" s="516"/>
      <c r="F37" s="516"/>
      <c r="G37" s="516"/>
      <c r="H37" s="516"/>
      <c r="I37" s="516"/>
      <c r="J37" s="516"/>
      <c r="K37" s="516"/>
      <c r="L37" s="516"/>
      <c r="O37" s="516"/>
      <c r="P37" s="516"/>
    </row>
    <row r="38" spans="1:16">
      <c r="A38" s="501"/>
      <c r="B38" s="502"/>
      <c r="C38" s="525"/>
      <c r="D38" s="525"/>
      <c r="E38" s="516"/>
      <c r="F38" s="516"/>
      <c r="G38" s="516"/>
      <c r="H38" s="516"/>
      <c r="I38" s="516"/>
      <c r="J38" s="516"/>
      <c r="K38" s="516"/>
      <c r="L38" s="516"/>
      <c r="O38" s="516"/>
      <c r="P38" s="516"/>
    </row>
    <row r="39" spans="1:16">
      <c r="A39" s="501"/>
      <c r="B39" s="502"/>
      <c r="C39" s="516"/>
      <c r="D39" s="516"/>
      <c r="E39" s="516"/>
      <c r="F39" s="516"/>
      <c r="G39" s="516"/>
      <c r="H39" s="516"/>
      <c r="I39" s="516"/>
      <c r="J39" s="516"/>
      <c r="K39" s="516"/>
      <c r="L39" s="516"/>
      <c r="O39" s="516"/>
      <c r="P39" s="516"/>
    </row>
    <row r="40" spans="1:16">
      <c r="A40" s="501"/>
      <c r="B40" s="502"/>
      <c r="C40" s="516"/>
      <c r="D40" s="516"/>
      <c r="E40" s="516"/>
      <c r="F40" s="516"/>
      <c r="G40" s="516"/>
      <c r="H40" s="516"/>
      <c r="I40" s="516"/>
      <c r="J40" s="516"/>
      <c r="K40" s="516"/>
      <c r="L40" s="516"/>
      <c r="O40" s="516"/>
      <c r="P40" s="516"/>
    </row>
    <row r="41" spans="1:16">
      <c r="A41" s="501"/>
      <c r="B41" s="502"/>
      <c r="C41" s="516"/>
      <c r="D41" s="516"/>
      <c r="E41" s="516"/>
      <c r="F41" s="516"/>
      <c r="G41" s="516"/>
      <c r="H41" s="516"/>
      <c r="I41" s="516"/>
      <c r="J41" s="516"/>
      <c r="K41" s="516"/>
      <c r="L41" s="516"/>
      <c r="O41" s="516"/>
      <c r="P41" s="516"/>
    </row>
    <row r="42" spans="1:16">
      <c r="A42" s="501"/>
      <c r="B42" s="502"/>
      <c r="C42" s="516"/>
      <c r="D42" s="516"/>
      <c r="E42" s="516"/>
      <c r="F42" s="516"/>
      <c r="G42" s="516"/>
      <c r="H42" s="516"/>
      <c r="I42" s="516"/>
      <c r="J42" s="516"/>
      <c r="K42" s="516"/>
      <c r="L42" s="516"/>
      <c r="O42" s="516"/>
      <c r="P42" s="516"/>
    </row>
    <row r="43" spans="1:16">
      <c r="A43" s="501"/>
      <c r="B43" s="502"/>
      <c r="C43" s="516"/>
      <c r="D43" s="516"/>
      <c r="E43" s="516"/>
      <c r="F43" s="516"/>
      <c r="G43" s="516"/>
      <c r="H43" s="516"/>
      <c r="I43" s="516"/>
      <c r="J43" s="516"/>
      <c r="K43" s="516"/>
      <c r="L43" s="516"/>
      <c r="O43" s="516"/>
      <c r="P43" s="516"/>
    </row>
    <row r="44" spans="1:16">
      <c r="A44" s="501"/>
      <c r="B44" s="502"/>
      <c r="C44" s="516"/>
      <c r="D44" s="516"/>
      <c r="E44" s="516"/>
      <c r="F44" s="516"/>
      <c r="G44" s="516"/>
      <c r="H44" s="516"/>
      <c r="I44" s="516"/>
      <c r="J44" s="516"/>
      <c r="K44" s="516"/>
      <c r="L44" s="516"/>
      <c r="O44" s="516"/>
      <c r="P44" s="516"/>
    </row>
    <row r="45" spans="1:16">
      <c r="A45" s="501"/>
      <c r="B45" s="502"/>
      <c r="C45" s="516"/>
      <c r="D45" s="516"/>
      <c r="E45" s="516"/>
      <c r="F45" s="516"/>
      <c r="G45" s="516"/>
      <c r="H45" s="516"/>
      <c r="I45" s="516"/>
      <c r="J45" s="516"/>
      <c r="K45" s="516"/>
      <c r="L45" s="516"/>
      <c r="O45" s="516"/>
      <c r="P45" s="516"/>
    </row>
    <row r="46" spans="1:16">
      <c r="A46" s="501"/>
      <c r="B46" s="502"/>
      <c r="C46" s="516"/>
      <c r="D46" s="516"/>
      <c r="E46" s="516"/>
      <c r="F46" s="516"/>
      <c r="G46" s="516"/>
      <c r="H46" s="516"/>
      <c r="I46" s="516"/>
      <c r="J46" s="516"/>
      <c r="K46" s="516"/>
      <c r="L46" s="516"/>
      <c r="O46" s="516"/>
      <c r="P46" s="516"/>
    </row>
    <row r="47" spans="1:16">
      <c r="A47" s="501"/>
      <c r="B47" s="502"/>
      <c r="C47" s="516"/>
      <c r="D47" s="516"/>
      <c r="E47" s="516"/>
      <c r="F47" s="516"/>
      <c r="G47" s="516"/>
      <c r="H47" s="516"/>
      <c r="I47" s="516"/>
      <c r="J47" s="516"/>
      <c r="K47" s="516"/>
      <c r="L47" s="516"/>
      <c r="O47" s="516"/>
      <c r="P47" s="516"/>
    </row>
    <row r="48" spans="1:16">
      <c r="A48" s="501"/>
      <c r="B48" s="502"/>
      <c r="C48" s="516"/>
      <c r="D48" s="516"/>
      <c r="E48" s="516"/>
      <c r="F48" s="516"/>
      <c r="G48" s="516"/>
      <c r="H48" s="516"/>
      <c r="I48" s="516"/>
      <c r="J48" s="516"/>
      <c r="K48" s="516"/>
      <c r="L48" s="516"/>
      <c r="O48" s="516"/>
      <c r="P48" s="516"/>
    </row>
    <row r="49" spans="1:16">
      <c r="A49" s="501"/>
      <c r="B49" s="502"/>
      <c r="C49" s="516"/>
      <c r="D49" s="516"/>
      <c r="E49" s="516"/>
      <c r="F49" s="516"/>
      <c r="G49" s="516"/>
      <c r="H49" s="516"/>
      <c r="I49" s="516"/>
      <c r="J49" s="516"/>
      <c r="K49" s="516"/>
      <c r="L49" s="516"/>
      <c r="O49" s="516"/>
      <c r="P49" s="516"/>
    </row>
    <row r="50" spans="1:16">
      <c r="A50" s="501"/>
      <c r="B50" s="502"/>
      <c r="C50" s="516"/>
      <c r="D50" s="516"/>
      <c r="E50" s="516"/>
      <c r="F50" s="516"/>
      <c r="G50" s="516"/>
      <c r="H50" s="516"/>
      <c r="I50" s="516"/>
      <c r="J50" s="516"/>
      <c r="K50" s="516"/>
      <c r="L50" s="516"/>
      <c r="O50" s="516"/>
      <c r="P50" s="516"/>
    </row>
    <row r="51" spans="1:16" ht="10.8" thickBot="1">
      <c r="A51" s="501"/>
      <c r="B51" s="526"/>
      <c r="C51" s="516"/>
      <c r="D51" s="516"/>
      <c r="E51" s="516"/>
      <c r="F51" s="516"/>
      <c r="G51" s="516"/>
      <c r="H51" s="516"/>
      <c r="I51" s="516"/>
      <c r="J51" s="516"/>
      <c r="K51" s="516"/>
      <c r="L51" s="516"/>
      <c r="O51" s="516"/>
      <c r="P51" s="516"/>
    </row>
    <row r="52" spans="1:16">
      <c r="A52" s="527" t="s">
        <v>138</v>
      </c>
      <c r="B52" s="528">
        <f>AVERAGE(B12:B51)</f>
        <v>168.64285714285714</v>
      </c>
      <c r="C52" s="516"/>
      <c r="D52" s="516"/>
      <c r="E52" s="516"/>
      <c r="F52" s="516"/>
      <c r="G52" s="516"/>
      <c r="H52" s="516"/>
      <c r="I52" s="516"/>
      <c r="J52" s="516"/>
      <c r="K52" s="516"/>
      <c r="L52" s="516"/>
      <c r="O52" s="516"/>
      <c r="P52" s="516"/>
    </row>
    <row r="53" spans="1:16">
      <c r="A53" s="404" t="s">
        <v>139</v>
      </c>
      <c r="B53" s="526">
        <f>STDEV(B12:B51)</f>
        <v>29.567672426947151</v>
      </c>
      <c r="C53" s="458"/>
      <c r="D53" s="458"/>
      <c r="E53" s="516"/>
      <c r="F53" s="516"/>
      <c r="G53" s="516"/>
      <c r="H53" s="516"/>
      <c r="I53" s="516"/>
      <c r="J53" s="516"/>
      <c r="K53" s="516"/>
      <c r="L53" s="516"/>
      <c r="O53" s="516"/>
      <c r="P53" s="516"/>
    </row>
    <row r="54" spans="1:16">
      <c r="A54" s="404" t="s">
        <v>141</v>
      </c>
      <c r="B54" s="526">
        <f>B53/SQRT(COUNT(B12:B50))</f>
        <v>7.9022928532856431</v>
      </c>
      <c r="C54" s="524"/>
      <c r="D54" s="458"/>
      <c r="E54" s="458"/>
      <c r="F54" s="458"/>
      <c r="G54" s="516"/>
      <c r="H54" s="516"/>
      <c r="I54" s="516"/>
      <c r="J54" s="516"/>
      <c r="K54" s="516"/>
      <c r="L54" s="516"/>
      <c r="O54" s="516"/>
      <c r="P54" s="516"/>
    </row>
    <row r="55" spans="1:16">
      <c r="A55" s="404" t="s">
        <v>142</v>
      </c>
      <c r="B55" s="526">
        <f>MAX(B12:B50)</f>
        <v>226</v>
      </c>
      <c r="C55" s="524"/>
      <c r="D55" s="516"/>
      <c r="E55" s="516"/>
      <c r="F55" s="516"/>
      <c r="G55" s="516"/>
      <c r="H55" s="516"/>
      <c r="I55" s="516"/>
      <c r="J55" s="516"/>
      <c r="K55" s="516"/>
      <c r="L55" s="516"/>
      <c r="O55" s="516"/>
      <c r="P55" s="516"/>
    </row>
    <row r="56" spans="1:16" ht="10.8" thickBot="1">
      <c r="A56" s="562" t="s">
        <v>143</v>
      </c>
      <c r="B56" s="563">
        <f>MIN(B12:B50)</f>
        <v>128</v>
      </c>
      <c r="C56" s="458"/>
      <c r="D56" s="516"/>
      <c r="E56" s="516"/>
      <c r="F56" s="516"/>
      <c r="G56" s="516"/>
      <c r="H56" s="516"/>
      <c r="I56" s="516"/>
      <c r="J56" s="516"/>
      <c r="K56" s="516"/>
      <c r="L56" s="516"/>
      <c r="O56" s="516"/>
      <c r="P56" s="516"/>
    </row>
    <row r="57" spans="1:16">
      <c r="A57" s="564"/>
      <c r="B57" s="564"/>
      <c r="C57" s="565"/>
      <c r="D57" s="566"/>
      <c r="E57" s="566"/>
      <c r="F57" s="566"/>
      <c r="G57" s="567"/>
      <c r="H57" s="568"/>
      <c r="I57" s="569"/>
      <c r="J57" s="570"/>
      <c r="K57" s="571"/>
      <c r="L57" s="572"/>
      <c r="M57" s="458"/>
      <c r="O57" s="516"/>
      <c r="P57" s="516"/>
    </row>
    <row r="58" spans="1:16">
      <c r="A58" s="458"/>
      <c r="B58" s="458"/>
      <c r="C58" s="573"/>
      <c r="D58" s="573"/>
      <c r="E58" s="573"/>
      <c r="F58" s="573"/>
      <c r="G58" s="569"/>
      <c r="H58" s="568"/>
      <c r="I58" s="569"/>
      <c r="J58" s="570"/>
      <c r="K58" s="574"/>
      <c r="L58" s="572"/>
      <c r="M58" s="458"/>
      <c r="O58" s="516"/>
      <c r="P58" s="516"/>
    </row>
    <row r="59" spans="1:16">
      <c r="A59" s="575"/>
      <c r="B59" s="575"/>
      <c r="C59" s="575"/>
      <c r="D59" s="575"/>
      <c r="E59" s="570"/>
      <c r="F59" s="576"/>
      <c r="G59" s="458"/>
      <c r="H59" s="516"/>
      <c r="I59" s="458"/>
      <c r="J59" s="516"/>
      <c r="K59" s="516"/>
      <c r="L59" s="458"/>
      <c r="M59" s="458"/>
      <c r="O59" s="516"/>
      <c r="P59" s="516"/>
    </row>
    <row r="60" spans="1:16">
      <c r="A60" s="577"/>
      <c r="B60" s="577"/>
      <c r="C60" s="575"/>
      <c r="D60" s="575"/>
      <c r="E60" s="570"/>
      <c r="F60" s="576"/>
      <c r="G60" s="516"/>
      <c r="H60" s="516"/>
      <c r="I60" s="458"/>
      <c r="J60" s="516"/>
      <c r="K60" s="516"/>
      <c r="L60" s="458"/>
      <c r="M60" s="458"/>
      <c r="O60" s="516"/>
      <c r="P60" s="516"/>
    </row>
    <row r="61" spans="1:16">
      <c r="A61" s="451"/>
      <c r="B61" s="451"/>
      <c r="C61" s="575"/>
      <c r="D61" s="575"/>
      <c r="E61" s="570"/>
      <c r="F61" s="576"/>
      <c r="G61" s="516"/>
      <c r="H61" s="516"/>
      <c r="I61" s="458"/>
      <c r="J61" s="516"/>
      <c r="K61" s="516"/>
      <c r="L61" s="458"/>
      <c r="M61" s="458"/>
      <c r="O61" s="516"/>
      <c r="P61" s="516"/>
    </row>
    <row r="62" spans="1:16">
      <c r="A62" s="575"/>
      <c r="B62" s="575"/>
      <c r="C62" s="575"/>
      <c r="D62" s="575"/>
      <c r="E62" s="570"/>
      <c r="F62" s="576"/>
      <c r="G62" s="516"/>
      <c r="H62" s="516"/>
      <c r="I62" s="458"/>
      <c r="J62" s="516"/>
      <c r="K62" s="516"/>
      <c r="L62" s="458"/>
      <c r="M62" s="458"/>
      <c r="O62" s="516"/>
      <c r="P62" s="516"/>
    </row>
    <row r="63" spans="1:16">
      <c r="A63" s="575"/>
      <c r="B63" s="575"/>
      <c r="C63" s="575"/>
      <c r="D63" s="575"/>
      <c r="E63" s="570"/>
      <c r="F63" s="576"/>
      <c r="G63" s="516"/>
      <c r="H63" s="516"/>
      <c r="I63" s="458"/>
      <c r="J63" s="569"/>
      <c r="K63" s="516"/>
      <c r="L63" s="458"/>
      <c r="M63" s="458"/>
      <c r="O63" s="516"/>
      <c r="P63" s="516"/>
    </row>
    <row r="64" spans="1:16">
      <c r="A64" s="575"/>
      <c r="B64" s="575"/>
      <c r="C64" s="575"/>
      <c r="D64" s="575"/>
      <c r="E64" s="570"/>
      <c r="F64" s="576"/>
      <c r="G64" s="516"/>
      <c r="H64" s="516"/>
      <c r="I64" s="458"/>
      <c r="J64" s="569"/>
      <c r="K64" s="516"/>
      <c r="L64" s="458"/>
      <c r="M64" s="458"/>
      <c r="O64" s="516"/>
      <c r="P64" s="516"/>
    </row>
    <row r="65" spans="1:16">
      <c r="A65" s="575"/>
      <c r="B65" s="575"/>
      <c r="C65" s="575"/>
      <c r="D65" s="575"/>
      <c r="E65" s="570"/>
      <c r="F65" s="576"/>
      <c r="G65" s="516"/>
      <c r="H65" s="516"/>
      <c r="I65" s="458"/>
      <c r="J65" s="516"/>
      <c r="K65" s="516"/>
      <c r="L65" s="458"/>
      <c r="M65" s="458"/>
      <c r="O65" s="516"/>
      <c r="P65" s="516"/>
    </row>
    <row r="66" spans="1:16">
      <c r="A66" s="575"/>
      <c r="B66" s="575"/>
      <c r="C66" s="575"/>
      <c r="D66" s="575"/>
      <c r="E66" s="570"/>
      <c r="F66" s="576"/>
      <c r="G66" s="516"/>
      <c r="H66" s="516"/>
      <c r="I66" s="458"/>
      <c r="J66" s="516"/>
      <c r="K66" s="516"/>
      <c r="L66" s="458"/>
      <c r="M66" s="458"/>
      <c r="O66" s="516"/>
      <c r="P66" s="516"/>
    </row>
    <row r="67" spans="1:16">
      <c r="A67" s="575"/>
      <c r="B67" s="575"/>
      <c r="C67" s="575"/>
      <c r="D67" s="575"/>
      <c r="E67" s="570"/>
      <c r="F67" s="576"/>
      <c r="G67" s="516"/>
      <c r="H67" s="516"/>
      <c r="I67" s="458"/>
      <c r="J67" s="516"/>
      <c r="K67" s="516"/>
      <c r="L67" s="458"/>
      <c r="M67" s="458"/>
      <c r="O67" s="516"/>
      <c r="P67" s="516"/>
    </row>
    <row r="68" spans="1:16">
      <c r="A68" s="575"/>
      <c r="B68" s="575"/>
      <c r="C68" s="575"/>
      <c r="D68" s="575"/>
      <c r="E68" s="570"/>
      <c r="F68" s="576"/>
      <c r="G68" s="516"/>
      <c r="H68" s="516"/>
      <c r="I68" s="458"/>
      <c r="J68" s="516"/>
      <c r="K68" s="516"/>
      <c r="L68" s="458"/>
      <c r="M68" s="458"/>
      <c r="O68" s="516"/>
      <c r="P68" s="516"/>
    </row>
    <row r="69" spans="1:16">
      <c r="A69" s="575"/>
      <c r="B69" s="575"/>
      <c r="C69" s="575"/>
      <c r="D69" s="575"/>
      <c r="E69" s="570"/>
      <c r="F69" s="576"/>
      <c r="G69" s="516"/>
      <c r="H69" s="516"/>
      <c r="I69" s="458"/>
      <c r="J69" s="516"/>
      <c r="K69" s="516"/>
      <c r="L69" s="458"/>
      <c r="M69" s="458"/>
      <c r="O69" s="516"/>
      <c r="P69" s="516"/>
    </row>
    <row r="70" spans="1:16">
      <c r="A70" s="575"/>
      <c r="B70" s="575"/>
      <c r="C70" s="575"/>
      <c r="D70" s="575"/>
      <c r="E70" s="570"/>
      <c r="F70" s="576"/>
      <c r="G70" s="516"/>
      <c r="H70" s="516"/>
      <c r="I70" s="458"/>
      <c r="J70" s="516"/>
      <c r="K70" s="516"/>
      <c r="L70" s="458"/>
      <c r="O70" s="516"/>
      <c r="P70" s="516"/>
    </row>
    <row r="71" spans="1:16">
      <c r="A71" s="575"/>
      <c r="B71" s="575"/>
      <c r="C71" s="575"/>
      <c r="D71" s="575"/>
      <c r="E71" s="570"/>
      <c r="F71" s="576"/>
      <c r="G71" s="516"/>
      <c r="H71" s="516"/>
      <c r="I71" s="458"/>
      <c r="J71" s="516"/>
      <c r="K71" s="516"/>
      <c r="L71" s="458"/>
      <c r="O71" s="516"/>
      <c r="P71" s="516"/>
    </row>
    <row r="72" spans="1:16">
      <c r="A72" s="575"/>
      <c r="B72" s="575"/>
      <c r="C72" s="575"/>
      <c r="D72" s="575"/>
      <c r="E72" s="570"/>
      <c r="F72" s="576"/>
      <c r="G72" s="516"/>
      <c r="H72" s="516"/>
      <c r="I72" s="458"/>
      <c r="J72" s="516"/>
      <c r="K72" s="516"/>
      <c r="L72" s="516"/>
      <c r="O72" s="516"/>
      <c r="P72" s="516"/>
    </row>
    <row r="73" spans="1:16">
      <c r="A73" s="575"/>
      <c r="B73" s="575"/>
      <c r="C73" s="575"/>
      <c r="D73" s="575"/>
      <c r="E73" s="570"/>
      <c r="F73" s="576"/>
      <c r="G73" s="516"/>
      <c r="H73" s="516"/>
      <c r="I73" s="458"/>
      <c r="J73" s="516"/>
      <c r="K73" s="516"/>
      <c r="L73" s="516"/>
      <c r="O73" s="516"/>
      <c r="P73" s="516"/>
    </row>
    <row r="74" spans="1:16">
      <c r="A74" s="575"/>
      <c r="B74" s="575"/>
      <c r="C74" s="575"/>
      <c r="D74" s="575"/>
      <c r="E74" s="570"/>
      <c r="F74" s="576"/>
      <c r="G74" s="516"/>
      <c r="H74" s="516"/>
      <c r="I74" s="458"/>
      <c r="J74" s="516"/>
      <c r="K74" s="516"/>
      <c r="L74" s="516"/>
      <c r="O74" s="516"/>
      <c r="P74" s="516"/>
    </row>
    <row r="75" spans="1:16">
      <c r="A75" s="575"/>
      <c r="B75" s="575"/>
      <c r="C75" s="575"/>
      <c r="D75" s="575"/>
      <c r="E75" s="570"/>
      <c r="F75" s="576"/>
      <c r="G75" s="516"/>
      <c r="H75" s="516"/>
      <c r="I75" s="458"/>
      <c r="J75" s="516"/>
      <c r="K75" s="516"/>
      <c r="L75" s="516"/>
      <c r="O75" s="516"/>
      <c r="P75" s="516"/>
    </row>
    <row r="76" spans="1:16">
      <c r="A76" s="575"/>
      <c r="B76" s="575"/>
      <c r="C76" s="575"/>
      <c r="D76" s="575"/>
      <c r="E76" s="570"/>
      <c r="F76" s="576"/>
      <c r="G76" s="516"/>
      <c r="H76" s="516"/>
      <c r="I76" s="458"/>
      <c r="J76" s="516"/>
      <c r="K76" s="516"/>
      <c r="L76" s="516"/>
      <c r="O76" s="516"/>
      <c r="P76" s="516"/>
    </row>
    <row r="77" spans="1:16">
      <c r="A77" s="575"/>
      <c r="B77" s="575"/>
      <c r="C77" s="575"/>
      <c r="D77" s="575"/>
      <c r="E77" s="570"/>
      <c r="F77" s="576"/>
      <c r="G77" s="516"/>
      <c r="H77" s="516"/>
      <c r="I77" s="458"/>
      <c r="J77" s="516"/>
      <c r="K77" s="516"/>
      <c r="L77" s="516"/>
      <c r="O77" s="516"/>
      <c r="P77" s="516"/>
    </row>
    <row r="78" spans="1:16">
      <c r="A78" s="575"/>
      <c r="B78" s="575"/>
      <c r="C78" s="575"/>
      <c r="D78" s="575"/>
      <c r="E78" s="570"/>
      <c r="F78" s="576"/>
      <c r="G78" s="516"/>
      <c r="H78" s="516"/>
      <c r="I78" s="458"/>
      <c r="J78" s="516"/>
      <c r="K78" s="516"/>
      <c r="L78" s="516"/>
      <c r="O78" s="516"/>
      <c r="P78" s="516"/>
    </row>
    <row r="79" spans="1:16">
      <c r="A79" s="575"/>
      <c r="B79" s="575"/>
      <c r="C79" s="575"/>
      <c r="D79" s="575"/>
      <c r="E79" s="570"/>
      <c r="F79" s="576"/>
      <c r="G79" s="516"/>
      <c r="H79" s="516"/>
      <c r="I79" s="458"/>
      <c r="J79" s="516"/>
      <c r="K79" s="516"/>
      <c r="L79" s="516"/>
      <c r="O79" s="516"/>
      <c r="P79" s="516"/>
    </row>
    <row r="80" spans="1:16">
      <c r="A80" s="575"/>
      <c r="B80" s="575"/>
      <c r="C80" s="575"/>
      <c r="D80" s="575"/>
      <c r="E80" s="570"/>
      <c r="F80" s="576"/>
      <c r="G80" s="516"/>
      <c r="H80" s="516"/>
      <c r="I80" s="458"/>
      <c r="J80" s="516"/>
      <c r="K80" s="516"/>
      <c r="L80" s="516"/>
      <c r="O80" s="516"/>
      <c r="P80" s="516"/>
    </row>
    <row r="81" spans="1:17">
      <c r="A81" s="575"/>
      <c r="B81" s="575"/>
      <c r="C81" s="575"/>
      <c r="D81" s="575"/>
      <c r="E81" s="570"/>
      <c r="F81" s="576"/>
      <c r="G81" s="516"/>
      <c r="H81" s="516"/>
      <c r="I81" s="458"/>
      <c r="J81" s="516"/>
      <c r="K81" s="516"/>
      <c r="L81" s="516"/>
      <c r="O81" s="516"/>
      <c r="P81" s="516"/>
    </row>
    <row r="82" spans="1:17">
      <c r="A82" s="575"/>
      <c r="B82" s="575"/>
      <c r="C82" s="575"/>
      <c r="D82" s="575"/>
      <c r="E82" s="570"/>
      <c r="F82" s="576"/>
      <c r="G82" s="516"/>
      <c r="H82" s="516"/>
      <c r="I82" s="458"/>
      <c r="J82" s="516"/>
      <c r="K82" s="516"/>
      <c r="L82" s="516"/>
      <c r="O82" s="516"/>
      <c r="P82" s="516"/>
    </row>
    <row r="83" spans="1:17">
      <c r="A83" s="575"/>
      <c r="B83" s="575"/>
      <c r="C83" s="575"/>
      <c r="D83" s="575"/>
      <c r="E83" s="570"/>
      <c r="F83" s="576"/>
      <c r="G83" s="578"/>
      <c r="H83" s="516"/>
      <c r="I83" s="458"/>
      <c r="J83" s="516"/>
      <c r="K83" s="516"/>
      <c r="L83" s="516"/>
      <c r="O83" s="516"/>
      <c r="P83" s="516"/>
    </row>
    <row r="84" spans="1:17">
      <c r="A84" s="575"/>
      <c r="B84" s="575"/>
      <c r="C84" s="575"/>
      <c r="D84" s="575"/>
      <c r="E84" s="570"/>
      <c r="F84" s="576"/>
      <c r="G84" s="578"/>
      <c r="H84" s="516"/>
      <c r="I84" s="458"/>
      <c r="J84" s="516"/>
      <c r="K84" s="516"/>
      <c r="L84" s="516"/>
      <c r="O84" s="516"/>
      <c r="P84" s="516"/>
    </row>
    <row r="85" spans="1:17">
      <c r="A85" s="575"/>
      <c r="B85" s="575"/>
      <c r="C85" s="575"/>
      <c r="D85" s="575"/>
      <c r="E85" s="570"/>
      <c r="F85" s="576"/>
      <c r="G85" s="578"/>
      <c r="H85" s="516"/>
      <c r="I85" s="458"/>
      <c r="J85" s="516"/>
      <c r="K85" s="516"/>
      <c r="L85" s="516"/>
      <c r="O85" s="516"/>
      <c r="P85" s="516"/>
    </row>
    <row r="86" spans="1:17">
      <c r="A86" s="575"/>
      <c r="B86" s="575"/>
      <c r="C86" s="575"/>
      <c r="D86" s="575"/>
      <c r="E86" s="570"/>
      <c r="F86" s="576"/>
      <c r="G86" s="578"/>
      <c r="H86" s="516"/>
      <c r="I86" s="458"/>
      <c r="J86" s="516"/>
      <c r="K86" s="516"/>
      <c r="L86" s="516"/>
      <c r="O86" s="516"/>
      <c r="P86" s="516"/>
    </row>
    <row r="87" spans="1:17">
      <c r="A87" s="575"/>
      <c r="B87" s="575"/>
      <c r="C87" s="575"/>
      <c r="D87" s="575"/>
      <c r="E87" s="570"/>
      <c r="F87" s="576"/>
      <c r="G87" s="516"/>
      <c r="H87" s="516"/>
      <c r="I87" s="458"/>
      <c r="J87" s="516"/>
      <c r="K87" s="516"/>
      <c r="L87" s="516"/>
      <c r="O87" s="516"/>
      <c r="P87" s="516"/>
    </row>
    <row r="88" spans="1:17">
      <c r="A88" s="575"/>
      <c r="B88" s="575"/>
      <c r="C88" s="575"/>
      <c r="D88" s="575"/>
      <c r="E88" s="570"/>
      <c r="F88" s="576"/>
      <c r="G88" s="516"/>
      <c r="H88" s="516"/>
      <c r="I88" s="458"/>
      <c r="J88" s="516"/>
      <c r="K88" s="516"/>
      <c r="L88" s="516"/>
      <c r="O88" s="516"/>
      <c r="P88" s="516"/>
    </row>
    <row r="89" spans="1:17" s="575" customFormat="1">
      <c r="E89" s="570"/>
      <c r="F89" s="576"/>
      <c r="G89" s="516"/>
      <c r="H89" s="516"/>
      <c r="I89" s="458"/>
      <c r="J89" s="516"/>
      <c r="K89" s="516"/>
      <c r="L89" s="516"/>
      <c r="M89" s="516"/>
      <c r="N89" s="516"/>
      <c r="O89" s="516"/>
      <c r="P89" s="516"/>
      <c r="Q89" s="516"/>
    </row>
    <row r="90" spans="1:17" s="575" customFormat="1">
      <c r="E90" s="570"/>
      <c r="F90" s="576"/>
      <c r="G90" s="516"/>
      <c r="H90" s="516"/>
      <c r="I90" s="458"/>
      <c r="J90" s="516"/>
      <c r="K90" s="516"/>
      <c r="L90" s="516"/>
      <c r="M90" s="516"/>
      <c r="N90" s="516"/>
      <c r="O90" s="516"/>
      <c r="P90" s="516"/>
      <c r="Q90" s="516"/>
    </row>
    <row r="91" spans="1:17" s="575" customFormat="1">
      <c r="E91" s="570"/>
      <c r="F91" s="576"/>
      <c r="G91" s="516"/>
      <c r="H91" s="516"/>
      <c r="I91" s="458"/>
      <c r="J91" s="516"/>
      <c r="K91" s="516"/>
      <c r="L91" s="516"/>
      <c r="M91" s="516"/>
      <c r="N91" s="516"/>
      <c r="O91" s="516"/>
      <c r="P91" s="516"/>
      <c r="Q91" s="516"/>
    </row>
    <row r="92" spans="1:17" s="575" customFormat="1">
      <c r="E92" s="570"/>
      <c r="F92" s="576"/>
      <c r="G92" s="516"/>
      <c r="H92" s="516"/>
      <c r="I92" s="458"/>
      <c r="J92" s="516"/>
      <c r="K92" s="516"/>
      <c r="L92" s="516"/>
      <c r="M92" s="516"/>
      <c r="N92" s="516"/>
      <c r="O92" s="516"/>
      <c r="P92" s="516"/>
      <c r="Q92" s="516"/>
    </row>
    <row r="93" spans="1:17" s="575" customFormat="1">
      <c r="E93" s="570"/>
      <c r="F93" s="576"/>
      <c r="G93" s="516"/>
      <c r="H93" s="516"/>
      <c r="I93" s="458"/>
      <c r="J93" s="516"/>
      <c r="K93" s="516"/>
      <c r="L93" s="516"/>
      <c r="M93" s="516"/>
      <c r="N93" s="516"/>
      <c r="O93" s="516"/>
      <c r="P93" s="516"/>
      <c r="Q93" s="516"/>
    </row>
    <row r="94" spans="1:17" s="575" customFormat="1">
      <c r="E94" s="570"/>
      <c r="F94" s="576"/>
      <c r="G94" s="516"/>
      <c r="H94" s="516"/>
      <c r="I94" s="458"/>
      <c r="J94" s="516"/>
      <c r="K94" s="516"/>
      <c r="L94" s="516"/>
      <c r="M94" s="516"/>
    </row>
    <row r="95" spans="1:17" s="575" customFormat="1">
      <c r="E95" s="570"/>
      <c r="F95" s="576"/>
      <c r="G95" s="516"/>
      <c r="H95" s="516"/>
      <c r="I95" s="458"/>
      <c r="J95" s="516"/>
      <c r="K95" s="516"/>
      <c r="L95" s="516"/>
      <c r="M95" s="516"/>
    </row>
    <row r="96" spans="1:17" s="575" customFormat="1">
      <c r="E96" s="570"/>
      <c r="F96" s="576"/>
      <c r="G96" s="516"/>
      <c r="H96" s="516"/>
      <c r="I96" s="458"/>
      <c r="J96" s="516"/>
      <c r="K96" s="516"/>
      <c r="L96" s="516"/>
      <c r="M96" s="516"/>
    </row>
    <row r="97" spans="5:13" s="575" customFormat="1">
      <c r="E97" s="570"/>
      <c r="F97" s="576"/>
      <c r="G97" s="516"/>
      <c r="H97" s="516"/>
      <c r="I97" s="458"/>
      <c r="J97" s="516"/>
      <c r="K97" s="516"/>
      <c r="L97" s="516"/>
      <c r="M97" s="516"/>
    </row>
    <row r="98" spans="5:13" s="575" customFormat="1">
      <c r="E98" s="570"/>
      <c r="F98" s="576"/>
      <c r="G98" s="516"/>
      <c r="H98" s="516"/>
      <c r="I98" s="458"/>
      <c r="J98" s="516"/>
      <c r="K98" s="516"/>
      <c r="L98" s="516"/>
      <c r="M98" s="516"/>
    </row>
    <row r="99" spans="5:13" s="575" customFormat="1">
      <c r="E99" s="570"/>
      <c r="F99" s="576"/>
      <c r="G99" s="516"/>
      <c r="H99" s="516"/>
      <c r="I99" s="458"/>
      <c r="J99" s="516"/>
      <c r="K99" s="516"/>
      <c r="L99" s="516"/>
      <c r="M99" s="516"/>
    </row>
    <row r="100" spans="5:13" s="575" customFormat="1">
      <c r="E100" s="570"/>
      <c r="F100" s="576"/>
      <c r="G100" s="516"/>
      <c r="H100" s="516"/>
      <c r="I100" s="458"/>
      <c r="J100" s="516"/>
      <c r="K100" s="516"/>
      <c r="L100" s="516"/>
      <c r="M100" s="516"/>
    </row>
    <row r="101" spans="5:13" s="575" customFormat="1">
      <c r="E101" s="570"/>
      <c r="F101" s="576"/>
      <c r="G101" s="516"/>
      <c r="H101" s="516"/>
      <c r="I101" s="458"/>
      <c r="J101" s="516"/>
      <c r="K101" s="516"/>
      <c r="L101" s="516"/>
      <c r="M101" s="516"/>
    </row>
    <row r="102" spans="5:13" s="575" customFormat="1">
      <c r="E102" s="570"/>
      <c r="F102" s="576"/>
      <c r="G102" s="516"/>
      <c r="H102" s="516"/>
      <c r="I102" s="458"/>
      <c r="J102" s="516"/>
      <c r="K102" s="516"/>
      <c r="L102" s="516"/>
      <c r="M102" s="516"/>
    </row>
    <row r="103" spans="5:13" s="575" customFormat="1">
      <c r="E103" s="570"/>
      <c r="F103" s="576"/>
      <c r="G103" s="516"/>
      <c r="H103" s="516"/>
      <c r="I103" s="458"/>
      <c r="J103" s="516"/>
      <c r="K103" s="516"/>
      <c r="L103" s="516"/>
      <c r="M103" s="516"/>
    </row>
    <row r="104" spans="5:13" s="575" customFormat="1">
      <c r="E104" s="570"/>
      <c r="F104" s="576"/>
      <c r="G104" s="516"/>
      <c r="H104" s="516"/>
      <c r="I104" s="458"/>
      <c r="J104" s="516"/>
      <c r="K104" s="516"/>
      <c r="L104" s="516"/>
      <c r="M104" s="516"/>
    </row>
    <row r="105" spans="5:13" s="575" customFormat="1">
      <c r="E105" s="570"/>
      <c r="F105" s="576"/>
      <c r="G105" s="516"/>
      <c r="H105" s="516"/>
      <c r="I105" s="458"/>
      <c r="J105" s="516"/>
      <c r="K105" s="516"/>
      <c r="L105" s="516"/>
      <c r="M105" s="516"/>
    </row>
    <row r="106" spans="5:13" s="575" customFormat="1">
      <c r="E106" s="570"/>
      <c r="F106" s="576"/>
      <c r="G106" s="516"/>
      <c r="H106" s="516"/>
      <c r="I106" s="458"/>
      <c r="J106" s="516"/>
      <c r="K106" s="516"/>
      <c r="L106" s="516"/>
      <c r="M106" s="516"/>
    </row>
    <row r="107" spans="5:13" s="575" customFormat="1">
      <c r="E107" s="570"/>
      <c r="F107" s="576"/>
      <c r="G107" s="516"/>
      <c r="H107" s="516"/>
      <c r="I107" s="458"/>
      <c r="J107" s="516"/>
      <c r="K107" s="516"/>
      <c r="L107" s="516"/>
      <c r="M107" s="516"/>
    </row>
    <row r="108" spans="5:13" s="575" customFormat="1">
      <c r="E108" s="570"/>
      <c r="F108" s="576"/>
      <c r="G108" s="516"/>
      <c r="H108" s="516"/>
      <c r="I108" s="458"/>
      <c r="J108" s="516"/>
      <c r="K108" s="516"/>
      <c r="L108" s="516"/>
      <c r="M108" s="516"/>
    </row>
    <row r="109" spans="5:13" s="575" customFormat="1">
      <c r="E109" s="570"/>
      <c r="F109" s="576"/>
      <c r="G109" s="516"/>
      <c r="H109" s="516"/>
      <c r="I109" s="458"/>
      <c r="J109" s="516"/>
      <c r="K109" s="516"/>
      <c r="L109" s="516"/>
    </row>
    <row r="110" spans="5:13" s="575" customFormat="1">
      <c r="E110" s="570"/>
      <c r="F110" s="576"/>
      <c r="G110" s="516"/>
      <c r="H110" s="516"/>
      <c r="I110" s="458"/>
      <c r="J110" s="516"/>
      <c r="K110" s="516"/>
      <c r="L110" s="516"/>
    </row>
    <row r="111" spans="5:13" s="575" customFormat="1">
      <c r="E111" s="570"/>
      <c r="F111" s="576"/>
      <c r="G111" s="516"/>
      <c r="H111" s="516"/>
      <c r="I111" s="458"/>
      <c r="J111" s="516"/>
      <c r="K111" s="516"/>
      <c r="L111" s="516"/>
    </row>
    <row r="112" spans="5:13" s="575" customFormat="1">
      <c r="E112" s="570"/>
      <c r="F112" s="576"/>
      <c r="G112" s="516"/>
      <c r="H112" s="516"/>
      <c r="I112" s="458"/>
      <c r="J112" s="516"/>
      <c r="K112" s="516"/>
      <c r="L112" s="516"/>
    </row>
    <row r="113" spans="5:12" s="575" customFormat="1">
      <c r="E113" s="570"/>
      <c r="F113" s="576"/>
      <c r="G113" s="516"/>
      <c r="H113" s="516"/>
      <c r="I113" s="458"/>
      <c r="J113" s="516"/>
      <c r="K113" s="516"/>
      <c r="L113" s="516"/>
    </row>
    <row r="114" spans="5:12" s="575" customFormat="1">
      <c r="E114" s="570"/>
      <c r="F114" s="576"/>
      <c r="G114" s="516"/>
      <c r="H114" s="516"/>
      <c r="I114" s="458"/>
      <c r="J114" s="516"/>
      <c r="K114" s="516"/>
      <c r="L114" s="516"/>
    </row>
    <row r="115" spans="5:12" s="575" customFormat="1">
      <c r="E115" s="570"/>
      <c r="F115" s="576"/>
      <c r="G115" s="516"/>
      <c r="H115" s="516"/>
      <c r="I115" s="458"/>
      <c r="J115" s="516"/>
      <c r="K115" s="516"/>
      <c r="L115" s="516"/>
    </row>
    <row r="116" spans="5:12" s="575" customFormat="1">
      <c r="E116" s="570"/>
      <c r="F116" s="576"/>
      <c r="G116" s="516"/>
      <c r="H116" s="516"/>
      <c r="I116" s="458"/>
      <c r="J116" s="516"/>
      <c r="K116" s="516"/>
      <c r="L116" s="516"/>
    </row>
    <row r="117" spans="5:12" s="575" customFormat="1">
      <c r="E117" s="570"/>
      <c r="F117" s="576"/>
      <c r="G117" s="516"/>
      <c r="H117" s="516"/>
      <c r="I117" s="458"/>
      <c r="J117" s="516"/>
      <c r="K117" s="516"/>
      <c r="L117" s="516"/>
    </row>
    <row r="118" spans="5:12" s="575" customFormat="1">
      <c r="E118" s="570"/>
      <c r="F118" s="576"/>
      <c r="G118" s="516"/>
      <c r="H118" s="516"/>
      <c r="I118" s="458"/>
      <c r="J118" s="516"/>
      <c r="K118" s="516"/>
      <c r="L118" s="516"/>
    </row>
    <row r="119" spans="5:12" s="575" customFormat="1">
      <c r="E119" s="570"/>
      <c r="F119" s="576"/>
      <c r="G119" s="516"/>
      <c r="H119" s="516"/>
      <c r="I119" s="458"/>
      <c r="J119" s="516"/>
      <c r="K119" s="516"/>
      <c r="L119" s="516"/>
    </row>
    <row r="120" spans="5:12" s="575" customFormat="1">
      <c r="E120" s="570"/>
      <c r="F120" s="576"/>
      <c r="G120" s="516"/>
      <c r="H120" s="516"/>
      <c r="I120" s="458"/>
      <c r="J120" s="516"/>
      <c r="K120" s="516"/>
      <c r="L120" s="516"/>
    </row>
    <row r="121" spans="5:12" s="575" customFormat="1">
      <c r="E121" s="570"/>
      <c r="F121" s="576"/>
      <c r="G121" s="516"/>
      <c r="H121" s="516"/>
      <c r="I121" s="458"/>
      <c r="J121" s="516"/>
      <c r="K121" s="516"/>
      <c r="L121" s="516"/>
    </row>
    <row r="122" spans="5:12" s="575" customFormat="1">
      <c r="E122" s="570"/>
      <c r="F122" s="576"/>
      <c r="G122" s="516"/>
      <c r="H122" s="516"/>
      <c r="I122" s="458"/>
      <c r="J122" s="516"/>
      <c r="K122" s="516"/>
      <c r="L122" s="516"/>
    </row>
    <row r="123" spans="5:12" s="575" customFormat="1">
      <c r="E123" s="570"/>
      <c r="F123" s="576"/>
      <c r="G123" s="516"/>
      <c r="H123" s="516"/>
      <c r="I123" s="458"/>
      <c r="J123" s="516"/>
      <c r="K123" s="516"/>
      <c r="L123" s="516"/>
    </row>
    <row r="124" spans="5:12" s="575" customFormat="1">
      <c r="E124" s="570"/>
      <c r="F124" s="576"/>
      <c r="G124" s="516"/>
      <c r="H124" s="516"/>
      <c r="I124" s="458"/>
      <c r="J124" s="516"/>
      <c r="K124" s="516"/>
      <c r="L124" s="516"/>
    </row>
    <row r="125" spans="5:12" s="575" customFormat="1">
      <c r="E125" s="570"/>
      <c r="F125" s="576"/>
      <c r="G125" s="516"/>
      <c r="H125" s="516"/>
      <c r="I125" s="458"/>
      <c r="J125" s="516"/>
      <c r="K125" s="516"/>
      <c r="L125" s="516"/>
    </row>
    <row r="126" spans="5:12" s="575" customFormat="1">
      <c r="E126" s="570"/>
      <c r="F126" s="576"/>
      <c r="G126" s="516"/>
      <c r="H126" s="516"/>
      <c r="I126" s="458"/>
      <c r="J126" s="516"/>
      <c r="K126" s="516"/>
      <c r="L126" s="516"/>
    </row>
    <row r="127" spans="5:12" s="575" customFormat="1">
      <c r="E127" s="570"/>
      <c r="F127" s="576"/>
      <c r="G127" s="516"/>
      <c r="H127" s="516"/>
      <c r="I127" s="458"/>
      <c r="J127" s="516"/>
      <c r="K127" s="516"/>
      <c r="L127" s="516"/>
    </row>
    <row r="128" spans="5:12" s="575" customFormat="1">
      <c r="E128" s="570"/>
      <c r="F128" s="576"/>
      <c r="G128" s="516"/>
      <c r="H128" s="516"/>
      <c r="I128" s="458"/>
      <c r="J128" s="516"/>
      <c r="K128" s="516"/>
      <c r="L128" s="516"/>
    </row>
    <row r="129" spans="5:12" s="575" customFormat="1">
      <c r="E129" s="570"/>
      <c r="F129" s="576"/>
      <c r="G129" s="516"/>
      <c r="H129" s="516"/>
      <c r="I129" s="458"/>
      <c r="J129" s="516"/>
      <c r="K129" s="516"/>
      <c r="L129" s="516"/>
    </row>
    <row r="130" spans="5:12" s="575" customFormat="1">
      <c r="E130" s="570"/>
      <c r="F130" s="576"/>
      <c r="G130" s="516"/>
      <c r="H130" s="516"/>
      <c r="I130" s="458"/>
      <c r="J130" s="516"/>
      <c r="K130" s="516"/>
      <c r="L130" s="516"/>
    </row>
    <row r="131" spans="5:12" s="575" customFormat="1">
      <c r="E131" s="570"/>
      <c r="F131" s="576"/>
      <c r="G131" s="516"/>
      <c r="H131" s="516"/>
      <c r="I131" s="458"/>
      <c r="J131" s="516"/>
      <c r="K131" s="516"/>
      <c r="L131" s="516"/>
    </row>
    <row r="132" spans="5:12" s="575" customFormat="1">
      <c r="E132" s="570"/>
      <c r="F132" s="576"/>
      <c r="G132" s="516"/>
      <c r="H132" s="516"/>
      <c r="I132" s="458"/>
      <c r="J132" s="516"/>
      <c r="K132" s="516"/>
      <c r="L132" s="516"/>
    </row>
    <row r="133" spans="5:12" s="575" customFormat="1">
      <c r="E133" s="570"/>
      <c r="F133" s="576"/>
      <c r="G133" s="516"/>
      <c r="H133" s="516"/>
      <c r="I133" s="458"/>
      <c r="J133" s="516"/>
      <c r="K133" s="516"/>
      <c r="L133" s="516"/>
    </row>
    <row r="134" spans="5:12" s="575" customFormat="1">
      <c r="E134" s="570"/>
      <c r="F134" s="576"/>
      <c r="G134" s="516"/>
      <c r="H134" s="516"/>
      <c r="I134" s="458"/>
      <c r="J134" s="516"/>
      <c r="K134" s="516"/>
      <c r="L134" s="516"/>
    </row>
    <row r="135" spans="5:12" s="575" customFormat="1">
      <c r="E135" s="570"/>
      <c r="F135" s="576"/>
      <c r="G135" s="516"/>
      <c r="H135" s="516"/>
      <c r="I135" s="458"/>
      <c r="J135" s="516"/>
      <c r="K135" s="516"/>
      <c r="L135" s="516"/>
    </row>
    <row r="136" spans="5:12" s="575" customFormat="1">
      <c r="E136" s="570"/>
      <c r="F136" s="576"/>
      <c r="G136" s="516"/>
      <c r="H136" s="516"/>
      <c r="I136" s="458"/>
      <c r="J136" s="516"/>
      <c r="K136" s="516"/>
      <c r="L136" s="516"/>
    </row>
    <row r="137" spans="5:12" s="575" customFormat="1">
      <c r="E137" s="570"/>
      <c r="F137" s="576"/>
      <c r="G137" s="516"/>
      <c r="H137" s="516"/>
      <c r="I137" s="458"/>
      <c r="J137" s="516"/>
      <c r="K137" s="516"/>
      <c r="L137" s="516"/>
    </row>
    <row r="138" spans="5:12" s="575" customFormat="1">
      <c r="E138" s="570"/>
      <c r="F138" s="576"/>
      <c r="G138" s="516"/>
      <c r="H138" s="516"/>
      <c r="I138" s="458"/>
      <c r="J138" s="516"/>
      <c r="K138" s="516"/>
      <c r="L138" s="516"/>
    </row>
    <row r="139" spans="5:12" s="575" customFormat="1">
      <c r="E139" s="570"/>
      <c r="F139" s="576"/>
      <c r="G139" s="516"/>
      <c r="H139" s="516"/>
      <c r="I139" s="458"/>
      <c r="J139" s="516"/>
      <c r="K139" s="516"/>
      <c r="L139" s="516"/>
    </row>
    <row r="140" spans="5:12" s="575" customFormat="1">
      <c r="E140" s="570"/>
      <c r="F140" s="576"/>
      <c r="G140" s="516"/>
      <c r="H140" s="516"/>
      <c r="I140" s="458"/>
      <c r="J140" s="516"/>
      <c r="K140" s="516"/>
      <c r="L140" s="516"/>
    </row>
    <row r="141" spans="5:12" s="575" customFormat="1">
      <c r="E141" s="570"/>
      <c r="F141" s="576"/>
      <c r="G141" s="516"/>
      <c r="H141" s="516"/>
      <c r="I141" s="458"/>
      <c r="J141" s="516"/>
      <c r="K141" s="516"/>
      <c r="L141" s="516"/>
    </row>
    <row r="142" spans="5:12" s="575" customFormat="1">
      <c r="E142" s="570"/>
      <c r="F142" s="576"/>
      <c r="G142" s="516"/>
      <c r="H142" s="516"/>
      <c r="I142" s="458"/>
      <c r="J142" s="516"/>
      <c r="K142" s="516"/>
      <c r="L142" s="516"/>
    </row>
    <row r="143" spans="5:12" s="575" customFormat="1">
      <c r="E143" s="570"/>
      <c r="F143" s="576"/>
      <c r="G143" s="516"/>
      <c r="H143" s="516"/>
      <c r="I143" s="458"/>
      <c r="J143" s="516"/>
      <c r="K143" s="516"/>
      <c r="L143" s="516"/>
    </row>
    <row r="144" spans="5:12" s="575" customFormat="1">
      <c r="E144" s="570"/>
      <c r="F144" s="576"/>
      <c r="G144" s="516"/>
      <c r="H144" s="516"/>
      <c r="I144" s="458"/>
      <c r="J144" s="516"/>
      <c r="K144" s="516"/>
      <c r="L144" s="516"/>
    </row>
    <row r="145" spans="1:17" s="575" customFormat="1">
      <c r="E145" s="570"/>
      <c r="F145" s="576"/>
      <c r="G145" s="516"/>
      <c r="H145" s="516"/>
      <c r="I145" s="458"/>
      <c r="J145" s="516"/>
      <c r="K145" s="516"/>
      <c r="L145" s="516"/>
    </row>
    <row r="146" spans="1:17">
      <c r="A146" s="575"/>
      <c r="B146" s="575"/>
      <c r="C146" s="575"/>
      <c r="D146" s="575"/>
      <c r="E146" s="570"/>
      <c r="F146" s="576"/>
      <c r="G146" s="516"/>
      <c r="H146" s="516"/>
      <c r="I146" s="458"/>
      <c r="J146" s="516"/>
      <c r="K146" s="516"/>
      <c r="L146" s="516"/>
      <c r="M146" s="575"/>
      <c r="N146" s="575"/>
      <c r="O146" s="575"/>
      <c r="P146" s="575"/>
      <c r="Q146" s="575"/>
    </row>
    <row r="147" spans="1:17">
      <c r="A147" s="575"/>
      <c r="B147" s="575"/>
      <c r="C147" s="575"/>
      <c r="D147" s="575"/>
      <c r="E147" s="570"/>
      <c r="F147" s="576"/>
      <c r="G147" s="516"/>
      <c r="H147" s="516"/>
      <c r="I147" s="458"/>
      <c r="J147" s="516"/>
      <c r="K147" s="516"/>
      <c r="L147" s="516"/>
      <c r="M147" s="575"/>
      <c r="N147" s="575"/>
      <c r="O147" s="575"/>
      <c r="P147" s="575"/>
      <c r="Q147" s="575"/>
    </row>
    <row r="148" spans="1:17">
      <c r="A148" s="575"/>
      <c r="B148" s="575"/>
      <c r="C148" s="575"/>
      <c r="D148" s="575"/>
      <c r="E148" s="570"/>
      <c r="F148" s="576"/>
      <c r="G148" s="516"/>
      <c r="H148" s="516"/>
      <c r="I148" s="458"/>
      <c r="J148" s="516"/>
      <c r="K148" s="516"/>
      <c r="L148" s="516"/>
      <c r="M148" s="575"/>
      <c r="N148" s="575"/>
      <c r="O148" s="575"/>
      <c r="P148" s="575"/>
      <c r="Q148" s="575"/>
    </row>
    <row r="149" spans="1:17">
      <c r="A149" s="575"/>
      <c r="B149" s="575"/>
      <c r="C149" s="575"/>
      <c r="D149" s="575"/>
      <c r="E149" s="570"/>
      <c r="F149" s="576"/>
      <c r="G149" s="516"/>
      <c r="H149" s="516"/>
      <c r="I149" s="458"/>
      <c r="J149" s="516"/>
      <c r="K149" s="516"/>
      <c r="L149" s="516"/>
      <c r="M149" s="575"/>
      <c r="N149" s="575"/>
      <c r="O149" s="575"/>
      <c r="P149" s="575"/>
      <c r="Q149" s="575"/>
    </row>
    <row r="150" spans="1:17">
      <c r="A150" s="575"/>
      <c r="B150" s="575"/>
      <c r="C150" s="575"/>
      <c r="D150" s="575"/>
      <c r="E150" s="570"/>
      <c r="F150" s="576"/>
      <c r="G150" s="516"/>
      <c r="H150" s="516"/>
      <c r="I150" s="458"/>
      <c r="J150" s="516"/>
      <c r="K150" s="516"/>
      <c r="L150" s="516"/>
      <c r="M150" s="575"/>
      <c r="N150" s="575"/>
      <c r="O150" s="575"/>
      <c r="P150" s="575"/>
      <c r="Q150" s="575"/>
    </row>
    <row r="151" spans="1:17">
      <c r="A151" s="575"/>
      <c r="B151" s="575"/>
      <c r="C151" s="575"/>
      <c r="D151" s="575"/>
      <c r="E151" s="570"/>
      <c r="F151" s="576"/>
      <c r="G151" s="516"/>
      <c r="H151" s="516"/>
      <c r="I151" s="458"/>
      <c r="J151" s="516"/>
      <c r="K151" s="516"/>
      <c r="L151" s="516"/>
      <c r="M151" s="575"/>
    </row>
    <row r="152" spans="1:17">
      <c r="A152" s="575"/>
      <c r="B152" s="575"/>
      <c r="C152" s="575"/>
      <c r="D152" s="575"/>
      <c r="E152" s="570"/>
      <c r="F152" s="576"/>
      <c r="G152" s="516"/>
      <c r="H152" s="516"/>
      <c r="I152" s="458"/>
      <c r="J152" s="516"/>
      <c r="K152" s="516"/>
      <c r="L152" s="516"/>
      <c r="M152" s="575"/>
    </row>
    <row r="153" spans="1:17">
      <c r="A153" s="575"/>
      <c r="B153" s="575"/>
      <c r="C153" s="575"/>
      <c r="D153" s="575"/>
      <c r="E153" s="570"/>
      <c r="F153" s="576"/>
      <c r="G153" s="516"/>
      <c r="H153" s="516"/>
      <c r="I153" s="458"/>
      <c r="J153" s="516"/>
      <c r="K153" s="516"/>
      <c r="L153" s="516"/>
      <c r="M153" s="575"/>
    </row>
    <row r="154" spans="1:17">
      <c r="A154" s="575"/>
      <c r="B154" s="575"/>
      <c r="C154" s="575"/>
      <c r="D154" s="575"/>
      <c r="E154" s="570"/>
      <c r="F154" s="576"/>
      <c r="G154" s="516"/>
      <c r="H154" s="516"/>
      <c r="I154" s="458"/>
      <c r="J154" s="516"/>
      <c r="K154" s="516"/>
      <c r="L154" s="516"/>
      <c r="M154" s="575"/>
    </row>
    <row r="155" spans="1:17">
      <c r="J155" s="516"/>
      <c r="K155" s="516"/>
      <c r="L155" s="516"/>
      <c r="M155" s="575"/>
    </row>
    <row r="156" spans="1:17">
      <c r="J156" s="516"/>
      <c r="K156" s="516"/>
      <c r="L156" s="516"/>
      <c r="M156" s="575"/>
    </row>
    <row r="157" spans="1:17">
      <c r="J157" s="516"/>
      <c r="K157" s="516"/>
      <c r="L157" s="516"/>
      <c r="M157" s="575"/>
    </row>
    <row r="158" spans="1:17">
      <c r="J158" s="516"/>
      <c r="K158" s="516"/>
      <c r="L158" s="516"/>
      <c r="M158" s="575"/>
    </row>
    <row r="159" spans="1:17">
      <c r="J159" s="516"/>
      <c r="K159" s="516"/>
      <c r="L159" s="516"/>
      <c r="M159" s="575"/>
    </row>
    <row r="160" spans="1:17">
      <c r="J160" s="516"/>
      <c r="K160" s="516"/>
      <c r="L160" s="516"/>
      <c r="M160" s="575"/>
    </row>
    <row r="161" spans="11:13">
      <c r="K161" s="516"/>
      <c r="L161" s="516"/>
      <c r="M161" s="575"/>
    </row>
    <row r="162" spans="11:13">
      <c r="K162" s="516"/>
      <c r="L162" s="516"/>
      <c r="M162" s="575"/>
    </row>
    <row r="163" spans="11:13">
      <c r="K163" s="516"/>
      <c r="L163" s="516"/>
      <c r="M163" s="575"/>
    </row>
    <row r="164" spans="11:13">
      <c r="L164" s="516"/>
      <c r="M164" s="575"/>
    </row>
    <row r="165" spans="11:13">
      <c r="L165" s="516"/>
      <c r="M165" s="575"/>
    </row>
    <row r="166" spans="11:13">
      <c r="L166" s="516"/>
    </row>
    <row r="167" spans="11:13">
      <c r="L167" s="516"/>
    </row>
    <row r="168" spans="11:13">
      <c r="L168" s="516"/>
    </row>
  </sheetData>
  <mergeCells count="1">
    <mergeCell ref="A7:B7"/>
  </mergeCells>
  <dataValidations count="1">
    <dataValidation type="list" allowBlank="1" showInputMessage="1" showErrorMessage="1" sqref="B5" xr:uid="{D302D47D-99FB-41CA-B164-F6A2F3928720}">
      <formula1>$AB$5:$AB$8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62E95-A6E7-4379-9509-D9D1C5407520}">
  <dimension ref="A1:Q151"/>
  <sheetViews>
    <sheetView workbookViewId="0">
      <selection activeCell="N18" sqref="N18"/>
    </sheetView>
  </sheetViews>
  <sheetFormatPr defaultColWidth="7.88671875" defaultRowHeight="10.199999999999999"/>
  <cols>
    <col min="1" max="1" width="15.6640625" style="516" bestFit="1" customWidth="1"/>
    <col min="2" max="2" width="9.5546875" style="516" bestFit="1" customWidth="1"/>
    <col min="3" max="3" width="5.109375" style="579" customWidth="1"/>
    <col min="4" max="6" width="7.6640625" style="579" customWidth="1"/>
    <col min="7" max="7" width="6.33203125" style="575" customWidth="1"/>
    <col min="8" max="8" width="6.88671875" style="580" customWidth="1"/>
    <col min="9" max="9" width="9.6640625" style="575" customWidth="1"/>
    <col min="10" max="10" width="8.6640625" style="575" bestFit="1" customWidth="1"/>
    <col min="11" max="11" width="12.5546875" style="570" customWidth="1"/>
    <col min="12" max="12" width="17.33203125" style="576" bestFit="1" customWidth="1"/>
    <col min="13" max="13" width="12.88671875" style="578" customWidth="1"/>
    <col min="14" max="14" width="11.33203125" style="516" customWidth="1"/>
    <col min="15" max="15" width="14.5546875" style="458" customWidth="1"/>
    <col min="16" max="16" width="2.44140625" style="458" customWidth="1"/>
    <col min="17" max="17" width="14" style="516" bestFit="1" customWidth="1"/>
    <col min="18" max="18" width="5.44140625" style="516" customWidth="1"/>
    <col min="19" max="27" width="5.33203125" style="516" customWidth="1"/>
    <col min="28" max="28" width="17" style="516" customWidth="1"/>
    <col min="29" max="16384" width="7.88671875" style="516"/>
  </cols>
  <sheetData>
    <row r="1" spans="1:15" s="405" customFormat="1" ht="13.2">
      <c r="A1" s="395" t="s">
        <v>103</v>
      </c>
      <c r="B1" s="396" t="s">
        <v>147</v>
      </c>
      <c r="C1" s="397"/>
      <c r="D1" s="396"/>
      <c r="E1" s="398"/>
      <c r="F1" s="398"/>
      <c r="G1" s="399"/>
      <c r="H1" s="400" t="s">
        <v>104</v>
      </c>
      <c r="I1" s="401">
        <v>161</v>
      </c>
      <c r="J1" s="402"/>
      <c r="K1" s="396"/>
      <c r="L1" s="396"/>
      <c r="M1" s="1026"/>
      <c r="N1" s="404"/>
    </row>
    <row r="2" spans="1:15" s="405" customFormat="1" ht="13.2">
      <c r="A2" s="406" t="s">
        <v>105</v>
      </c>
      <c r="B2" s="407" t="s">
        <v>6</v>
      </c>
      <c r="C2" s="408"/>
      <c r="D2" s="407"/>
      <c r="E2" s="409"/>
      <c r="F2" s="409"/>
      <c r="G2" s="410"/>
      <c r="H2" s="411" t="s">
        <v>106</v>
      </c>
      <c r="I2" s="412">
        <v>161</v>
      </c>
      <c r="J2" s="413"/>
      <c r="K2" s="407"/>
      <c r="L2" s="407"/>
      <c r="M2" s="1027"/>
      <c r="N2" s="415"/>
    </row>
    <row r="3" spans="1:15" s="421" customFormat="1" ht="11.25" customHeight="1">
      <c r="A3" s="416" t="s">
        <v>107</v>
      </c>
      <c r="B3" s="581">
        <v>45768</v>
      </c>
      <c r="C3" s="408"/>
      <c r="D3" s="409"/>
      <c r="E3" s="409"/>
      <c r="F3" s="409"/>
      <c r="G3" s="410"/>
      <c r="H3" s="417" t="s">
        <v>108</v>
      </c>
      <c r="I3" s="418">
        <f>M28/100</f>
        <v>1.7855555555555553</v>
      </c>
      <c r="J3" s="413"/>
      <c r="K3" s="407"/>
      <c r="L3" s="407"/>
      <c r="M3" s="1028"/>
      <c r="N3" s="420"/>
    </row>
    <row r="4" spans="1:15" s="405" customFormat="1" ht="13.2">
      <c r="A4" s="416" t="s">
        <v>109</v>
      </c>
      <c r="B4" s="407" t="s">
        <v>207</v>
      </c>
      <c r="C4" s="408"/>
      <c r="D4" s="409"/>
      <c r="E4" s="409"/>
      <c r="F4" s="409"/>
      <c r="G4" s="410"/>
      <c r="H4" s="417" t="s">
        <v>110</v>
      </c>
      <c r="I4" s="418">
        <f>J27</f>
        <v>0.30881987577639758</v>
      </c>
      <c r="J4" s="413"/>
      <c r="K4" s="407"/>
      <c r="L4" s="407"/>
      <c r="M4" s="1027"/>
      <c r="N4" s="404"/>
    </row>
    <row r="5" spans="1:15" s="425" customFormat="1" ht="13.2">
      <c r="A5" s="406" t="s">
        <v>111</v>
      </c>
      <c r="B5" s="422" t="s">
        <v>112</v>
      </c>
      <c r="C5" s="408"/>
      <c r="D5" s="409"/>
      <c r="E5" s="409"/>
      <c r="F5" s="409"/>
      <c r="G5" s="410"/>
      <c r="H5" s="417" t="s">
        <v>261</v>
      </c>
      <c r="I5" s="1224">
        <f>(I2*I4)/100</f>
        <v>0.49720000000000014</v>
      </c>
      <c r="J5" s="413"/>
      <c r="K5" s="407"/>
      <c r="L5" s="407"/>
      <c r="M5" s="1029"/>
      <c r="N5" s="424"/>
    </row>
    <row r="6" spans="1:15" s="424" customFormat="1" ht="13.8" thickBot="1">
      <c r="A6" s="426"/>
      <c r="B6" s="427"/>
      <c r="C6" s="428"/>
      <c r="D6" s="429"/>
      <c r="E6" s="429"/>
      <c r="F6" s="429"/>
      <c r="G6" s="430"/>
      <c r="H6" s="431"/>
      <c r="I6" s="432"/>
      <c r="J6" s="430"/>
      <c r="K6" s="433"/>
      <c r="L6" s="427"/>
      <c r="M6" s="1030"/>
    </row>
    <row r="7" spans="1:15" s="425" customFormat="1" ht="13.2" customHeight="1">
      <c r="A7" s="435" t="s">
        <v>113</v>
      </c>
      <c r="B7" s="436"/>
      <c r="C7" s="437"/>
      <c r="D7" s="438"/>
      <c r="E7" s="439" t="s">
        <v>114</v>
      </c>
      <c r="F7" s="436"/>
      <c r="G7" s="440" t="s">
        <v>115</v>
      </c>
      <c r="H7" s="441"/>
      <c r="I7" s="442" t="s">
        <v>116</v>
      </c>
      <c r="J7" s="442"/>
      <c r="K7" s="443"/>
      <c r="L7" s="1412" t="s">
        <v>117</v>
      </c>
      <c r="M7" s="1413"/>
      <c r="N7" s="424"/>
      <c r="O7" s="424"/>
    </row>
    <row r="8" spans="1:15" s="454" customFormat="1" ht="11.25" customHeight="1">
      <c r="A8" s="444"/>
      <c r="B8" s="445"/>
      <c r="C8" s="446"/>
      <c r="D8" s="447"/>
      <c r="E8" s="448"/>
      <c r="F8" s="447"/>
      <c r="G8" s="449"/>
      <c r="H8" s="450"/>
      <c r="I8" s="451"/>
      <c r="J8" s="451"/>
      <c r="K8" s="452"/>
      <c r="L8" s="423"/>
      <c r="M8" s="1029"/>
      <c r="N8" s="453"/>
    </row>
    <row r="9" spans="1:15" s="455" customFormat="1">
      <c r="C9" s="456"/>
      <c r="D9" s="457"/>
      <c r="E9" s="448" t="s">
        <v>118</v>
      </c>
      <c r="F9" s="447"/>
      <c r="G9" s="449"/>
      <c r="H9" s="450"/>
      <c r="I9" s="458"/>
      <c r="J9" s="458"/>
      <c r="K9" s="452"/>
      <c r="L9" s="459"/>
      <c r="M9" s="1031"/>
      <c r="N9" s="461"/>
      <c r="O9" s="462"/>
    </row>
    <row r="10" spans="1:15" s="455" customFormat="1">
      <c r="A10" s="463" t="s">
        <v>119</v>
      </c>
      <c r="B10" s="464" t="s">
        <v>120</v>
      </c>
      <c r="C10" s="465" t="s">
        <v>121</v>
      </c>
      <c r="D10" s="466" t="s">
        <v>122</v>
      </c>
      <c r="E10" s="467" t="s">
        <v>123</v>
      </c>
      <c r="F10" s="466" t="s">
        <v>124</v>
      </c>
      <c r="G10" s="449" t="s">
        <v>125</v>
      </c>
      <c r="H10" s="450" t="s">
        <v>126</v>
      </c>
      <c r="I10" s="451" t="s">
        <v>126</v>
      </c>
      <c r="J10" s="451" t="s">
        <v>125</v>
      </c>
      <c r="K10" s="468" t="s">
        <v>127</v>
      </c>
      <c r="L10" s="459" t="s">
        <v>128</v>
      </c>
      <c r="M10" s="1032" t="s">
        <v>129</v>
      </c>
      <c r="N10" s="469"/>
    </row>
    <row r="11" spans="1:15" s="455" customFormat="1" ht="12" thickBot="1">
      <c r="A11" s="470" t="s">
        <v>130</v>
      </c>
      <c r="B11" s="471" t="s">
        <v>130</v>
      </c>
      <c r="C11" s="472" t="s">
        <v>131</v>
      </c>
      <c r="D11" s="473" t="s">
        <v>132</v>
      </c>
      <c r="E11" s="474" t="s">
        <v>131</v>
      </c>
      <c r="F11" s="473" t="s">
        <v>131</v>
      </c>
      <c r="G11" s="475" t="s">
        <v>133</v>
      </c>
      <c r="H11" s="476" t="s">
        <v>134</v>
      </c>
      <c r="I11" s="477" t="s">
        <v>134</v>
      </c>
      <c r="J11" s="1048" t="s">
        <v>133</v>
      </c>
      <c r="K11" s="478"/>
      <c r="L11" s="479"/>
      <c r="M11" s="1033" t="s">
        <v>131</v>
      </c>
      <c r="N11" s="469"/>
    </row>
    <row r="12" spans="1:15" s="455" customFormat="1">
      <c r="A12" s="481">
        <v>90</v>
      </c>
      <c r="B12" s="482"/>
      <c r="C12" s="483">
        <v>10</v>
      </c>
      <c r="D12" s="484">
        <v>1000</v>
      </c>
      <c r="E12" s="485">
        <v>0</v>
      </c>
      <c r="F12" s="486">
        <f>(C12+C13-10)/2</f>
        <v>10</v>
      </c>
      <c r="G12" s="487">
        <f>A12/D12</f>
        <v>0.09</v>
      </c>
      <c r="H12" s="488">
        <f>(F12-E12)*0.01*G12</f>
        <v>8.9999999999999993E-3</v>
      </c>
      <c r="I12" s="489">
        <f>H12</f>
        <v>8.9999999999999993E-3</v>
      </c>
      <c r="J12" s="490">
        <f>I12/(F12*0.01)</f>
        <v>8.9999999999999983E-2</v>
      </c>
      <c r="K12" s="491"/>
      <c r="L12" s="492" t="s">
        <v>135</v>
      </c>
      <c r="M12" s="1034">
        <v>161</v>
      </c>
      <c r="N12" s="494"/>
    </row>
    <row r="13" spans="1:15" s="455" customFormat="1">
      <c r="A13" s="481">
        <v>235</v>
      </c>
      <c r="B13" s="482"/>
      <c r="C13" s="483">
        <v>20</v>
      </c>
      <c r="D13" s="484">
        <v>1000</v>
      </c>
      <c r="E13" s="495">
        <f>(C12+C13-10)/2</f>
        <v>10</v>
      </c>
      <c r="F13" s="486">
        <f t="shared" ref="F13:F26" si="0">(C13+C14-10)/2</f>
        <v>20</v>
      </c>
      <c r="G13" s="487">
        <f t="shared" ref="G13:G27" si="1">A13/D13</f>
        <v>0.23499999999999999</v>
      </c>
      <c r="H13" s="488">
        <f t="shared" ref="H13:H27" si="2">(F13-E13)*0.01*G13</f>
        <v>2.35E-2</v>
      </c>
      <c r="I13" s="499">
        <f>H13+I12</f>
        <v>3.2500000000000001E-2</v>
      </c>
      <c r="J13" s="1049">
        <f t="shared" ref="J13:J27" si="3">I13/(F13*0.01)</f>
        <v>0.16250000000000001</v>
      </c>
      <c r="K13" s="491"/>
      <c r="L13" s="501" t="s">
        <v>136</v>
      </c>
      <c r="M13" s="1035"/>
      <c r="N13" s="469"/>
    </row>
    <row r="14" spans="1:15" s="455" customFormat="1">
      <c r="A14" s="481">
        <v>265</v>
      </c>
      <c r="B14" s="482"/>
      <c r="C14" s="483">
        <v>30</v>
      </c>
      <c r="D14" s="484">
        <v>1000</v>
      </c>
      <c r="E14" s="495">
        <f t="shared" ref="E14:E27" si="4">(C13+C14-10)/2</f>
        <v>20</v>
      </c>
      <c r="F14" s="486">
        <f t="shared" si="0"/>
        <v>30</v>
      </c>
      <c r="G14" s="487">
        <f t="shared" si="1"/>
        <v>0.26500000000000001</v>
      </c>
      <c r="H14" s="488">
        <f t="shared" si="2"/>
        <v>2.6500000000000003E-2</v>
      </c>
      <c r="I14" s="499">
        <f t="shared" ref="I14:I27" si="5">H14+I13</f>
        <v>5.9000000000000004E-2</v>
      </c>
      <c r="J14" s="1049">
        <f t="shared" si="3"/>
        <v>0.19666666666666668</v>
      </c>
      <c r="K14" s="491"/>
      <c r="L14" s="501" t="s">
        <v>208</v>
      </c>
      <c r="M14" s="1046">
        <v>168</v>
      </c>
      <c r="N14" s="469"/>
    </row>
    <row r="15" spans="1:15" s="455" customFormat="1">
      <c r="A15" s="481">
        <v>320</v>
      </c>
      <c r="B15" s="482"/>
      <c r="C15" s="483">
        <v>40</v>
      </c>
      <c r="D15" s="484">
        <v>1000</v>
      </c>
      <c r="E15" s="495">
        <f t="shared" si="4"/>
        <v>30</v>
      </c>
      <c r="F15" s="486">
        <f t="shared" si="0"/>
        <v>40</v>
      </c>
      <c r="G15" s="487">
        <f t="shared" si="1"/>
        <v>0.32</v>
      </c>
      <c r="H15" s="488">
        <f t="shared" si="2"/>
        <v>3.2000000000000001E-2</v>
      </c>
      <c r="I15" s="499">
        <f t="shared" si="5"/>
        <v>9.0999999999999998E-2</v>
      </c>
      <c r="J15" s="1049">
        <f t="shared" si="3"/>
        <v>0.22749999999999998</v>
      </c>
      <c r="K15" s="491"/>
      <c r="L15" s="501" t="s">
        <v>208</v>
      </c>
      <c r="M15" s="1047">
        <v>160</v>
      </c>
      <c r="N15" s="469"/>
    </row>
    <row r="16" spans="1:15" s="455" customFormat="1">
      <c r="A16" s="504">
        <v>325</v>
      </c>
      <c r="B16" s="482"/>
      <c r="C16" s="483">
        <v>50</v>
      </c>
      <c r="D16" s="484">
        <v>1000</v>
      </c>
      <c r="E16" s="495">
        <f t="shared" si="4"/>
        <v>40</v>
      </c>
      <c r="F16" s="486">
        <f t="shared" si="0"/>
        <v>50</v>
      </c>
      <c r="G16" s="487">
        <f t="shared" si="1"/>
        <v>0.32500000000000001</v>
      </c>
      <c r="H16" s="488">
        <f t="shared" si="2"/>
        <v>3.2500000000000001E-2</v>
      </c>
      <c r="I16" s="499">
        <f t="shared" si="5"/>
        <v>0.1235</v>
      </c>
      <c r="J16" s="1049">
        <f t="shared" si="3"/>
        <v>0.247</v>
      </c>
      <c r="K16" s="491"/>
      <c r="L16" s="501" t="s">
        <v>208</v>
      </c>
      <c r="M16" s="1046">
        <v>184</v>
      </c>
      <c r="N16" s="469"/>
    </row>
    <row r="17" spans="1:16" s="455" customFormat="1">
      <c r="A17" s="504">
        <v>350</v>
      </c>
      <c r="B17" s="482"/>
      <c r="C17" s="483">
        <v>60</v>
      </c>
      <c r="D17" s="484">
        <v>1000</v>
      </c>
      <c r="E17" s="495">
        <f t="shared" si="4"/>
        <v>50</v>
      </c>
      <c r="F17" s="486">
        <f t="shared" si="0"/>
        <v>60</v>
      </c>
      <c r="G17" s="487">
        <f t="shared" si="1"/>
        <v>0.35</v>
      </c>
      <c r="H17" s="488">
        <f t="shared" si="2"/>
        <v>3.4999999999999996E-2</v>
      </c>
      <c r="I17" s="499">
        <f t="shared" si="5"/>
        <v>0.1585</v>
      </c>
      <c r="J17" s="1049">
        <f t="shared" si="3"/>
        <v>0.26416666666666666</v>
      </c>
      <c r="K17" s="505" t="s">
        <v>137</v>
      </c>
      <c r="L17" s="501" t="s">
        <v>208</v>
      </c>
      <c r="M17" s="1046">
        <v>172</v>
      </c>
      <c r="N17" s="508">
        <f>AVERAGE(M14:M17)</f>
        <v>171</v>
      </c>
    </row>
    <row r="18" spans="1:16" s="455" customFormat="1">
      <c r="A18" s="504">
        <v>345</v>
      </c>
      <c r="B18" s="482"/>
      <c r="C18" s="483">
        <v>70</v>
      </c>
      <c r="D18" s="484">
        <v>1000</v>
      </c>
      <c r="E18" s="495">
        <f t="shared" si="4"/>
        <v>60</v>
      </c>
      <c r="F18" s="486">
        <f t="shared" si="0"/>
        <v>70</v>
      </c>
      <c r="G18" s="487">
        <f t="shared" si="1"/>
        <v>0.34499999999999997</v>
      </c>
      <c r="H18" s="488">
        <f t="shared" si="2"/>
        <v>3.4499999999999996E-2</v>
      </c>
      <c r="I18" s="499">
        <f t="shared" si="5"/>
        <v>0.193</v>
      </c>
      <c r="J18" s="1049">
        <f t="shared" si="3"/>
        <v>0.27571428571428569</v>
      </c>
      <c r="K18" s="506"/>
      <c r="L18" s="501" t="s">
        <v>209</v>
      </c>
      <c r="M18" s="1046">
        <v>195</v>
      </c>
      <c r="N18" s="461"/>
    </row>
    <row r="19" spans="1:16" s="455" customFormat="1" ht="10.199999999999999" customHeight="1">
      <c r="A19" s="504">
        <v>375</v>
      </c>
      <c r="B19" s="482"/>
      <c r="C19" s="483">
        <v>80</v>
      </c>
      <c r="D19" s="484">
        <v>1000</v>
      </c>
      <c r="E19" s="495">
        <f t="shared" si="4"/>
        <v>70</v>
      </c>
      <c r="F19" s="486">
        <f t="shared" si="0"/>
        <v>80</v>
      </c>
      <c r="G19" s="487">
        <f t="shared" si="1"/>
        <v>0.375</v>
      </c>
      <c r="H19" s="488">
        <f t="shared" si="2"/>
        <v>3.7500000000000006E-2</v>
      </c>
      <c r="I19" s="499">
        <f t="shared" si="5"/>
        <v>0.23050000000000001</v>
      </c>
      <c r="J19" s="1049">
        <f t="shared" si="3"/>
        <v>0.28812500000000002</v>
      </c>
      <c r="K19" s="506"/>
      <c r="L19" s="501" t="s">
        <v>209</v>
      </c>
      <c r="M19" s="1046">
        <v>180</v>
      </c>
      <c r="N19" s="507"/>
    </row>
    <row r="20" spans="1:16" s="455" customFormat="1">
      <c r="A20" s="504">
        <v>400</v>
      </c>
      <c r="B20" s="482"/>
      <c r="C20" s="483">
        <v>90</v>
      </c>
      <c r="D20" s="484">
        <v>1000</v>
      </c>
      <c r="E20" s="495">
        <f t="shared" si="4"/>
        <v>80</v>
      </c>
      <c r="F20" s="486">
        <f t="shared" si="0"/>
        <v>90</v>
      </c>
      <c r="G20" s="487">
        <f t="shared" si="1"/>
        <v>0.4</v>
      </c>
      <c r="H20" s="488">
        <f t="shared" si="2"/>
        <v>4.0000000000000008E-2</v>
      </c>
      <c r="I20" s="499">
        <f t="shared" si="5"/>
        <v>0.27050000000000002</v>
      </c>
      <c r="J20" s="1049">
        <f t="shared" si="3"/>
        <v>0.30055555555555558</v>
      </c>
      <c r="K20" s="491"/>
      <c r="L20" s="501" t="s">
        <v>209</v>
      </c>
      <c r="M20" s="1046">
        <v>197</v>
      </c>
      <c r="N20" s="508"/>
    </row>
    <row r="21" spans="1:16" s="510" customFormat="1">
      <c r="A21" s="504">
        <v>385</v>
      </c>
      <c r="B21" s="482"/>
      <c r="C21" s="483">
        <v>100</v>
      </c>
      <c r="D21" s="484">
        <v>1000</v>
      </c>
      <c r="E21" s="495">
        <f t="shared" si="4"/>
        <v>90</v>
      </c>
      <c r="F21" s="486">
        <f t="shared" si="0"/>
        <v>100</v>
      </c>
      <c r="G21" s="487">
        <f t="shared" si="1"/>
        <v>0.38500000000000001</v>
      </c>
      <c r="H21" s="488">
        <f t="shared" si="2"/>
        <v>3.8500000000000006E-2</v>
      </c>
      <c r="I21" s="499">
        <f t="shared" si="5"/>
        <v>0.30900000000000005</v>
      </c>
      <c r="J21" s="1049">
        <f t="shared" si="3"/>
        <v>0.30900000000000005</v>
      </c>
      <c r="K21" s="509"/>
      <c r="L21" s="501" t="s">
        <v>209</v>
      </c>
      <c r="M21" s="1046">
        <v>190</v>
      </c>
      <c r="N21" s="508">
        <f>AVERAGE(M18:M21)</f>
        <v>190.5</v>
      </c>
    </row>
    <row r="22" spans="1:16" s="510" customFormat="1">
      <c r="A22" s="504">
        <v>385</v>
      </c>
      <c r="B22" s="482"/>
      <c r="C22" s="483">
        <v>110</v>
      </c>
      <c r="D22" s="484">
        <v>1000</v>
      </c>
      <c r="E22" s="495">
        <f t="shared" si="4"/>
        <v>100</v>
      </c>
      <c r="F22" s="486">
        <f t="shared" si="0"/>
        <v>110</v>
      </c>
      <c r="G22" s="487">
        <f t="shared" si="1"/>
        <v>0.38500000000000001</v>
      </c>
      <c r="H22" s="488">
        <f t="shared" si="2"/>
        <v>3.8500000000000006E-2</v>
      </c>
      <c r="I22" s="499">
        <f t="shared" si="5"/>
        <v>0.34750000000000003</v>
      </c>
      <c r="J22" s="1049">
        <f t="shared" si="3"/>
        <v>0.31590909090909092</v>
      </c>
      <c r="K22" s="491"/>
      <c r="L22" s="501"/>
      <c r="M22" s="1036"/>
      <c r="N22" s="508"/>
    </row>
    <row r="23" spans="1:16" s="510" customFormat="1">
      <c r="A23" s="504">
        <v>340</v>
      </c>
      <c r="B23" s="482"/>
      <c r="C23" s="483">
        <v>120</v>
      </c>
      <c r="D23" s="484">
        <v>1000</v>
      </c>
      <c r="E23" s="495">
        <f t="shared" si="4"/>
        <v>110</v>
      </c>
      <c r="F23" s="486">
        <f t="shared" si="0"/>
        <v>120</v>
      </c>
      <c r="G23" s="487">
        <f t="shared" si="1"/>
        <v>0.34</v>
      </c>
      <c r="H23" s="488">
        <f t="shared" si="2"/>
        <v>3.4000000000000002E-2</v>
      </c>
      <c r="I23" s="499">
        <f t="shared" si="5"/>
        <v>0.38150000000000006</v>
      </c>
      <c r="J23" s="1049">
        <f t="shared" si="3"/>
        <v>0.31791666666666674</v>
      </c>
      <c r="K23" s="512"/>
      <c r="L23" s="501"/>
      <c r="M23" s="1037"/>
      <c r="N23" s="514"/>
    </row>
    <row r="24" spans="1:16" s="510" customFormat="1">
      <c r="A24" s="504">
        <v>300</v>
      </c>
      <c r="B24" s="482"/>
      <c r="C24" s="483">
        <v>130</v>
      </c>
      <c r="D24" s="484">
        <v>1000</v>
      </c>
      <c r="E24" s="495">
        <f t="shared" si="4"/>
        <v>120</v>
      </c>
      <c r="F24" s="486">
        <f t="shared" si="0"/>
        <v>130</v>
      </c>
      <c r="G24" s="487">
        <f t="shared" si="1"/>
        <v>0.3</v>
      </c>
      <c r="H24" s="488">
        <f t="shared" si="2"/>
        <v>0.03</v>
      </c>
      <c r="I24" s="499">
        <f t="shared" si="5"/>
        <v>0.41150000000000009</v>
      </c>
      <c r="J24" s="1049">
        <f t="shared" si="3"/>
        <v>0.3165384615384616</v>
      </c>
      <c r="K24" s="515"/>
      <c r="L24" s="501"/>
      <c r="M24" s="1037"/>
      <c r="N24" s="514"/>
    </row>
    <row r="25" spans="1:16" s="510" customFormat="1">
      <c r="A25" s="504">
        <v>290</v>
      </c>
      <c r="B25" s="482"/>
      <c r="C25" s="483">
        <v>140</v>
      </c>
      <c r="D25" s="484">
        <v>1000</v>
      </c>
      <c r="E25" s="495">
        <f t="shared" si="4"/>
        <v>130</v>
      </c>
      <c r="F25" s="486">
        <f t="shared" si="0"/>
        <v>140</v>
      </c>
      <c r="G25" s="487">
        <f t="shared" si="1"/>
        <v>0.28999999999999998</v>
      </c>
      <c r="H25" s="488">
        <f t="shared" si="2"/>
        <v>2.8999999999999998E-2</v>
      </c>
      <c r="I25" s="499">
        <f t="shared" si="5"/>
        <v>0.44050000000000011</v>
      </c>
      <c r="J25" s="1049">
        <f t="shared" si="3"/>
        <v>0.31464285714285717</v>
      </c>
      <c r="K25" s="515"/>
      <c r="L25" s="501"/>
      <c r="M25" s="1037"/>
      <c r="N25" s="514"/>
    </row>
    <row r="26" spans="1:16" s="510" customFormat="1">
      <c r="A26" s="504">
        <v>270</v>
      </c>
      <c r="B26" s="482"/>
      <c r="C26" s="483">
        <v>150</v>
      </c>
      <c r="D26" s="484">
        <v>1000</v>
      </c>
      <c r="E26" s="495">
        <f t="shared" si="4"/>
        <v>140</v>
      </c>
      <c r="F26" s="486">
        <f t="shared" si="0"/>
        <v>150</v>
      </c>
      <c r="G26" s="487">
        <f t="shared" si="1"/>
        <v>0.27</v>
      </c>
      <c r="H26" s="488">
        <f t="shared" si="2"/>
        <v>2.7000000000000003E-2</v>
      </c>
      <c r="I26" s="499">
        <f t="shared" si="5"/>
        <v>0.46750000000000014</v>
      </c>
      <c r="J26" s="1049">
        <f t="shared" si="3"/>
        <v>0.31166666666666676</v>
      </c>
      <c r="K26" s="515"/>
      <c r="L26" s="501"/>
      <c r="M26" s="1035"/>
      <c r="N26" s="514"/>
    </row>
    <row r="27" spans="1:16" s="510" customFormat="1" ht="10.8" thickBot="1">
      <c r="A27" s="504">
        <v>270</v>
      </c>
      <c r="B27" s="482"/>
      <c r="C27" s="483">
        <v>160</v>
      </c>
      <c r="D27" s="484">
        <v>1000</v>
      </c>
      <c r="E27" s="495">
        <f t="shared" si="4"/>
        <v>150</v>
      </c>
      <c r="F27" s="496">
        <v>161</v>
      </c>
      <c r="G27" s="487">
        <f t="shared" si="1"/>
        <v>0.27</v>
      </c>
      <c r="H27" s="488">
        <f t="shared" si="2"/>
        <v>2.9700000000000001E-2</v>
      </c>
      <c r="I27" s="499">
        <f t="shared" si="5"/>
        <v>0.49720000000000014</v>
      </c>
      <c r="J27" s="1049">
        <f t="shared" si="3"/>
        <v>0.30881987577639758</v>
      </c>
      <c r="K27" s="515"/>
      <c r="L27" s="501"/>
      <c r="M27" s="1035"/>
      <c r="N27" s="514"/>
    </row>
    <row r="28" spans="1:16" s="510" customFormat="1">
      <c r="A28" s="504"/>
      <c r="B28" s="482"/>
      <c r="C28" s="483"/>
      <c r="D28" s="484"/>
      <c r="E28" s="495"/>
      <c r="F28" s="496"/>
      <c r="G28" s="497"/>
      <c r="H28" s="498"/>
      <c r="I28" s="499"/>
      <c r="J28" s="500"/>
      <c r="K28" s="517"/>
      <c r="L28" s="527" t="s">
        <v>138</v>
      </c>
      <c r="M28" s="1038">
        <f>AVERAGE(M12:M27)</f>
        <v>178.55555555555554</v>
      </c>
      <c r="N28" s="514"/>
    </row>
    <row r="29" spans="1:16">
      <c r="A29" s="504"/>
      <c r="B29" s="482"/>
      <c r="C29" s="483"/>
      <c r="D29" s="484"/>
      <c r="E29" s="495"/>
      <c r="F29" s="496"/>
      <c r="G29" s="497"/>
      <c r="H29" s="498"/>
      <c r="I29" s="499"/>
      <c r="J29" s="500"/>
      <c r="K29" s="517"/>
      <c r="L29" s="404" t="s">
        <v>139</v>
      </c>
      <c r="M29" s="1039">
        <f>STDEV(M12:M27)</f>
        <v>14.05445757678957</v>
      </c>
      <c r="N29" s="514"/>
      <c r="O29" s="510"/>
      <c r="P29" s="510"/>
    </row>
    <row r="30" spans="1:16">
      <c r="A30" s="529" t="s">
        <v>140</v>
      </c>
      <c r="B30" s="530"/>
      <c r="C30" s="531"/>
      <c r="D30" s="532"/>
      <c r="E30" s="533"/>
      <c r="F30" s="534"/>
      <c r="G30" s="535"/>
      <c r="H30" s="536"/>
      <c r="I30" s="537"/>
      <c r="J30" s="538"/>
      <c r="K30" s="539"/>
      <c r="L30" s="404" t="s">
        <v>141</v>
      </c>
      <c r="M30" s="1039">
        <f>M29/SQRT(COUNT(M12:M27))</f>
        <v>4.6848191922631903</v>
      </c>
      <c r="N30" s="514"/>
      <c r="O30" s="510"/>
      <c r="P30" s="510"/>
    </row>
    <row r="31" spans="1:16">
      <c r="A31" s="540"/>
      <c r="B31" s="541"/>
      <c r="C31" s="542"/>
      <c r="D31" s="543"/>
      <c r="E31" s="544"/>
      <c r="F31" s="545"/>
      <c r="G31" s="546"/>
      <c r="H31" s="547"/>
      <c r="I31" s="548"/>
      <c r="J31" s="549"/>
      <c r="K31" s="550"/>
      <c r="L31" s="404" t="s">
        <v>142</v>
      </c>
      <c r="M31" s="1039">
        <f>MAX(M12:M27)</f>
        <v>197</v>
      </c>
      <c r="N31" s="514"/>
      <c r="O31" s="510"/>
      <c r="P31" s="510"/>
    </row>
    <row r="32" spans="1:16" ht="10.8" thickBot="1">
      <c r="A32" s="551"/>
      <c r="B32" s="552"/>
      <c r="C32" s="553"/>
      <c r="D32" s="554"/>
      <c r="E32" s="555"/>
      <c r="F32" s="556"/>
      <c r="G32" s="557"/>
      <c r="H32" s="558"/>
      <c r="I32" s="559"/>
      <c r="J32" s="560"/>
      <c r="K32" s="561"/>
      <c r="L32" s="562" t="s">
        <v>143</v>
      </c>
      <c r="M32" s="1040">
        <f>MIN(M12:M27)</f>
        <v>160</v>
      </c>
      <c r="N32" s="514"/>
      <c r="O32" s="510"/>
      <c r="P32" s="510"/>
    </row>
    <row r="33" spans="1:17">
      <c r="A33" s="564"/>
      <c r="B33" s="564"/>
      <c r="C33" s="565"/>
      <c r="D33" s="566"/>
      <c r="E33" s="566"/>
      <c r="F33" s="566"/>
      <c r="G33" s="567"/>
      <c r="H33" s="568"/>
      <c r="I33" s="569"/>
      <c r="J33" s="570"/>
      <c r="K33" s="571"/>
      <c r="L33" s="572"/>
      <c r="M33" s="615"/>
      <c r="N33" s="514"/>
      <c r="O33" s="510"/>
      <c r="P33" s="510"/>
    </row>
    <row r="34" spans="1:17">
      <c r="A34" s="458"/>
      <c r="B34" s="458"/>
      <c r="C34" s="573"/>
      <c r="D34" s="573"/>
      <c r="E34" s="573"/>
      <c r="F34" s="573"/>
      <c r="G34" s="569"/>
      <c r="H34" s="568"/>
      <c r="I34" s="569"/>
      <c r="J34" s="570"/>
      <c r="K34" s="574"/>
      <c r="L34" s="572"/>
      <c r="M34" s="615"/>
      <c r="N34" s="518"/>
      <c r="O34" s="516"/>
      <c r="P34" s="516"/>
    </row>
    <row r="35" spans="1:17">
      <c r="A35" s="575"/>
      <c r="B35" s="575"/>
      <c r="C35" s="575"/>
      <c r="D35" s="575"/>
      <c r="E35" s="570"/>
      <c r="F35" s="576"/>
      <c r="G35" s="458"/>
      <c r="H35" s="516"/>
      <c r="I35" s="458"/>
      <c r="J35" s="516"/>
      <c r="K35" s="516"/>
      <c r="L35" s="458"/>
      <c r="M35" s="615"/>
      <c r="N35" s="519"/>
      <c r="O35" s="520"/>
      <c r="P35" s="521"/>
      <c r="Q35" s="520"/>
    </row>
    <row r="36" spans="1:17">
      <c r="A36" s="577"/>
      <c r="B36" s="577"/>
      <c r="C36" s="575"/>
      <c r="D36" s="575"/>
      <c r="E36" s="570"/>
      <c r="F36" s="576"/>
      <c r="G36" s="516"/>
      <c r="H36" s="516"/>
      <c r="I36" s="458"/>
      <c r="J36" s="516"/>
      <c r="K36" s="516"/>
      <c r="L36" s="458"/>
      <c r="M36" s="615"/>
      <c r="N36" s="519"/>
      <c r="O36" s="520"/>
      <c r="P36" s="522"/>
      <c r="Q36" s="520"/>
    </row>
    <row r="37" spans="1:17">
      <c r="A37" s="451"/>
      <c r="B37" s="451"/>
      <c r="C37" s="575"/>
      <c r="D37" s="575"/>
      <c r="E37" s="570"/>
      <c r="F37" s="576"/>
      <c r="G37" s="516"/>
      <c r="H37" s="516"/>
      <c r="I37" s="458"/>
      <c r="J37" s="516"/>
      <c r="K37" s="516"/>
      <c r="L37" s="458"/>
      <c r="M37" s="615"/>
      <c r="N37" s="523"/>
      <c r="O37" s="520"/>
      <c r="P37" s="520"/>
      <c r="Q37" s="520"/>
    </row>
    <row r="38" spans="1:17">
      <c r="A38" s="575"/>
      <c r="B38" s="575"/>
      <c r="C38" s="575"/>
      <c r="D38" s="575"/>
      <c r="E38" s="570"/>
      <c r="F38" s="576"/>
      <c r="G38" s="516"/>
      <c r="H38" s="516"/>
      <c r="I38" s="458"/>
      <c r="J38" s="516"/>
      <c r="K38" s="516"/>
      <c r="L38" s="458"/>
      <c r="M38" s="615"/>
      <c r="N38" s="524"/>
      <c r="O38" s="525"/>
      <c r="P38" s="516"/>
    </row>
    <row r="39" spans="1:17">
      <c r="A39" s="575"/>
      <c r="B39" s="575"/>
      <c r="C39" s="575"/>
      <c r="D39" s="575"/>
      <c r="E39" s="570"/>
      <c r="F39" s="576"/>
      <c r="G39" s="516"/>
      <c r="H39" s="516"/>
      <c r="I39" s="458"/>
      <c r="J39" s="569"/>
      <c r="K39" s="516"/>
      <c r="L39" s="458"/>
      <c r="M39" s="615"/>
      <c r="N39" s="525"/>
      <c r="O39" s="525"/>
      <c r="P39" s="516"/>
    </row>
    <row r="40" spans="1:17">
      <c r="A40" s="575"/>
      <c r="B40" s="575"/>
      <c r="C40" s="575"/>
      <c r="D40" s="575"/>
      <c r="E40" s="570"/>
      <c r="F40" s="576"/>
      <c r="G40" s="516"/>
      <c r="H40" s="516"/>
      <c r="I40" s="458"/>
      <c r="J40" s="569"/>
      <c r="K40" s="516"/>
      <c r="L40" s="458"/>
      <c r="M40" s="615"/>
      <c r="O40" s="516"/>
      <c r="P40" s="516"/>
    </row>
    <row r="41" spans="1:17">
      <c r="A41" s="575"/>
      <c r="B41" s="575"/>
      <c r="C41" s="575"/>
      <c r="D41" s="575"/>
      <c r="E41" s="570"/>
      <c r="F41" s="576"/>
      <c r="G41" s="516"/>
      <c r="H41" s="516"/>
      <c r="I41" s="458"/>
      <c r="J41" s="516"/>
      <c r="K41" s="516"/>
      <c r="L41" s="458"/>
      <c r="M41" s="615"/>
      <c r="O41" s="516"/>
      <c r="P41" s="516"/>
    </row>
    <row r="42" spans="1:17">
      <c r="A42" s="575"/>
      <c r="B42" s="575"/>
      <c r="C42" s="575"/>
      <c r="D42" s="575"/>
      <c r="E42" s="570"/>
      <c r="F42" s="576"/>
      <c r="G42" s="516"/>
      <c r="H42" s="516"/>
      <c r="I42" s="458"/>
      <c r="J42" s="516"/>
      <c r="K42" s="516"/>
      <c r="L42" s="458"/>
      <c r="M42" s="615"/>
      <c r="O42" s="516"/>
      <c r="P42" s="516"/>
    </row>
    <row r="43" spans="1:17">
      <c r="A43" s="575"/>
      <c r="B43" s="575"/>
      <c r="C43" s="575"/>
      <c r="D43" s="575"/>
      <c r="E43" s="570"/>
      <c r="F43" s="576"/>
      <c r="G43" s="516"/>
      <c r="H43" s="516"/>
      <c r="I43" s="458"/>
      <c r="J43" s="516"/>
      <c r="K43" s="516"/>
      <c r="L43" s="458"/>
      <c r="M43" s="615"/>
      <c r="O43" s="516"/>
      <c r="P43" s="516"/>
    </row>
    <row r="44" spans="1:17">
      <c r="A44" s="575"/>
      <c r="B44" s="575"/>
      <c r="C44" s="575"/>
      <c r="D44" s="575"/>
      <c r="E44" s="570"/>
      <c r="F44" s="576"/>
      <c r="G44" s="516"/>
      <c r="H44" s="516"/>
      <c r="I44" s="458"/>
      <c r="J44" s="516"/>
      <c r="K44" s="516"/>
      <c r="L44" s="458"/>
      <c r="M44" s="615"/>
      <c r="O44" s="516"/>
      <c r="P44" s="516"/>
    </row>
    <row r="45" spans="1:17">
      <c r="A45" s="575"/>
      <c r="B45" s="575"/>
      <c r="C45" s="575"/>
      <c r="D45" s="575"/>
      <c r="E45" s="570"/>
      <c r="F45" s="576"/>
      <c r="G45" s="516"/>
      <c r="H45" s="516"/>
      <c r="I45" s="458"/>
      <c r="J45" s="516"/>
      <c r="K45" s="516"/>
      <c r="L45" s="458"/>
      <c r="M45" s="615"/>
      <c r="O45" s="516"/>
      <c r="P45" s="516"/>
    </row>
    <row r="46" spans="1:17">
      <c r="A46" s="575"/>
      <c r="B46" s="575"/>
      <c r="C46" s="575"/>
      <c r="D46" s="575"/>
      <c r="E46" s="570"/>
      <c r="F46" s="576"/>
      <c r="G46" s="516"/>
      <c r="H46" s="516"/>
      <c r="I46" s="458"/>
      <c r="J46" s="516"/>
      <c r="K46" s="516"/>
      <c r="L46" s="458"/>
      <c r="O46" s="516"/>
      <c r="P46" s="516"/>
    </row>
    <row r="47" spans="1:17">
      <c r="A47" s="575"/>
      <c r="B47" s="575"/>
      <c r="C47" s="575"/>
      <c r="D47" s="575"/>
      <c r="E47" s="570"/>
      <c r="F47" s="576"/>
      <c r="G47" s="516"/>
      <c r="H47" s="516"/>
      <c r="I47" s="458"/>
      <c r="J47" s="516"/>
      <c r="K47" s="516"/>
      <c r="L47" s="458"/>
      <c r="O47" s="516"/>
      <c r="P47" s="516"/>
    </row>
    <row r="48" spans="1:17">
      <c r="A48" s="575"/>
      <c r="B48" s="575"/>
      <c r="C48" s="575"/>
      <c r="D48" s="575"/>
      <c r="E48" s="570"/>
      <c r="F48" s="576"/>
      <c r="G48" s="516"/>
      <c r="H48" s="516"/>
      <c r="I48" s="458"/>
      <c r="J48" s="516"/>
      <c r="K48" s="516"/>
      <c r="L48" s="516"/>
      <c r="O48" s="516"/>
      <c r="P48" s="516"/>
    </row>
    <row r="49" spans="1:17">
      <c r="A49" s="575"/>
      <c r="B49" s="575"/>
      <c r="C49" s="575"/>
      <c r="D49" s="575"/>
      <c r="E49" s="570"/>
      <c r="F49" s="576"/>
      <c r="G49" s="516"/>
      <c r="H49" s="516"/>
      <c r="I49" s="458"/>
      <c r="J49" s="516"/>
      <c r="K49" s="516"/>
      <c r="L49" s="516"/>
      <c r="O49" s="516"/>
      <c r="P49" s="516"/>
    </row>
    <row r="50" spans="1:17">
      <c r="A50" s="575"/>
      <c r="B50" s="575"/>
      <c r="C50" s="575"/>
      <c r="D50" s="575"/>
      <c r="E50" s="570"/>
      <c r="F50" s="576"/>
      <c r="G50" s="516"/>
      <c r="H50" s="516"/>
      <c r="I50" s="458"/>
      <c r="J50" s="516"/>
      <c r="K50" s="516"/>
      <c r="L50" s="516"/>
      <c r="O50" s="516"/>
      <c r="P50" s="516"/>
    </row>
    <row r="51" spans="1:17">
      <c r="A51" s="575"/>
      <c r="B51" s="575"/>
      <c r="C51" s="575"/>
      <c r="D51" s="575"/>
      <c r="E51" s="570"/>
      <c r="F51" s="576"/>
      <c r="G51" s="516"/>
      <c r="H51" s="516"/>
      <c r="I51" s="458"/>
      <c r="J51" s="516"/>
      <c r="K51" s="516"/>
      <c r="L51" s="516"/>
      <c r="O51" s="516"/>
      <c r="P51" s="516"/>
    </row>
    <row r="52" spans="1:17">
      <c r="A52" s="575"/>
      <c r="B52" s="575"/>
      <c r="C52" s="575"/>
      <c r="D52" s="575"/>
      <c r="E52" s="570"/>
      <c r="F52" s="576"/>
      <c r="G52" s="516"/>
      <c r="H52" s="516"/>
      <c r="I52" s="458"/>
      <c r="J52" s="516"/>
      <c r="K52" s="516"/>
      <c r="L52" s="516"/>
      <c r="O52" s="516"/>
      <c r="P52" s="516"/>
    </row>
    <row r="53" spans="1:17">
      <c r="A53" s="575"/>
      <c r="B53" s="575"/>
      <c r="C53" s="575"/>
      <c r="D53" s="575"/>
      <c r="E53" s="570"/>
      <c r="F53" s="576"/>
      <c r="G53" s="516"/>
      <c r="H53" s="516"/>
      <c r="I53" s="458"/>
      <c r="J53" s="516"/>
      <c r="K53" s="516"/>
      <c r="L53" s="516"/>
      <c r="O53" s="516"/>
      <c r="P53" s="516"/>
    </row>
    <row r="54" spans="1:17">
      <c r="A54" s="575"/>
      <c r="B54" s="575"/>
      <c r="C54" s="575"/>
      <c r="D54" s="575"/>
      <c r="E54" s="570"/>
      <c r="F54" s="576"/>
      <c r="G54" s="516"/>
      <c r="H54" s="516"/>
      <c r="I54" s="458"/>
      <c r="J54" s="516"/>
      <c r="K54" s="516"/>
      <c r="L54" s="516"/>
      <c r="N54" s="458"/>
      <c r="P54" s="516"/>
    </row>
    <row r="55" spans="1:17">
      <c r="A55" s="575"/>
      <c r="B55" s="575"/>
      <c r="C55" s="575"/>
      <c r="D55" s="575"/>
      <c r="E55" s="570"/>
      <c r="F55" s="576"/>
      <c r="G55" s="516"/>
      <c r="H55" s="516"/>
      <c r="I55" s="458"/>
      <c r="J55" s="516"/>
      <c r="K55" s="516"/>
      <c r="L55" s="516"/>
      <c r="N55" s="524"/>
      <c r="Q55" s="458"/>
    </row>
    <row r="56" spans="1:17">
      <c r="A56" s="575"/>
      <c r="B56" s="575"/>
      <c r="C56" s="575"/>
      <c r="D56" s="575"/>
      <c r="E56" s="570"/>
      <c r="F56" s="576"/>
      <c r="G56" s="516"/>
      <c r="H56" s="516"/>
      <c r="I56" s="458"/>
      <c r="J56" s="516"/>
      <c r="K56" s="516"/>
      <c r="L56" s="516"/>
      <c r="N56" s="524"/>
      <c r="O56" s="516"/>
      <c r="P56" s="516"/>
    </row>
    <row r="57" spans="1:17">
      <c r="A57" s="575"/>
      <c r="B57" s="575"/>
      <c r="C57" s="575"/>
      <c r="D57" s="575"/>
      <c r="E57" s="570"/>
      <c r="F57" s="576"/>
      <c r="G57" s="516"/>
      <c r="H57" s="516"/>
      <c r="I57" s="458"/>
      <c r="J57" s="516"/>
      <c r="K57" s="516"/>
      <c r="L57" s="516"/>
      <c r="N57" s="458"/>
      <c r="O57" s="516"/>
      <c r="P57" s="516"/>
    </row>
    <row r="58" spans="1:17">
      <c r="A58" s="575"/>
      <c r="B58" s="575"/>
      <c r="C58" s="575"/>
      <c r="D58" s="575"/>
      <c r="E58" s="570"/>
      <c r="F58" s="576"/>
      <c r="G58" s="516"/>
      <c r="H58" s="516"/>
      <c r="I58" s="458"/>
      <c r="J58" s="516"/>
      <c r="K58" s="516"/>
      <c r="L58" s="516"/>
      <c r="O58" s="516"/>
      <c r="P58" s="516"/>
    </row>
    <row r="59" spans="1:17">
      <c r="A59" s="575"/>
      <c r="B59" s="575"/>
      <c r="C59" s="575"/>
      <c r="D59" s="575"/>
      <c r="E59" s="570"/>
      <c r="F59" s="576"/>
      <c r="G59" s="578"/>
      <c r="H59" s="516"/>
      <c r="I59" s="458"/>
      <c r="J59" s="516"/>
      <c r="K59" s="516"/>
      <c r="L59" s="516"/>
      <c r="O59" s="516"/>
      <c r="P59" s="516"/>
    </row>
    <row r="60" spans="1:17">
      <c r="A60" s="575"/>
      <c r="B60" s="575"/>
      <c r="C60" s="575"/>
      <c r="D60" s="575"/>
      <c r="E60" s="570"/>
      <c r="F60" s="576"/>
      <c r="G60" s="578"/>
      <c r="H60" s="516"/>
      <c r="I60" s="458"/>
      <c r="J60" s="516"/>
      <c r="K60" s="516"/>
      <c r="L60" s="516"/>
      <c r="O60" s="516"/>
      <c r="P60" s="516"/>
    </row>
    <row r="61" spans="1:17">
      <c r="A61" s="575"/>
      <c r="B61" s="575"/>
      <c r="C61" s="575"/>
      <c r="D61" s="575"/>
      <c r="E61" s="570"/>
      <c r="F61" s="576"/>
      <c r="G61" s="578"/>
      <c r="H61" s="516"/>
      <c r="I61" s="458"/>
      <c r="J61" s="516"/>
      <c r="K61" s="516"/>
      <c r="L61" s="516"/>
      <c r="O61" s="516"/>
      <c r="P61" s="516"/>
    </row>
    <row r="62" spans="1:17">
      <c r="A62" s="575"/>
      <c r="B62" s="575"/>
      <c r="C62" s="575"/>
      <c r="D62" s="575"/>
      <c r="E62" s="570"/>
      <c r="F62" s="576"/>
      <c r="G62" s="578"/>
      <c r="H62" s="516"/>
      <c r="I62" s="458"/>
      <c r="J62" s="516"/>
      <c r="K62" s="516"/>
      <c r="L62" s="516"/>
      <c r="O62" s="516"/>
      <c r="P62" s="516"/>
    </row>
    <row r="63" spans="1:17">
      <c r="A63" s="575"/>
      <c r="B63" s="575"/>
      <c r="C63" s="575"/>
      <c r="D63" s="575"/>
      <c r="E63" s="570"/>
      <c r="F63" s="576"/>
      <c r="G63" s="516"/>
      <c r="H63" s="516"/>
      <c r="I63" s="458"/>
      <c r="J63" s="516"/>
      <c r="K63" s="516"/>
      <c r="L63" s="516"/>
      <c r="O63" s="516"/>
      <c r="P63" s="516"/>
    </row>
    <row r="64" spans="1:17">
      <c r="A64" s="575"/>
      <c r="B64" s="575"/>
      <c r="C64" s="575"/>
      <c r="D64" s="575"/>
      <c r="E64" s="570"/>
      <c r="F64" s="576"/>
      <c r="G64" s="516"/>
      <c r="H64" s="516"/>
      <c r="I64" s="458"/>
      <c r="J64" s="516"/>
      <c r="K64" s="516"/>
      <c r="L64" s="516"/>
      <c r="O64" s="516"/>
      <c r="P64" s="516"/>
    </row>
    <row r="65" spans="1:16">
      <c r="A65" s="575"/>
      <c r="B65" s="575"/>
      <c r="C65" s="575"/>
      <c r="D65" s="575"/>
      <c r="E65" s="570"/>
      <c r="F65" s="576"/>
      <c r="G65" s="516"/>
      <c r="H65" s="516"/>
      <c r="I65" s="458"/>
      <c r="J65" s="516"/>
      <c r="K65" s="516"/>
      <c r="L65" s="516"/>
      <c r="O65" s="516"/>
      <c r="P65" s="516"/>
    </row>
    <row r="66" spans="1:16">
      <c r="A66" s="575"/>
      <c r="B66" s="575"/>
      <c r="C66" s="575"/>
      <c r="D66" s="575"/>
      <c r="E66" s="570"/>
      <c r="F66" s="576"/>
      <c r="G66" s="516"/>
      <c r="H66" s="516"/>
      <c r="I66" s="458"/>
      <c r="J66" s="516"/>
      <c r="K66" s="516"/>
      <c r="L66" s="516"/>
      <c r="O66" s="516"/>
      <c r="P66" s="516"/>
    </row>
    <row r="67" spans="1:16">
      <c r="A67" s="575"/>
      <c r="B67" s="575"/>
      <c r="C67" s="575"/>
      <c r="D67" s="575"/>
      <c r="E67" s="570"/>
      <c r="F67" s="576"/>
      <c r="G67" s="516"/>
      <c r="H67" s="516"/>
      <c r="I67" s="458"/>
      <c r="J67" s="516"/>
      <c r="K67" s="516"/>
      <c r="L67" s="516"/>
      <c r="O67" s="516"/>
      <c r="P67" s="516"/>
    </row>
    <row r="68" spans="1:16">
      <c r="A68" s="575"/>
      <c r="B68" s="575"/>
      <c r="C68" s="575"/>
      <c r="D68" s="575"/>
      <c r="E68" s="570"/>
      <c r="F68" s="576"/>
      <c r="G68" s="516"/>
      <c r="H68" s="516"/>
      <c r="I68" s="458"/>
      <c r="J68" s="516"/>
      <c r="K68" s="516"/>
      <c r="L68" s="516"/>
      <c r="O68" s="516"/>
      <c r="P68" s="516"/>
    </row>
    <row r="69" spans="1:16">
      <c r="A69" s="575"/>
      <c r="B69" s="575"/>
      <c r="C69" s="575"/>
      <c r="D69" s="575"/>
      <c r="E69" s="570"/>
      <c r="F69" s="576"/>
      <c r="G69" s="516"/>
      <c r="H69" s="516"/>
      <c r="I69" s="458"/>
      <c r="J69" s="516"/>
      <c r="K69" s="516"/>
      <c r="L69" s="516"/>
      <c r="O69" s="516"/>
      <c r="P69" s="516"/>
    </row>
    <row r="70" spans="1:16">
      <c r="A70" s="575"/>
      <c r="B70" s="575"/>
      <c r="C70" s="575"/>
      <c r="D70" s="575"/>
      <c r="E70" s="570"/>
      <c r="F70" s="576"/>
      <c r="G70" s="516"/>
      <c r="H70" s="516"/>
      <c r="I70" s="458"/>
      <c r="J70" s="516"/>
      <c r="K70" s="516"/>
      <c r="L70" s="516"/>
      <c r="O70" s="516"/>
      <c r="P70" s="516"/>
    </row>
    <row r="71" spans="1:16">
      <c r="A71" s="575"/>
      <c r="B71" s="575"/>
      <c r="C71" s="575"/>
      <c r="D71" s="575"/>
      <c r="E71" s="570"/>
      <c r="F71" s="576"/>
      <c r="G71" s="516"/>
      <c r="H71" s="516"/>
      <c r="I71" s="458"/>
      <c r="J71" s="516"/>
      <c r="K71" s="516"/>
      <c r="L71" s="516"/>
      <c r="O71" s="516"/>
      <c r="P71" s="516"/>
    </row>
    <row r="72" spans="1:16">
      <c r="A72" s="575"/>
      <c r="B72" s="575"/>
      <c r="C72" s="575"/>
      <c r="D72" s="575"/>
      <c r="E72" s="570"/>
      <c r="F72" s="576"/>
      <c r="G72" s="516"/>
      <c r="H72" s="516"/>
      <c r="I72" s="458"/>
      <c r="J72" s="516"/>
      <c r="K72" s="516"/>
      <c r="L72" s="516"/>
      <c r="O72" s="516"/>
      <c r="P72" s="516"/>
    </row>
    <row r="73" spans="1:16">
      <c r="A73" s="575"/>
      <c r="B73" s="575"/>
      <c r="C73" s="575"/>
      <c r="D73" s="575"/>
      <c r="E73" s="570"/>
      <c r="F73" s="576"/>
      <c r="G73" s="516"/>
      <c r="H73" s="516"/>
      <c r="I73" s="458"/>
      <c r="J73" s="516"/>
      <c r="K73" s="516"/>
      <c r="L73" s="516"/>
      <c r="O73" s="516"/>
      <c r="P73" s="516"/>
    </row>
    <row r="74" spans="1:16">
      <c r="A74" s="575"/>
      <c r="B74" s="575"/>
      <c r="C74" s="575"/>
      <c r="D74" s="575"/>
      <c r="E74" s="570"/>
      <c r="F74" s="576"/>
      <c r="G74" s="516"/>
      <c r="H74" s="516"/>
      <c r="I74" s="458"/>
      <c r="J74" s="516"/>
      <c r="K74" s="516"/>
      <c r="L74" s="516"/>
      <c r="O74" s="516"/>
      <c r="P74" s="516"/>
    </row>
    <row r="75" spans="1:16">
      <c r="A75" s="575"/>
      <c r="B75" s="575"/>
      <c r="C75" s="575"/>
      <c r="D75" s="575"/>
      <c r="E75" s="570"/>
      <c r="F75" s="576"/>
      <c r="G75" s="516"/>
      <c r="H75" s="516"/>
      <c r="I75" s="458"/>
      <c r="J75" s="516"/>
      <c r="K75" s="516"/>
      <c r="L75" s="516"/>
      <c r="O75" s="516"/>
      <c r="P75" s="516"/>
    </row>
    <row r="76" spans="1:16">
      <c r="A76" s="575"/>
      <c r="B76" s="575"/>
      <c r="C76" s="575"/>
      <c r="D76" s="575"/>
      <c r="E76" s="570"/>
      <c r="F76" s="576"/>
      <c r="G76" s="516"/>
      <c r="H76" s="516"/>
      <c r="I76" s="458"/>
      <c r="J76" s="516"/>
      <c r="K76" s="516"/>
      <c r="L76" s="516"/>
      <c r="O76" s="516"/>
      <c r="P76" s="516"/>
    </row>
    <row r="77" spans="1:16">
      <c r="A77" s="575"/>
      <c r="B77" s="575"/>
      <c r="C77" s="575"/>
      <c r="D77" s="575"/>
      <c r="E77" s="570"/>
      <c r="F77" s="576"/>
      <c r="G77" s="516"/>
      <c r="H77" s="516"/>
      <c r="I77" s="458"/>
      <c r="J77" s="516"/>
      <c r="K77" s="516"/>
      <c r="L77" s="516"/>
      <c r="O77" s="516"/>
      <c r="P77" s="516"/>
    </row>
    <row r="78" spans="1:16">
      <c r="A78" s="575"/>
      <c r="B78" s="575"/>
      <c r="C78" s="575"/>
      <c r="D78" s="575"/>
      <c r="E78" s="570"/>
      <c r="F78" s="576"/>
      <c r="G78" s="516"/>
      <c r="H78" s="516"/>
      <c r="I78" s="458"/>
      <c r="J78" s="516"/>
      <c r="K78" s="516"/>
      <c r="L78" s="516"/>
      <c r="O78" s="516"/>
      <c r="P78" s="516"/>
    </row>
    <row r="79" spans="1:16">
      <c r="A79" s="575"/>
      <c r="B79" s="575"/>
      <c r="C79" s="575"/>
      <c r="D79" s="575"/>
      <c r="E79" s="570"/>
      <c r="F79" s="576"/>
      <c r="G79" s="516"/>
      <c r="H79" s="516"/>
      <c r="I79" s="458"/>
      <c r="J79" s="516"/>
      <c r="K79" s="516"/>
      <c r="L79" s="516"/>
      <c r="O79" s="516"/>
      <c r="P79" s="516"/>
    </row>
    <row r="80" spans="1:16">
      <c r="A80" s="575"/>
      <c r="B80" s="575"/>
      <c r="C80" s="575"/>
      <c r="D80" s="575"/>
      <c r="E80" s="570"/>
      <c r="F80" s="576"/>
      <c r="G80" s="516"/>
      <c r="H80" s="516"/>
      <c r="I80" s="458"/>
      <c r="J80" s="516"/>
      <c r="K80" s="516"/>
      <c r="L80" s="516"/>
      <c r="O80" s="516"/>
      <c r="P80" s="516"/>
    </row>
    <row r="81" spans="1:17">
      <c r="A81" s="575"/>
      <c r="B81" s="575"/>
      <c r="C81" s="575"/>
      <c r="D81" s="575"/>
      <c r="E81" s="570"/>
      <c r="F81" s="576"/>
      <c r="G81" s="516"/>
      <c r="H81" s="516"/>
      <c r="I81" s="458"/>
      <c r="J81" s="516"/>
      <c r="K81" s="516"/>
      <c r="L81" s="516"/>
      <c r="O81" s="516"/>
      <c r="P81" s="516"/>
    </row>
    <row r="82" spans="1:17">
      <c r="A82" s="575"/>
      <c r="B82" s="575"/>
      <c r="C82" s="575"/>
      <c r="D82" s="575"/>
      <c r="E82" s="570"/>
      <c r="F82" s="576"/>
      <c r="G82" s="516"/>
      <c r="H82" s="516"/>
      <c r="I82" s="458"/>
      <c r="J82" s="516"/>
      <c r="K82" s="516"/>
      <c r="L82" s="516"/>
      <c r="O82" s="516"/>
      <c r="P82" s="516"/>
    </row>
    <row r="83" spans="1:17">
      <c r="A83" s="575"/>
      <c r="B83" s="575"/>
      <c r="C83" s="575"/>
      <c r="D83" s="575"/>
      <c r="E83" s="570"/>
      <c r="F83" s="576"/>
      <c r="G83" s="516"/>
      <c r="H83" s="516"/>
      <c r="I83" s="458"/>
      <c r="J83" s="516"/>
      <c r="K83" s="516"/>
      <c r="L83" s="516"/>
      <c r="O83" s="516"/>
      <c r="P83" s="516"/>
    </row>
    <row r="84" spans="1:17">
      <c r="A84" s="575"/>
      <c r="B84" s="575"/>
      <c r="C84" s="575"/>
      <c r="D84" s="575"/>
      <c r="E84" s="570"/>
      <c r="F84" s="576"/>
      <c r="G84" s="516"/>
      <c r="H84" s="516"/>
      <c r="I84" s="458"/>
      <c r="J84" s="516"/>
      <c r="K84" s="516"/>
      <c r="L84" s="516"/>
      <c r="O84" s="516"/>
      <c r="P84" s="516"/>
    </row>
    <row r="85" spans="1:17">
      <c r="A85" s="575"/>
      <c r="B85" s="575"/>
      <c r="C85" s="575"/>
      <c r="D85" s="575"/>
      <c r="E85" s="570"/>
      <c r="F85" s="576"/>
      <c r="G85" s="516"/>
      <c r="H85" s="516"/>
      <c r="I85" s="458"/>
      <c r="J85" s="516"/>
      <c r="K85" s="516"/>
      <c r="L85" s="516"/>
      <c r="M85" s="580"/>
      <c r="O85" s="516"/>
      <c r="P85" s="516"/>
    </row>
    <row r="86" spans="1:17">
      <c r="A86" s="575"/>
      <c r="B86" s="575"/>
      <c r="C86" s="575"/>
      <c r="D86" s="575"/>
      <c r="E86" s="570"/>
      <c r="F86" s="576"/>
      <c r="G86" s="516"/>
      <c r="H86" s="516"/>
      <c r="I86" s="458"/>
      <c r="J86" s="516"/>
      <c r="K86" s="516"/>
      <c r="L86" s="516"/>
      <c r="M86" s="580"/>
      <c r="O86" s="516"/>
      <c r="P86" s="516"/>
    </row>
    <row r="87" spans="1:17">
      <c r="A87" s="575"/>
      <c r="B87" s="575"/>
      <c r="C87" s="575"/>
      <c r="D87" s="575"/>
      <c r="E87" s="570"/>
      <c r="F87" s="576"/>
      <c r="G87" s="516"/>
      <c r="H87" s="516"/>
      <c r="I87" s="458"/>
      <c r="J87" s="516"/>
      <c r="K87" s="516"/>
      <c r="L87" s="516"/>
      <c r="M87" s="580"/>
      <c r="O87" s="516"/>
      <c r="P87" s="516"/>
    </row>
    <row r="88" spans="1:17">
      <c r="A88" s="575"/>
      <c r="B88" s="575"/>
      <c r="C88" s="575"/>
      <c r="D88" s="575"/>
      <c r="E88" s="570"/>
      <c r="F88" s="576"/>
      <c r="G88" s="516"/>
      <c r="H88" s="516"/>
      <c r="I88" s="458"/>
      <c r="J88" s="516"/>
      <c r="K88" s="516"/>
      <c r="L88" s="516"/>
      <c r="M88" s="580"/>
      <c r="O88" s="516"/>
      <c r="P88" s="516"/>
    </row>
    <row r="89" spans="1:17">
      <c r="A89" s="575"/>
      <c r="B89" s="575"/>
      <c r="C89" s="575"/>
      <c r="D89" s="575"/>
      <c r="E89" s="570"/>
      <c r="F89" s="576"/>
      <c r="G89" s="516"/>
      <c r="H89" s="516"/>
      <c r="I89" s="458"/>
      <c r="J89" s="516"/>
      <c r="K89" s="516"/>
      <c r="L89" s="516"/>
      <c r="M89" s="580"/>
      <c r="O89" s="516"/>
      <c r="P89" s="516"/>
    </row>
    <row r="90" spans="1:17" s="575" customFormat="1">
      <c r="E90" s="570"/>
      <c r="F90" s="576"/>
      <c r="G90" s="516"/>
      <c r="H90" s="516"/>
      <c r="I90" s="458"/>
      <c r="J90" s="516"/>
      <c r="K90" s="516"/>
      <c r="L90" s="516"/>
      <c r="M90" s="580"/>
      <c r="N90" s="516"/>
      <c r="O90" s="516"/>
      <c r="P90" s="516"/>
      <c r="Q90" s="516"/>
    </row>
    <row r="91" spans="1:17" s="575" customFormat="1">
      <c r="E91" s="570"/>
      <c r="F91" s="576"/>
      <c r="G91" s="516"/>
      <c r="H91" s="516"/>
      <c r="I91" s="458"/>
      <c r="J91" s="516"/>
      <c r="K91" s="516"/>
      <c r="L91" s="516"/>
      <c r="M91" s="580"/>
      <c r="N91" s="516"/>
      <c r="O91" s="516"/>
      <c r="P91" s="516"/>
      <c r="Q91" s="516"/>
    </row>
    <row r="92" spans="1:17" s="575" customFormat="1">
      <c r="E92" s="570"/>
      <c r="F92" s="576"/>
      <c r="G92" s="516"/>
      <c r="H92" s="516"/>
      <c r="I92" s="458"/>
      <c r="J92" s="516"/>
      <c r="K92" s="516"/>
      <c r="L92" s="516"/>
      <c r="M92" s="580"/>
      <c r="N92" s="516"/>
      <c r="O92" s="516"/>
      <c r="P92" s="516"/>
      <c r="Q92" s="516"/>
    </row>
    <row r="93" spans="1:17" s="575" customFormat="1">
      <c r="E93" s="570"/>
      <c r="F93" s="576"/>
      <c r="G93" s="516"/>
      <c r="H93" s="516"/>
      <c r="I93" s="458"/>
      <c r="J93" s="516"/>
      <c r="K93" s="516"/>
      <c r="L93" s="516"/>
      <c r="M93" s="580"/>
      <c r="N93" s="516"/>
      <c r="O93" s="516"/>
      <c r="P93" s="516"/>
      <c r="Q93" s="516"/>
    </row>
    <row r="94" spans="1:17" s="575" customFormat="1">
      <c r="E94" s="570"/>
      <c r="F94" s="576"/>
      <c r="G94" s="516"/>
      <c r="H94" s="516"/>
      <c r="I94" s="458"/>
      <c r="J94" s="516"/>
      <c r="K94" s="516"/>
      <c r="L94" s="516"/>
      <c r="M94" s="580"/>
      <c r="N94" s="516"/>
      <c r="O94" s="516"/>
      <c r="P94" s="516"/>
      <c r="Q94" s="516"/>
    </row>
    <row r="95" spans="1:17" s="575" customFormat="1">
      <c r="E95" s="570"/>
      <c r="F95" s="576"/>
      <c r="G95" s="516"/>
      <c r="H95" s="516"/>
      <c r="I95" s="458"/>
      <c r="J95" s="516"/>
      <c r="K95" s="516"/>
      <c r="L95" s="516"/>
      <c r="M95" s="580"/>
    </row>
    <row r="96" spans="1:17" s="575" customFormat="1">
      <c r="E96" s="570"/>
      <c r="F96" s="576"/>
      <c r="G96" s="516"/>
      <c r="H96" s="516"/>
      <c r="I96" s="458"/>
      <c r="J96" s="516"/>
      <c r="K96" s="516"/>
      <c r="L96" s="516"/>
      <c r="M96" s="580"/>
    </row>
    <row r="97" spans="5:13" s="575" customFormat="1">
      <c r="E97" s="570"/>
      <c r="F97" s="576"/>
      <c r="G97" s="516"/>
      <c r="H97" s="516"/>
      <c r="I97" s="458"/>
      <c r="J97" s="516"/>
      <c r="K97" s="516"/>
      <c r="L97" s="516"/>
      <c r="M97" s="580"/>
    </row>
    <row r="98" spans="5:13" s="575" customFormat="1">
      <c r="E98" s="570"/>
      <c r="F98" s="576"/>
      <c r="G98" s="516"/>
      <c r="H98" s="516"/>
      <c r="I98" s="458"/>
      <c r="J98" s="516"/>
      <c r="K98" s="516"/>
      <c r="L98" s="516"/>
      <c r="M98" s="580"/>
    </row>
    <row r="99" spans="5:13" s="575" customFormat="1">
      <c r="E99" s="570"/>
      <c r="F99" s="576"/>
      <c r="G99" s="516"/>
      <c r="H99" s="516"/>
      <c r="I99" s="458"/>
      <c r="J99" s="516"/>
      <c r="K99" s="516"/>
      <c r="L99" s="516"/>
      <c r="M99" s="580"/>
    </row>
    <row r="100" spans="5:13" s="575" customFormat="1">
      <c r="E100" s="570"/>
      <c r="F100" s="576"/>
      <c r="G100" s="516"/>
      <c r="H100" s="516"/>
      <c r="I100" s="458"/>
      <c r="J100" s="516"/>
      <c r="K100" s="516"/>
      <c r="L100" s="516"/>
      <c r="M100" s="580"/>
    </row>
    <row r="101" spans="5:13" s="575" customFormat="1">
      <c r="E101" s="570"/>
      <c r="F101" s="576"/>
      <c r="G101" s="516"/>
      <c r="H101" s="516"/>
      <c r="I101" s="458"/>
      <c r="J101" s="516"/>
      <c r="K101" s="516"/>
      <c r="L101" s="516"/>
      <c r="M101" s="580"/>
    </row>
    <row r="102" spans="5:13" s="575" customFormat="1">
      <c r="E102" s="570"/>
      <c r="F102" s="576"/>
      <c r="G102" s="516"/>
      <c r="H102" s="516"/>
      <c r="I102" s="458"/>
      <c r="J102" s="516"/>
      <c r="K102" s="516"/>
      <c r="L102" s="516"/>
      <c r="M102" s="580"/>
    </row>
    <row r="103" spans="5:13" s="575" customFormat="1">
      <c r="E103" s="570"/>
      <c r="F103" s="576"/>
      <c r="G103" s="516"/>
      <c r="H103" s="516"/>
      <c r="I103" s="458"/>
      <c r="J103" s="516"/>
      <c r="K103" s="516"/>
      <c r="L103" s="516"/>
      <c r="M103" s="580"/>
    </row>
    <row r="104" spans="5:13" s="575" customFormat="1">
      <c r="E104" s="570"/>
      <c r="F104" s="576"/>
      <c r="G104" s="516"/>
      <c r="H104" s="516"/>
      <c r="I104" s="458"/>
      <c r="J104" s="516"/>
      <c r="K104" s="516"/>
      <c r="L104" s="516"/>
      <c r="M104" s="580"/>
    </row>
    <row r="105" spans="5:13" s="575" customFormat="1">
      <c r="E105" s="570"/>
      <c r="F105" s="576"/>
      <c r="G105" s="516"/>
      <c r="H105" s="516"/>
      <c r="I105" s="458"/>
      <c r="J105" s="516"/>
      <c r="K105" s="516"/>
      <c r="L105" s="516"/>
      <c r="M105" s="580"/>
    </row>
    <row r="106" spans="5:13" s="575" customFormat="1">
      <c r="E106" s="570"/>
      <c r="F106" s="576"/>
      <c r="G106" s="516"/>
      <c r="H106" s="516"/>
      <c r="I106" s="458"/>
      <c r="J106" s="516"/>
      <c r="K106" s="516"/>
      <c r="L106" s="516"/>
      <c r="M106" s="580"/>
    </row>
    <row r="107" spans="5:13" s="575" customFormat="1">
      <c r="E107" s="570"/>
      <c r="F107" s="576"/>
      <c r="G107" s="516"/>
      <c r="H107" s="516"/>
      <c r="I107" s="458"/>
      <c r="J107" s="516"/>
      <c r="K107" s="516"/>
      <c r="L107" s="516"/>
      <c r="M107" s="580"/>
    </row>
    <row r="108" spans="5:13" s="575" customFormat="1">
      <c r="E108" s="570"/>
      <c r="F108" s="576"/>
      <c r="G108" s="516"/>
      <c r="H108" s="516"/>
      <c r="I108" s="458"/>
      <c r="J108" s="516"/>
      <c r="K108" s="516"/>
      <c r="L108" s="516"/>
      <c r="M108" s="580"/>
    </row>
    <row r="109" spans="5:13" s="575" customFormat="1">
      <c r="E109" s="570"/>
      <c r="F109" s="576"/>
      <c r="G109" s="516"/>
      <c r="H109" s="516"/>
      <c r="I109" s="458"/>
      <c r="J109" s="516"/>
      <c r="K109" s="516"/>
      <c r="L109" s="516"/>
      <c r="M109" s="580"/>
    </row>
    <row r="110" spans="5:13" s="575" customFormat="1">
      <c r="E110" s="570"/>
      <c r="F110" s="576"/>
      <c r="G110" s="516"/>
      <c r="H110" s="516"/>
      <c r="I110" s="458"/>
      <c r="J110" s="516"/>
      <c r="K110" s="516"/>
      <c r="L110" s="516"/>
      <c r="M110" s="580"/>
    </row>
    <row r="111" spans="5:13" s="575" customFormat="1">
      <c r="E111" s="570"/>
      <c r="F111" s="576"/>
      <c r="G111" s="516"/>
      <c r="H111" s="516"/>
      <c r="I111" s="458"/>
      <c r="J111" s="516"/>
      <c r="K111" s="516"/>
      <c r="L111" s="516"/>
      <c r="M111" s="580"/>
    </row>
    <row r="112" spans="5:13" s="575" customFormat="1">
      <c r="E112" s="570"/>
      <c r="F112" s="576"/>
      <c r="G112" s="516"/>
      <c r="H112" s="516"/>
      <c r="I112" s="458"/>
      <c r="J112" s="516"/>
      <c r="K112" s="516"/>
      <c r="L112" s="516"/>
      <c r="M112" s="580"/>
    </row>
    <row r="113" spans="5:13" s="575" customFormat="1">
      <c r="E113" s="570"/>
      <c r="F113" s="576"/>
      <c r="G113" s="516"/>
      <c r="H113" s="516"/>
      <c r="I113" s="458"/>
      <c r="J113" s="516"/>
      <c r="K113" s="516"/>
      <c r="L113" s="516"/>
      <c r="M113" s="580"/>
    </row>
    <row r="114" spans="5:13" s="575" customFormat="1">
      <c r="E114" s="570"/>
      <c r="F114" s="576"/>
      <c r="G114" s="516"/>
      <c r="H114" s="516"/>
      <c r="I114" s="458"/>
      <c r="J114" s="516"/>
      <c r="K114" s="516"/>
      <c r="L114" s="516"/>
      <c r="M114" s="580"/>
    </row>
    <row r="115" spans="5:13" s="575" customFormat="1">
      <c r="E115" s="570"/>
      <c r="F115" s="576"/>
      <c r="G115" s="516"/>
      <c r="H115" s="516"/>
      <c r="I115" s="458"/>
      <c r="J115" s="516"/>
      <c r="K115" s="516"/>
      <c r="L115" s="516"/>
      <c r="M115" s="580"/>
    </row>
    <row r="116" spans="5:13" s="575" customFormat="1">
      <c r="E116" s="570"/>
      <c r="F116" s="576"/>
      <c r="G116" s="516"/>
      <c r="H116" s="516"/>
      <c r="I116" s="458"/>
      <c r="J116" s="516"/>
      <c r="K116" s="516"/>
      <c r="L116" s="516"/>
      <c r="M116" s="580"/>
    </row>
    <row r="117" spans="5:13" s="575" customFormat="1">
      <c r="E117" s="570"/>
      <c r="F117" s="576"/>
      <c r="G117" s="516"/>
      <c r="H117" s="516"/>
      <c r="I117" s="458"/>
      <c r="J117" s="516"/>
      <c r="K117" s="516"/>
      <c r="L117" s="516"/>
      <c r="M117" s="580"/>
    </row>
    <row r="118" spans="5:13" s="575" customFormat="1">
      <c r="E118" s="570"/>
      <c r="F118" s="576"/>
      <c r="G118" s="516"/>
      <c r="H118" s="516"/>
      <c r="I118" s="458"/>
      <c r="J118" s="516"/>
      <c r="K118" s="516"/>
      <c r="L118" s="516"/>
      <c r="M118" s="580"/>
    </row>
    <row r="119" spans="5:13" s="575" customFormat="1">
      <c r="E119" s="570"/>
      <c r="F119" s="576"/>
      <c r="G119" s="516"/>
      <c r="H119" s="516"/>
      <c r="I119" s="458"/>
      <c r="J119" s="516"/>
      <c r="K119" s="516"/>
      <c r="L119" s="516"/>
      <c r="M119" s="580"/>
    </row>
    <row r="120" spans="5:13" s="575" customFormat="1">
      <c r="E120" s="570"/>
      <c r="F120" s="576"/>
      <c r="G120" s="516"/>
      <c r="H120" s="516"/>
      <c r="I120" s="458"/>
      <c r="J120" s="516"/>
      <c r="K120" s="516"/>
      <c r="L120" s="516"/>
      <c r="M120" s="580"/>
    </row>
    <row r="121" spans="5:13" s="575" customFormat="1">
      <c r="E121" s="570"/>
      <c r="F121" s="576"/>
      <c r="G121" s="516"/>
      <c r="H121" s="516"/>
      <c r="I121" s="458"/>
      <c r="J121" s="516"/>
      <c r="K121" s="516"/>
      <c r="L121" s="516"/>
      <c r="M121" s="580"/>
    </row>
    <row r="122" spans="5:13" s="575" customFormat="1">
      <c r="E122" s="570"/>
      <c r="F122" s="576"/>
      <c r="G122" s="516"/>
      <c r="H122" s="516"/>
      <c r="I122" s="458"/>
      <c r="J122" s="516"/>
      <c r="K122" s="516"/>
      <c r="L122" s="516"/>
      <c r="M122" s="580"/>
    </row>
    <row r="123" spans="5:13" s="575" customFormat="1">
      <c r="E123" s="570"/>
      <c r="F123" s="576"/>
      <c r="G123" s="516"/>
      <c r="H123" s="516"/>
      <c r="I123" s="458"/>
      <c r="J123" s="516"/>
      <c r="K123" s="516"/>
      <c r="L123" s="516"/>
      <c r="M123" s="580"/>
    </row>
    <row r="124" spans="5:13" s="575" customFormat="1">
      <c r="E124" s="570"/>
      <c r="F124" s="576"/>
      <c r="G124" s="516"/>
      <c r="H124" s="516"/>
      <c r="I124" s="458"/>
      <c r="J124" s="516"/>
      <c r="K124" s="516"/>
      <c r="L124" s="516"/>
      <c r="M124" s="580"/>
    </row>
    <row r="125" spans="5:13" s="575" customFormat="1">
      <c r="E125" s="570"/>
      <c r="F125" s="576"/>
      <c r="G125" s="516"/>
      <c r="H125" s="516"/>
      <c r="I125" s="458"/>
      <c r="J125" s="516"/>
      <c r="K125" s="516"/>
      <c r="L125" s="516"/>
      <c r="M125" s="580"/>
    </row>
    <row r="126" spans="5:13" s="575" customFormat="1">
      <c r="E126" s="570"/>
      <c r="F126" s="576"/>
      <c r="G126" s="516"/>
      <c r="H126" s="516"/>
      <c r="I126" s="458"/>
      <c r="J126" s="516"/>
      <c r="K126" s="516"/>
      <c r="L126" s="516"/>
      <c r="M126" s="580"/>
    </row>
    <row r="127" spans="5:13" s="575" customFormat="1">
      <c r="E127" s="570"/>
      <c r="F127" s="576"/>
      <c r="G127" s="516"/>
      <c r="H127" s="516"/>
      <c r="I127" s="458"/>
      <c r="J127" s="516"/>
      <c r="K127" s="516"/>
      <c r="L127" s="516"/>
      <c r="M127" s="580"/>
    </row>
    <row r="128" spans="5:13" s="575" customFormat="1">
      <c r="E128" s="570"/>
      <c r="F128" s="576"/>
      <c r="G128" s="516"/>
      <c r="H128" s="516"/>
      <c r="I128" s="458"/>
      <c r="J128" s="516"/>
      <c r="K128" s="516"/>
      <c r="L128" s="516"/>
      <c r="M128" s="580"/>
    </row>
    <row r="129" spans="1:13" s="575" customFormat="1">
      <c r="E129" s="570"/>
      <c r="F129" s="576"/>
      <c r="G129" s="516"/>
      <c r="H129" s="516"/>
      <c r="I129" s="458"/>
      <c r="J129" s="516"/>
      <c r="K129" s="516"/>
      <c r="L129" s="516"/>
      <c r="M129" s="580"/>
    </row>
    <row r="130" spans="1:13" s="575" customFormat="1">
      <c r="E130" s="570"/>
      <c r="F130" s="576"/>
      <c r="G130" s="516"/>
      <c r="H130" s="516"/>
      <c r="I130" s="458"/>
      <c r="J130" s="516"/>
      <c r="K130" s="516"/>
      <c r="L130" s="516"/>
      <c r="M130" s="580"/>
    </row>
    <row r="131" spans="1:13" s="575" customFormat="1">
      <c r="A131" s="516"/>
      <c r="B131" s="516"/>
      <c r="C131" s="579"/>
      <c r="D131" s="579"/>
      <c r="E131" s="579"/>
      <c r="F131" s="579"/>
      <c r="H131" s="580"/>
      <c r="J131" s="516"/>
      <c r="K131" s="516"/>
      <c r="L131" s="516"/>
      <c r="M131" s="580"/>
    </row>
    <row r="132" spans="1:13" s="575" customFormat="1">
      <c r="A132" s="516"/>
      <c r="B132" s="516"/>
      <c r="C132" s="579"/>
      <c r="D132" s="579"/>
      <c r="E132" s="579"/>
      <c r="F132" s="579"/>
      <c r="H132" s="580"/>
      <c r="J132" s="516"/>
      <c r="K132" s="516"/>
      <c r="L132" s="516"/>
      <c r="M132" s="580"/>
    </row>
    <row r="133" spans="1:13" s="575" customFormat="1">
      <c r="A133" s="516"/>
      <c r="B133" s="516"/>
      <c r="C133" s="579"/>
      <c r="D133" s="579"/>
      <c r="E133" s="579"/>
      <c r="F133" s="579"/>
      <c r="H133" s="580"/>
      <c r="J133" s="516"/>
      <c r="K133" s="516"/>
      <c r="L133" s="516"/>
      <c r="M133" s="580"/>
    </row>
    <row r="134" spans="1:13" s="575" customFormat="1">
      <c r="A134" s="516"/>
      <c r="B134" s="516"/>
      <c r="C134" s="579"/>
      <c r="D134" s="579"/>
      <c r="E134" s="579"/>
      <c r="F134" s="579"/>
      <c r="H134" s="580"/>
      <c r="J134" s="516"/>
      <c r="K134" s="516"/>
      <c r="L134" s="516"/>
      <c r="M134" s="580"/>
    </row>
    <row r="135" spans="1:13" s="575" customFormat="1">
      <c r="A135" s="516"/>
      <c r="B135" s="516"/>
      <c r="C135" s="579"/>
      <c r="D135" s="579"/>
      <c r="E135" s="579"/>
      <c r="F135" s="579"/>
      <c r="H135" s="580"/>
      <c r="J135" s="516"/>
      <c r="K135" s="516"/>
      <c r="L135" s="516"/>
      <c r="M135" s="580"/>
    </row>
    <row r="136" spans="1:13" s="575" customFormat="1">
      <c r="A136" s="516"/>
      <c r="B136" s="516"/>
      <c r="C136" s="579"/>
      <c r="D136" s="579"/>
      <c r="E136" s="579"/>
      <c r="F136" s="579"/>
      <c r="H136" s="580"/>
      <c r="J136" s="516"/>
      <c r="K136" s="516"/>
      <c r="L136" s="516"/>
      <c r="M136" s="580"/>
    </row>
    <row r="137" spans="1:13" s="575" customFormat="1">
      <c r="A137" s="516"/>
      <c r="B137" s="516"/>
      <c r="C137" s="579"/>
      <c r="D137" s="579"/>
      <c r="E137" s="579"/>
      <c r="F137" s="579"/>
      <c r="H137" s="580"/>
      <c r="K137" s="516"/>
      <c r="L137" s="516"/>
      <c r="M137" s="580"/>
    </row>
    <row r="138" spans="1:13" s="575" customFormat="1">
      <c r="A138" s="516"/>
      <c r="B138" s="516"/>
      <c r="C138" s="579"/>
      <c r="D138" s="579"/>
      <c r="E138" s="579"/>
      <c r="F138" s="579"/>
      <c r="H138" s="580"/>
      <c r="K138" s="516"/>
      <c r="L138" s="516"/>
      <c r="M138" s="580"/>
    </row>
    <row r="139" spans="1:13" s="575" customFormat="1">
      <c r="A139" s="516"/>
      <c r="B139" s="516"/>
      <c r="C139" s="579"/>
      <c r="D139" s="579"/>
      <c r="E139" s="579"/>
      <c r="F139" s="579"/>
      <c r="H139" s="580"/>
      <c r="K139" s="516"/>
      <c r="L139" s="516"/>
      <c r="M139" s="580"/>
    </row>
    <row r="140" spans="1:13" s="575" customFormat="1">
      <c r="A140" s="516"/>
      <c r="B140" s="516"/>
      <c r="C140" s="579"/>
      <c r="D140" s="579"/>
      <c r="E140" s="579"/>
      <c r="F140" s="579"/>
      <c r="H140" s="580"/>
      <c r="K140" s="570"/>
      <c r="L140" s="516"/>
      <c r="M140" s="580"/>
    </row>
    <row r="141" spans="1:13" s="575" customFormat="1">
      <c r="A141" s="516"/>
      <c r="B141" s="516"/>
      <c r="C141" s="579"/>
      <c r="D141" s="579"/>
      <c r="E141" s="579"/>
      <c r="F141" s="579"/>
      <c r="H141" s="580"/>
      <c r="K141" s="570"/>
      <c r="L141" s="516"/>
      <c r="M141" s="580"/>
    </row>
    <row r="142" spans="1:13" s="575" customFormat="1">
      <c r="A142" s="516"/>
      <c r="B142" s="516"/>
      <c r="C142" s="579"/>
      <c r="D142" s="579"/>
      <c r="E142" s="579"/>
      <c r="F142" s="579"/>
      <c r="H142" s="580"/>
      <c r="K142" s="570"/>
      <c r="L142" s="516"/>
      <c r="M142" s="578"/>
    </row>
    <row r="143" spans="1:13" s="575" customFormat="1">
      <c r="A143" s="516"/>
      <c r="B143" s="516"/>
      <c r="C143" s="579"/>
      <c r="D143" s="579"/>
      <c r="E143" s="579"/>
      <c r="F143" s="579"/>
      <c r="H143" s="580"/>
      <c r="K143" s="570"/>
      <c r="L143" s="516"/>
      <c r="M143" s="578"/>
    </row>
    <row r="144" spans="1:13" s="575" customFormat="1">
      <c r="A144" s="516"/>
      <c r="B144" s="516"/>
      <c r="C144" s="579"/>
      <c r="D144" s="579"/>
      <c r="E144" s="579"/>
      <c r="F144" s="579"/>
      <c r="H144" s="580"/>
      <c r="K144" s="570"/>
      <c r="L144" s="516"/>
      <c r="M144" s="578"/>
    </row>
    <row r="145" spans="1:17" s="575" customFormat="1">
      <c r="A145" s="516"/>
      <c r="B145" s="516"/>
      <c r="C145" s="579"/>
      <c r="D145" s="579"/>
      <c r="E145" s="579"/>
      <c r="F145" s="579"/>
      <c r="H145" s="580"/>
      <c r="K145" s="570"/>
      <c r="L145" s="576"/>
      <c r="M145" s="578"/>
    </row>
    <row r="146" spans="1:17" s="575" customFormat="1">
      <c r="A146" s="516"/>
      <c r="B146" s="516"/>
      <c r="C146" s="579"/>
      <c r="D146" s="579"/>
      <c r="E146" s="579"/>
      <c r="F146" s="579"/>
      <c r="H146" s="580"/>
      <c r="K146" s="570"/>
      <c r="L146" s="576"/>
      <c r="M146" s="578"/>
    </row>
    <row r="147" spans="1:17">
      <c r="N147" s="575"/>
      <c r="O147" s="575"/>
      <c r="P147" s="575"/>
      <c r="Q147" s="575"/>
    </row>
    <row r="148" spans="1:17">
      <c r="N148" s="575"/>
      <c r="O148" s="575"/>
      <c r="P148" s="575"/>
      <c r="Q148" s="575"/>
    </row>
    <row r="149" spans="1:17">
      <c r="N149" s="575"/>
      <c r="O149" s="575"/>
      <c r="P149" s="575"/>
      <c r="Q149" s="575"/>
    </row>
    <row r="150" spans="1:17">
      <c r="N150" s="575"/>
      <c r="O150" s="575"/>
      <c r="P150" s="575"/>
      <c r="Q150" s="575"/>
    </row>
    <row r="151" spans="1:17">
      <c r="N151" s="575"/>
      <c r="O151" s="575"/>
      <c r="P151" s="575"/>
      <c r="Q151" s="575"/>
    </row>
  </sheetData>
  <mergeCells count="1">
    <mergeCell ref="L7:M7"/>
  </mergeCells>
  <dataValidations disablePrompts="1" count="1">
    <dataValidation type="list" allowBlank="1" showInputMessage="1" showErrorMessage="1" sqref="B5" xr:uid="{C3F5AF29-65BA-4C33-92D2-C8646B8801F3}">
      <formula1>$AB$5:$AB$8</formula1>
    </dataValidation>
  </dataValidation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7EFA3-5FC3-43A9-83DD-F4EA5B1E24ED}">
  <dimension ref="A1:Q155"/>
  <sheetViews>
    <sheetView workbookViewId="0">
      <selection activeCell="K67" sqref="K67"/>
    </sheetView>
  </sheetViews>
  <sheetFormatPr defaultColWidth="7.88671875" defaultRowHeight="10.199999999999999"/>
  <cols>
    <col min="1" max="1" width="15.6640625" style="516" bestFit="1" customWidth="1"/>
    <col min="2" max="2" width="9.5546875" style="516" bestFit="1" customWidth="1"/>
    <col min="3" max="3" width="5.109375" style="579" customWidth="1"/>
    <col min="4" max="6" width="7.6640625" style="579" customWidth="1"/>
    <col min="7" max="7" width="6.33203125" style="575" customWidth="1"/>
    <col min="8" max="8" width="6.88671875" style="580" customWidth="1"/>
    <col min="9" max="9" width="9.6640625" style="575" customWidth="1"/>
    <col min="10" max="10" width="8.6640625" style="575" bestFit="1" customWidth="1"/>
    <col min="11" max="11" width="12.5546875" style="570" customWidth="1"/>
    <col min="12" max="12" width="17.33203125" style="576" bestFit="1" customWidth="1"/>
    <col min="13" max="13" width="12.88671875" style="516" customWidth="1"/>
    <col min="14" max="14" width="11.33203125" style="516" customWidth="1"/>
    <col min="15" max="15" width="14.5546875" style="458" customWidth="1"/>
    <col min="16" max="16" width="2.44140625" style="458" customWidth="1"/>
    <col min="17" max="17" width="14" style="516" bestFit="1" customWidth="1"/>
    <col min="18" max="18" width="5.44140625" style="516" customWidth="1"/>
    <col min="19" max="27" width="5.33203125" style="516" customWidth="1"/>
    <col min="28" max="28" width="17" style="516" customWidth="1"/>
    <col min="29" max="16384" width="7.88671875" style="516"/>
  </cols>
  <sheetData>
    <row r="1" spans="1:15" s="405" customFormat="1" ht="13.2">
      <c r="A1" s="395" t="s">
        <v>103</v>
      </c>
      <c r="B1" s="396" t="s">
        <v>147</v>
      </c>
      <c r="C1" s="397"/>
      <c r="D1" s="396"/>
      <c r="E1" s="398"/>
      <c r="F1" s="398"/>
      <c r="G1" s="399"/>
      <c r="H1" s="400" t="s">
        <v>104</v>
      </c>
      <c r="I1" s="401">
        <v>273</v>
      </c>
      <c r="J1" s="402"/>
      <c r="K1" s="396"/>
      <c r="L1" s="396"/>
      <c r="M1" s="403"/>
      <c r="N1" s="404"/>
    </row>
    <row r="2" spans="1:15" s="405" customFormat="1" ht="13.2">
      <c r="A2" s="406" t="s">
        <v>105</v>
      </c>
      <c r="B2" s="405" t="s">
        <v>7</v>
      </c>
      <c r="C2" s="408"/>
      <c r="D2" s="407"/>
      <c r="E2" s="409"/>
      <c r="F2" s="409"/>
      <c r="G2" s="410"/>
      <c r="H2" s="411" t="s">
        <v>106</v>
      </c>
      <c r="I2" s="412">
        <v>273</v>
      </c>
      <c r="J2" s="413"/>
      <c r="K2" s="407"/>
      <c r="L2" s="407"/>
      <c r="M2" s="414"/>
      <c r="N2" s="415"/>
    </row>
    <row r="3" spans="1:15" s="421" customFormat="1" ht="11.25" customHeight="1">
      <c r="A3" s="416" t="s">
        <v>107</v>
      </c>
      <c r="B3" s="581">
        <v>45766</v>
      </c>
      <c r="C3" s="408"/>
      <c r="D3" s="409"/>
      <c r="E3" s="409"/>
      <c r="F3" s="409"/>
      <c r="G3" s="410"/>
      <c r="H3" s="417" t="s">
        <v>108</v>
      </c>
      <c r="I3" s="418">
        <f>M39/100</f>
        <v>2.7969999999999997</v>
      </c>
      <c r="J3" s="413"/>
      <c r="K3" s="407"/>
      <c r="L3" s="407"/>
      <c r="M3" s="419"/>
      <c r="N3" s="420"/>
    </row>
    <row r="4" spans="1:15" s="405" customFormat="1" ht="13.2">
      <c r="A4" s="416" t="s">
        <v>109</v>
      </c>
      <c r="B4" s="407" t="s">
        <v>196</v>
      </c>
      <c r="C4" s="408"/>
      <c r="D4" s="409"/>
      <c r="E4" s="409"/>
      <c r="F4" s="409"/>
      <c r="G4" s="410"/>
      <c r="H4" s="417" t="s">
        <v>110</v>
      </c>
      <c r="I4" s="418">
        <f>J39</f>
        <v>0.39373497448031608</v>
      </c>
      <c r="J4" s="413"/>
      <c r="K4" s="407"/>
      <c r="L4" s="407"/>
      <c r="M4" s="414"/>
      <c r="N4" s="404"/>
    </row>
    <row r="5" spans="1:15" s="425" customFormat="1" ht="13.2">
      <c r="A5" s="406" t="s">
        <v>111</v>
      </c>
      <c r="B5" s="422" t="s">
        <v>112</v>
      </c>
      <c r="C5" s="408"/>
      <c r="D5" s="409"/>
      <c r="E5" s="409"/>
      <c r="F5" s="409"/>
      <c r="G5" s="410"/>
      <c r="H5" s="417" t="s">
        <v>261</v>
      </c>
      <c r="I5" s="1224">
        <f>(I2*I4)/100</f>
        <v>1.0748964803312628</v>
      </c>
      <c r="J5" s="413"/>
      <c r="K5" s="407"/>
      <c r="L5" s="407"/>
      <c r="M5" s="423"/>
      <c r="N5" s="424"/>
    </row>
    <row r="6" spans="1:15" s="424" customFormat="1" ht="13.8" thickBot="1">
      <c r="A6" s="426"/>
      <c r="B6" s="427"/>
      <c r="C6" s="428"/>
      <c r="D6" s="429"/>
      <c r="E6" s="429"/>
      <c r="F6" s="429"/>
      <c r="G6" s="430"/>
      <c r="H6" s="431"/>
      <c r="I6" s="432"/>
      <c r="J6" s="430"/>
      <c r="K6" s="433"/>
      <c r="L6" s="427"/>
      <c r="M6" s="434"/>
    </row>
    <row r="7" spans="1:15" s="425" customFormat="1" ht="13.2" customHeight="1">
      <c r="A7" s="435" t="s">
        <v>113</v>
      </c>
      <c r="B7" s="436"/>
      <c r="C7" s="437"/>
      <c r="D7" s="438"/>
      <c r="E7" s="439" t="s">
        <v>114</v>
      </c>
      <c r="F7" s="436"/>
      <c r="G7" s="440" t="s">
        <v>115</v>
      </c>
      <c r="H7" s="441"/>
      <c r="I7" s="442" t="s">
        <v>116</v>
      </c>
      <c r="J7" s="442"/>
      <c r="K7" s="443"/>
      <c r="L7" s="1412" t="s">
        <v>117</v>
      </c>
      <c r="M7" s="1413"/>
      <c r="N7" s="424"/>
      <c r="O7" s="424"/>
    </row>
    <row r="8" spans="1:15" s="454" customFormat="1" ht="11.25" customHeight="1">
      <c r="A8" s="444"/>
      <c r="B8" s="445"/>
      <c r="C8" s="446"/>
      <c r="D8" s="447"/>
      <c r="E8" s="448"/>
      <c r="F8" s="447"/>
      <c r="G8" s="449"/>
      <c r="H8" s="450"/>
      <c r="I8" s="451"/>
      <c r="J8" s="451"/>
      <c r="K8" s="452"/>
      <c r="L8" s="423"/>
      <c r="M8" s="423"/>
      <c r="N8" s="453"/>
    </row>
    <row r="9" spans="1:15" s="455" customFormat="1">
      <c r="C9" s="456"/>
      <c r="D9" s="457"/>
      <c r="E9" s="448" t="s">
        <v>118</v>
      </c>
      <c r="F9" s="447"/>
      <c r="G9" s="449"/>
      <c r="H9" s="450"/>
      <c r="I9" s="458"/>
      <c r="J9" s="458"/>
      <c r="K9" s="452"/>
      <c r="L9" s="459"/>
      <c r="M9" s="460"/>
      <c r="N9" s="461"/>
      <c r="O9" s="462"/>
    </row>
    <row r="10" spans="1:15" s="455" customFormat="1">
      <c r="A10" s="463" t="s">
        <v>119</v>
      </c>
      <c r="B10" s="464" t="s">
        <v>120</v>
      </c>
      <c r="C10" s="465" t="s">
        <v>121</v>
      </c>
      <c r="D10" s="466" t="s">
        <v>122</v>
      </c>
      <c r="E10" s="467" t="s">
        <v>123</v>
      </c>
      <c r="F10" s="466" t="s">
        <v>124</v>
      </c>
      <c r="G10" s="449" t="s">
        <v>125</v>
      </c>
      <c r="H10" s="450" t="s">
        <v>126</v>
      </c>
      <c r="I10" s="451" t="s">
        <v>126</v>
      </c>
      <c r="J10" s="451" t="s">
        <v>125</v>
      </c>
      <c r="K10" s="468" t="s">
        <v>127</v>
      </c>
      <c r="L10" s="459" t="s">
        <v>128</v>
      </c>
      <c r="M10" s="459" t="s">
        <v>129</v>
      </c>
      <c r="N10" s="469"/>
    </row>
    <row r="11" spans="1:15" s="455" customFormat="1" ht="12" thickBot="1">
      <c r="A11" s="470" t="s">
        <v>130</v>
      </c>
      <c r="B11" s="471" t="s">
        <v>130</v>
      </c>
      <c r="C11" s="472" t="s">
        <v>131</v>
      </c>
      <c r="D11" s="473" t="s">
        <v>132</v>
      </c>
      <c r="E11" s="474" t="s">
        <v>131</v>
      </c>
      <c r="F11" s="473" t="s">
        <v>131</v>
      </c>
      <c r="G11" s="475" t="s">
        <v>133</v>
      </c>
      <c r="H11" s="476" t="s">
        <v>134</v>
      </c>
      <c r="I11" s="477" t="s">
        <v>134</v>
      </c>
      <c r="J11" s="477" t="s">
        <v>133</v>
      </c>
      <c r="K11" s="478"/>
      <c r="L11" s="479"/>
      <c r="M11" s="480" t="s">
        <v>131</v>
      </c>
      <c r="N11" s="469"/>
    </row>
    <row r="12" spans="1:15" s="455" customFormat="1">
      <c r="A12" s="481"/>
      <c r="B12" s="482"/>
      <c r="C12" s="483">
        <v>0</v>
      </c>
      <c r="D12" s="484"/>
      <c r="E12" s="485"/>
      <c r="F12" s="486"/>
      <c r="G12" s="487"/>
      <c r="H12" s="488"/>
      <c r="I12" s="489"/>
      <c r="J12" s="490"/>
      <c r="K12" s="491"/>
      <c r="L12" s="492" t="s">
        <v>135</v>
      </c>
      <c r="M12" s="493">
        <v>273</v>
      </c>
      <c r="N12" s="494"/>
    </row>
    <row r="13" spans="1:15" s="455" customFormat="1">
      <c r="A13" s="481">
        <v>120</v>
      </c>
      <c r="B13" s="482">
        <v>0</v>
      </c>
      <c r="C13" s="483">
        <v>10</v>
      </c>
      <c r="D13" s="484">
        <v>1000</v>
      </c>
      <c r="E13" s="495">
        <f>C12</f>
        <v>0</v>
      </c>
      <c r="F13" s="496">
        <f>(C13+C14-10)/2</f>
        <v>10</v>
      </c>
      <c r="G13" s="497">
        <f t="shared" ref="G13:G39" si="0">(A13-B13)/966</f>
        <v>0.12422360248447205</v>
      </c>
      <c r="H13" s="498">
        <f>(G13*(F13-E13))/100</f>
        <v>1.2422360248447204E-2</v>
      </c>
      <c r="I13" s="499">
        <f>SUM(H$13:H13)</f>
        <v>1.2422360248447204E-2</v>
      </c>
      <c r="J13" s="500">
        <f t="shared" ref="J13:J39" si="1">I13/F13*100</f>
        <v>0.12422360248447203</v>
      </c>
      <c r="K13" s="491"/>
      <c r="L13" s="501" t="s">
        <v>198</v>
      </c>
      <c r="M13" s="503">
        <v>282</v>
      </c>
      <c r="N13" s="969"/>
    </row>
    <row r="14" spans="1:15" s="455" customFormat="1">
      <c r="A14" s="481">
        <v>270</v>
      </c>
      <c r="B14" s="482">
        <v>0</v>
      </c>
      <c r="C14" s="483">
        <v>20</v>
      </c>
      <c r="D14" s="484">
        <v>1000</v>
      </c>
      <c r="E14" s="495">
        <f>(C13+C14-10)/2</f>
        <v>10</v>
      </c>
      <c r="F14" s="496">
        <f t="shared" ref="F14:F38" si="2">(C14+C15-10)/2</f>
        <v>20</v>
      </c>
      <c r="G14" s="497">
        <f t="shared" si="0"/>
        <v>0.27950310559006208</v>
      </c>
      <c r="H14" s="498">
        <f t="shared" ref="H14:H39" si="3">(G14*(F14-E14))/100</f>
        <v>2.7950310559006208E-2</v>
      </c>
      <c r="I14" s="499">
        <f>SUM(H$13:H14)</f>
        <v>4.0372670807453409E-2</v>
      </c>
      <c r="J14" s="500">
        <f t="shared" si="1"/>
        <v>0.20186335403726705</v>
      </c>
      <c r="K14" s="491"/>
      <c r="L14" s="501" t="s">
        <v>198</v>
      </c>
      <c r="M14" s="502">
        <v>283</v>
      </c>
      <c r="N14" s="969"/>
    </row>
    <row r="15" spans="1:15" s="455" customFormat="1">
      <c r="A15" s="481">
        <v>300</v>
      </c>
      <c r="B15" s="482">
        <v>0</v>
      </c>
      <c r="C15" s="483">
        <v>30</v>
      </c>
      <c r="D15" s="484">
        <v>1000</v>
      </c>
      <c r="E15" s="495">
        <f>(C14+C15-10)/2</f>
        <v>20</v>
      </c>
      <c r="F15" s="496">
        <f t="shared" si="2"/>
        <v>30</v>
      </c>
      <c r="G15" s="497">
        <f t="shared" si="0"/>
        <v>0.3105590062111801</v>
      </c>
      <c r="H15" s="498">
        <f t="shared" si="3"/>
        <v>3.1055900621118009E-2</v>
      </c>
      <c r="I15" s="499">
        <f>SUM(H$13:H15)</f>
        <v>7.1428571428571425E-2</v>
      </c>
      <c r="J15" s="500">
        <f t="shared" si="1"/>
        <v>0.23809523809523808</v>
      </c>
      <c r="K15" s="491"/>
      <c r="L15" s="501" t="s">
        <v>198</v>
      </c>
      <c r="M15" s="502">
        <v>264</v>
      </c>
      <c r="N15" s="969"/>
    </row>
    <row r="16" spans="1:15" s="455" customFormat="1">
      <c r="A16" s="504">
        <v>380</v>
      </c>
      <c r="B16" s="482">
        <v>0</v>
      </c>
      <c r="C16" s="483">
        <v>40</v>
      </c>
      <c r="D16" s="484">
        <v>1000</v>
      </c>
      <c r="E16" s="495">
        <f t="shared" ref="E16:E39" si="4">(C15+C16-10)/2</f>
        <v>30</v>
      </c>
      <c r="F16" s="496">
        <f t="shared" si="2"/>
        <v>40</v>
      </c>
      <c r="G16" s="497">
        <f t="shared" si="0"/>
        <v>0.39337474120082816</v>
      </c>
      <c r="H16" s="498">
        <f t="shared" si="3"/>
        <v>3.9337474120082816E-2</v>
      </c>
      <c r="I16" s="499">
        <f>SUM(H$13:H16)</f>
        <v>0.11076604554865424</v>
      </c>
      <c r="J16" s="500">
        <f t="shared" si="1"/>
        <v>0.27691511387163564</v>
      </c>
      <c r="K16" s="491"/>
      <c r="L16" s="501" t="s">
        <v>198</v>
      </c>
      <c r="M16" s="502">
        <v>275</v>
      </c>
      <c r="N16" s="969">
        <f>AVERAGE(M13:M17)</f>
        <v>275.60000000000002</v>
      </c>
    </row>
    <row r="17" spans="1:16" s="455" customFormat="1">
      <c r="A17" s="504">
        <v>340</v>
      </c>
      <c r="B17" s="482">
        <v>0</v>
      </c>
      <c r="C17" s="483">
        <v>50</v>
      </c>
      <c r="D17" s="484">
        <v>1000</v>
      </c>
      <c r="E17" s="495">
        <f t="shared" si="4"/>
        <v>40</v>
      </c>
      <c r="F17" s="496">
        <f t="shared" si="2"/>
        <v>50</v>
      </c>
      <c r="G17" s="497">
        <f t="shared" si="0"/>
        <v>0.35196687370600416</v>
      </c>
      <c r="H17" s="498">
        <f t="shared" si="3"/>
        <v>3.5196687370600416E-2</v>
      </c>
      <c r="I17" s="499">
        <f>SUM(H$13:H17)</f>
        <v>0.14596273291925466</v>
      </c>
      <c r="J17" s="500">
        <f t="shared" si="1"/>
        <v>0.29192546583850931</v>
      </c>
      <c r="K17" s="505" t="s">
        <v>137</v>
      </c>
      <c r="L17" s="501" t="s">
        <v>198</v>
      </c>
      <c r="M17" s="502">
        <v>274</v>
      </c>
      <c r="N17" s="970"/>
    </row>
    <row r="18" spans="1:16" s="455" customFormat="1">
      <c r="A18" s="504">
        <v>350</v>
      </c>
      <c r="B18" s="482">
        <v>0</v>
      </c>
      <c r="C18" s="483">
        <v>60</v>
      </c>
      <c r="D18" s="484">
        <v>1000</v>
      </c>
      <c r="E18" s="495">
        <f t="shared" si="4"/>
        <v>50</v>
      </c>
      <c r="F18" s="496">
        <f t="shared" si="2"/>
        <v>60</v>
      </c>
      <c r="G18" s="497">
        <f t="shared" si="0"/>
        <v>0.36231884057971014</v>
      </c>
      <c r="H18" s="498">
        <f t="shared" si="3"/>
        <v>3.6231884057971016E-2</v>
      </c>
      <c r="I18" s="499">
        <f>SUM(H$13:H18)</f>
        <v>0.18219461697722567</v>
      </c>
      <c r="J18" s="500">
        <f t="shared" si="1"/>
        <v>0.30365769496204281</v>
      </c>
      <c r="K18" s="506"/>
      <c r="L18" s="501" t="s">
        <v>145</v>
      </c>
      <c r="M18" s="502">
        <v>268</v>
      </c>
      <c r="N18" s="970"/>
    </row>
    <row r="19" spans="1:16" s="455" customFormat="1" ht="10.199999999999999" customHeight="1">
      <c r="A19" s="504">
        <v>410</v>
      </c>
      <c r="B19" s="482">
        <v>0</v>
      </c>
      <c r="C19" s="483">
        <v>70</v>
      </c>
      <c r="D19" s="484">
        <v>1000</v>
      </c>
      <c r="E19" s="495">
        <f t="shared" si="4"/>
        <v>60</v>
      </c>
      <c r="F19" s="496">
        <f t="shared" si="2"/>
        <v>70</v>
      </c>
      <c r="G19" s="497">
        <f t="shared" si="0"/>
        <v>0.42443064182194618</v>
      </c>
      <c r="H19" s="498">
        <f t="shared" si="3"/>
        <v>4.2443064182194616E-2</v>
      </c>
      <c r="I19" s="499">
        <f>SUM(H$13:H19)</f>
        <v>0.22463768115942029</v>
      </c>
      <c r="J19" s="500">
        <f t="shared" si="1"/>
        <v>0.32091097308488614</v>
      </c>
      <c r="K19" s="506"/>
      <c r="L19" s="501" t="s">
        <v>145</v>
      </c>
      <c r="M19" s="502">
        <v>277</v>
      </c>
      <c r="N19" s="971"/>
    </row>
    <row r="20" spans="1:16" s="455" customFormat="1">
      <c r="A20" s="504">
        <v>370</v>
      </c>
      <c r="B20" s="482">
        <v>0</v>
      </c>
      <c r="C20" s="483">
        <v>80</v>
      </c>
      <c r="D20" s="484">
        <v>1000</v>
      </c>
      <c r="E20" s="495">
        <f t="shared" si="4"/>
        <v>70</v>
      </c>
      <c r="F20" s="496">
        <f t="shared" si="2"/>
        <v>80</v>
      </c>
      <c r="G20" s="497">
        <f t="shared" si="0"/>
        <v>0.38302277432712217</v>
      </c>
      <c r="H20" s="498">
        <f t="shared" si="3"/>
        <v>3.8302277432712216E-2</v>
      </c>
      <c r="I20" s="499">
        <f>SUM(H$13:H20)</f>
        <v>0.26293995859213248</v>
      </c>
      <c r="J20" s="500">
        <f t="shared" si="1"/>
        <v>0.32867494824016563</v>
      </c>
      <c r="K20" s="491"/>
      <c r="L20" s="501" t="s">
        <v>145</v>
      </c>
      <c r="M20" s="511">
        <v>269</v>
      </c>
      <c r="N20" s="972"/>
    </row>
    <row r="21" spans="1:16" s="510" customFormat="1">
      <c r="A21" s="504">
        <v>360</v>
      </c>
      <c r="B21" s="482">
        <v>0</v>
      </c>
      <c r="C21" s="483">
        <v>90</v>
      </c>
      <c r="D21" s="484">
        <v>1000</v>
      </c>
      <c r="E21" s="495">
        <f t="shared" si="4"/>
        <v>80</v>
      </c>
      <c r="F21" s="496">
        <f t="shared" si="2"/>
        <v>90</v>
      </c>
      <c r="G21" s="497">
        <f t="shared" si="0"/>
        <v>0.37267080745341613</v>
      </c>
      <c r="H21" s="498">
        <f t="shared" si="3"/>
        <v>3.7267080745341616E-2</v>
      </c>
      <c r="I21" s="499">
        <f>SUM(H$13:H21)</f>
        <v>0.30020703933747411</v>
      </c>
      <c r="J21" s="500">
        <f t="shared" si="1"/>
        <v>0.33356337704163791</v>
      </c>
      <c r="K21" s="509"/>
      <c r="L21" s="501" t="s">
        <v>145</v>
      </c>
      <c r="M21" s="513">
        <f>322-36</f>
        <v>286</v>
      </c>
      <c r="N21" s="972"/>
    </row>
    <row r="22" spans="1:16" s="510" customFormat="1">
      <c r="A22" s="504">
        <v>385</v>
      </c>
      <c r="B22" s="482">
        <v>0</v>
      </c>
      <c r="C22" s="483">
        <v>100</v>
      </c>
      <c r="D22" s="484">
        <v>1000</v>
      </c>
      <c r="E22" s="495">
        <f t="shared" si="4"/>
        <v>90</v>
      </c>
      <c r="F22" s="496">
        <f t="shared" si="2"/>
        <v>100</v>
      </c>
      <c r="G22" s="497">
        <f t="shared" si="0"/>
        <v>0.39855072463768115</v>
      </c>
      <c r="H22" s="498">
        <f t="shared" si="3"/>
        <v>3.9855072463768113E-2</v>
      </c>
      <c r="I22" s="499">
        <f>SUM(H$13:H22)</f>
        <v>0.34006211180124224</v>
      </c>
      <c r="J22" s="500">
        <f t="shared" si="1"/>
        <v>0.34006211180124224</v>
      </c>
      <c r="K22" s="491"/>
      <c r="L22" s="501" t="s">
        <v>145</v>
      </c>
      <c r="M22" s="513">
        <f>322-35</f>
        <v>287</v>
      </c>
      <c r="N22" s="972"/>
    </row>
    <row r="23" spans="1:16" s="510" customFormat="1">
      <c r="A23" s="504">
        <v>405</v>
      </c>
      <c r="B23" s="482">
        <v>0</v>
      </c>
      <c r="C23" s="483">
        <v>110</v>
      </c>
      <c r="D23" s="484">
        <v>1000</v>
      </c>
      <c r="E23" s="495">
        <f t="shared" si="4"/>
        <v>100</v>
      </c>
      <c r="F23" s="496">
        <f t="shared" si="2"/>
        <v>110</v>
      </c>
      <c r="G23" s="497">
        <f t="shared" si="0"/>
        <v>0.41925465838509318</v>
      </c>
      <c r="H23" s="498">
        <f t="shared" si="3"/>
        <v>4.192546583850932E-2</v>
      </c>
      <c r="I23" s="499">
        <f>SUM(H$13:H23)</f>
        <v>0.38198757763975155</v>
      </c>
      <c r="J23" s="500">
        <f t="shared" si="1"/>
        <v>0.34726143421795597</v>
      </c>
      <c r="K23" s="512"/>
      <c r="L23" s="501" t="s">
        <v>145</v>
      </c>
      <c r="M23" s="513">
        <v>271</v>
      </c>
      <c r="N23" s="973"/>
    </row>
    <row r="24" spans="1:16" s="510" customFormat="1">
      <c r="A24" s="504">
        <v>395</v>
      </c>
      <c r="B24" s="482">
        <v>0</v>
      </c>
      <c r="C24" s="483">
        <v>120</v>
      </c>
      <c r="D24" s="484">
        <v>1000</v>
      </c>
      <c r="E24" s="495">
        <f t="shared" si="4"/>
        <v>110</v>
      </c>
      <c r="F24" s="496">
        <f t="shared" si="2"/>
        <v>120</v>
      </c>
      <c r="G24" s="497">
        <f t="shared" si="0"/>
        <v>0.40890269151138714</v>
      </c>
      <c r="H24" s="498">
        <f t="shared" si="3"/>
        <v>4.0890269151138713E-2</v>
      </c>
      <c r="I24" s="499">
        <f>SUM(H$13:H24)</f>
        <v>0.42287784679089024</v>
      </c>
      <c r="J24" s="500">
        <f t="shared" si="1"/>
        <v>0.3523982056590752</v>
      </c>
      <c r="K24" s="515"/>
      <c r="L24" s="501" t="s">
        <v>145</v>
      </c>
      <c r="M24" s="502">
        <v>265</v>
      </c>
      <c r="N24" s="973"/>
    </row>
    <row r="25" spans="1:16" s="510" customFormat="1">
      <c r="A25" s="504">
        <v>410</v>
      </c>
      <c r="B25" s="482">
        <v>0</v>
      </c>
      <c r="C25" s="483">
        <v>130</v>
      </c>
      <c r="D25" s="484">
        <v>1000</v>
      </c>
      <c r="E25" s="495">
        <f t="shared" si="4"/>
        <v>120</v>
      </c>
      <c r="F25" s="496">
        <f t="shared" si="2"/>
        <v>130</v>
      </c>
      <c r="G25" s="497">
        <f t="shared" si="0"/>
        <v>0.42443064182194618</v>
      </c>
      <c r="H25" s="498">
        <f t="shared" si="3"/>
        <v>4.2443064182194616E-2</v>
      </c>
      <c r="I25" s="499">
        <f>SUM(H$13:H25)</f>
        <v>0.46532091097308487</v>
      </c>
      <c r="J25" s="500">
        <f t="shared" si="1"/>
        <v>0.35793916228698835</v>
      </c>
      <c r="K25" s="515"/>
      <c r="L25" s="501" t="s">
        <v>145</v>
      </c>
      <c r="M25" s="502">
        <v>279</v>
      </c>
      <c r="N25" s="973"/>
    </row>
    <row r="26" spans="1:16" s="510" customFormat="1">
      <c r="A26" s="504">
        <v>400</v>
      </c>
      <c r="B26" s="482">
        <v>0</v>
      </c>
      <c r="C26" s="483">
        <v>140</v>
      </c>
      <c r="D26" s="484">
        <v>1000</v>
      </c>
      <c r="E26" s="495">
        <f t="shared" si="4"/>
        <v>130</v>
      </c>
      <c r="F26" s="496">
        <f t="shared" si="2"/>
        <v>140</v>
      </c>
      <c r="G26" s="497">
        <f t="shared" si="0"/>
        <v>0.41407867494824019</v>
      </c>
      <c r="H26" s="498">
        <f t="shared" si="3"/>
        <v>4.1407867494824016E-2</v>
      </c>
      <c r="I26" s="499">
        <f>SUM(H$13:H26)</f>
        <v>0.50672877846790887</v>
      </c>
      <c r="J26" s="500">
        <f t="shared" si="1"/>
        <v>0.36194912747707775</v>
      </c>
      <c r="K26" s="515"/>
      <c r="L26" s="501" t="s">
        <v>145</v>
      </c>
      <c r="M26" s="502">
        <v>322</v>
      </c>
      <c r="N26" s="973"/>
    </row>
    <row r="27" spans="1:16" s="510" customFormat="1">
      <c r="A27" s="504">
        <v>430</v>
      </c>
      <c r="B27" s="482">
        <v>0</v>
      </c>
      <c r="C27" s="483">
        <v>150</v>
      </c>
      <c r="D27" s="484">
        <v>1000</v>
      </c>
      <c r="E27" s="495">
        <f t="shared" si="4"/>
        <v>140</v>
      </c>
      <c r="F27" s="496">
        <f t="shared" si="2"/>
        <v>150</v>
      </c>
      <c r="G27" s="497">
        <f t="shared" si="0"/>
        <v>0.4451345755693582</v>
      </c>
      <c r="H27" s="498">
        <f t="shared" si="3"/>
        <v>4.4513457556935823E-2</v>
      </c>
      <c r="I27" s="499">
        <f>SUM(H$13:H27)</f>
        <v>0.55124223602484468</v>
      </c>
      <c r="J27" s="500">
        <f t="shared" si="1"/>
        <v>0.36749482401656314</v>
      </c>
      <c r="K27" s="515"/>
      <c r="L27" s="501" t="s">
        <v>144</v>
      </c>
      <c r="M27" s="502">
        <v>286</v>
      </c>
      <c r="N27" s="973"/>
    </row>
    <row r="28" spans="1:16" s="510" customFormat="1">
      <c r="A28" s="504">
        <v>420</v>
      </c>
      <c r="B28" s="482">
        <v>0</v>
      </c>
      <c r="C28" s="483">
        <v>160</v>
      </c>
      <c r="D28" s="484">
        <v>1000</v>
      </c>
      <c r="E28" s="495">
        <f t="shared" si="4"/>
        <v>150</v>
      </c>
      <c r="F28" s="496">
        <f t="shared" si="2"/>
        <v>160</v>
      </c>
      <c r="G28" s="497">
        <f t="shared" si="0"/>
        <v>0.43478260869565216</v>
      </c>
      <c r="H28" s="498">
        <f t="shared" si="3"/>
        <v>4.3478260869565216E-2</v>
      </c>
      <c r="I28" s="499">
        <f>SUM(H$13:H28)</f>
        <v>0.59472049689440987</v>
      </c>
      <c r="J28" s="500">
        <f t="shared" si="1"/>
        <v>0.37170031055900621</v>
      </c>
      <c r="K28" s="515"/>
      <c r="L28" s="501" t="s">
        <v>144</v>
      </c>
      <c r="M28" s="502">
        <v>269</v>
      </c>
      <c r="N28" s="973"/>
    </row>
    <row r="29" spans="1:16">
      <c r="A29" s="504">
        <v>440</v>
      </c>
      <c r="B29" s="482">
        <v>0</v>
      </c>
      <c r="C29" s="483">
        <v>170</v>
      </c>
      <c r="D29" s="484">
        <v>1000</v>
      </c>
      <c r="E29" s="495">
        <f t="shared" si="4"/>
        <v>160</v>
      </c>
      <c r="F29" s="496">
        <f t="shared" si="2"/>
        <v>170</v>
      </c>
      <c r="G29" s="497">
        <f t="shared" si="0"/>
        <v>0.45548654244306419</v>
      </c>
      <c r="H29" s="498">
        <f t="shared" si="3"/>
        <v>4.5548654244306423E-2</v>
      </c>
      <c r="I29" s="499">
        <f>SUM(H$13:H29)</f>
        <v>0.6402691511387163</v>
      </c>
      <c r="J29" s="500">
        <f t="shared" si="1"/>
        <v>0.376628912434539</v>
      </c>
      <c r="K29" s="515"/>
      <c r="L29" s="501" t="s">
        <v>144</v>
      </c>
      <c r="M29" s="502">
        <v>261</v>
      </c>
      <c r="N29" s="454"/>
      <c r="O29" s="510"/>
      <c r="P29" s="510"/>
    </row>
    <row r="30" spans="1:16">
      <c r="A30" s="504">
        <v>420</v>
      </c>
      <c r="B30" s="482">
        <v>0</v>
      </c>
      <c r="C30" s="483">
        <v>180</v>
      </c>
      <c r="D30" s="484">
        <v>1000</v>
      </c>
      <c r="E30" s="495">
        <f t="shared" si="4"/>
        <v>170</v>
      </c>
      <c r="F30" s="496">
        <f t="shared" si="2"/>
        <v>180</v>
      </c>
      <c r="G30" s="497">
        <f t="shared" si="0"/>
        <v>0.43478260869565216</v>
      </c>
      <c r="H30" s="498">
        <f t="shared" si="3"/>
        <v>4.3478260869565216E-2</v>
      </c>
      <c r="I30" s="499">
        <f>SUM(H$13:H30)</f>
        <v>0.68374741200828149</v>
      </c>
      <c r="J30" s="500">
        <f t="shared" si="1"/>
        <v>0.37985967333793419</v>
      </c>
      <c r="K30" s="515"/>
      <c r="L30" s="501" t="s">
        <v>144</v>
      </c>
      <c r="M30" s="502">
        <v>262</v>
      </c>
      <c r="N30" s="973"/>
      <c r="O30" s="510"/>
      <c r="P30" s="510"/>
    </row>
    <row r="31" spans="1:16">
      <c r="A31" s="504">
        <v>400</v>
      </c>
      <c r="B31" s="482">
        <v>0</v>
      </c>
      <c r="C31" s="483">
        <v>190</v>
      </c>
      <c r="D31" s="484">
        <v>1000</v>
      </c>
      <c r="E31" s="495">
        <f t="shared" si="4"/>
        <v>180</v>
      </c>
      <c r="F31" s="496">
        <f t="shared" si="2"/>
        <v>190</v>
      </c>
      <c r="G31" s="497">
        <f t="shared" si="0"/>
        <v>0.41407867494824019</v>
      </c>
      <c r="H31" s="498">
        <f t="shared" si="3"/>
        <v>4.1407867494824016E-2</v>
      </c>
      <c r="I31" s="499">
        <f>SUM(H$13:H31)</f>
        <v>0.72515527950310554</v>
      </c>
      <c r="J31" s="500">
        <f t="shared" si="1"/>
        <v>0.38166067342268711</v>
      </c>
      <c r="K31" s="515"/>
      <c r="L31" s="501"/>
      <c r="M31" s="502"/>
      <c r="N31" s="973">
        <f>AVERAGE(M27:M30)</f>
        <v>269.5</v>
      </c>
      <c r="O31" s="510"/>
      <c r="P31" s="510"/>
    </row>
    <row r="32" spans="1:16">
      <c r="A32" s="504">
        <v>410</v>
      </c>
      <c r="B32" s="482">
        <v>0</v>
      </c>
      <c r="C32" s="483">
        <v>200</v>
      </c>
      <c r="D32" s="484">
        <v>1000</v>
      </c>
      <c r="E32" s="495">
        <f t="shared" si="4"/>
        <v>190</v>
      </c>
      <c r="F32" s="496">
        <f t="shared" si="2"/>
        <v>200</v>
      </c>
      <c r="G32" s="497">
        <f t="shared" si="0"/>
        <v>0.42443064182194618</v>
      </c>
      <c r="H32" s="498">
        <f t="shared" si="3"/>
        <v>4.2443064182194616E-2</v>
      </c>
      <c r="I32" s="499">
        <f>SUM(H$13:H32)</f>
        <v>0.76759834368530011</v>
      </c>
      <c r="J32" s="500">
        <f t="shared" si="1"/>
        <v>0.38379917184265006</v>
      </c>
      <c r="K32" s="517"/>
      <c r="L32" s="501"/>
      <c r="M32" s="502"/>
      <c r="N32" s="514"/>
      <c r="O32" s="510"/>
      <c r="P32" s="510"/>
    </row>
    <row r="33" spans="1:17">
      <c r="A33" s="504">
        <v>415</v>
      </c>
      <c r="B33" s="482">
        <v>0</v>
      </c>
      <c r="C33" s="483">
        <v>210</v>
      </c>
      <c r="D33" s="484">
        <v>1000</v>
      </c>
      <c r="E33" s="495">
        <f t="shared" si="4"/>
        <v>200</v>
      </c>
      <c r="F33" s="496">
        <f t="shared" si="2"/>
        <v>210</v>
      </c>
      <c r="G33" s="497">
        <f t="shared" si="0"/>
        <v>0.42960662525879917</v>
      </c>
      <c r="H33" s="498">
        <f t="shared" si="3"/>
        <v>4.296066252587992E-2</v>
      </c>
      <c r="I33" s="499">
        <f>SUM(H$13:H33)</f>
        <v>0.81055900621118004</v>
      </c>
      <c r="J33" s="500">
        <f t="shared" si="1"/>
        <v>0.38598047914818101</v>
      </c>
      <c r="K33" s="517"/>
      <c r="L33" s="501"/>
      <c r="M33" s="502"/>
      <c r="N33" s="514"/>
      <c r="O33" s="510"/>
      <c r="P33" s="510"/>
    </row>
    <row r="34" spans="1:17">
      <c r="A34" s="504">
        <v>345</v>
      </c>
      <c r="B34" s="482">
        <v>0</v>
      </c>
      <c r="C34" s="483">
        <v>220</v>
      </c>
      <c r="D34" s="484">
        <v>1000</v>
      </c>
      <c r="E34" s="495">
        <f t="shared" si="4"/>
        <v>210</v>
      </c>
      <c r="F34" s="496">
        <f t="shared" si="2"/>
        <v>220</v>
      </c>
      <c r="G34" s="497">
        <f t="shared" si="0"/>
        <v>0.35714285714285715</v>
      </c>
      <c r="H34" s="498">
        <f t="shared" si="3"/>
        <v>3.5714285714285719E-2</v>
      </c>
      <c r="I34" s="499">
        <f>SUM(H$13:H34)</f>
        <v>0.84627329192546574</v>
      </c>
      <c r="J34" s="500">
        <f t="shared" si="1"/>
        <v>0.38466967814793895</v>
      </c>
      <c r="K34" s="517"/>
      <c r="L34" s="501"/>
      <c r="M34" s="502"/>
      <c r="N34" s="518"/>
      <c r="O34" s="516"/>
      <c r="P34" s="516"/>
    </row>
    <row r="35" spans="1:17">
      <c r="A35" s="504">
        <v>400</v>
      </c>
      <c r="B35" s="482">
        <v>0</v>
      </c>
      <c r="C35" s="483">
        <v>230</v>
      </c>
      <c r="D35" s="484">
        <v>1000</v>
      </c>
      <c r="E35" s="495">
        <f t="shared" si="4"/>
        <v>220</v>
      </c>
      <c r="F35" s="496">
        <f t="shared" si="2"/>
        <v>230</v>
      </c>
      <c r="G35" s="497">
        <f t="shared" si="0"/>
        <v>0.41407867494824019</v>
      </c>
      <c r="H35" s="498">
        <f t="shared" si="3"/>
        <v>4.1407867494824016E-2</v>
      </c>
      <c r="I35" s="499">
        <f>SUM(H$13:H35)</f>
        <v>0.8876811594202898</v>
      </c>
      <c r="J35" s="500">
        <f t="shared" si="1"/>
        <v>0.38594833018273467</v>
      </c>
      <c r="K35" s="517"/>
      <c r="L35" s="501"/>
      <c r="M35" s="502"/>
      <c r="N35" s="519"/>
      <c r="O35" s="520"/>
      <c r="P35" s="521"/>
      <c r="Q35" s="520"/>
    </row>
    <row r="36" spans="1:17">
      <c r="A36" s="504">
        <v>395</v>
      </c>
      <c r="B36" s="482">
        <v>0</v>
      </c>
      <c r="C36" s="483">
        <v>240</v>
      </c>
      <c r="D36" s="484">
        <v>1000</v>
      </c>
      <c r="E36" s="495">
        <f t="shared" si="4"/>
        <v>230</v>
      </c>
      <c r="F36" s="496">
        <f t="shared" si="2"/>
        <v>240</v>
      </c>
      <c r="G36" s="497">
        <f t="shared" si="0"/>
        <v>0.40890269151138714</v>
      </c>
      <c r="H36" s="498">
        <f t="shared" si="3"/>
        <v>4.0890269151138713E-2</v>
      </c>
      <c r="I36" s="499">
        <f>SUM(H$13:H36)</f>
        <v>0.92857142857142849</v>
      </c>
      <c r="J36" s="500">
        <f t="shared" si="1"/>
        <v>0.38690476190476186</v>
      </c>
      <c r="K36" s="517"/>
      <c r="L36" s="501"/>
      <c r="M36" s="502"/>
      <c r="N36" s="519"/>
      <c r="O36" s="520"/>
      <c r="P36" s="522"/>
      <c r="Q36" s="520"/>
    </row>
    <row r="37" spans="1:17">
      <c r="A37" s="504">
        <v>410</v>
      </c>
      <c r="B37" s="482">
        <v>0</v>
      </c>
      <c r="C37" s="483">
        <v>250</v>
      </c>
      <c r="D37" s="484">
        <v>1000</v>
      </c>
      <c r="E37" s="495">
        <f t="shared" si="4"/>
        <v>240</v>
      </c>
      <c r="F37" s="496">
        <f t="shared" si="2"/>
        <v>250</v>
      </c>
      <c r="G37" s="497">
        <f t="shared" si="0"/>
        <v>0.42443064182194618</v>
      </c>
      <c r="H37" s="498">
        <f t="shared" si="3"/>
        <v>4.2443064182194616E-2</v>
      </c>
      <c r="I37" s="499">
        <f>SUM(H$13:H37)</f>
        <v>0.97101449275362306</v>
      </c>
      <c r="J37" s="500">
        <f t="shared" si="1"/>
        <v>0.38840579710144923</v>
      </c>
      <c r="K37" s="517"/>
      <c r="L37" s="501"/>
      <c r="M37" s="502"/>
      <c r="N37" s="523"/>
      <c r="O37" s="520"/>
      <c r="P37" s="520"/>
      <c r="Q37" s="520"/>
    </row>
    <row r="38" spans="1:17" ht="10.8" thickBot="1">
      <c r="A38" s="504">
        <v>425</v>
      </c>
      <c r="B38" s="482">
        <v>0</v>
      </c>
      <c r="C38" s="483">
        <v>260</v>
      </c>
      <c r="D38" s="484">
        <v>1000</v>
      </c>
      <c r="E38" s="495">
        <f t="shared" si="4"/>
        <v>250</v>
      </c>
      <c r="F38" s="496">
        <f t="shared" si="2"/>
        <v>260</v>
      </c>
      <c r="G38" s="497">
        <f t="shared" si="0"/>
        <v>0.43995859213250516</v>
      </c>
      <c r="H38" s="498">
        <f t="shared" si="3"/>
        <v>4.399585921325052E-2</v>
      </c>
      <c r="I38" s="499">
        <f>SUM(H$13:H38)</f>
        <v>1.0150103519668736</v>
      </c>
      <c r="J38" s="500">
        <f t="shared" si="1"/>
        <v>0.39038859691033601</v>
      </c>
      <c r="K38" s="517"/>
      <c r="L38" s="501"/>
      <c r="M38" s="526"/>
      <c r="N38" s="524"/>
      <c r="O38" s="525"/>
      <c r="P38" s="516"/>
    </row>
    <row r="39" spans="1:17">
      <c r="A39" s="504">
        <v>445</v>
      </c>
      <c r="B39" s="482">
        <v>0</v>
      </c>
      <c r="C39" s="483">
        <v>270</v>
      </c>
      <c r="D39" s="484">
        <v>1000</v>
      </c>
      <c r="E39" s="495">
        <f t="shared" si="4"/>
        <v>260</v>
      </c>
      <c r="F39" s="496">
        <v>273</v>
      </c>
      <c r="G39" s="497">
        <f t="shared" si="0"/>
        <v>0.46066252587991718</v>
      </c>
      <c r="H39" s="498">
        <f t="shared" si="3"/>
        <v>5.9886128364389231E-2</v>
      </c>
      <c r="I39" s="499">
        <f>SUM(H$13:H39)</f>
        <v>1.0748964803312628</v>
      </c>
      <c r="J39" s="500">
        <f t="shared" si="1"/>
        <v>0.39373497448031608</v>
      </c>
      <c r="K39" s="517" t="s">
        <v>197</v>
      </c>
      <c r="L39" s="527" t="s">
        <v>138</v>
      </c>
      <c r="M39" s="528">
        <f>AVERAGE(M12,M18:M26)</f>
        <v>279.7</v>
      </c>
      <c r="N39" s="525"/>
      <c r="O39" s="525"/>
      <c r="P39" s="516"/>
    </row>
    <row r="40" spans="1:17">
      <c r="A40" s="504"/>
      <c r="B40" s="482"/>
      <c r="C40" s="483"/>
      <c r="D40" s="484"/>
      <c r="E40" s="495"/>
      <c r="F40" s="496"/>
      <c r="G40" s="497"/>
      <c r="H40" s="498"/>
      <c r="I40" s="499"/>
      <c r="J40" s="500"/>
      <c r="K40" s="517"/>
      <c r="L40" s="404" t="s">
        <v>139</v>
      </c>
      <c r="M40" s="526">
        <f>STDEV(M12:M38)</f>
        <v>13.773438290389993</v>
      </c>
      <c r="O40" s="516"/>
      <c r="P40" s="516"/>
    </row>
    <row r="41" spans="1:17">
      <c r="A41" s="529" t="s">
        <v>140</v>
      </c>
      <c r="B41" s="530"/>
      <c r="C41" s="531"/>
      <c r="D41" s="532"/>
      <c r="E41" s="533"/>
      <c r="F41" s="534"/>
      <c r="G41" s="535"/>
      <c r="H41" s="536"/>
      <c r="I41" s="537"/>
      <c r="J41" s="538"/>
      <c r="K41" s="539"/>
      <c r="L41" s="404" t="s">
        <v>141</v>
      </c>
      <c r="M41" s="526">
        <f>M40/SQRT(COUNT(M12:M37))</f>
        <v>3.1598434533107156</v>
      </c>
      <c r="O41" s="516"/>
      <c r="P41" s="516"/>
    </row>
    <row r="42" spans="1:17">
      <c r="A42" s="540"/>
      <c r="B42" s="541"/>
      <c r="C42" s="542"/>
      <c r="D42" s="543"/>
      <c r="E42" s="544"/>
      <c r="F42" s="545"/>
      <c r="G42" s="546"/>
      <c r="H42" s="547"/>
      <c r="I42" s="548"/>
      <c r="J42" s="549"/>
      <c r="K42" s="550"/>
      <c r="L42" s="404" t="s">
        <v>142</v>
      </c>
      <c r="M42" s="526">
        <f>MAX(M12:M37)</f>
        <v>322</v>
      </c>
      <c r="O42" s="516"/>
      <c r="P42" s="516"/>
    </row>
    <row r="43" spans="1:17" ht="10.8" thickBot="1">
      <c r="A43" s="551"/>
      <c r="B43" s="552"/>
      <c r="C43" s="553"/>
      <c r="D43" s="554"/>
      <c r="E43" s="555"/>
      <c r="F43" s="556"/>
      <c r="G43" s="557"/>
      <c r="H43" s="558"/>
      <c r="I43" s="559"/>
      <c r="J43" s="560"/>
      <c r="K43" s="561"/>
      <c r="L43" s="562" t="s">
        <v>143</v>
      </c>
      <c r="M43" s="563">
        <f>MIN(M12:M37)</f>
        <v>261</v>
      </c>
      <c r="O43" s="516"/>
      <c r="P43" s="516"/>
    </row>
    <row r="44" spans="1:17">
      <c r="A44" s="564"/>
      <c r="B44" s="564"/>
      <c r="C44" s="565"/>
      <c r="D44" s="566"/>
      <c r="E44" s="566"/>
      <c r="F44" s="566"/>
      <c r="G44" s="567"/>
      <c r="H44" s="568"/>
      <c r="I44" s="569"/>
      <c r="J44" s="570"/>
      <c r="K44" s="571"/>
      <c r="L44" s="572"/>
      <c r="M44" s="458"/>
      <c r="O44" s="516"/>
      <c r="P44" s="516"/>
    </row>
    <row r="45" spans="1:17">
      <c r="A45" s="458"/>
      <c r="B45" s="458"/>
      <c r="C45" s="573"/>
      <c r="D45" s="573"/>
      <c r="E45" s="573"/>
      <c r="F45" s="573"/>
      <c r="G45" s="569"/>
      <c r="H45" s="568"/>
      <c r="I45" s="569"/>
      <c r="J45" s="570"/>
      <c r="K45" s="574"/>
      <c r="L45" s="572"/>
      <c r="M45" s="458"/>
      <c r="O45" s="516"/>
      <c r="P45" s="516"/>
    </row>
    <row r="46" spans="1:17">
      <c r="A46" s="575"/>
      <c r="B46" s="575"/>
      <c r="C46" s="575"/>
      <c r="D46" s="575"/>
      <c r="E46" s="570"/>
      <c r="F46" s="576"/>
      <c r="G46" s="458"/>
      <c r="H46" s="516"/>
      <c r="I46" s="458"/>
      <c r="J46" s="516"/>
      <c r="K46" s="516"/>
      <c r="L46" s="458"/>
      <c r="M46" s="458"/>
      <c r="O46" s="516"/>
      <c r="P46" s="516"/>
    </row>
    <row r="47" spans="1:17">
      <c r="A47" s="577"/>
      <c r="B47" s="577"/>
      <c r="C47" s="575"/>
      <c r="D47" s="575"/>
      <c r="E47" s="570"/>
      <c r="F47" s="576"/>
      <c r="G47" s="516"/>
      <c r="H47" s="516"/>
      <c r="I47" s="458"/>
      <c r="J47" s="516"/>
      <c r="K47" s="516"/>
      <c r="L47" s="458"/>
      <c r="M47" s="458"/>
      <c r="O47" s="516"/>
      <c r="P47" s="516"/>
    </row>
    <row r="48" spans="1:17">
      <c r="A48" s="451"/>
      <c r="B48" s="451"/>
      <c r="C48" s="575"/>
      <c r="D48" s="575"/>
      <c r="E48" s="570"/>
      <c r="F48" s="576"/>
      <c r="G48" s="516"/>
      <c r="H48" s="516"/>
      <c r="I48" s="458"/>
      <c r="J48" s="516"/>
      <c r="K48" s="516"/>
      <c r="L48" s="458"/>
      <c r="M48" s="458"/>
      <c r="O48" s="516"/>
      <c r="P48" s="516"/>
    </row>
    <row r="49" spans="1:17">
      <c r="A49" s="575"/>
      <c r="B49" s="575"/>
      <c r="C49" s="575"/>
      <c r="D49" s="575"/>
      <c r="E49" s="570"/>
      <c r="F49" s="576"/>
      <c r="G49" s="516"/>
      <c r="H49" s="516"/>
      <c r="I49" s="458"/>
      <c r="J49" s="516"/>
      <c r="K49" s="516"/>
      <c r="L49" s="458"/>
      <c r="M49" s="458"/>
      <c r="O49" s="516"/>
      <c r="P49" s="516"/>
    </row>
    <row r="50" spans="1:17">
      <c r="A50" s="575"/>
      <c r="B50" s="575"/>
      <c r="C50" s="575"/>
      <c r="D50" s="575"/>
      <c r="E50" s="570"/>
      <c r="F50" s="576"/>
      <c r="G50" s="516"/>
      <c r="H50" s="516"/>
      <c r="I50" s="458"/>
      <c r="J50" s="569"/>
      <c r="K50" s="516"/>
      <c r="L50" s="458"/>
      <c r="M50" s="458"/>
      <c r="O50" s="516"/>
      <c r="P50" s="516"/>
    </row>
    <row r="51" spans="1:17">
      <c r="A51" s="575"/>
      <c r="B51" s="575"/>
      <c r="C51" s="575"/>
      <c r="D51" s="575"/>
      <c r="E51" s="570"/>
      <c r="F51" s="576"/>
      <c r="G51" s="516"/>
      <c r="H51" s="516"/>
      <c r="I51" s="458"/>
      <c r="J51" s="569"/>
      <c r="K51" s="516"/>
      <c r="L51" s="458"/>
      <c r="M51" s="458"/>
      <c r="O51" s="516"/>
      <c r="P51" s="516"/>
    </row>
    <row r="52" spans="1:17">
      <c r="A52" s="575"/>
      <c r="B52" s="575"/>
      <c r="C52" s="575"/>
      <c r="D52" s="575"/>
      <c r="E52" s="570"/>
      <c r="F52" s="576"/>
      <c r="G52" s="516"/>
      <c r="H52" s="516"/>
      <c r="I52" s="458"/>
      <c r="J52" s="516"/>
      <c r="K52" s="516"/>
      <c r="L52" s="458"/>
      <c r="M52" s="458"/>
      <c r="O52" s="516"/>
      <c r="P52" s="516"/>
    </row>
    <row r="53" spans="1:17">
      <c r="A53" s="575"/>
      <c r="B53" s="575"/>
      <c r="C53" s="575"/>
      <c r="D53" s="575"/>
      <c r="E53" s="570"/>
      <c r="F53" s="576"/>
      <c r="G53" s="516"/>
      <c r="H53" s="516"/>
      <c r="I53" s="458"/>
      <c r="J53" s="516"/>
      <c r="K53" s="516"/>
      <c r="L53" s="458"/>
      <c r="M53" s="458"/>
      <c r="O53" s="516"/>
      <c r="P53" s="516"/>
    </row>
    <row r="54" spans="1:17">
      <c r="A54" s="575"/>
      <c r="B54" s="575"/>
      <c r="C54" s="575"/>
      <c r="D54" s="575"/>
      <c r="E54" s="570"/>
      <c r="F54" s="576"/>
      <c r="G54" s="516"/>
      <c r="H54" s="516"/>
      <c r="I54" s="458"/>
      <c r="J54" s="516"/>
      <c r="K54" s="516"/>
      <c r="L54" s="458"/>
      <c r="M54" s="458"/>
      <c r="N54" s="458"/>
      <c r="P54" s="516"/>
    </row>
    <row r="55" spans="1:17">
      <c r="A55" s="575"/>
      <c r="B55" s="575"/>
      <c r="C55" s="575"/>
      <c r="D55" s="575"/>
      <c r="E55" s="570"/>
      <c r="F55" s="576"/>
      <c r="G55" s="516"/>
      <c r="H55" s="516"/>
      <c r="I55" s="458"/>
      <c r="J55" s="516"/>
      <c r="K55" s="516"/>
      <c r="L55" s="458"/>
      <c r="M55" s="458"/>
      <c r="N55" s="524"/>
      <c r="Q55" s="458"/>
    </row>
    <row r="56" spans="1:17">
      <c r="A56" s="575"/>
      <c r="B56" s="575"/>
      <c r="C56" s="575"/>
      <c r="D56" s="575"/>
      <c r="E56" s="570"/>
      <c r="F56" s="576"/>
      <c r="G56" s="516"/>
      <c r="H56" s="516"/>
      <c r="I56" s="458"/>
      <c r="J56" s="516"/>
      <c r="K56" s="516"/>
      <c r="L56" s="458"/>
      <c r="M56" s="458"/>
      <c r="N56" s="524"/>
      <c r="O56" s="516"/>
      <c r="P56" s="516"/>
    </row>
    <row r="57" spans="1:17">
      <c r="A57" s="575"/>
      <c r="B57" s="575"/>
      <c r="C57" s="575"/>
      <c r="D57" s="575"/>
      <c r="E57" s="570"/>
      <c r="F57" s="576"/>
      <c r="G57" s="516"/>
      <c r="H57" s="516"/>
      <c r="I57" s="458"/>
      <c r="J57" s="516"/>
      <c r="K57" s="516"/>
      <c r="L57" s="458"/>
      <c r="N57" s="458"/>
      <c r="O57" s="516"/>
      <c r="P57" s="516"/>
    </row>
    <row r="58" spans="1:17">
      <c r="A58" s="575"/>
      <c r="B58" s="575"/>
      <c r="C58" s="575"/>
      <c r="D58" s="575"/>
      <c r="E58" s="570"/>
      <c r="F58" s="576"/>
      <c r="G58" s="516"/>
      <c r="H58" s="516"/>
      <c r="I58" s="458"/>
      <c r="J58" s="516"/>
      <c r="K58" s="516"/>
      <c r="L58" s="458"/>
      <c r="O58" s="516"/>
      <c r="P58" s="516"/>
    </row>
    <row r="59" spans="1:17">
      <c r="A59" s="575"/>
      <c r="B59" s="575"/>
      <c r="C59" s="575"/>
      <c r="D59" s="575"/>
      <c r="E59" s="570"/>
      <c r="F59" s="576"/>
      <c r="G59" s="516"/>
      <c r="H59" s="516"/>
      <c r="I59" s="458"/>
      <c r="J59" s="516"/>
      <c r="K59" s="516"/>
      <c r="L59" s="516"/>
      <c r="O59" s="516"/>
      <c r="P59" s="516"/>
    </row>
    <row r="60" spans="1:17">
      <c r="A60" s="575"/>
      <c r="B60" s="575"/>
      <c r="C60" s="575"/>
      <c r="D60" s="575"/>
      <c r="E60" s="570"/>
      <c r="F60" s="576"/>
      <c r="G60" s="516"/>
      <c r="H60" s="516"/>
      <c r="I60" s="458"/>
      <c r="J60" s="516"/>
      <c r="K60" s="516"/>
      <c r="L60" s="516"/>
      <c r="O60" s="516"/>
      <c r="P60" s="516"/>
    </row>
    <row r="61" spans="1:17">
      <c r="A61" s="575"/>
      <c r="B61" s="575"/>
      <c r="C61" s="575"/>
      <c r="D61" s="575"/>
      <c r="E61" s="570"/>
      <c r="F61" s="576"/>
      <c r="G61" s="516"/>
      <c r="H61" s="516"/>
      <c r="I61" s="458"/>
      <c r="J61" s="516"/>
      <c r="K61" s="516"/>
      <c r="L61" s="516"/>
      <c r="O61" s="516"/>
      <c r="P61" s="516"/>
    </row>
    <row r="62" spans="1:17">
      <c r="A62" s="575"/>
      <c r="B62" s="575"/>
      <c r="C62" s="575"/>
      <c r="D62" s="575"/>
      <c r="E62" s="570"/>
      <c r="F62" s="576"/>
      <c r="G62" s="516"/>
      <c r="H62" s="516"/>
      <c r="I62" s="458"/>
      <c r="J62" s="516"/>
      <c r="K62" s="516"/>
      <c r="L62" s="516"/>
      <c r="O62" s="516"/>
      <c r="P62" s="516"/>
    </row>
    <row r="63" spans="1:17">
      <c r="A63" s="575"/>
      <c r="B63" s="575"/>
      <c r="C63" s="575"/>
      <c r="D63" s="575"/>
      <c r="E63" s="570"/>
      <c r="F63" s="576"/>
      <c r="G63" s="516"/>
      <c r="H63" s="516"/>
      <c r="I63" s="458"/>
      <c r="J63" s="516"/>
      <c r="K63" s="516"/>
      <c r="L63" s="516"/>
      <c r="O63" s="516"/>
      <c r="P63" s="516"/>
    </row>
    <row r="64" spans="1:17">
      <c r="A64" s="575"/>
      <c r="B64" s="575"/>
      <c r="C64" s="575"/>
      <c r="D64" s="575"/>
      <c r="E64" s="570"/>
      <c r="F64" s="576"/>
      <c r="G64" s="516"/>
      <c r="H64" s="516"/>
      <c r="I64" s="458"/>
      <c r="J64" s="516"/>
      <c r="K64" s="516"/>
      <c r="L64" s="516"/>
      <c r="O64" s="516"/>
      <c r="P64" s="516"/>
    </row>
    <row r="65" spans="1:16">
      <c r="A65" s="575"/>
      <c r="B65" s="575"/>
      <c r="C65" s="575"/>
      <c r="D65" s="575"/>
      <c r="E65" s="570"/>
      <c r="F65" s="576"/>
      <c r="G65" s="516"/>
      <c r="H65" s="516"/>
      <c r="I65" s="458"/>
      <c r="J65" s="516"/>
      <c r="K65" s="516"/>
      <c r="L65" s="516"/>
      <c r="O65" s="516"/>
      <c r="P65" s="516"/>
    </row>
    <row r="66" spans="1:16">
      <c r="A66" s="575"/>
      <c r="B66" s="575"/>
      <c r="C66" s="575"/>
      <c r="D66" s="575"/>
      <c r="E66" s="570"/>
      <c r="F66" s="576"/>
      <c r="G66" s="516"/>
      <c r="H66" s="516"/>
      <c r="I66" s="458"/>
      <c r="J66" s="516"/>
      <c r="K66" s="516"/>
      <c r="L66" s="516"/>
      <c r="O66" s="516"/>
      <c r="P66" s="516"/>
    </row>
    <row r="67" spans="1:16">
      <c r="A67" s="575"/>
      <c r="B67" s="575"/>
      <c r="C67" s="575"/>
      <c r="D67" s="575"/>
      <c r="E67" s="570"/>
      <c r="F67" s="576"/>
      <c r="G67" s="516"/>
      <c r="H67" s="516"/>
      <c r="I67" s="458"/>
      <c r="J67" s="516"/>
      <c r="K67" s="516"/>
      <c r="L67" s="516"/>
      <c r="O67" s="516"/>
      <c r="P67" s="516"/>
    </row>
    <row r="68" spans="1:16">
      <c r="A68" s="575"/>
      <c r="B68" s="575"/>
      <c r="C68" s="575"/>
      <c r="D68" s="575"/>
      <c r="E68" s="570"/>
      <c r="F68" s="576"/>
      <c r="G68" s="516"/>
      <c r="H68" s="516"/>
      <c r="I68" s="458"/>
      <c r="J68" s="516"/>
      <c r="K68" s="516"/>
      <c r="L68" s="516"/>
      <c r="O68" s="516"/>
      <c r="P68" s="516"/>
    </row>
    <row r="69" spans="1:16">
      <c r="A69" s="575"/>
      <c r="B69" s="575"/>
      <c r="C69" s="575"/>
      <c r="D69" s="575"/>
      <c r="E69" s="570"/>
      <c r="F69" s="576"/>
      <c r="G69" s="516"/>
      <c r="H69" s="516"/>
      <c r="I69" s="458"/>
      <c r="J69" s="516"/>
      <c r="K69" s="516"/>
      <c r="L69" s="516"/>
      <c r="O69" s="516"/>
      <c r="P69" s="516"/>
    </row>
    <row r="70" spans="1:16">
      <c r="A70" s="575"/>
      <c r="B70" s="575"/>
      <c r="C70" s="575"/>
      <c r="D70" s="575"/>
      <c r="E70" s="570"/>
      <c r="F70" s="576"/>
      <c r="G70" s="578"/>
      <c r="H70" s="516"/>
      <c r="I70" s="458"/>
      <c r="J70" s="516"/>
      <c r="K70" s="516"/>
      <c r="L70" s="516"/>
      <c r="O70" s="516"/>
      <c r="P70" s="516"/>
    </row>
    <row r="71" spans="1:16">
      <c r="A71" s="575"/>
      <c r="B71" s="575"/>
      <c r="C71" s="575"/>
      <c r="D71" s="575"/>
      <c r="E71" s="570"/>
      <c r="F71" s="576"/>
      <c r="G71" s="578"/>
      <c r="H71" s="516"/>
      <c r="I71" s="458"/>
      <c r="J71" s="516"/>
      <c r="K71" s="516"/>
      <c r="L71" s="516"/>
      <c r="O71" s="516"/>
      <c r="P71" s="516"/>
    </row>
    <row r="72" spans="1:16">
      <c r="A72" s="575"/>
      <c r="B72" s="575"/>
      <c r="C72" s="575"/>
      <c r="D72" s="575"/>
      <c r="E72" s="570"/>
      <c r="F72" s="576"/>
      <c r="G72" s="578"/>
      <c r="H72" s="516"/>
      <c r="I72" s="458"/>
      <c r="J72" s="516"/>
      <c r="K72" s="516"/>
      <c r="L72" s="516"/>
      <c r="O72" s="516"/>
      <c r="P72" s="516"/>
    </row>
    <row r="73" spans="1:16">
      <c r="A73" s="575"/>
      <c r="B73" s="575"/>
      <c r="C73" s="575"/>
      <c r="D73" s="575"/>
      <c r="E73" s="570"/>
      <c r="F73" s="576"/>
      <c r="G73" s="578"/>
      <c r="H73" s="516"/>
      <c r="I73" s="458"/>
      <c r="J73" s="516"/>
      <c r="K73" s="516"/>
      <c r="L73" s="516"/>
      <c r="O73" s="516"/>
      <c r="P73" s="516"/>
    </row>
    <row r="74" spans="1:16">
      <c r="A74" s="575"/>
      <c r="B74" s="575"/>
      <c r="C74" s="575"/>
      <c r="D74" s="575"/>
      <c r="E74" s="570"/>
      <c r="F74" s="576"/>
      <c r="G74" s="516"/>
      <c r="H74" s="516"/>
      <c r="I74" s="458"/>
      <c r="J74" s="516"/>
      <c r="K74" s="516"/>
      <c r="L74" s="516"/>
      <c r="O74" s="516"/>
      <c r="P74" s="516"/>
    </row>
    <row r="75" spans="1:16">
      <c r="A75" s="575"/>
      <c r="B75" s="575"/>
      <c r="C75" s="575"/>
      <c r="D75" s="575"/>
      <c r="E75" s="570"/>
      <c r="F75" s="576"/>
      <c r="G75" s="516"/>
      <c r="H75" s="516"/>
      <c r="I75" s="458"/>
      <c r="J75" s="516"/>
      <c r="K75" s="516"/>
      <c r="L75" s="516"/>
      <c r="O75" s="516"/>
      <c r="P75" s="516"/>
    </row>
    <row r="76" spans="1:16">
      <c r="A76" s="575"/>
      <c r="B76" s="575"/>
      <c r="C76" s="575"/>
      <c r="D76" s="575"/>
      <c r="E76" s="570"/>
      <c r="F76" s="576"/>
      <c r="G76" s="516"/>
      <c r="H76" s="516"/>
      <c r="I76" s="458"/>
      <c r="J76" s="516"/>
      <c r="K76" s="516"/>
      <c r="L76" s="516"/>
      <c r="O76" s="516"/>
      <c r="P76" s="516"/>
    </row>
    <row r="77" spans="1:16">
      <c r="A77" s="575"/>
      <c r="B77" s="575"/>
      <c r="C77" s="575"/>
      <c r="D77" s="575"/>
      <c r="E77" s="570"/>
      <c r="F77" s="576"/>
      <c r="G77" s="516"/>
      <c r="H77" s="516"/>
      <c r="I77" s="458"/>
      <c r="J77" s="516"/>
      <c r="K77" s="516"/>
      <c r="L77" s="516"/>
      <c r="O77" s="516"/>
      <c r="P77" s="516"/>
    </row>
    <row r="78" spans="1:16">
      <c r="A78" s="575"/>
      <c r="B78" s="575"/>
      <c r="C78" s="575"/>
      <c r="D78" s="575"/>
      <c r="E78" s="570"/>
      <c r="F78" s="576"/>
      <c r="G78" s="516"/>
      <c r="H78" s="516"/>
      <c r="I78" s="458"/>
      <c r="J78" s="516"/>
      <c r="K78" s="516"/>
      <c r="L78" s="516"/>
      <c r="O78" s="516"/>
      <c r="P78" s="516"/>
    </row>
    <row r="79" spans="1:16">
      <c r="A79" s="575"/>
      <c r="B79" s="575"/>
      <c r="C79" s="575"/>
      <c r="D79" s="575"/>
      <c r="E79" s="570"/>
      <c r="F79" s="576"/>
      <c r="G79" s="516"/>
      <c r="H79" s="516"/>
      <c r="I79" s="458"/>
      <c r="J79" s="516"/>
      <c r="K79" s="516"/>
      <c r="L79" s="516"/>
      <c r="O79" s="516"/>
      <c r="P79" s="516"/>
    </row>
    <row r="80" spans="1:16">
      <c r="A80" s="575"/>
      <c r="B80" s="575"/>
      <c r="C80" s="575"/>
      <c r="D80" s="575"/>
      <c r="E80" s="570"/>
      <c r="F80" s="576"/>
      <c r="G80" s="516"/>
      <c r="H80" s="516"/>
      <c r="I80" s="458"/>
      <c r="J80" s="516"/>
      <c r="K80" s="516"/>
      <c r="L80" s="516"/>
      <c r="O80" s="516"/>
      <c r="P80" s="516"/>
    </row>
    <row r="81" spans="1:17">
      <c r="A81" s="575"/>
      <c r="B81" s="575"/>
      <c r="C81" s="575"/>
      <c r="D81" s="575"/>
      <c r="E81" s="570"/>
      <c r="F81" s="576"/>
      <c r="G81" s="516"/>
      <c r="H81" s="516"/>
      <c r="I81" s="458"/>
      <c r="J81" s="516"/>
      <c r="K81" s="516"/>
      <c r="L81" s="516"/>
      <c r="O81" s="516"/>
      <c r="P81" s="516"/>
    </row>
    <row r="82" spans="1:17">
      <c r="A82" s="575"/>
      <c r="B82" s="575"/>
      <c r="C82" s="575"/>
      <c r="D82" s="575"/>
      <c r="E82" s="570"/>
      <c r="F82" s="576"/>
      <c r="G82" s="516"/>
      <c r="H82" s="516"/>
      <c r="I82" s="458"/>
      <c r="J82" s="516"/>
      <c r="K82" s="516"/>
      <c r="L82" s="516"/>
      <c r="O82" s="516"/>
      <c r="P82" s="516"/>
    </row>
    <row r="83" spans="1:17">
      <c r="A83" s="575"/>
      <c r="B83" s="575"/>
      <c r="C83" s="575"/>
      <c r="D83" s="575"/>
      <c r="E83" s="570"/>
      <c r="F83" s="576"/>
      <c r="G83" s="516"/>
      <c r="H83" s="516"/>
      <c r="I83" s="458"/>
      <c r="J83" s="516"/>
      <c r="K83" s="516"/>
      <c r="L83" s="516"/>
      <c r="O83" s="516"/>
      <c r="P83" s="516"/>
    </row>
    <row r="84" spans="1:17">
      <c r="A84" s="575"/>
      <c r="B84" s="575"/>
      <c r="C84" s="575"/>
      <c r="D84" s="575"/>
      <c r="E84" s="570"/>
      <c r="F84" s="576"/>
      <c r="G84" s="516"/>
      <c r="H84" s="516"/>
      <c r="I84" s="458"/>
      <c r="J84" s="516"/>
      <c r="K84" s="516"/>
      <c r="L84" s="516"/>
      <c r="O84" s="516"/>
      <c r="P84" s="516"/>
    </row>
    <row r="85" spans="1:17">
      <c r="A85" s="575"/>
      <c r="B85" s="575"/>
      <c r="C85" s="575"/>
      <c r="D85" s="575"/>
      <c r="E85" s="570"/>
      <c r="F85" s="576"/>
      <c r="G85" s="516"/>
      <c r="H85" s="516"/>
      <c r="I85" s="458"/>
      <c r="J85" s="516"/>
      <c r="K85" s="516"/>
      <c r="L85" s="516"/>
      <c r="O85" s="516"/>
      <c r="P85" s="516"/>
    </row>
    <row r="86" spans="1:17">
      <c r="A86" s="575"/>
      <c r="B86" s="575"/>
      <c r="C86" s="575"/>
      <c r="D86" s="575"/>
      <c r="E86" s="570"/>
      <c r="F86" s="576"/>
      <c r="G86" s="516"/>
      <c r="H86" s="516"/>
      <c r="I86" s="458"/>
      <c r="J86" s="516"/>
      <c r="K86" s="516"/>
      <c r="L86" s="516"/>
      <c r="O86" s="516"/>
      <c r="P86" s="516"/>
    </row>
    <row r="87" spans="1:17">
      <c r="A87" s="575"/>
      <c r="B87" s="575"/>
      <c r="C87" s="575"/>
      <c r="D87" s="575"/>
      <c r="E87" s="570"/>
      <c r="F87" s="576"/>
      <c r="G87" s="516"/>
      <c r="H87" s="516"/>
      <c r="I87" s="458"/>
      <c r="J87" s="516"/>
      <c r="K87" s="516"/>
      <c r="L87" s="516"/>
      <c r="O87" s="516"/>
      <c r="P87" s="516"/>
    </row>
    <row r="88" spans="1:17">
      <c r="A88" s="575"/>
      <c r="B88" s="575"/>
      <c r="C88" s="575"/>
      <c r="D88" s="575"/>
      <c r="E88" s="570"/>
      <c r="F88" s="576"/>
      <c r="G88" s="516"/>
      <c r="H88" s="516"/>
      <c r="I88" s="458"/>
      <c r="J88" s="516"/>
      <c r="K88" s="516"/>
      <c r="L88" s="516"/>
      <c r="O88" s="516"/>
      <c r="P88" s="516"/>
    </row>
    <row r="89" spans="1:17">
      <c r="A89" s="575"/>
      <c r="B89" s="575"/>
      <c r="C89" s="575"/>
      <c r="D89" s="575"/>
      <c r="E89" s="570"/>
      <c r="F89" s="576"/>
      <c r="G89" s="516"/>
      <c r="H89" s="516"/>
      <c r="I89" s="458"/>
      <c r="J89" s="516"/>
      <c r="K89" s="516"/>
      <c r="L89" s="516"/>
      <c r="O89" s="516"/>
      <c r="P89" s="516"/>
    </row>
    <row r="90" spans="1:17" s="575" customFormat="1">
      <c r="E90" s="570"/>
      <c r="F90" s="576"/>
      <c r="G90" s="516"/>
      <c r="H90" s="516"/>
      <c r="I90" s="458"/>
      <c r="J90" s="516"/>
      <c r="K90" s="516"/>
      <c r="L90" s="516"/>
      <c r="M90" s="516"/>
      <c r="N90" s="516"/>
      <c r="O90" s="516"/>
      <c r="P90" s="516"/>
      <c r="Q90" s="516"/>
    </row>
    <row r="91" spans="1:17" s="575" customFormat="1">
      <c r="E91" s="570"/>
      <c r="F91" s="576"/>
      <c r="G91" s="516"/>
      <c r="H91" s="516"/>
      <c r="I91" s="458"/>
      <c r="J91" s="516"/>
      <c r="K91" s="516"/>
      <c r="L91" s="516"/>
      <c r="M91" s="516"/>
      <c r="N91" s="516"/>
      <c r="O91" s="516"/>
      <c r="P91" s="516"/>
      <c r="Q91" s="516"/>
    </row>
    <row r="92" spans="1:17" s="575" customFormat="1">
      <c r="E92" s="570"/>
      <c r="F92" s="576"/>
      <c r="G92" s="516"/>
      <c r="H92" s="516"/>
      <c r="I92" s="458"/>
      <c r="J92" s="516"/>
      <c r="K92" s="516"/>
      <c r="L92" s="516"/>
      <c r="M92" s="516"/>
      <c r="N92" s="516"/>
      <c r="O92" s="516"/>
      <c r="P92" s="516"/>
      <c r="Q92" s="516"/>
    </row>
    <row r="93" spans="1:17" s="575" customFormat="1">
      <c r="E93" s="570"/>
      <c r="F93" s="576"/>
      <c r="G93" s="516"/>
      <c r="H93" s="516"/>
      <c r="I93" s="458"/>
      <c r="J93" s="516"/>
      <c r="K93" s="516"/>
      <c r="L93" s="516"/>
      <c r="M93" s="516"/>
      <c r="N93" s="516"/>
      <c r="O93" s="516"/>
      <c r="P93" s="516"/>
      <c r="Q93" s="516"/>
    </row>
    <row r="94" spans="1:17" s="575" customFormat="1">
      <c r="E94" s="570"/>
      <c r="F94" s="576"/>
      <c r="G94" s="516"/>
      <c r="H94" s="516"/>
      <c r="I94" s="458"/>
      <c r="J94" s="516"/>
      <c r="K94" s="516"/>
      <c r="L94" s="516"/>
      <c r="M94" s="516"/>
      <c r="N94" s="516"/>
      <c r="O94" s="516"/>
      <c r="P94" s="516"/>
      <c r="Q94" s="516"/>
    </row>
    <row r="95" spans="1:17" s="575" customFormat="1">
      <c r="E95" s="570"/>
      <c r="F95" s="576"/>
      <c r="G95" s="516"/>
      <c r="H95" s="516"/>
      <c r="I95" s="458"/>
      <c r="J95" s="516"/>
      <c r="K95" s="516"/>
      <c r="L95" s="516"/>
      <c r="M95" s="516"/>
    </row>
    <row r="96" spans="1:17" s="575" customFormat="1">
      <c r="E96" s="570"/>
      <c r="F96" s="576"/>
      <c r="G96" s="516"/>
      <c r="H96" s="516"/>
      <c r="I96" s="458"/>
      <c r="J96" s="516"/>
      <c r="K96" s="516"/>
      <c r="L96" s="516"/>
    </row>
    <row r="97" spans="5:12" s="575" customFormat="1">
      <c r="E97" s="570"/>
      <c r="F97" s="576"/>
      <c r="G97" s="516"/>
      <c r="H97" s="516"/>
      <c r="I97" s="458"/>
      <c r="J97" s="516"/>
      <c r="K97" s="516"/>
      <c r="L97" s="516"/>
    </row>
    <row r="98" spans="5:12" s="575" customFormat="1">
      <c r="E98" s="570"/>
      <c r="F98" s="576"/>
      <c r="G98" s="516"/>
      <c r="H98" s="516"/>
      <c r="I98" s="458"/>
      <c r="J98" s="516"/>
      <c r="K98" s="516"/>
      <c r="L98" s="516"/>
    </row>
    <row r="99" spans="5:12" s="575" customFormat="1">
      <c r="E99" s="570"/>
      <c r="F99" s="576"/>
      <c r="G99" s="516"/>
      <c r="H99" s="516"/>
      <c r="I99" s="458"/>
      <c r="J99" s="516"/>
      <c r="K99" s="516"/>
      <c r="L99" s="516"/>
    </row>
    <row r="100" spans="5:12" s="575" customFormat="1">
      <c r="E100" s="570"/>
      <c r="F100" s="576"/>
      <c r="G100" s="516"/>
      <c r="H100" s="516"/>
      <c r="I100" s="458"/>
      <c r="J100" s="516"/>
      <c r="K100" s="516"/>
      <c r="L100" s="516"/>
    </row>
    <row r="101" spans="5:12" s="575" customFormat="1">
      <c r="E101" s="570"/>
      <c r="F101" s="576"/>
      <c r="G101" s="516"/>
      <c r="H101" s="516"/>
      <c r="I101" s="458"/>
      <c r="J101" s="516"/>
      <c r="K101" s="516"/>
      <c r="L101" s="516"/>
    </row>
    <row r="102" spans="5:12" s="575" customFormat="1">
      <c r="E102" s="570"/>
      <c r="F102" s="576"/>
      <c r="G102" s="516"/>
      <c r="H102" s="516"/>
      <c r="I102" s="458"/>
      <c r="J102" s="516"/>
      <c r="K102" s="516"/>
      <c r="L102" s="516"/>
    </row>
    <row r="103" spans="5:12" s="575" customFormat="1">
      <c r="E103" s="570"/>
      <c r="F103" s="576"/>
      <c r="G103" s="516"/>
      <c r="H103" s="516"/>
      <c r="I103" s="458"/>
      <c r="J103" s="516"/>
      <c r="K103" s="516"/>
      <c r="L103" s="516"/>
    </row>
    <row r="104" spans="5:12" s="575" customFormat="1">
      <c r="E104" s="570"/>
      <c r="F104" s="576"/>
      <c r="G104" s="516"/>
      <c r="H104" s="516"/>
      <c r="I104" s="458"/>
      <c r="J104" s="516"/>
      <c r="K104" s="516"/>
      <c r="L104" s="516"/>
    </row>
    <row r="105" spans="5:12" s="575" customFormat="1">
      <c r="E105" s="570"/>
      <c r="F105" s="576"/>
      <c r="G105" s="516"/>
      <c r="H105" s="516"/>
      <c r="I105" s="458"/>
      <c r="J105" s="516"/>
      <c r="K105" s="516"/>
      <c r="L105" s="516"/>
    </row>
    <row r="106" spans="5:12" s="575" customFormat="1">
      <c r="E106" s="570"/>
      <c r="F106" s="576"/>
      <c r="G106" s="516"/>
      <c r="H106" s="516"/>
      <c r="I106" s="458"/>
      <c r="J106" s="516"/>
      <c r="K106" s="516"/>
      <c r="L106" s="516"/>
    </row>
    <row r="107" spans="5:12" s="575" customFormat="1">
      <c r="E107" s="570"/>
      <c r="F107" s="576"/>
      <c r="G107" s="516"/>
      <c r="H107" s="516"/>
      <c r="I107" s="458"/>
      <c r="J107" s="516"/>
      <c r="K107" s="516"/>
      <c r="L107" s="516"/>
    </row>
    <row r="108" spans="5:12" s="575" customFormat="1">
      <c r="E108" s="570"/>
      <c r="F108" s="576"/>
      <c r="G108" s="516"/>
      <c r="H108" s="516"/>
      <c r="I108" s="458"/>
      <c r="J108" s="516"/>
      <c r="K108" s="516"/>
      <c r="L108" s="516"/>
    </row>
    <row r="109" spans="5:12" s="575" customFormat="1">
      <c r="E109" s="570"/>
      <c r="F109" s="576"/>
      <c r="G109" s="516"/>
      <c r="H109" s="516"/>
      <c r="I109" s="458"/>
      <c r="J109" s="516"/>
      <c r="K109" s="516"/>
      <c r="L109" s="516"/>
    </row>
    <row r="110" spans="5:12" s="575" customFormat="1">
      <c r="E110" s="570"/>
      <c r="F110" s="576"/>
      <c r="G110" s="516"/>
      <c r="H110" s="516"/>
      <c r="I110" s="458"/>
      <c r="J110" s="516"/>
      <c r="K110" s="516"/>
      <c r="L110" s="516"/>
    </row>
    <row r="111" spans="5:12" s="575" customFormat="1">
      <c r="E111" s="570"/>
      <c r="F111" s="576"/>
      <c r="G111" s="516"/>
      <c r="H111" s="516"/>
      <c r="I111" s="458"/>
      <c r="J111" s="516"/>
      <c r="K111" s="516"/>
      <c r="L111" s="516"/>
    </row>
    <row r="112" spans="5:12" s="575" customFormat="1">
      <c r="E112" s="570"/>
      <c r="F112" s="576"/>
      <c r="G112" s="516"/>
      <c r="H112" s="516"/>
      <c r="I112" s="458"/>
      <c r="J112" s="516"/>
      <c r="K112" s="516"/>
      <c r="L112" s="516"/>
    </row>
    <row r="113" spans="5:12" s="575" customFormat="1">
      <c r="E113" s="570"/>
      <c r="F113" s="576"/>
      <c r="G113" s="516"/>
      <c r="H113" s="516"/>
      <c r="I113" s="458"/>
      <c r="J113" s="516"/>
      <c r="K113" s="516"/>
      <c r="L113" s="516"/>
    </row>
    <row r="114" spans="5:12" s="575" customFormat="1">
      <c r="E114" s="570"/>
      <c r="F114" s="576"/>
      <c r="G114" s="516"/>
      <c r="H114" s="516"/>
      <c r="I114" s="458"/>
      <c r="J114" s="516"/>
      <c r="K114" s="516"/>
      <c r="L114" s="516"/>
    </row>
    <row r="115" spans="5:12" s="575" customFormat="1">
      <c r="E115" s="570"/>
      <c r="F115" s="576"/>
      <c r="G115" s="516"/>
      <c r="H115" s="516"/>
      <c r="I115" s="458"/>
      <c r="J115" s="516"/>
      <c r="K115" s="516"/>
      <c r="L115" s="516"/>
    </row>
    <row r="116" spans="5:12" s="575" customFormat="1">
      <c r="E116" s="570"/>
      <c r="F116" s="576"/>
      <c r="G116" s="516"/>
      <c r="H116" s="516"/>
      <c r="I116" s="458"/>
      <c r="J116" s="516"/>
      <c r="K116" s="516"/>
      <c r="L116" s="516"/>
    </row>
    <row r="117" spans="5:12" s="575" customFormat="1">
      <c r="E117" s="570"/>
      <c r="F117" s="576"/>
      <c r="G117" s="516"/>
      <c r="H117" s="516"/>
      <c r="I117" s="458"/>
      <c r="J117" s="516"/>
      <c r="K117" s="516"/>
      <c r="L117" s="516"/>
    </row>
    <row r="118" spans="5:12" s="575" customFormat="1">
      <c r="E118" s="570"/>
      <c r="F118" s="576"/>
      <c r="G118" s="516"/>
      <c r="H118" s="516"/>
      <c r="I118" s="458"/>
      <c r="J118" s="516"/>
      <c r="K118" s="516"/>
      <c r="L118" s="516"/>
    </row>
    <row r="119" spans="5:12" s="575" customFormat="1">
      <c r="E119" s="570"/>
      <c r="F119" s="576"/>
      <c r="G119" s="516"/>
      <c r="H119" s="516"/>
      <c r="I119" s="458"/>
      <c r="J119" s="516"/>
      <c r="K119" s="516"/>
      <c r="L119" s="516"/>
    </row>
    <row r="120" spans="5:12" s="575" customFormat="1">
      <c r="E120" s="570"/>
      <c r="F120" s="576"/>
      <c r="G120" s="516"/>
      <c r="H120" s="516"/>
      <c r="I120" s="458"/>
      <c r="J120" s="516"/>
      <c r="K120" s="516"/>
      <c r="L120" s="516"/>
    </row>
    <row r="121" spans="5:12" s="575" customFormat="1">
      <c r="E121" s="570"/>
      <c r="F121" s="576"/>
      <c r="G121" s="516"/>
      <c r="H121" s="516"/>
      <c r="I121" s="458"/>
      <c r="J121" s="516"/>
      <c r="K121" s="516"/>
      <c r="L121" s="516"/>
    </row>
    <row r="122" spans="5:12" s="575" customFormat="1">
      <c r="E122" s="570"/>
      <c r="F122" s="576"/>
      <c r="G122" s="516"/>
      <c r="H122" s="516"/>
      <c r="I122" s="458"/>
      <c r="J122" s="516"/>
      <c r="K122" s="516"/>
      <c r="L122" s="516"/>
    </row>
    <row r="123" spans="5:12" s="575" customFormat="1">
      <c r="E123" s="570"/>
      <c r="F123" s="576"/>
      <c r="G123" s="516"/>
      <c r="H123" s="516"/>
      <c r="I123" s="458"/>
      <c r="J123" s="516"/>
      <c r="K123" s="516"/>
      <c r="L123" s="516"/>
    </row>
    <row r="124" spans="5:12" s="575" customFormat="1">
      <c r="E124" s="570"/>
      <c r="F124" s="576"/>
      <c r="G124" s="516"/>
      <c r="H124" s="516"/>
      <c r="I124" s="458"/>
      <c r="J124" s="516"/>
      <c r="K124" s="516"/>
      <c r="L124" s="516"/>
    </row>
    <row r="125" spans="5:12" s="575" customFormat="1">
      <c r="E125" s="570"/>
      <c r="F125" s="576"/>
      <c r="G125" s="516"/>
      <c r="H125" s="516"/>
      <c r="I125" s="458"/>
      <c r="J125" s="516"/>
      <c r="K125" s="516"/>
      <c r="L125" s="516"/>
    </row>
    <row r="126" spans="5:12" s="575" customFormat="1">
      <c r="E126" s="570"/>
      <c r="F126" s="576"/>
      <c r="G126" s="516"/>
      <c r="H126" s="516"/>
      <c r="I126" s="458"/>
      <c r="J126" s="516"/>
      <c r="K126" s="516"/>
      <c r="L126" s="516"/>
    </row>
    <row r="127" spans="5:12" s="575" customFormat="1">
      <c r="E127" s="570"/>
      <c r="F127" s="576"/>
      <c r="G127" s="516"/>
      <c r="H127" s="516"/>
      <c r="I127" s="458"/>
      <c r="J127" s="516"/>
      <c r="K127" s="516"/>
      <c r="L127" s="516"/>
    </row>
    <row r="128" spans="5:12" s="575" customFormat="1">
      <c r="E128" s="570"/>
      <c r="F128" s="576"/>
      <c r="G128" s="516"/>
      <c r="H128" s="516"/>
      <c r="I128" s="458"/>
      <c r="J128" s="516"/>
      <c r="K128" s="516"/>
      <c r="L128" s="516"/>
    </row>
    <row r="129" spans="1:12" s="575" customFormat="1">
      <c r="E129" s="570"/>
      <c r="F129" s="576"/>
      <c r="G129" s="516"/>
      <c r="H129" s="516"/>
      <c r="I129" s="458"/>
      <c r="J129" s="516"/>
      <c r="K129" s="516"/>
      <c r="L129" s="516"/>
    </row>
    <row r="130" spans="1:12" s="575" customFormat="1">
      <c r="E130" s="570"/>
      <c r="F130" s="576"/>
      <c r="G130" s="516"/>
      <c r="H130" s="516"/>
      <c r="I130" s="458"/>
      <c r="J130" s="516"/>
      <c r="K130" s="516"/>
      <c r="L130" s="516"/>
    </row>
    <row r="131" spans="1:12" s="575" customFormat="1">
      <c r="E131" s="570"/>
      <c r="F131" s="576"/>
      <c r="G131" s="516"/>
      <c r="H131" s="516"/>
      <c r="I131" s="458"/>
      <c r="J131" s="516"/>
      <c r="K131" s="516"/>
      <c r="L131" s="516"/>
    </row>
    <row r="132" spans="1:12" s="575" customFormat="1">
      <c r="E132" s="570"/>
      <c r="F132" s="576"/>
      <c r="G132" s="516"/>
      <c r="H132" s="516"/>
      <c r="I132" s="458"/>
      <c r="J132" s="516"/>
      <c r="K132" s="516"/>
      <c r="L132" s="516"/>
    </row>
    <row r="133" spans="1:12" s="575" customFormat="1">
      <c r="E133" s="570"/>
      <c r="F133" s="576"/>
      <c r="G133" s="516"/>
      <c r="H133" s="516"/>
      <c r="I133" s="458"/>
      <c r="J133" s="516"/>
      <c r="K133" s="516"/>
      <c r="L133" s="516"/>
    </row>
    <row r="134" spans="1:12" s="575" customFormat="1">
      <c r="E134" s="570"/>
      <c r="F134" s="576"/>
      <c r="G134" s="516"/>
      <c r="H134" s="516"/>
      <c r="I134" s="458"/>
      <c r="J134" s="516"/>
      <c r="K134" s="516"/>
      <c r="L134" s="516"/>
    </row>
    <row r="135" spans="1:12" s="575" customFormat="1">
      <c r="E135" s="570"/>
      <c r="F135" s="576"/>
      <c r="G135" s="516"/>
      <c r="H135" s="516"/>
      <c r="I135" s="458"/>
      <c r="J135" s="516"/>
      <c r="K135" s="516"/>
      <c r="L135" s="516"/>
    </row>
    <row r="136" spans="1:12" s="575" customFormat="1">
      <c r="E136" s="570"/>
      <c r="F136" s="576"/>
      <c r="G136" s="516"/>
      <c r="H136" s="516"/>
      <c r="I136" s="458"/>
      <c r="J136" s="516"/>
      <c r="K136" s="516"/>
      <c r="L136" s="516"/>
    </row>
    <row r="137" spans="1:12" s="575" customFormat="1">
      <c r="E137" s="570"/>
      <c r="F137" s="576"/>
      <c r="G137" s="516"/>
      <c r="H137" s="516"/>
      <c r="I137" s="458"/>
      <c r="J137" s="516"/>
      <c r="K137" s="516"/>
      <c r="L137" s="516"/>
    </row>
    <row r="138" spans="1:12" s="575" customFormat="1">
      <c r="E138" s="570"/>
      <c r="F138" s="576"/>
      <c r="G138" s="516"/>
      <c r="H138" s="516"/>
      <c r="I138" s="458"/>
      <c r="J138" s="516"/>
      <c r="K138" s="516"/>
      <c r="L138" s="516"/>
    </row>
    <row r="139" spans="1:12" s="575" customFormat="1">
      <c r="E139" s="570"/>
      <c r="F139" s="576"/>
      <c r="G139" s="516"/>
      <c r="H139" s="516"/>
      <c r="I139" s="458"/>
      <c r="J139" s="516"/>
      <c r="K139" s="516"/>
      <c r="L139" s="516"/>
    </row>
    <row r="140" spans="1:12" s="575" customFormat="1">
      <c r="E140" s="570"/>
      <c r="F140" s="576"/>
      <c r="G140" s="516"/>
      <c r="H140" s="516"/>
      <c r="I140" s="458"/>
      <c r="J140" s="516"/>
      <c r="K140" s="516"/>
      <c r="L140" s="516"/>
    </row>
    <row r="141" spans="1:12" s="575" customFormat="1">
      <c r="E141" s="570"/>
      <c r="F141" s="576"/>
      <c r="G141" s="516"/>
      <c r="H141" s="516"/>
      <c r="I141" s="458"/>
      <c r="J141" s="516"/>
      <c r="K141" s="516"/>
      <c r="L141" s="516"/>
    </row>
    <row r="142" spans="1:12" s="575" customFormat="1">
      <c r="A142" s="516"/>
      <c r="B142" s="516"/>
      <c r="C142" s="579"/>
      <c r="D142" s="579"/>
      <c r="E142" s="579"/>
      <c r="F142" s="579"/>
      <c r="H142" s="580"/>
      <c r="J142" s="516"/>
      <c r="K142" s="516"/>
      <c r="L142" s="516"/>
    </row>
    <row r="143" spans="1:12" s="575" customFormat="1">
      <c r="A143" s="516"/>
      <c r="B143" s="516"/>
      <c r="C143" s="579"/>
      <c r="D143" s="579"/>
      <c r="E143" s="579"/>
      <c r="F143" s="579"/>
      <c r="H143" s="580"/>
      <c r="J143" s="516"/>
      <c r="K143" s="516"/>
      <c r="L143" s="516"/>
    </row>
    <row r="144" spans="1:12" s="575" customFormat="1">
      <c r="A144" s="516"/>
      <c r="B144" s="516"/>
      <c r="C144" s="579"/>
      <c r="D144" s="579"/>
      <c r="E144" s="579"/>
      <c r="F144" s="579"/>
      <c r="H144" s="580"/>
      <c r="J144" s="516"/>
      <c r="K144" s="516"/>
      <c r="L144" s="516"/>
    </row>
    <row r="145" spans="1:17" s="575" customFormat="1">
      <c r="A145" s="516"/>
      <c r="B145" s="516"/>
      <c r="C145" s="579"/>
      <c r="D145" s="579"/>
      <c r="E145" s="579"/>
      <c r="F145" s="579"/>
      <c r="H145" s="580"/>
      <c r="J145" s="516"/>
      <c r="K145" s="516"/>
      <c r="L145" s="516"/>
    </row>
    <row r="146" spans="1:17" s="575" customFormat="1">
      <c r="A146" s="516"/>
      <c r="B146" s="516"/>
      <c r="C146" s="579"/>
      <c r="D146" s="579"/>
      <c r="E146" s="579"/>
      <c r="F146" s="579"/>
      <c r="H146" s="580"/>
      <c r="J146" s="516"/>
      <c r="K146" s="516"/>
      <c r="L146" s="516"/>
    </row>
    <row r="147" spans="1:17">
      <c r="J147" s="516"/>
      <c r="K147" s="516"/>
      <c r="L147" s="516"/>
      <c r="M147" s="575"/>
      <c r="N147" s="575"/>
      <c r="O147" s="575"/>
      <c r="P147" s="575"/>
      <c r="Q147" s="575"/>
    </row>
    <row r="148" spans="1:17">
      <c r="K148" s="516"/>
      <c r="L148" s="516"/>
      <c r="M148" s="575"/>
      <c r="N148" s="575"/>
      <c r="O148" s="575"/>
      <c r="P148" s="575"/>
      <c r="Q148" s="575"/>
    </row>
    <row r="149" spans="1:17">
      <c r="K149" s="516"/>
      <c r="L149" s="516"/>
      <c r="M149" s="575"/>
      <c r="N149" s="575"/>
      <c r="O149" s="575"/>
      <c r="P149" s="575"/>
      <c r="Q149" s="575"/>
    </row>
    <row r="150" spans="1:17">
      <c r="K150" s="516"/>
      <c r="L150" s="516"/>
      <c r="M150" s="575"/>
      <c r="N150" s="575"/>
      <c r="O150" s="575"/>
      <c r="P150" s="575"/>
      <c r="Q150" s="575"/>
    </row>
    <row r="151" spans="1:17">
      <c r="L151" s="516"/>
      <c r="M151" s="575"/>
      <c r="N151" s="575"/>
      <c r="O151" s="575"/>
      <c r="P151" s="575"/>
      <c r="Q151" s="575"/>
    </row>
    <row r="152" spans="1:17">
      <c r="L152" s="516"/>
      <c r="M152" s="575"/>
    </row>
    <row r="153" spans="1:17">
      <c r="L153" s="516"/>
    </row>
    <row r="154" spans="1:17">
      <c r="L154" s="516"/>
    </row>
    <row r="155" spans="1:17">
      <c r="L155" s="516"/>
    </row>
  </sheetData>
  <mergeCells count="1">
    <mergeCell ref="L7:M7"/>
  </mergeCells>
  <dataValidations count="1">
    <dataValidation type="list" allowBlank="1" showInputMessage="1" showErrorMessage="1" sqref="B5" xr:uid="{81965448-33D8-45CD-9734-4E86A2AC57E8}">
      <formula1>$AB$5:$AB$8</formula1>
    </dataValidation>
  </dataValidation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ABD4E-AD01-4911-8F48-5C6A0ABC39CB}">
  <dimension ref="A1:Z148"/>
  <sheetViews>
    <sheetView topLeftCell="A3" workbookViewId="0">
      <selection activeCell="F44" sqref="F44"/>
    </sheetView>
  </sheetViews>
  <sheetFormatPr defaultColWidth="7.88671875" defaultRowHeight="10.199999999999999"/>
  <cols>
    <col min="1" max="1" width="15.6640625" style="516" bestFit="1" customWidth="1"/>
    <col min="2" max="2" width="9.5546875" style="516" bestFit="1" customWidth="1"/>
    <col min="3" max="3" width="5.109375" style="579" customWidth="1"/>
    <col min="4" max="6" width="7.6640625" style="579" customWidth="1"/>
    <col min="7" max="7" width="12" style="575" bestFit="1" customWidth="1"/>
    <col min="8" max="8" width="9.33203125" style="580" customWidth="1"/>
    <col min="9" max="10" width="8.44140625" style="575" bestFit="1" customWidth="1"/>
    <col min="11" max="11" width="8.44140625" style="570" bestFit="1" customWidth="1"/>
    <col min="12" max="12" width="13.6640625" style="576" bestFit="1" customWidth="1"/>
    <col min="13" max="13" width="6.33203125" style="516" bestFit="1" customWidth="1"/>
    <col min="14" max="14" width="5.6640625" style="516" bestFit="1" customWidth="1"/>
    <col min="15" max="15" width="5.88671875" style="458" bestFit="1" customWidth="1"/>
    <col min="16" max="16" width="5.88671875" style="615" bestFit="1" customWidth="1"/>
    <col min="17" max="17" width="14" style="578" bestFit="1" customWidth="1"/>
    <col min="18" max="18" width="6" style="578" bestFit="1" customWidth="1"/>
    <col min="19" max="19" width="8.6640625" style="578" bestFit="1" customWidth="1"/>
    <col min="20" max="21" width="17.33203125" style="516" bestFit="1" customWidth="1"/>
    <col min="22" max="22" width="9.33203125" style="516" bestFit="1" customWidth="1"/>
    <col min="23" max="27" width="5.33203125" style="516" customWidth="1"/>
    <col min="28" max="28" width="17" style="516" customWidth="1"/>
    <col min="29" max="16384" width="7.88671875" style="516"/>
  </cols>
  <sheetData>
    <row r="1" spans="1:24" s="405" customFormat="1" ht="13.2">
      <c r="A1" s="585" t="s">
        <v>103</v>
      </c>
      <c r="B1" s="586" t="s">
        <v>147</v>
      </c>
      <c r="C1" s="397"/>
      <c r="D1" s="586"/>
      <c r="E1" s="398"/>
      <c r="F1" s="398"/>
      <c r="G1" s="399"/>
      <c r="H1" s="400" t="s">
        <v>148</v>
      </c>
      <c r="I1" s="401">
        <v>407</v>
      </c>
      <c r="J1" s="402"/>
      <c r="K1" s="586"/>
      <c r="L1" s="586"/>
      <c r="N1" s="404"/>
      <c r="P1" s="587"/>
      <c r="Q1" s="587"/>
      <c r="R1" s="587"/>
      <c r="S1" s="587"/>
    </row>
    <row r="2" spans="1:24" s="405" customFormat="1" ht="13.2">
      <c r="A2" s="588" t="s">
        <v>105</v>
      </c>
      <c r="B2" s="586" t="s">
        <v>8</v>
      </c>
      <c r="C2" s="408"/>
      <c r="D2" s="586"/>
      <c r="E2" s="409"/>
      <c r="F2" s="409"/>
      <c r="G2" s="410"/>
      <c r="H2" s="411" t="s">
        <v>149</v>
      </c>
      <c r="I2" s="589">
        <v>337</v>
      </c>
      <c r="J2" s="413"/>
      <c r="K2" s="586"/>
      <c r="L2" s="586"/>
      <c r="N2" s="415"/>
      <c r="P2" s="587"/>
      <c r="Q2" s="587"/>
      <c r="R2" s="587"/>
      <c r="S2" s="587"/>
    </row>
    <row r="3" spans="1:24" s="421" customFormat="1" ht="11.25" customHeight="1">
      <c r="A3" s="417" t="s">
        <v>107</v>
      </c>
      <c r="B3" s="581">
        <v>45766</v>
      </c>
      <c r="C3" s="408"/>
      <c r="D3" s="409"/>
      <c r="E3" s="409"/>
      <c r="F3" s="409"/>
      <c r="G3" s="410"/>
      <c r="H3" s="417" t="s">
        <v>150</v>
      </c>
      <c r="I3" s="591">
        <f>V31/100</f>
        <v>3.3180000000000001</v>
      </c>
      <c r="J3" s="413"/>
      <c r="K3" s="586"/>
      <c r="L3" s="586"/>
      <c r="N3" s="420"/>
      <c r="P3" s="590"/>
      <c r="Q3" s="590"/>
      <c r="R3" s="590"/>
      <c r="S3" s="590"/>
    </row>
    <row r="4" spans="1:24" s="405" customFormat="1" ht="13.2">
      <c r="A4" s="417" t="s">
        <v>109</v>
      </c>
      <c r="B4" s="407" t="s">
        <v>195</v>
      </c>
      <c r="C4" s="408"/>
      <c r="D4" s="409"/>
      <c r="E4" s="409"/>
      <c r="F4" s="409"/>
      <c r="G4" s="410"/>
      <c r="H4" s="417" t="s">
        <v>151</v>
      </c>
      <c r="I4" s="591">
        <f>(R27+(P28*0.05))/3.37</f>
        <v>0.41099187612009774</v>
      </c>
      <c r="J4" s="413"/>
      <c r="K4" s="586"/>
      <c r="L4" s="586"/>
      <c r="M4" s="404"/>
      <c r="N4" s="404"/>
      <c r="P4" s="587"/>
      <c r="Q4" s="587"/>
      <c r="R4" s="587"/>
      <c r="S4" s="587"/>
    </row>
    <row r="5" spans="1:24" s="425" customFormat="1" ht="13.2">
      <c r="A5" s="588" t="s">
        <v>111</v>
      </c>
      <c r="B5" s="422" t="s">
        <v>112</v>
      </c>
      <c r="C5" s="408"/>
      <c r="D5" s="409"/>
      <c r="E5" s="409"/>
      <c r="F5" s="409"/>
      <c r="G5" s="410"/>
      <c r="H5" s="417" t="s">
        <v>261</v>
      </c>
      <c r="I5" s="1224">
        <f>(I2*I4)/100</f>
        <v>1.3850426225247292</v>
      </c>
      <c r="J5" s="413"/>
      <c r="K5" s="586"/>
      <c r="L5" s="586"/>
      <c r="M5" s="424"/>
      <c r="N5" s="424"/>
      <c r="P5" s="592"/>
      <c r="Q5" s="592"/>
      <c r="R5" s="592"/>
      <c r="S5" s="592"/>
    </row>
    <row r="6" spans="1:24" s="424" customFormat="1" ht="13.8" thickBot="1">
      <c r="A6" s="593"/>
      <c r="B6" s="594"/>
      <c r="C6" s="595"/>
      <c r="D6" s="596"/>
      <c r="E6" s="596"/>
      <c r="F6" s="596"/>
      <c r="G6" s="597"/>
      <c r="H6" s="598"/>
      <c r="I6" s="599"/>
      <c r="J6" s="597"/>
      <c r="K6" s="594"/>
      <c r="L6" s="594"/>
      <c r="M6" s="445"/>
      <c r="P6" s="600"/>
      <c r="Q6" s="600"/>
      <c r="R6" s="600"/>
      <c r="S6" s="600"/>
    </row>
    <row r="7" spans="1:24" s="425" customFormat="1" ht="13.2" customHeight="1">
      <c r="A7" s="1414" t="s">
        <v>113</v>
      </c>
      <c r="B7" s="1415"/>
      <c r="C7" s="1415"/>
      <c r="D7" s="1415"/>
      <c r="E7" s="1415"/>
      <c r="F7" s="1415"/>
      <c r="G7" s="1415"/>
      <c r="H7" s="1415"/>
      <c r="I7" s="1415"/>
      <c r="J7" s="1415"/>
      <c r="K7" s="1415"/>
      <c r="L7" s="1415"/>
      <c r="M7" s="1416" t="s">
        <v>114</v>
      </c>
      <c r="N7" s="1417"/>
      <c r="O7" s="1418"/>
      <c r="P7" s="601" t="s">
        <v>115</v>
      </c>
      <c r="Q7" s="441"/>
      <c r="R7" s="601" t="s">
        <v>116</v>
      </c>
      <c r="S7" s="601"/>
      <c r="T7" s="443"/>
      <c r="U7" s="1412" t="s">
        <v>117</v>
      </c>
      <c r="V7" s="1413"/>
      <c r="W7" s="424"/>
      <c r="X7" s="424"/>
    </row>
    <row r="8" spans="1:24" s="454" customFormat="1">
      <c r="A8" s="444"/>
      <c r="B8" s="445"/>
      <c r="C8" s="446"/>
      <c r="D8" s="602"/>
      <c r="E8" s="603"/>
      <c r="F8" s="604"/>
      <c r="G8" s="605"/>
      <c r="H8" s="606"/>
      <c r="I8" s="606"/>
      <c r="J8" s="606"/>
      <c r="K8" s="606"/>
      <c r="L8" s="607"/>
      <c r="M8" s="608"/>
      <c r="N8" s="609"/>
      <c r="O8" s="447"/>
      <c r="P8" s="610"/>
      <c r="Q8" s="450"/>
      <c r="R8" s="610"/>
      <c r="S8" s="610"/>
      <c r="T8" s="452"/>
      <c r="U8" s="423"/>
      <c r="V8" s="423"/>
      <c r="W8" s="453"/>
    </row>
    <row r="9" spans="1:24" s="455" customFormat="1" ht="13.2" customHeight="1">
      <c r="A9" s="611"/>
      <c r="B9" s="424"/>
      <c r="C9" s="456"/>
      <c r="D9" s="1419" t="s">
        <v>152</v>
      </c>
      <c r="E9" s="1420"/>
      <c r="F9" s="1421"/>
      <c r="G9" s="612"/>
      <c r="H9" s="1422" t="s">
        <v>153</v>
      </c>
      <c r="I9" s="1423"/>
      <c r="J9" s="1423"/>
      <c r="K9" s="1424"/>
      <c r="L9" s="613"/>
      <c r="M9" s="614"/>
      <c r="N9" s="609" t="s">
        <v>118</v>
      </c>
      <c r="O9" s="447"/>
      <c r="P9" s="610"/>
      <c r="Q9" s="450"/>
      <c r="R9" s="615"/>
      <c r="S9" s="615"/>
      <c r="T9" s="452"/>
      <c r="U9" s="459"/>
      <c r="V9" s="460"/>
      <c r="W9" s="461"/>
      <c r="X9" s="462"/>
    </row>
    <row r="10" spans="1:24" s="455" customFormat="1">
      <c r="A10" s="463" t="s">
        <v>119</v>
      </c>
      <c r="B10" s="464" t="s">
        <v>120</v>
      </c>
      <c r="C10" s="465" t="s">
        <v>121</v>
      </c>
      <c r="D10" s="616" t="s">
        <v>154</v>
      </c>
      <c r="E10" s="617" t="s">
        <v>155</v>
      </c>
      <c r="F10" s="618" t="s">
        <v>156</v>
      </c>
      <c r="G10" s="612" t="s">
        <v>157</v>
      </c>
      <c r="H10" s="619" t="s">
        <v>158</v>
      </c>
      <c r="I10" s="619" t="s">
        <v>159</v>
      </c>
      <c r="J10" s="619" t="s">
        <v>160</v>
      </c>
      <c r="K10" s="619" t="s">
        <v>161</v>
      </c>
      <c r="L10" s="613" t="s">
        <v>162</v>
      </c>
      <c r="M10" s="467" t="s">
        <v>122</v>
      </c>
      <c r="N10" s="620" t="s">
        <v>123</v>
      </c>
      <c r="O10" s="466" t="s">
        <v>124</v>
      </c>
      <c r="P10" s="451" t="s">
        <v>125</v>
      </c>
      <c r="Q10" s="450" t="s">
        <v>126</v>
      </c>
      <c r="R10" s="451" t="s">
        <v>126</v>
      </c>
      <c r="S10" s="451" t="s">
        <v>125</v>
      </c>
      <c r="T10" s="468" t="s">
        <v>127</v>
      </c>
      <c r="U10" s="459" t="s">
        <v>128</v>
      </c>
      <c r="V10" s="459" t="s">
        <v>129</v>
      </c>
      <c r="W10" s="469"/>
    </row>
    <row r="11" spans="1:24" s="455" customFormat="1" ht="12" thickBot="1">
      <c r="A11" s="470" t="s">
        <v>130</v>
      </c>
      <c r="B11" s="471" t="s">
        <v>130</v>
      </c>
      <c r="C11" s="472" t="s">
        <v>131</v>
      </c>
      <c r="D11" s="621" t="s">
        <v>163</v>
      </c>
      <c r="E11" s="622" t="s">
        <v>163</v>
      </c>
      <c r="F11" s="623" t="s">
        <v>163</v>
      </c>
      <c r="G11" s="624" t="s">
        <v>163</v>
      </c>
      <c r="H11" s="625" t="s">
        <v>163</v>
      </c>
      <c r="I11" s="625" t="s">
        <v>163</v>
      </c>
      <c r="J11" s="625" t="s">
        <v>163</v>
      </c>
      <c r="K11" s="625" t="s">
        <v>163</v>
      </c>
      <c r="L11" s="626" t="s">
        <v>163</v>
      </c>
      <c r="M11" s="474" t="s">
        <v>132</v>
      </c>
      <c r="N11" s="627" t="s">
        <v>131</v>
      </c>
      <c r="O11" s="473" t="s">
        <v>131</v>
      </c>
      <c r="P11" s="477" t="s">
        <v>133</v>
      </c>
      <c r="Q11" s="476" t="s">
        <v>134</v>
      </c>
      <c r="R11" s="628" t="s">
        <v>38</v>
      </c>
      <c r="S11" s="628" t="s">
        <v>164</v>
      </c>
      <c r="T11" s="478"/>
      <c r="U11" s="479"/>
      <c r="V11" s="480" t="s">
        <v>163</v>
      </c>
      <c r="W11" s="469"/>
    </row>
    <row r="12" spans="1:24" s="455" customFormat="1">
      <c r="A12" s="629" t="s">
        <v>165</v>
      </c>
      <c r="B12" s="630"/>
      <c r="C12" s="631">
        <v>0</v>
      </c>
      <c r="D12" s="632" t="s">
        <v>166</v>
      </c>
      <c r="E12" s="633" t="s">
        <v>166</v>
      </c>
      <c r="F12" s="634" t="s">
        <v>166</v>
      </c>
      <c r="G12" s="635" t="s">
        <v>166</v>
      </c>
      <c r="H12" s="633" t="s">
        <v>166</v>
      </c>
      <c r="I12" s="633" t="s">
        <v>166</v>
      </c>
      <c r="J12" s="633" t="s">
        <v>166</v>
      </c>
      <c r="K12" s="633" t="s">
        <v>166</v>
      </c>
      <c r="L12" s="636" t="s">
        <v>166</v>
      </c>
      <c r="M12" s="483"/>
      <c r="N12" s="637"/>
      <c r="O12" s="638"/>
      <c r="P12" s="639"/>
      <c r="Q12" s="640"/>
      <c r="R12" s="641"/>
      <c r="S12" s="642"/>
      <c r="T12" s="643"/>
      <c r="U12" s="492"/>
      <c r="V12" s="493"/>
      <c r="W12" s="494"/>
    </row>
    <row r="13" spans="1:24" s="455" customFormat="1">
      <c r="A13" s="481">
        <v>125</v>
      </c>
      <c r="B13" s="482">
        <v>0</v>
      </c>
      <c r="C13" s="483">
        <v>10</v>
      </c>
      <c r="D13" s="644" t="s">
        <v>166</v>
      </c>
      <c r="E13" s="645" t="s">
        <v>166</v>
      </c>
      <c r="F13" s="646" t="s">
        <v>166</v>
      </c>
      <c r="G13" s="647" t="s">
        <v>166</v>
      </c>
      <c r="H13" s="645" t="s">
        <v>166</v>
      </c>
      <c r="I13" s="645" t="s">
        <v>166</v>
      </c>
      <c r="J13" s="645" t="s">
        <v>166</v>
      </c>
      <c r="K13" s="645" t="s">
        <v>166</v>
      </c>
      <c r="L13" s="648" t="s">
        <v>166</v>
      </c>
      <c r="M13" s="483">
        <v>1000</v>
      </c>
      <c r="N13" s="649">
        <f>C12</f>
        <v>0</v>
      </c>
      <c r="O13" s="650">
        <f t="shared" ref="O13:O20" si="0">(C13+C14-10)/2</f>
        <v>10</v>
      </c>
      <c r="P13" s="497">
        <f>(A13-B13)/M13</f>
        <v>0.125</v>
      </c>
      <c r="Q13" s="488">
        <f>(P13*(O13-N13))/100</f>
        <v>1.2500000000000001E-2</v>
      </c>
      <c r="R13" s="651">
        <f>SUM(Q$13:Q13)</f>
        <v>1.2500000000000001E-2</v>
      </c>
      <c r="S13" s="500">
        <f>R13/O13*100</f>
        <v>0.125</v>
      </c>
      <c r="T13" s="491"/>
      <c r="U13" s="501"/>
      <c r="V13" s="502"/>
      <c r="W13" s="469"/>
    </row>
    <row r="14" spans="1:24" s="455" customFormat="1">
      <c r="A14" s="481">
        <v>220</v>
      </c>
      <c r="B14" s="482">
        <v>0</v>
      </c>
      <c r="C14" s="483">
        <v>20</v>
      </c>
      <c r="D14" s="644" t="s">
        <v>166</v>
      </c>
      <c r="E14" s="645" t="s">
        <v>166</v>
      </c>
      <c r="F14" s="646" t="s">
        <v>166</v>
      </c>
      <c r="G14" s="647" t="s">
        <v>166</v>
      </c>
      <c r="H14" s="645" t="s">
        <v>166</v>
      </c>
      <c r="I14" s="645" t="s">
        <v>166</v>
      </c>
      <c r="J14" s="645" t="s">
        <v>166</v>
      </c>
      <c r="K14" s="645" t="s">
        <v>166</v>
      </c>
      <c r="L14" s="648" t="s">
        <v>166</v>
      </c>
      <c r="M14" s="483">
        <v>1000</v>
      </c>
      <c r="N14" s="649">
        <f t="shared" ref="N14:N18" si="1">(C13+C14-10)/2</f>
        <v>10</v>
      </c>
      <c r="O14" s="650">
        <f t="shared" si="0"/>
        <v>20</v>
      </c>
      <c r="P14" s="497">
        <f t="shared" ref="P14:P19" si="2">(A14-B14)/M14</f>
        <v>0.22</v>
      </c>
      <c r="Q14" s="488">
        <f t="shared" ref="Q14:Q19" si="3">(P14*(O14-N14))/100</f>
        <v>2.2000000000000002E-2</v>
      </c>
      <c r="R14" s="651">
        <f>SUM(Q$13:Q14)</f>
        <v>3.4500000000000003E-2</v>
      </c>
      <c r="S14" s="500">
        <f t="shared" ref="S14:S19" si="4">R14/O14*100</f>
        <v>0.17250000000000001</v>
      </c>
      <c r="T14" s="491"/>
      <c r="U14" s="501" t="s">
        <v>135</v>
      </c>
      <c r="V14" s="502">
        <v>337</v>
      </c>
      <c r="W14" s="469"/>
    </row>
    <row r="15" spans="1:24" s="455" customFormat="1">
      <c r="A15" s="481">
        <v>210</v>
      </c>
      <c r="B15" s="482">
        <v>0</v>
      </c>
      <c r="C15" s="483">
        <v>30</v>
      </c>
      <c r="D15" s="644" t="s">
        <v>166</v>
      </c>
      <c r="E15" s="645" t="s">
        <v>166</v>
      </c>
      <c r="F15" s="646" t="s">
        <v>166</v>
      </c>
      <c r="G15" s="647" t="s">
        <v>166</v>
      </c>
      <c r="H15" s="645" t="s">
        <v>166</v>
      </c>
      <c r="I15" s="645" t="s">
        <v>166</v>
      </c>
      <c r="J15" s="645" t="s">
        <v>166</v>
      </c>
      <c r="K15" s="645" t="s">
        <v>166</v>
      </c>
      <c r="L15" s="648" t="s">
        <v>166</v>
      </c>
      <c r="M15" s="483">
        <v>1000</v>
      </c>
      <c r="N15" s="649">
        <f t="shared" si="1"/>
        <v>20</v>
      </c>
      <c r="O15" s="650">
        <f t="shared" si="0"/>
        <v>30</v>
      </c>
      <c r="P15" s="497">
        <f t="shared" si="2"/>
        <v>0.21</v>
      </c>
      <c r="Q15" s="488">
        <f t="shared" si="3"/>
        <v>2.1000000000000001E-2</v>
      </c>
      <c r="R15" s="651">
        <f>SUM(Q$13:Q15)</f>
        <v>5.5500000000000008E-2</v>
      </c>
      <c r="S15" s="500">
        <f t="shared" si="4"/>
        <v>0.18500000000000003</v>
      </c>
      <c r="T15" s="491"/>
      <c r="U15" s="501" t="s">
        <v>178</v>
      </c>
      <c r="V15" s="503">
        <v>333</v>
      </c>
      <c r="W15" s="469"/>
    </row>
    <row r="16" spans="1:24" s="455" customFormat="1">
      <c r="A16" s="504">
        <v>265</v>
      </c>
      <c r="B16" s="482">
        <v>0</v>
      </c>
      <c r="C16" s="483">
        <v>40</v>
      </c>
      <c r="D16" s="644" t="s">
        <v>166</v>
      </c>
      <c r="E16" s="645" t="s">
        <v>166</v>
      </c>
      <c r="F16" s="646" t="s">
        <v>166</v>
      </c>
      <c r="G16" s="647" t="s">
        <v>166</v>
      </c>
      <c r="H16" s="645" t="s">
        <v>166</v>
      </c>
      <c r="I16" s="645" t="s">
        <v>166</v>
      </c>
      <c r="J16" s="645" t="s">
        <v>166</v>
      </c>
      <c r="K16" s="645" t="s">
        <v>166</v>
      </c>
      <c r="L16" s="648" t="s">
        <v>166</v>
      </c>
      <c r="M16" s="483">
        <v>1000</v>
      </c>
      <c r="N16" s="649">
        <f t="shared" si="1"/>
        <v>30</v>
      </c>
      <c r="O16" s="650">
        <f t="shared" si="0"/>
        <v>40</v>
      </c>
      <c r="P16" s="497">
        <f t="shared" si="2"/>
        <v>0.26500000000000001</v>
      </c>
      <c r="Q16" s="488">
        <f t="shared" si="3"/>
        <v>2.6500000000000003E-2</v>
      </c>
      <c r="R16" s="651">
        <f>SUM(Q$13:Q16)</f>
        <v>8.2000000000000017E-2</v>
      </c>
      <c r="S16" s="500">
        <f t="shared" si="4"/>
        <v>0.20500000000000007</v>
      </c>
      <c r="T16" s="491"/>
      <c r="U16" s="501" t="s">
        <v>178</v>
      </c>
      <c r="V16" s="502">
        <v>335</v>
      </c>
      <c r="W16" s="469"/>
    </row>
    <row r="17" spans="1:25" s="455" customFormat="1">
      <c r="A17" s="504">
        <v>310</v>
      </c>
      <c r="B17" s="482">
        <v>0</v>
      </c>
      <c r="C17" s="483">
        <v>50</v>
      </c>
      <c r="D17" s="644" t="s">
        <v>166</v>
      </c>
      <c r="E17" s="645" t="s">
        <v>166</v>
      </c>
      <c r="F17" s="646" t="s">
        <v>166</v>
      </c>
      <c r="G17" s="647" t="s">
        <v>166</v>
      </c>
      <c r="H17" s="645" t="s">
        <v>166</v>
      </c>
      <c r="I17" s="645" t="s">
        <v>166</v>
      </c>
      <c r="J17" s="645" t="s">
        <v>166</v>
      </c>
      <c r="K17" s="645" t="s">
        <v>166</v>
      </c>
      <c r="L17" s="648" t="s">
        <v>166</v>
      </c>
      <c r="M17" s="483">
        <v>1000</v>
      </c>
      <c r="N17" s="649">
        <f t="shared" si="1"/>
        <v>40</v>
      </c>
      <c r="O17" s="650">
        <f t="shared" si="0"/>
        <v>50</v>
      </c>
      <c r="P17" s="497">
        <f t="shared" si="2"/>
        <v>0.31</v>
      </c>
      <c r="Q17" s="488">
        <f t="shared" si="3"/>
        <v>3.1E-2</v>
      </c>
      <c r="R17" s="651">
        <f>SUM(Q$13:Q17)</f>
        <v>0.11300000000000002</v>
      </c>
      <c r="S17" s="500">
        <f t="shared" si="4"/>
        <v>0.22600000000000003</v>
      </c>
      <c r="T17" s="491" t="s">
        <v>137</v>
      </c>
      <c r="U17" s="501" t="s">
        <v>178</v>
      </c>
      <c r="V17" s="502">
        <v>327</v>
      </c>
      <c r="W17" s="461"/>
    </row>
    <row r="18" spans="1:25" s="455" customFormat="1">
      <c r="A18" s="504">
        <v>340</v>
      </c>
      <c r="B18" s="482">
        <v>0</v>
      </c>
      <c r="C18" s="483">
        <v>60</v>
      </c>
      <c r="D18" s="644" t="s">
        <v>166</v>
      </c>
      <c r="E18" s="645" t="s">
        <v>166</v>
      </c>
      <c r="F18" s="646" t="s">
        <v>166</v>
      </c>
      <c r="G18" s="647" t="s">
        <v>166</v>
      </c>
      <c r="H18" s="645" t="s">
        <v>166</v>
      </c>
      <c r="I18" s="645" t="s">
        <v>166</v>
      </c>
      <c r="J18" s="645" t="s">
        <v>166</v>
      </c>
      <c r="K18" s="645" t="s">
        <v>166</v>
      </c>
      <c r="L18" s="648" t="s">
        <v>166</v>
      </c>
      <c r="M18" s="483">
        <v>1000</v>
      </c>
      <c r="N18" s="649">
        <f t="shared" si="1"/>
        <v>50</v>
      </c>
      <c r="O18" s="650">
        <f t="shared" si="0"/>
        <v>60</v>
      </c>
      <c r="P18" s="497">
        <f t="shared" si="2"/>
        <v>0.34</v>
      </c>
      <c r="Q18" s="488">
        <f t="shared" si="3"/>
        <v>3.4000000000000002E-2</v>
      </c>
      <c r="R18" s="651">
        <f>SUM(Q$13:Q18)</f>
        <v>0.14700000000000002</v>
      </c>
      <c r="S18" s="500">
        <f t="shared" si="4"/>
        <v>0.24500000000000002</v>
      </c>
      <c r="T18" s="506"/>
      <c r="U18" s="501" t="s">
        <v>178</v>
      </c>
      <c r="V18" s="502">
        <v>327</v>
      </c>
      <c r="W18" s="461"/>
    </row>
    <row r="19" spans="1:25" s="455" customFormat="1" ht="10.199999999999999" customHeight="1">
      <c r="A19" s="504">
        <v>375</v>
      </c>
      <c r="B19" s="482">
        <v>0</v>
      </c>
      <c r="C19" s="483">
        <v>70</v>
      </c>
      <c r="D19" s="644" t="s">
        <v>166</v>
      </c>
      <c r="E19" s="645" t="s">
        <v>166</v>
      </c>
      <c r="F19" s="646" t="s">
        <v>166</v>
      </c>
      <c r="G19" s="647" t="s">
        <v>166</v>
      </c>
      <c r="H19" s="645" t="s">
        <v>166</v>
      </c>
      <c r="I19" s="645" t="s">
        <v>166</v>
      </c>
      <c r="J19" s="645" t="s">
        <v>166</v>
      </c>
      <c r="K19" s="645" t="s">
        <v>166</v>
      </c>
      <c r="L19" s="648" t="s">
        <v>166</v>
      </c>
      <c r="M19" s="483">
        <v>1000</v>
      </c>
      <c r="N19" s="649">
        <f>(C18+C19-10)/2</f>
        <v>60</v>
      </c>
      <c r="O19" s="650">
        <f t="shared" si="0"/>
        <v>70</v>
      </c>
      <c r="P19" s="497">
        <f t="shared" si="2"/>
        <v>0.375</v>
      </c>
      <c r="Q19" s="488">
        <f t="shared" si="3"/>
        <v>3.7499999999999999E-2</v>
      </c>
      <c r="R19" s="651">
        <f>SUM(Q$13:Q19)</f>
        <v>0.18450000000000003</v>
      </c>
      <c r="S19" s="500">
        <f t="shared" si="4"/>
        <v>0.26357142857142857</v>
      </c>
      <c r="T19" s="506"/>
      <c r="U19" s="501"/>
      <c r="V19" s="502"/>
      <c r="W19" s="507"/>
    </row>
    <row r="20" spans="1:25" s="455" customFormat="1" ht="10.199999999999999" customHeight="1">
      <c r="A20" s="504">
        <v>375</v>
      </c>
      <c r="B20" s="482">
        <v>0</v>
      </c>
      <c r="C20" s="483">
        <v>80</v>
      </c>
      <c r="D20" s="644" t="s">
        <v>166</v>
      </c>
      <c r="E20" s="645" t="s">
        <v>166</v>
      </c>
      <c r="F20" s="646" t="s">
        <v>166</v>
      </c>
      <c r="G20" s="647" t="s">
        <v>166</v>
      </c>
      <c r="H20" s="645" t="s">
        <v>166</v>
      </c>
      <c r="I20" s="645" t="s">
        <v>166</v>
      </c>
      <c r="J20" s="645" t="s">
        <v>166</v>
      </c>
      <c r="K20" s="645" t="s">
        <v>166</v>
      </c>
      <c r="L20" s="648" t="s">
        <v>166</v>
      </c>
      <c r="M20" s="483">
        <v>1000</v>
      </c>
      <c r="N20" s="649">
        <f t="shared" ref="N20:N21" si="5">(C19+C20-10)/2</f>
        <v>70</v>
      </c>
      <c r="O20" s="650">
        <f t="shared" si="0"/>
        <v>80</v>
      </c>
      <c r="P20" s="497">
        <f t="shared" ref="P20:P21" si="6">(A20-B20)/M20</f>
        <v>0.375</v>
      </c>
      <c r="Q20" s="488">
        <f t="shared" ref="Q20:Q21" si="7">(P20*(O20-N20))/100</f>
        <v>3.7499999999999999E-2</v>
      </c>
      <c r="R20" s="651">
        <f>SUM(Q$13:Q20)</f>
        <v>0.22200000000000003</v>
      </c>
      <c r="S20" s="500">
        <f t="shared" ref="S20:S21" si="8">R20/O20*100</f>
        <v>0.27750000000000008</v>
      </c>
      <c r="T20" s="506"/>
      <c r="U20" s="501"/>
      <c r="V20" s="502"/>
      <c r="W20" s="507"/>
    </row>
    <row r="21" spans="1:25" s="455" customFormat="1" ht="10.199999999999999" customHeight="1">
      <c r="A21" s="504">
        <v>370</v>
      </c>
      <c r="B21" s="482">
        <v>0</v>
      </c>
      <c r="C21" s="483">
        <v>90</v>
      </c>
      <c r="D21" s="644" t="s">
        <v>166</v>
      </c>
      <c r="E21" s="645" t="s">
        <v>166</v>
      </c>
      <c r="F21" s="646" t="s">
        <v>166</v>
      </c>
      <c r="G21" s="647" t="s">
        <v>166</v>
      </c>
      <c r="H21" s="645" t="s">
        <v>166</v>
      </c>
      <c r="I21" s="645" t="s">
        <v>166</v>
      </c>
      <c r="J21" s="645" t="s">
        <v>166</v>
      </c>
      <c r="K21" s="645" t="s">
        <v>166</v>
      </c>
      <c r="L21" s="648" t="s">
        <v>166</v>
      </c>
      <c r="M21" s="483">
        <v>1000</v>
      </c>
      <c r="N21" s="649">
        <f t="shared" si="5"/>
        <v>80</v>
      </c>
      <c r="O21" s="650">
        <f>(C21+C24-D24)/2</f>
        <v>95</v>
      </c>
      <c r="P21" s="497">
        <f t="shared" si="6"/>
        <v>0.37</v>
      </c>
      <c r="Q21" s="488">
        <f t="shared" si="7"/>
        <v>5.5500000000000001E-2</v>
      </c>
      <c r="R21" s="651">
        <f>SUM(Q$13:Q21)</f>
        <v>0.27750000000000002</v>
      </c>
      <c r="S21" s="500">
        <f t="shared" si="8"/>
        <v>0.29210526315789476</v>
      </c>
      <c r="T21" s="506"/>
      <c r="U21" s="501"/>
      <c r="V21" s="502"/>
      <c r="W21" s="507"/>
    </row>
    <row r="22" spans="1:25" s="455" customFormat="1" ht="10.8" thickBot="1">
      <c r="A22" s="652"/>
      <c r="B22" s="653"/>
      <c r="C22" s="654"/>
      <c r="D22" s="655"/>
      <c r="E22" s="654"/>
      <c r="F22" s="656"/>
      <c r="G22" s="657"/>
      <c r="H22" s="654"/>
      <c r="I22" s="654"/>
      <c r="J22" s="654"/>
      <c r="K22" s="654"/>
      <c r="L22" s="658"/>
      <c r="M22" s="654"/>
      <c r="N22" s="659"/>
      <c r="O22" s="660"/>
      <c r="P22" s="661"/>
      <c r="Q22" s="662"/>
      <c r="R22" s="663"/>
      <c r="S22" s="664"/>
      <c r="T22" s="933"/>
      <c r="U22" s="501"/>
      <c r="V22" s="502"/>
      <c r="W22" s="508"/>
    </row>
    <row r="23" spans="1:25" s="510" customFormat="1">
      <c r="A23" s="666" t="s">
        <v>167</v>
      </c>
      <c r="B23" s="482"/>
      <c r="C23" s="483"/>
      <c r="D23" s="667"/>
      <c r="E23" s="483"/>
      <c r="F23" s="668"/>
      <c r="G23" s="669"/>
      <c r="H23" s="483"/>
      <c r="I23" s="483"/>
      <c r="J23" s="483"/>
      <c r="K23" s="483"/>
      <c r="L23" s="670"/>
      <c r="M23" s="483"/>
      <c r="N23" s="649"/>
      <c r="O23" s="650"/>
      <c r="P23" s="497"/>
      <c r="Q23" s="488"/>
      <c r="R23" s="651"/>
      <c r="S23" s="500"/>
      <c r="T23" s="509"/>
      <c r="U23" s="501"/>
      <c r="V23" s="502"/>
      <c r="W23" s="508"/>
    </row>
    <row r="24" spans="1:25" s="510" customFormat="1">
      <c r="A24" s="504">
        <v>820</v>
      </c>
      <c r="B24" s="482">
        <v>0</v>
      </c>
      <c r="C24" s="720">
        <v>173</v>
      </c>
      <c r="D24" s="671">
        <v>73</v>
      </c>
      <c r="E24" s="672"/>
      <c r="F24" s="673"/>
      <c r="G24" s="674">
        <f t="shared" ref="G24:G29" si="9">AVERAGE(D24:F24)</f>
        <v>73</v>
      </c>
      <c r="H24" s="672">
        <v>5.7</v>
      </c>
      <c r="I24" s="672"/>
      <c r="J24" s="672"/>
      <c r="K24" s="672"/>
      <c r="L24" s="675">
        <v>5.7</v>
      </c>
      <c r="M24" s="483">
        <f>G24*    PI()* (L24/2)^2</f>
        <v>1862.7838020011659</v>
      </c>
      <c r="N24" s="649">
        <f>(C21+C24-D24)/2</f>
        <v>95</v>
      </c>
      <c r="O24" s="650">
        <f>(C24+C25-G25)/2</f>
        <v>174</v>
      </c>
      <c r="P24" s="497">
        <f>(A24-B24)/M24</f>
        <v>0.44020137984831303</v>
      </c>
      <c r="Q24" s="488">
        <f t="shared" ref="Q24:Q29" si="10">(P24*(O24-N24))/100</f>
        <v>0.34775909008016731</v>
      </c>
      <c r="R24" s="651">
        <f>SUM(Q$13:Q24)</f>
        <v>0.62525909008016733</v>
      </c>
      <c r="S24" s="500">
        <f t="shared" ref="S24:S28" si="11">R24/O24*100</f>
        <v>0.35934430464377431</v>
      </c>
      <c r="T24" s="517"/>
      <c r="U24" s="501"/>
      <c r="V24" s="511"/>
      <c r="W24" s="508"/>
    </row>
    <row r="25" spans="1:25" s="510" customFormat="1">
      <c r="A25" s="504">
        <v>545</v>
      </c>
      <c r="B25" s="482">
        <v>0</v>
      </c>
      <c r="C25" s="1005">
        <f>C26-D26</f>
        <v>220</v>
      </c>
      <c r="D25" s="671">
        <v>45</v>
      </c>
      <c r="E25" s="672"/>
      <c r="F25" s="673"/>
      <c r="G25" s="674">
        <f t="shared" si="9"/>
        <v>45</v>
      </c>
      <c r="H25" s="672">
        <v>5.7</v>
      </c>
      <c r="I25" s="672"/>
      <c r="J25" s="672"/>
      <c r="K25" s="672"/>
      <c r="L25" s="675">
        <f t="shared" ref="L25:L29" si="12">AVERAGE(H25:K25)</f>
        <v>5.7</v>
      </c>
      <c r="M25" s="483">
        <f t="shared" ref="M25:M29" si="13">G25*    PI()* (L25/2)^2</f>
        <v>1148.2913847952393</v>
      </c>
      <c r="N25" s="649">
        <f>(C24+C25-G25)/2</f>
        <v>174</v>
      </c>
      <c r="O25" s="650">
        <f>(C25+C26-G26)/2</f>
        <v>220</v>
      </c>
      <c r="P25" s="497">
        <f>(A25-B25)/M25</f>
        <v>0.4746182085979711</v>
      </c>
      <c r="Q25" s="488">
        <f t="shared" si="10"/>
        <v>0.21832437595506671</v>
      </c>
      <c r="R25" s="651">
        <f>SUM(Q$13:Q25)</f>
        <v>0.84358346603523404</v>
      </c>
      <c r="S25" s="500">
        <f t="shared" si="11"/>
        <v>0.38344703001601543</v>
      </c>
      <c r="T25" s="517"/>
      <c r="U25" s="501"/>
      <c r="V25" s="513"/>
      <c r="W25" s="514"/>
    </row>
    <row r="26" spans="1:25" s="510" customFormat="1">
      <c r="A26" s="504">
        <v>520</v>
      </c>
      <c r="B26" s="482">
        <v>0</v>
      </c>
      <c r="C26" s="720">
        <v>265</v>
      </c>
      <c r="D26" s="671">
        <v>45</v>
      </c>
      <c r="E26" s="672"/>
      <c r="F26" s="673"/>
      <c r="G26" s="674">
        <f t="shared" si="9"/>
        <v>45</v>
      </c>
      <c r="H26" s="672">
        <v>5.7</v>
      </c>
      <c r="I26" s="672"/>
      <c r="J26" s="672"/>
      <c r="K26" s="672"/>
      <c r="L26" s="675">
        <f t="shared" si="12"/>
        <v>5.7</v>
      </c>
      <c r="M26" s="483">
        <f t="shared" si="13"/>
        <v>1148.2913847952393</v>
      </c>
      <c r="N26" s="649">
        <f t="shared" ref="N26:N29" si="14">(C25+C26-G26)/2</f>
        <v>220</v>
      </c>
      <c r="O26" s="650">
        <f t="shared" ref="O26:O28" si="15">(C26+C27-G27)/2</f>
        <v>266</v>
      </c>
      <c r="P26" s="497">
        <f t="shared" ref="P26:P29" si="16">(A26-B26)/M26</f>
        <v>0.45284673113934859</v>
      </c>
      <c r="Q26" s="488">
        <f t="shared" si="10"/>
        <v>0.20830949632410037</v>
      </c>
      <c r="R26" s="651">
        <f>SUM(Q$13:Q26)</f>
        <v>1.0518929623593345</v>
      </c>
      <c r="S26" s="500">
        <f t="shared" si="11"/>
        <v>0.39544848208997541</v>
      </c>
      <c r="T26" s="934"/>
      <c r="U26" s="501"/>
      <c r="V26" s="513"/>
      <c r="W26" s="514"/>
    </row>
    <row r="27" spans="1:25" s="510" customFormat="1">
      <c r="A27" s="504">
        <v>775</v>
      </c>
      <c r="B27" s="482">
        <v>0</v>
      </c>
      <c r="C27" s="720">
        <v>332</v>
      </c>
      <c r="D27" s="671">
        <v>65</v>
      </c>
      <c r="E27" s="672"/>
      <c r="F27" s="673"/>
      <c r="G27" s="674">
        <f t="shared" si="9"/>
        <v>65</v>
      </c>
      <c r="H27" s="672">
        <v>5.7</v>
      </c>
      <c r="I27" s="672"/>
      <c r="J27" s="672"/>
      <c r="K27" s="672"/>
      <c r="L27" s="675">
        <f t="shared" si="12"/>
        <v>5.7</v>
      </c>
      <c r="M27" s="483">
        <f t="shared" si="13"/>
        <v>1658.6431113709011</v>
      </c>
      <c r="N27" s="649">
        <f t="shared" si="14"/>
        <v>266</v>
      </c>
      <c r="O27" s="650">
        <f t="shared" si="15"/>
        <v>332</v>
      </c>
      <c r="P27" s="497">
        <f t="shared" si="16"/>
        <v>0.46724940084274508</v>
      </c>
      <c r="Q27" s="488">
        <f t="shared" si="10"/>
        <v>0.30838460455621175</v>
      </c>
      <c r="R27" s="651">
        <f>SUM(Q$13:Q27)</f>
        <v>1.3602775669155462</v>
      </c>
      <c r="S27" s="500">
        <f t="shared" si="11"/>
        <v>0.4097221587095019</v>
      </c>
      <c r="T27" s="517"/>
      <c r="U27" s="501"/>
      <c r="V27" s="513"/>
      <c r="W27" s="514"/>
    </row>
    <row r="28" spans="1:25" s="510" customFormat="1">
      <c r="A28" s="504">
        <v>455</v>
      </c>
      <c r="B28" s="482">
        <v>0</v>
      </c>
      <c r="C28" s="1005">
        <f>C29-G29</f>
        <v>368</v>
      </c>
      <c r="D28" s="671">
        <v>36</v>
      </c>
      <c r="E28" s="672"/>
      <c r="F28" s="673"/>
      <c r="G28" s="674">
        <f t="shared" si="9"/>
        <v>36</v>
      </c>
      <c r="H28" s="672">
        <v>5.7</v>
      </c>
      <c r="I28" s="672"/>
      <c r="J28" s="672"/>
      <c r="K28" s="672"/>
      <c r="L28" s="675">
        <f t="shared" si="12"/>
        <v>5.7</v>
      </c>
      <c r="M28" s="483">
        <f t="shared" si="13"/>
        <v>918.63310783619147</v>
      </c>
      <c r="N28" s="649">
        <f t="shared" si="14"/>
        <v>332</v>
      </c>
      <c r="O28" s="650">
        <f t="shared" si="15"/>
        <v>368</v>
      </c>
      <c r="P28" s="497">
        <f t="shared" si="16"/>
        <v>0.49530111218366252</v>
      </c>
      <c r="Q28" s="488">
        <f t="shared" si="10"/>
        <v>0.1783084003861185</v>
      </c>
      <c r="R28" s="651">
        <f>SUM(Q$13:Q28)</f>
        <v>1.5385859673016649</v>
      </c>
      <c r="S28" s="500">
        <f t="shared" si="11"/>
        <v>0.41809401285371323</v>
      </c>
      <c r="T28" s="517" t="s">
        <v>201</v>
      </c>
      <c r="U28" s="501"/>
      <c r="V28" s="502"/>
      <c r="W28" s="514"/>
    </row>
    <row r="29" spans="1:25" s="510" customFormat="1">
      <c r="A29" s="504">
        <v>565</v>
      </c>
      <c r="B29" s="482">
        <v>0</v>
      </c>
      <c r="C29" s="720">
        <v>407</v>
      </c>
      <c r="D29" s="671">
        <v>39</v>
      </c>
      <c r="E29" s="672"/>
      <c r="F29" s="673"/>
      <c r="G29" s="674">
        <f t="shared" si="9"/>
        <v>39</v>
      </c>
      <c r="H29" s="672">
        <v>5.7</v>
      </c>
      <c r="I29" s="672"/>
      <c r="J29" s="672"/>
      <c r="K29" s="672"/>
      <c r="L29" s="675">
        <f t="shared" si="12"/>
        <v>5.7</v>
      </c>
      <c r="M29" s="483">
        <f t="shared" si="13"/>
        <v>995.18586682254067</v>
      </c>
      <c r="N29" s="649">
        <f t="shared" si="14"/>
        <v>368</v>
      </c>
      <c r="O29" s="650">
        <f>C29</f>
        <v>407</v>
      </c>
      <c r="P29" s="497">
        <f t="shared" si="16"/>
        <v>0.56773314295946442</v>
      </c>
      <c r="Q29" s="488">
        <f t="shared" si="10"/>
        <v>0.22141592575419111</v>
      </c>
      <c r="R29" s="651">
        <f>SUM(Q$13:Q29)</f>
        <v>1.7600018930558559</v>
      </c>
      <c r="S29" s="500">
        <f>R29/O29*100</f>
        <v>0.43243289755672137</v>
      </c>
      <c r="T29" s="517" t="s">
        <v>202</v>
      </c>
      <c r="U29" s="501"/>
      <c r="V29" s="502"/>
      <c r="W29" s="514"/>
    </row>
    <row r="30" spans="1:25" s="510" customFormat="1" ht="10.8" thickBot="1">
      <c r="A30" s="504"/>
      <c r="B30" s="482"/>
      <c r="C30" s="1005"/>
      <c r="D30" s="671"/>
      <c r="E30" s="672"/>
      <c r="F30" s="673"/>
      <c r="G30" s="674"/>
      <c r="H30" s="672"/>
      <c r="I30" s="672"/>
      <c r="J30" s="672"/>
      <c r="K30" s="672"/>
      <c r="L30" s="675"/>
      <c r="M30" s="483"/>
      <c r="N30" s="649"/>
      <c r="O30" s="650"/>
      <c r="P30" s="497"/>
      <c r="Q30" s="488"/>
      <c r="R30" s="651"/>
      <c r="S30" s="500"/>
      <c r="T30" s="517"/>
      <c r="U30" s="501"/>
      <c r="V30" s="502"/>
      <c r="W30" s="514"/>
    </row>
    <row r="31" spans="1:25">
      <c r="A31" s="504"/>
      <c r="B31" s="482"/>
      <c r="C31" s="1005"/>
      <c r="D31" s="671"/>
      <c r="E31" s="672"/>
      <c r="F31" s="673"/>
      <c r="G31" s="674"/>
      <c r="H31" s="672"/>
      <c r="I31" s="672"/>
      <c r="J31" s="672"/>
      <c r="K31" s="672"/>
      <c r="L31" s="675"/>
      <c r="M31" s="483"/>
      <c r="N31" s="649"/>
      <c r="O31" s="650"/>
      <c r="P31" s="497"/>
      <c r="Q31" s="488"/>
      <c r="R31" s="651"/>
      <c r="S31" s="500"/>
      <c r="T31" s="517"/>
      <c r="U31" s="527" t="s">
        <v>138</v>
      </c>
      <c r="V31" s="528">
        <f>AVERAGE(V12:V30)</f>
        <v>331.8</v>
      </c>
      <c r="W31" s="514"/>
      <c r="X31" s="510"/>
      <c r="Y31" s="510"/>
    </row>
    <row r="32" spans="1:25">
      <c r="A32" s="504"/>
      <c r="B32" s="482"/>
      <c r="C32" s="1005"/>
      <c r="D32" s="671"/>
      <c r="E32" s="672"/>
      <c r="F32" s="673"/>
      <c r="G32" s="674"/>
      <c r="H32" s="672"/>
      <c r="I32" s="672"/>
      <c r="J32" s="672"/>
      <c r="K32" s="672"/>
      <c r="L32" s="675"/>
      <c r="M32" s="483"/>
      <c r="N32" s="649"/>
      <c r="O32" s="650"/>
      <c r="P32" s="497"/>
      <c r="Q32" s="488"/>
      <c r="R32" s="651"/>
      <c r="S32" s="500"/>
      <c r="T32" s="517"/>
      <c r="U32" s="404" t="s">
        <v>139</v>
      </c>
      <c r="V32" s="526">
        <f>STDEV(V12:V30)</f>
        <v>4.6043457732885349</v>
      </c>
      <c r="W32" s="514"/>
      <c r="X32" s="510"/>
      <c r="Y32" s="510"/>
    </row>
    <row r="33" spans="1:26">
      <c r="A33" s="504"/>
      <c r="B33" s="482"/>
      <c r="C33" s="1005"/>
      <c r="D33" s="671"/>
      <c r="E33" s="672"/>
      <c r="F33" s="673"/>
      <c r="G33" s="674"/>
      <c r="H33" s="672"/>
      <c r="I33" s="672"/>
      <c r="J33" s="672"/>
      <c r="K33" s="672"/>
      <c r="L33" s="675"/>
      <c r="M33" s="483"/>
      <c r="N33" s="649"/>
      <c r="O33" s="650"/>
      <c r="P33" s="497"/>
      <c r="Q33" s="488"/>
      <c r="R33" s="651"/>
      <c r="S33" s="500"/>
      <c r="T33" s="935"/>
      <c r="U33" s="404" t="s">
        <v>141</v>
      </c>
      <c r="V33" s="526">
        <f>V32/SQRT(COUNT(V12:V30))</f>
        <v>2.0591260281974</v>
      </c>
      <c r="W33" s="514"/>
      <c r="X33" s="510"/>
      <c r="Y33" s="510"/>
    </row>
    <row r="34" spans="1:26">
      <c r="A34" s="540"/>
      <c r="B34" s="541"/>
      <c r="C34" s="542"/>
      <c r="D34" s="542"/>
      <c r="E34" s="542"/>
      <c r="F34" s="542"/>
      <c r="G34" s="682"/>
      <c r="H34" s="542"/>
      <c r="I34" s="542"/>
      <c r="J34" s="542"/>
      <c r="K34" s="542"/>
      <c r="L34" s="683"/>
      <c r="M34" s="542"/>
      <c r="N34" s="684"/>
      <c r="O34" s="685"/>
      <c r="P34" s="686"/>
      <c r="Q34" s="547"/>
      <c r="R34" s="687"/>
      <c r="S34" s="688"/>
      <c r="T34" s="550"/>
      <c r="U34" s="404" t="s">
        <v>142</v>
      </c>
      <c r="V34" s="526">
        <f>MAX(V12:V30)</f>
        <v>337</v>
      </c>
      <c r="W34" s="514"/>
      <c r="X34" s="510"/>
      <c r="Y34" s="510"/>
    </row>
    <row r="35" spans="1:26" ht="10.8" thickBot="1">
      <c r="A35" s="551"/>
      <c r="B35" s="552"/>
      <c r="C35" s="553"/>
      <c r="D35" s="553"/>
      <c r="E35" s="553"/>
      <c r="F35" s="553"/>
      <c r="G35" s="689"/>
      <c r="H35" s="553"/>
      <c r="I35" s="553"/>
      <c r="J35" s="553"/>
      <c r="K35" s="553"/>
      <c r="L35" s="690"/>
      <c r="M35" s="553"/>
      <c r="N35" s="691"/>
      <c r="O35" s="692"/>
      <c r="P35" s="693"/>
      <c r="Q35" s="558"/>
      <c r="R35" s="694"/>
      <c r="S35" s="695"/>
      <c r="T35" s="561"/>
      <c r="U35" s="562" t="s">
        <v>143</v>
      </c>
      <c r="V35" s="563">
        <f>MIN(V12:V30)</f>
        <v>327</v>
      </c>
      <c r="W35" s="514"/>
      <c r="X35" s="510"/>
      <c r="Y35" s="510"/>
    </row>
    <row r="36" spans="1:26">
      <c r="A36" s="564"/>
      <c r="B36" s="564"/>
      <c r="C36" s="565"/>
      <c r="D36" s="566"/>
      <c r="E36" s="566"/>
      <c r="F36" s="566"/>
      <c r="G36" s="567"/>
      <c r="H36" s="568"/>
      <c r="I36" s="569"/>
      <c r="J36" s="570"/>
      <c r="K36" s="571"/>
      <c r="L36" s="572"/>
      <c r="M36" s="458"/>
      <c r="O36" s="516"/>
      <c r="P36" s="578"/>
      <c r="W36" s="518"/>
    </row>
    <row r="37" spans="1:26">
      <c r="A37" s="458"/>
      <c r="B37" s="458"/>
      <c r="C37" s="573"/>
      <c r="D37" s="573"/>
      <c r="E37" s="573"/>
      <c r="F37" s="573"/>
      <c r="G37" s="569"/>
      <c r="H37" s="568"/>
      <c r="I37" s="569"/>
      <c r="J37" s="570"/>
      <c r="K37" s="574"/>
      <c r="L37" s="572"/>
      <c r="M37" s="458"/>
      <c r="O37" s="516"/>
      <c r="P37" s="578"/>
      <c r="W37" s="519"/>
      <c r="X37" s="520"/>
      <c r="Y37" s="521"/>
      <c r="Z37" s="520"/>
    </row>
    <row r="38" spans="1:26">
      <c r="A38" s="575"/>
      <c r="B38" s="575"/>
      <c r="C38" s="575"/>
      <c r="D38" s="575"/>
      <c r="E38" s="570"/>
      <c r="F38" s="576"/>
      <c r="G38" s="458"/>
      <c r="H38" s="516"/>
      <c r="I38" s="458"/>
      <c r="J38" s="516"/>
      <c r="K38" s="516"/>
      <c r="L38" s="458"/>
      <c r="M38" s="458"/>
      <c r="O38" s="516"/>
      <c r="P38" s="578"/>
      <c r="R38" s="578">
        <f>P28*(3.68-3.37) + P29*(3.9-3.68)</f>
        <v>0.27844463622801741</v>
      </c>
      <c r="S38" s="578">
        <f>(3.9-3.37)/R38</f>
        <v>1.9034304527453154</v>
      </c>
      <c r="T38" s="936" t="s">
        <v>256</v>
      </c>
      <c r="U38" s="936"/>
      <c r="W38" s="519"/>
      <c r="X38" s="520"/>
      <c r="Y38" s="522"/>
      <c r="Z38" s="520"/>
    </row>
    <row r="39" spans="1:26">
      <c r="A39" s="577"/>
      <c r="B39" s="577"/>
      <c r="C39" s="575"/>
      <c r="D39" s="575"/>
      <c r="E39" s="570"/>
      <c r="F39" s="576"/>
      <c r="G39" s="516"/>
      <c r="H39" s="516"/>
      <c r="I39" s="458"/>
      <c r="J39" s="516"/>
      <c r="K39" s="516"/>
      <c r="L39" s="458"/>
      <c r="M39" s="458"/>
      <c r="O39" s="516"/>
      <c r="P39" s="578"/>
      <c r="T39" s="936"/>
      <c r="U39" s="936"/>
      <c r="W39" s="523"/>
      <c r="X39" s="520"/>
      <c r="Y39" s="520"/>
      <c r="Z39" s="520"/>
    </row>
    <row r="40" spans="1:26">
      <c r="A40" s="451"/>
      <c r="B40" s="451"/>
      <c r="C40" s="575"/>
      <c r="D40" s="575"/>
      <c r="E40" s="570"/>
      <c r="F40" s="576"/>
      <c r="G40" s="516"/>
      <c r="H40" s="516"/>
      <c r="I40" s="458"/>
      <c r="J40" s="516"/>
      <c r="K40" s="516"/>
      <c r="L40" s="458"/>
      <c r="M40" s="458"/>
      <c r="O40" s="516"/>
      <c r="P40" s="578"/>
      <c r="T40" s="936"/>
      <c r="U40" s="936"/>
      <c r="W40" s="524"/>
      <c r="X40" s="525"/>
    </row>
    <row r="41" spans="1:26">
      <c r="A41" s="575"/>
      <c r="B41" s="575"/>
      <c r="C41" s="575"/>
      <c r="D41" s="575"/>
      <c r="E41" s="570"/>
      <c r="F41" s="576"/>
      <c r="G41" s="516"/>
      <c r="H41" s="516"/>
      <c r="I41" s="458"/>
      <c r="J41" s="516"/>
      <c r="K41" s="516"/>
      <c r="L41" s="458"/>
      <c r="M41" s="458"/>
      <c r="O41" s="516"/>
      <c r="P41" s="578"/>
      <c r="T41" s="936"/>
      <c r="U41" s="936"/>
      <c r="W41" s="525"/>
      <c r="X41" s="525"/>
    </row>
    <row r="42" spans="1:26">
      <c r="A42" s="575"/>
      <c r="B42" s="575"/>
      <c r="C42" s="575"/>
      <c r="D42" s="575"/>
      <c r="E42" s="570"/>
      <c r="F42" s="576"/>
      <c r="G42" s="516"/>
      <c r="H42" s="516"/>
      <c r="I42" s="458"/>
      <c r="J42" s="569"/>
      <c r="K42" s="516"/>
      <c r="L42" s="458"/>
      <c r="M42" s="458"/>
      <c r="O42" s="516"/>
      <c r="P42" s="578"/>
      <c r="T42" s="936"/>
      <c r="U42" s="936"/>
    </row>
    <row r="43" spans="1:26">
      <c r="A43" s="575"/>
      <c r="B43" s="575"/>
      <c r="C43" s="575"/>
      <c r="D43" s="575"/>
      <c r="E43" s="570"/>
      <c r="F43" s="576"/>
      <c r="G43" s="516"/>
      <c r="H43" s="516"/>
      <c r="I43" s="458"/>
      <c r="J43" s="569"/>
      <c r="K43" s="516"/>
      <c r="L43" s="458"/>
      <c r="M43" s="458"/>
      <c r="O43" s="516"/>
      <c r="P43" s="578"/>
      <c r="T43" s="936"/>
      <c r="U43" s="936"/>
    </row>
    <row r="44" spans="1:26">
      <c r="A44" s="575"/>
      <c r="B44" s="575"/>
      <c r="C44" s="575"/>
      <c r="D44" s="575"/>
      <c r="E44" s="570"/>
      <c r="F44" s="576"/>
      <c r="G44" s="516"/>
      <c r="H44" s="516"/>
      <c r="I44" s="458"/>
      <c r="J44" s="516"/>
      <c r="K44" s="516"/>
      <c r="L44" s="458"/>
      <c r="M44" s="458"/>
      <c r="O44" s="516"/>
      <c r="P44" s="578"/>
      <c r="T44" s="936"/>
      <c r="U44" s="936"/>
    </row>
    <row r="45" spans="1:26">
      <c r="A45" s="575"/>
      <c r="B45" s="575"/>
      <c r="C45" s="575"/>
      <c r="D45" s="575"/>
      <c r="E45" s="570"/>
      <c r="F45" s="576"/>
      <c r="G45" s="516"/>
      <c r="H45" s="516"/>
      <c r="I45" s="458"/>
      <c r="J45" s="516"/>
      <c r="K45" s="516"/>
      <c r="L45" s="458"/>
      <c r="M45" s="458"/>
      <c r="O45" s="516"/>
      <c r="P45" s="578"/>
    </row>
    <row r="46" spans="1:26">
      <c r="A46" s="575"/>
      <c r="B46" s="575"/>
      <c r="C46" s="575"/>
      <c r="D46" s="575"/>
      <c r="E46" s="570"/>
      <c r="F46" s="576"/>
      <c r="G46" s="516"/>
      <c r="H46" s="516"/>
      <c r="I46" s="458"/>
      <c r="J46" s="516"/>
      <c r="K46" s="516"/>
      <c r="L46" s="458"/>
      <c r="M46" s="458"/>
      <c r="O46" s="516"/>
      <c r="P46" s="578"/>
    </row>
    <row r="47" spans="1:26">
      <c r="A47" s="575"/>
      <c r="B47" s="575"/>
      <c r="C47" s="575"/>
      <c r="D47" s="575"/>
      <c r="E47" s="570"/>
      <c r="F47" s="576"/>
      <c r="G47" s="516"/>
      <c r="H47" s="516"/>
      <c r="I47" s="458"/>
      <c r="J47" s="516"/>
      <c r="K47" s="516"/>
      <c r="L47" s="458"/>
      <c r="M47" s="458"/>
      <c r="O47" s="516"/>
      <c r="P47" s="578"/>
    </row>
    <row r="48" spans="1:26">
      <c r="A48" s="575"/>
      <c r="B48" s="575"/>
      <c r="C48" s="575"/>
      <c r="D48" s="575"/>
      <c r="E48" s="570"/>
      <c r="F48" s="576"/>
      <c r="G48" s="516"/>
      <c r="H48" s="516"/>
      <c r="I48" s="458"/>
      <c r="J48" s="516"/>
      <c r="K48" s="516"/>
      <c r="L48" s="458"/>
      <c r="M48" s="458"/>
      <c r="O48" s="516"/>
      <c r="P48" s="578"/>
    </row>
    <row r="49" spans="1:26">
      <c r="A49" s="575"/>
      <c r="B49" s="575"/>
      <c r="C49" s="575"/>
      <c r="D49" s="575"/>
      <c r="E49" s="570"/>
      <c r="F49" s="576"/>
      <c r="G49" s="516"/>
      <c r="H49" s="516"/>
      <c r="I49" s="458"/>
      <c r="J49" s="516"/>
      <c r="K49" s="516"/>
      <c r="L49" s="458"/>
      <c r="O49" s="516"/>
      <c r="P49" s="578"/>
    </row>
    <row r="50" spans="1:26">
      <c r="A50" s="575"/>
      <c r="B50" s="575"/>
      <c r="C50" s="575"/>
      <c r="D50" s="575"/>
      <c r="E50" s="570"/>
      <c r="F50" s="576"/>
      <c r="G50" s="516"/>
      <c r="H50" s="516"/>
      <c r="I50" s="458"/>
      <c r="J50" s="516"/>
      <c r="K50" s="516"/>
      <c r="L50" s="458"/>
      <c r="O50" s="516"/>
      <c r="P50" s="578"/>
    </row>
    <row r="51" spans="1:26">
      <c r="A51" s="575"/>
      <c r="B51" s="575"/>
      <c r="C51" s="575"/>
      <c r="D51" s="575"/>
      <c r="E51" s="570"/>
      <c r="F51" s="576"/>
      <c r="G51" s="516"/>
      <c r="H51" s="516"/>
      <c r="I51" s="458"/>
      <c r="J51" s="516"/>
      <c r="K51" s="516"/>
      <c r="L51" s="516"/>
      <c r="O51" s="516"/>
      <c r="P51" s="578"/>
    </row>
    <row r="52" spans="1:26">
      <c r="A52" s="575"/>
      <c r="B52" s="575"/>
      <c r="C52" s="575"/>
      <c r="D52" s="575"/>
      <c r="E52" s="570"/>
      <c r="F52" s="576"/>
      <c r="G52" s="516"/>
      <c r="H52" s="516"/>
      <c r="I52" s="458"/>
      <c r="J52" s="516"/>
      <c r="K52" s="516"/>
      <c r="L52" s="516"/>
      <c r="O52" s="516"/>
      <c r="P52" s="578"/>
    </row>
    <row r="53" spans="1:26">
      <c r="A53" s="575"/>
      <c r="B53" s="575"/>
      <c r="C53" s="575"/>
      <c r="D53" s="575"/>
      <c r="E53" s="570"/>
      <c r="F53" s="576"/>
      <c r="G53" s="516"/>
      <c r="H53" s="516"/>
      <c r="I53" s="458"/>
      <c r="J53" s="516"/>
      <c r="K53" s="516"/>
      <c r="L53" s="516"/>
      <c r="O53" s="516"/>
      <c r="P53" s="578"/>
    </row>
    <row r="54" spans="1:26">
      <c r="A54" s="575"/>
      <c r="B54" s="575"/>
      <c r="C54" s="575"/>
      <c r="D54" s="575"/>
      <c r="E54" s="570"/>
      <c r="F54" s="576"/>
      <c r="G54" s="516"/>
      <c r="H54" s="516"/>
      <c r="I54" s="458"/>
      <c r="J54" s="516"/>
      <c r="K54" s="516"/>
      <c r="L54" s="516"/>
      <c r="O54" s="516"/>
      <c r="P54" s="578"/>
    </row>
    <row r="55" spans="1:26">
      <c r="A55" s="575"/>
      <c r="B55" s="575"/>
      <c r="C55" s="575"/>
      <c r="D55" s="575"/>
      <c r="E55" s="570"/>
      <c r="F55" s="576"/>
      <c r="G55" s="516"/>
      <c r="H55" s="516"/>
      <c r="I55" s="458"/>
      <c r="J55" s="516"/>
      <c r="K55" s="516"/>
      <c r="L55" s="516"/>
      <c r="O55" s="516"/>
      <c r="P55" s="578"/>
    </row>
    <row r="56" spans="1:26">
      <c r="A56" s="575"/>
      <c r="B56" s="575"/>
      <c r="C56" s="575"/>
      <c r="D56" s="575"/>
      <c r="E56" s="570"/>
      <c r="F56" s="576"/>
      <c r="G56" s="516"/>
      <c r="H56" s="516"/>
      <c r="I56" s="458"/>
      <c r="J56" s="516"/>
      <c r="K56" s="516"/>
      <c r="L56" s="516"/>
      <c r="O56" s="516"/>
      <c r="P56" s="578"/>
      <c r="W56" s="458"/>
      <c r="X56" s="458"/>
    </row>
    <row r="57" spans="1:26">
      <c r="A57" s="575"/>
      <c r="B57" s="575"/>
      <c r="C57" s="575"/>
      <c r="D57" s="575"/>
      <c r="E57" s="570"/>
      <c r="F57" s="576"/>
      <c r="G57" s="516"/>
      <c r="H57" s="516"/>
      <c r="I57" s="458"/>
      <c r="J57" s="516"/>
      <c r="K57" s="516"/>
      <c r="L57" s="516"/>
      <c r="O57" s="516"/>
      <c r="P57" s="578"/>
      <c r="W57" s="524"/>
      <c r="X57" s="458"/>
      <c r="Y57" s="458"/>
      <c r="Z57" s="458"/>
    </row>
    <row r="58" spans="1:26">
      <c r="A58" s="575"/>
      <c r="B58" s="575"/>
      <c r="C58" s="575"/>
      <c r="D58" s="575"/>
      <c r="E58" s="570"/>
      <c r="F58" s="576"/>
      <c r="G58" s="516"/>
      <c r="H58" s="516"/>
      <c r="I58" s="458"/>
      <c r="J58" s="516"/>
      <c r="K58" s="516"/>
      <c r="L58" s="516"/>
      <c r="O58" s="516"/>
      <c r="P58" s="578"/>
      <c r="W58" s="524"/>
    </row>
    <row r="59" spans="1:26">
      <c r="A59" s="575"/>
      <c r="B59" s="575"/>
      <c r="C59" s="575"/>
      <c r="D59" s="575"/>
      <c r="E59" s="570"/>
      <c r="F59" s="576"/>
      <c r="G59" s="516"/>
      <c r="H59" s="516"/>
      <c r="I59" s="458"/>
      <c r="J59" s="516"/>
      <c r="K59" s="516"/>
      <c r="L59" s="516"/>
      <c r="O59" s="516"/>
      <c r="P59" s="578"/>
      <c r="W59" s="458"/>
    </row>
    <row r="60" spans="1:26">
      <c r="A60" s="575"/>
      <c r="B60" s="575"/>
      <c r="C60" s="575"/>
      <c r="D60" s="575"/>
      <c r="E60" s="570"/>
      <c r="F60" s="576"/>
      <c r="G60" s="516"/>
      <c r="H60" s="516"/>
      <c r="I60" s="458"/>
      <c r="J60" s="516"/>
      <c r="K60" s="516"/>
      <c r="L60" s="516"/>
      <c r="O60" s="516"/>
      <c r="P60" s="578"/>
    </row>
    <row r="61" spans="1:26">
      <c r="A61" s="575"/>
      <c r="B61" s="575"/>
      <c r="C61" s="575"/>
      <c r="D61" s="575"/>
      <c r="E61" s="570"/>
      <c r="F61" s="576"/>
      <c r="G61" s="516"/>
      <c r="H61" s="516"/>
      <c r="I61" s="458"/>
      <c r="J61" s="516"/>
      <c r="K61" s="516"/>
      <c r="L61" s="516"/>
      <c r="O61" s="516"/>
      <c r="P61" s="578"/>
    </row>
    <row r="62" spans="1:26">
      <c r="A62" s="575"/>
      <c r="B62" s="575"/>
      <c r="C62" s="575"/>
      <c r="D62" s="575"/>
      <c r="E62" s="570"/>
      <c r="F62" s="576"/>
      <c r="G62" s="578"/>
      <c r="H62" s="516"/>
      <c r="I62" s="458"/>
      <c r="J62" s="516"/>
      <c r="K62" s="516"/>
      <c r="L62" s="516"/>
      <c r="O62" s="516"/>
      <c r="P62" s="578"/>
    </row>
    <row r="63" spans="1:26">
      <c r="A63" s="575"/>
      <c r="B63" s="575"/>
      <c r="C63" s="575"/>
      <c r="D63" s="575"/>
      <c r="E63" s="570"/>
      <c r="F63" s="576"/>
      <c r="G63" s="578"/>
      <c r="H63" s="516"/>
      <c r="I63" s="458"/>
      <c r="J63" s="516"/>
      <c r="K63" s="516"/>
      <c r="L63" s="516"/>
      <c r="O63" s="516"/>
      <c r="P63" s="578"/>
    </row>
    <row r="64" spans="1:26">
      <c r="A64" s="575"/>
      <c r="B64" s="575"/>
      <c r="C64" s="575"/>
      <c r="D64" s="575"/>
      <c r="E64" s="570"/>
      <c r="F64" s="576"/>
      <c r="G64" s="578"/>
      <c r="H64" s="516"/>
      <c r="I64" s="458"/>
      <c r="J64" s="516"/>
      <c r="K64" s="516"/>
      <c r="L64" s="516"/>
      <c r="O64" s="516"/>
      <c r="P64" s="578"/>
    </row>
    <row r="65" spans="1:22">
      <c r="A65" s="575"/>
      <c r="B65" s="575"/>
      <c r="C65" s="575"/>
      <c r="D65" s="575"/>
      <c r="E65" s="570"/>
      <c r="F65" s="576"/>
      <c r="G65" s="578"/>
      <c r="H65" s="516"/>
      <c r="I65" s="458"/>
      <c r="J65" s="516"/>
      <c r="K65" s="516"/>
      <c r="L65" s="516"/>
      <c r="O65" s="516"/>
      <c r="P65" s="578"/>
    </row>
    <row r="66" spans="1:22">
      <c r="A66" s="575"/>
      <c r="B66" s="575"/>
      <c r="C66" s="575"/>
      <c r="D66" s="575"/>
      <c r="E66" s="570"/>
      <c r="F66" s="576"/>
      <c r="G66" s="516"/>
      <c r="H66" s="516"/>
      <c r="I66" s="458"/>
      <c r="J66" s="516"/>
      <c r="K66" s="516"/>
      <c r="L66" s="516"/>
      <c r="O66" s="516"/>
      <c r="P66" s="578"/>
    </row>
    <row r="67" spans="1:22">
      <c r="A67" s="575"/>
      <c r="B67" s="575"/>
      <c r="C67" s="575"/>
      <c r="D67" s="575"/>
      <c r="E67" s="570"/>
      <c r="F67" s="576"/>
      <c r="G67" s="516"/>
      <c r="H67" s="516"/>
      <c r="I67" s="458"/>
      <c r="J67" s="516"/>
      <c r="K67" s="516"/>
      <c r="L67" s="516"/>
      <c r="O67" s="516"/>
      <c r="P67" s="578"/>
    </row>
    <row r="68" spans="1:22">
      <c r="A68" s="575"/>
      <c r="B68" s="575"/>
      <c r="C68" s="575"/>
      <c r="D68" s="575"/>
      <c r="E68" s="570"/>
      <c r="F68" s="576"/>
      <c r="G68" s="516"/>
      <c r="H68" s="516"/>
      <c r="I68" s="458"/>
      <c r="J68" s="516"/>
      <c r="K68" s="516"/>
      <c r="L68" s="516"/>
      <c r="O68" s="516"/>
      <c r="P68" s="578"/>
      <c r="R68" s="580"/>
      <c r="S68" s="580"/>
      <c r="T68" s="575"/>
      <c r="U68" s="575"/>
      <c r="V68" s="575"/>
    </row>
    <row r="69" spans="1:22">
      <c r="A69" s="575"/>
      <c r="B69" s="575"/>
      <c r="C69" s="575"/>
      <c r="D69" s="575"/>
      <c r="E69" s="570"/>
      <c r="F69" s="576"/>
      <c r="G69" s="516"/>
      <c r="H69" s="516"/>
      <c r="I69" s="458"/>
      <c r="J69" s="516"/>
      <c r="K69" s="516"/>
      <c r="L69" s="516"/>
      <c r="O69" s="516"/>
      <c r="P69" s="578"/>
      <c r="R69" s="580"/>
      <c r="S69" s="580"/>
      <c r="T69" s="575"/>
      <c r="U69" s="575"/>
      <c r="V69" s="575"/>
    </row>
    <row r="70" spans="1:22">
      <c r="A70" s="575"/>
      <c r="B70" s="575"/>
      <c r="C70" s="575"/>
      <c r="D70" s="575"/>
      <c r="E70" s="570"/>
      <c r="F70" s="576"/>
      <c r="G70" s="516"/>
      <c r="H70" s="516"/>
      <c r="I70" s="458"/>
      <c r="J70" s="516"/>
      <c r="K70" s="516"/>
      <c r="L70" s="516"/>
      <c r="O70" s="516"/>
      <c r="P70" s="578"/>
      <c r="R70" s="580"/>
      <c r="S70" s="580"/>
      <c r="T70" s="575"/>
      <c r="U70" s="575"/>
      <c r="V70" s="575"/>
    </row>
    <row r="71" spans="1:22">
      <c r="A71" s="575"/>
      <c r="B71" s="575"/>
      <c r="C71" s="575"/>
      <c r="D71" s="575"/>
      <c r="E71" s="570"/>
      <c r="F71" s="576"/>
      <c r="G71" s="516"/>
      <c r="H71" s="516"/>
      <c r="I71" s="458"/>
      <c r="J71" s="516"/>
      <c r="K71" s="516"/>
      <c r="L71" s="516"/>
      <c r="O71" s="516"/>
      <c r="P71" s="578"/>
      <c r="R71" s="580"/>
      <c r="S71" s="580"/>
      <c r="T71" s="575"/>
      <c r="U71" s="575"/>
      <c r="V71" s="575"/>
    </row>
    <row r="72" spans="1:22">
      <c r="A72" s="575"/>
      <c r="B72" s="575"/>
      <c r="C72" s="575"/>
      <c r="D72" s="575"/>
      <c r="E72" s="570"/>
      <c r="F72" s="576"/>
      <c r="G72" s="516"/>
      <c r="H72" s="516"/>
      <c r="I72" s="458"/>
      <c r="J72" s="516"/>
      <c r="K72" s="516"/>
      <c r="L72" s="516"/>
      <c r="O72" s="516"/>
      <c r="P72" s="578"/>
      <c r="R72" s="580"/>
      <c r="S72" s="580"/>
      <c r="T72" s="575"/>
      <c r="U72" s="575"/>
      <c r="V72" s="575"/>
    </row>
    <row r="73" spans="1:22">
      <c r="A73" s="575"/>
      <c r="B73" s="575"/>
      <c r="C73" s="575"/>
      <c r="D73" s="575"/>
      <c r="E73" s="570"/>
      <c r="F73" s="576"/>
      <c r="G73" s="516"/>
      <c r="H73" s="516"/>
      <c r="I73" s="458"/>
      <c r="J73" s="516"/>
      <c r="K73" s="516"/>
      <c r="L73" s="516"/>
      <c r="N73" s="575"/>
      <c r="O73" s="575"/>
      <c r="P73" s="580"/>
      <c r="Q73" s="580"/>
      <c r="R73" s="580"/>
      <c r="S73" s="580"/>
      <c r="T73" s="575"/>
      <c r="U73" s="575"/>
      <c r="V73" s="575"/>
    </row>
    <row r="74" spans="1:22">
      <c r="A74" s="575"/>
      <c r="B74" s="575"/>
      <c r="C74" s="575"/>
      <c r="D74" s="575"/>
      <c r="E74" s="570"/>
      <c r="F74" s="576"/>
      <c r="G74" s="516"/>
      <c r="H74" s="516"/>
      <c r="I74" s="458"/>
      <c r="J74" s="516"/>
      <c r="K74" s="516"/>
      <c r="L74" s="516"/>
      <c r="N74" s="575"/>
      <c r="O74" s="575"/>
      <c r="P74" s="580"/>
      <c r="Q74" s="580"/>
      <c r="R74" s="580"/>
      <c r="S74" s="580"/>
      <c r="T74" s="575"/>
      <c r="U74" s="575"/>
      <c r="V74" s="575"/>
    </row>
    <row r="75" spans="1:22">
      <c r="A75" s="575"/>
      <c r="B75" s="575"/>
      <c r="C75" s="575"/>
      <c r="D75" s="575"/>
      <c r="E75" s="570"/>
      <c r="F75" s="576"/>
      <c r="G75" s="516"/>
      <c r="H75" s="516"/>
      <c r="I75" s="458"/>
      <c r="J75" s="516"/>
      <c r="K75" s="516"/>
      <c r="L75" s="516"/>
      <c r="N75" s="575"/>
      <c r="O75" s="575"/>
      <c r="P75" s="580"/>
      <c r="Q75" s="580"/>
      <c r="R75" s="580"/>
      <c r="S75" s="580"/>
      <c r="T75" s="575"/>
      <c r="U75" s="575"/>
      <c r="V75" s="575"/>
    </row>
    <row r="76" spans="1:22">
      <c r="A76" s="575"/>
      <c r="B76" s="575"/>
      <c r="C76" s="575"/>
      <c r="D76" s="575"/>
      <c r="E76" s="570"/>
      <c r="F76" s="576"/>
      <c r="G76" s="516"/>
      <c r="H76" s="516"/>
      <c r="I76" s="458"/>
      <c r="J76" s="516"/>
      <c r="K76" s="516"/>
      <c r="L76" s="516"/>
      <c r="N76" s="575"/>
      <c r="O76" s="575"/>
      <c r="P76" s="580"/>
      <c r="Q76" s="580"/>
      <c r="R76" s="580"/>
      <c r="S76" s="580"/>
      <c r="T76" s="575"/>
      <c r="U76" s="575"/>
      <c r="V76" s="575"/>
    </row>
    <row r="77" spans="1:22">
      <c r="A77" s="575"/>
      <c r="B77" s="575"/>
      <c r="C77" s="575"/>
      <c r="D77" s="575"/>
      <c r="E77" s="570"/>
      <c r="F77" s="576"/>
      <c r="G77" s="516"/>
      <c r="H77" s="516"/>
      <c r="I77" s="458"/>
      <c r="J77" s="516"/>
      <c r="K77" s="516"/>
      <c r="L77" s="516"/>
      <c r="N77" s="575"/>
      <c r="O77" s="575"/>
      <c r="P77" s="580"/>
      <c r="Q77" s="580"/>
      <c r="R77" s="580"/>
      <c r="S77" s="580"/>
      <c r="T77" s="575"/>
      <c r="U77" s="575"/>
      <c r="V77" s="575"/>
    </row>
    <row r="78" spans="1:22">
      <c r="A78" s="575"/>
      <c r="B78" s="575"/>
      <c r="C78" s="575"/>
      <c r="D78" s="575"/>
      <c r="E78" s="570"/>
      <c r="F78" s="576"/>
      <c r="G78" s="516"/>
      <c r="H78" s="516"/>
      <c r="I78" s="458"/>
      <c r="J78" s="516"/>
      <c r="K78" s="516"/>
      <c r="L78" s="516"/>
      <c r="N78" s="575"/>
      <c r="O78" s="575"/>
      <c r="P78" s="580"/>
      <c r="Q78" s="580"/>
      <c r="R78" s="580"/>
      <c r="S78" s="580"/>
      <c r="T78" s="575"/>
      <c r="U78" s="575"/>
      <c r="V78" s="575"/>
    </row>
    <row r="79" spans="1:22">
      <c r="A79" s="575"/>
      <c r="B79" s="575"/>
      <c r="C79" s="575"/>
      <c r="D79" s="575"/>
      <c r="E79" s="570"/>
      <c r="F79" s="576"/>
      <c r="G79" s="516"/>
      <c r="H79" s="516"/>
      <c r="I79" s="458"/>
      <c r="J79" s="516"/>
      <c r="K79" s="516"/>
      <c r="L79" s="516"/>
      <c r="N79" s="575"/>
      <c r="O79" s="575"/>
      <c r="P79" s="580"/>
      <c r="Q79" s="580"/>
      <c r="R79" s="580"/>
      <c r="S79" s="580"/>
      <c r="T79" s="575"/>
      <c r="U79" s="575"/>
      <c r="V79" s="575"/>
    </row>
    <row r="80" spans="1:22">
      <c r="A80" s="575"/>
      <c r="B80" s="575"/>
      <c r="C80" s="575"/>
      <c r="D80" s="575"/>
      <c r="E80" s="570"/>
      <c r="F80" s="576"/>
      <c r="G80" s="516"/>
      <c r="H80" s="516"/>
      <c r="I80" s="458"/>
      <c r="J80" s="516"/>
      <c r="K80" s="516"/>
      <c r="L80" s="516"/>
      <c r="N80" s="575"/>
      <c r="O80" s="575"/>
      <c r="P80" s="580"/>
      <c r="Q80" s="580"/>
      <c r="R80" s="580"/>
      <c r="S80" s="580"/>
      <c r="T80" s="575"/>
      <c r="U80" s="575"/>
      <c r="V80" s="575"/>
    </row>
    <row r="81" spans="1:22">
      <c r="A81" s="575"/>
      <c r="B81" s="575"/>
      <c r="C81" s="575"/>
      <c r="D81" s="575"/>
      <c r="E81" s="570"/>
      <c r="F81" s="576"/>
      <c r="G81" s="516"/>
      <c r="H81" s="516"/>
      <c r="I81" s="458"/>
      <c r="J81" s="516"/>
      <c r="K81" s="516"/>
      <c r="L81" s="516"/>
      <c r="N81" s="575"/>
      <c r="O81" s="575"/>
      <c r="P81" s="580"/>
      <c r="Q81" s="580"/>
      <c r="R81" s="580"/>
      <c r="S81" s="580"/>
      <c r="T81" s="575"/>
      <c r="U81" s="575"/>
      <c r="V81" s="575"/>
    </row>
    <row r="82" spans="1:22">
      <c r="A82" s="575"/>
      <c r="B82" s="575"/>
      <c r="C82" s="575"/>
      <c r="D82" s="575"/>
      <c r="E82" s="570"/>
      <c r="F82" s="576"/>
      <c r="G82" s="516"/>
      <c r="H82" s="516"/>
      <c r="I82" s="458"/>
      <c r="J82" s="516"/>
      <c r="K82" s="516"/>
      <c r="L82" s="516"/>
      <c r="N82" s="575"/>
      <c r="O82" s="575"/>
      <c r="P82" s="580"/>
      <c r="Q82" s="580"/>
      <c r="R82" s="580"/>
      <c r="S82" s="580"/>
      <c r="T82" s="575"/>
      <c r="U82" s="575"/>
      <c r="V82" s="575"/>
    </row>
    <row r="83" spans="1:22">
      <c r="A83" s="575"/>
      <c r="B83" s="575"/>
      <c r="C83" s="575"/>
      <c r="D83" s="575"/>
      <c r="E83" s="570"/>
      <c r="F83" s="576"/>
      <c r="G83" s="516"/>
      <c r="H83" s="516"/>
      <c r="I83" s="458"/>
      <c r="J83" s="516"/>
      <c r="K83" s="516"/>
      <c r="L83" s="516"/>
      <c r="N83" s="575"/>
      <c r="O83" s="575"/>
      <c r="P83" s="580"/>
      <c r="Q83" s="580"/>
      <c r="R83" s="580"/>
      <c r="S83" s="580"/>
      <c r="T83" s="575"/>
      <c r="U83" s="575"/>
      <c r="V83" s="575"/>
    </row>
    <row r="84" spans="1:22">
      <c r="A84" s="575"/>
      <c r="B84" s="575"/>
      <c r="C84" s="575"/>
      <c r="D84" s="575"/>
      <c r="E84" s="570"/>
      <c r="F84" s="576"/>
      <c r="G84" s="516"/>
      <c r="H84" s="516"/>
      <c r="I84" s="458"/>
      <c r="J84" s="516"/>
      <c r="K84" s="516"/>
      <c r="L84" s="516"/>
      <c r="N84" s="575"/>
      <c r="O84" s="575"/>
      <c r="P84" s="580"/>
      <c r="Q84" s="580"/>
      <c r="R84" s="580"/>
      <c r="S84" s="580"/>
      <c r="T84" s="575"/>
      <c r="U84" s="575"/>
      <c r="V84" s="575"/>
    </row>
    <row r="85" spans="1:22">
      <c r="A85" s="575"/>
      <c r="B85" s="575"/>
      <c r="C85" s="575"/>
      <c r="D85" s="575"/>
      <c r="E85" s="570"/>
      <c r="F85" s="576"/>
      <c r="G85" s="516"/>
      <c r="H85" s="516"/>
      <c r="I85" s="458"/>
      <c r="J85" s="516"/>
      <c r="K85" s="516"/>
      <c r="L85" s="516"/>
      <c r="N85" s="575"/>
      <c r="O85" s="575"/>
      <c r="P85" s="580"/>
      <c r="Q85" s="580"/>
      <c r="R85" s="580"/>
      <c r="S85" s="580"/>
      <c r="T85" s="575"/>
      <c r="U85" s="575"/>
      <c r="V85" s="575"/>
    </row>
    <row r="86" spans="1:22">
      <c r="A86" s="575"/>
      <c r="B86" s="575"/>
      <c r="C86" s="575"/>
      <c r="D86" s="575"/>
      <c r="E86" s="570"/>
      <c r="F86" s="576"/>
      <c r="G86" s="516"/>
      <c r="H86" s="516"/>
      <c r="I86" s="458"/>
      <c r="J86" s="516"/>
      <c r="K86" s="516"/>
      <c r="L86" s="516"/>
      <c r="N86" s="575"/>
      <c r="O86" s="575"/>
      <c r="P86" s="580"/>
      <c r="Q86" s="580"/>
      <c r="R86" s="580"/>
      <c r="S86" s="580"/>
      <c r="T86" s="575"/>
      <c r="U86" s="575"/>
      <c r="V86" s="575"/>
    </row>
    <row r="87" spans="1:22">
      <c r="A87" s="575"/>
      <c r="B87" s="575"/>
      <c r="C87" s="575"/>
      <c r="D87" s="575"/>
      <c r="E87" s="570"/>
      <c r="F87" s="576"/>
      <c r="G87" s="516"/>
      <c r="H87" s="516"/>
      <c r="I87" s="458"/>
      <c r="J87" s="516"/>
      <c r="K87" s="516"/>
      <c r="L87" s="516"/>
      <c r="N87" s="575"/>
      <c r="O87" s="575"/>
      <c r="P87" s="580"/>
      <c r="Q87" s="580"/>
      <c r="R87" s="580"/>
      <c r="S87" s="580"/>
      <c r="T87" s="575"/>
      <c r="U87" s="575"/>
      <c r="V87" s="575"/>
    </row>
    <row r="88" spans="1:22">
      <c r="A88" s="575"/>
      <c r="B88" s="575"/>
      <c r="C88" s="575"/>
      <c r="D88" s="575"/>
      <c r="E88" s="570"/>
      <c r="F88" s="576"/>
      <c r="G88" s="516"/>
      <c r="H88" s="516"/>
      <c r="I88" s="458"/>
      <c r="J88" s="516"/>
      <c r="K88" s="516"/>
      <c r="L88" s="516"/>
      <c r="M88" s="575"/>
      <c r="N88" s="575"/>
      <c r="O88" s="575"/>
      <c r="P88" s="580"/>
      <c r="Q88" s="580"/>
      <c r="R88" s="580"/>
      <c r="S88" s="580"/>
      <c r="T88" s="575"/>
      <c r="U88" s="575"/>
      <c r="V88" s="575"/>
    </row>
    <row r="89" spans="1:22">
      <c r="A89" s="575"/>
      <c r="B89" s="575"/>
      <c r="C89" s="575"/>
      <c r="D89" s="575"/>
      <c r="E89" s="570"/>
      <c r="F89" s="576"/>
      <c r="G89" s="516"/>
      <c r="H89" s="516"/>
      <c r="I89" s="458"/>
      <c r="J89" s="516"/>
      <c r="K89" s="516"/>
      <c r="L89" s="516"/>
      <c r="M89" s="575"/>
      <c r="N89" s="575"/>
      <c r="O89" s="575"/>
      <c r="P89" s="580"/>
      <c r="Q89" s="580"/>
      <c r="R89" s="580"/>
      <c r="S89" s="580"/>
      <c r="T89" s="575"/>
      <c r="U89" s="575"/>
      <c r="V89" s="575"/>
    </row>
    <row r="90" spans="1:22">
      <c r="A90" s="575"/>
      <c r="B90" s="575"/>
      <c r="C90" s="575"/>
      <c r="D90" s="575"/>
      <c r="E90" s="570"/>
      <c r="F90" s="576"/>
      <c r="G90" s="516"/>
      <c r="H90" s="516"/>
      <c r="I90" s="458"/>
      <c r="J90" s="516"/>
      <c r="K90" s="516"/>
      <c r="L90" s="516"/>
      <c r="M90" s="575"/>
      <c r="N90" s="575"/>
      <c r="O90" s="575"/>
      <c r="P90" s="580"/>
      <c r="Q90" s="580"/>
      <c r="R90" s="580"/>
      <c r="S90" s="580"/>
      <c r="T90" s="575"/>
      <c r="U90" s="575"/>
      <c r="V90" s="575"/>
    </row>
    <row r="91" spans="1:22">
      <c r="A91" s="575"/>
      <c r="B91" s="575"/>
      <c r="C91" s="575"/>
      <c r="D91" s="575"/>
      <c r="E91" s="570"/>
      <c r="F91" s="576"/>
      <c r="G91" s="516"/>
      <c r="H91" s="516"/>
      <c r="I91" s="458"/>
      <c r="J91" s="516"/>
      <c r="K91" s="516"/>
      <c r="L91" s="516"/>
      <c r="M91" s="575"/>
      <c r="N91" s="575"/>
      <c r="O91" s="575"/>
      <c r="P91" s="580"/>
      <c r="Q91" s="580"/>
      <c r="R91" s="580"/>
      <c r="S91" s="580"/>
      <c r="T91" s="575"/>
      <c r="U91" s="575"/>
      <c r="V91" s="575"/>
    </row>
    <row r="92" spans="1:22" s="575" customFormat="1">
      <c r="E92" s="570"/>
      <c r="F92" s="576"/>
      <c r="G92" s="516"/>
      <c r="H92" s="516"/>
      <c r="I92" s="458"/>
      <c r="J92" s="516"/>
      <c r="K92" s="516"/>
      <c r="L92" s="516"/>
      <c r="P92" s="580"/>
      <c r="Q92" s="580"/>
      <c r="R92" s="580"/>
      <c r="S92" s="580"/>
    </row>
    <row r="93" spans="1:22" s="575" customFormat="1">
      <c r="E93" s="570"/>
      <c r="F93" s="576"/>
      <c r="G93" s="516"/>
      <c r="H93" s="516"/>
      <c r="I93" s="458"/>
      <c r="J93" s="516"/>
      <c r="K93" s="516"/>
      <c r="L93" s="516"/>
      <c r="P93" s="580"/>
      <c r="Q93" s="580"/>
      <c r="R93" s="580"/>
      <c r="S93" s="580"/>
    </row>
    <row r="94" spans="1:22" s="575" customFormat="1">
      <c r="E94" s="570"/>
      <c r="F94" s="576"/>
      <c r="G94" s="516"/>
      <c r="H94" s="516"/>
      <c r="I94" s="458"/>
      <c r="J94" s="516"/>
      <c r="K94" s="516"/>
      <c r="L94" s="516"/>
      <c r="P94" s="580"/>
      <c r="Q94" s="580"/>
      <c r="R94" s="580"/>
      <c r="S94" s="580"/>
    </row>
    <row r="95" spans="1:22" s="575" customFormat="1">
      <c r="E95" s="570"/>
      <c r="F95" s="576"/>
      <c r="G95" s="516"/>
      <c r="H95" s="516"/>
      <c r="I95" s="458"/>
      <c r="J95" s="516"/>
      <c r="K95" s="516"/>
      <c r="L95" s="516"/>
      <c r="P95" s="580"/>
      <c r="Q95" s="580"/>
      <c r="R95" s="580"/>
      <c r="S95" s="580"/>
    </row>
    <row r="96" spans="1:22" s="575" customFormat="1">
      <c r="E96" s="570"/>
      <c r="F96" s="576"/>
      <c r="G96" s="516"/>
      <c r="H96" s="516"/>
      <c r="I96" s="458"/>
      <c r="J96" s="516"/>
      <c r="K96" s="516"/>
      <c r="L96" s="516"/>
      <c r="P96" s="580"/>
      <c r="Q96" s="580"/>
      <c r="R96" s="580"/>
      <c r="S96" s="580"/>
    </row>
    <row r="97" spans="5:19" s="575" customFormat="1">
      <c r="E97" s="570"/>
      <c r="F97" s="576"/>
      <c r="G97" s="516"/>
      <c r="H97" s="516"/>
      <c r="I97" s="458"/>
      <c r="J97" s="516"/>
      <c r="K97" s="516"/>
      <c r="L97" s="516"/>
      <c r="P97" s="580"/>
      <c r="Q97" s="580"/>
      <c r="R97" s="580"/>
      <c r="S97" s="580"/>
    </row>
    <row r="98" spans="5:19" s="575" customFormat="1">
      <c r="E98" s="570"/>
      <c r="F98" s="576"/>
      <c r="G98" s="516"/>
      <c r="H98" s="516"/>
      <c r="I98" s="458"/>
      <c r="J98" s="516"/>
      <c r="K98" s="516"/>
      <c r="L98" s="516"/>
      <c r="P98" s="580"/>
      <c r="Q98" s="580"/>
      <c r="R98" s="580"/>
      <c r="S98" s="580"/>
    </row>
    <row r="99" spans="5:19" s="575" customFormat="1">
      <c r="E99" s="570"/>
      <c r="F99" s="576"/>
      <c r="G99" s="516"/>
      <c r="H99" s="516"/>
      <c r="I99" s="458"/>
      <c r="J99" s="516"/>
      <c r="K99" s="516"/>
      <c r="L99" s="516"/>
      <c r="P99" s="580"/>
      <c r="Q99" s="580"/>
      <c r="R99" s="580"/>
      <c r="S99" s="580"/>
    </row>
    <row r="100" spans="5:19" s="575" customFormat="1">
      <c r="E100" s="570"/>
      <c r="F100" s="576"/>
      <c r="G100" s="516"/>
      <c r="H100" s="516"/>
      <c r="I100" s="458"/>
      <c r="J100" s="516"/>
      <c r="K100" s="516"/>
      <c r="L100" s="516"/>
      <c r="P100" s="580"/>
      <c r="Q100" s="580"/>
      <c r="R100" s="580"/>
      <c r="S100" s="580"/>
    </row>
    <row r="101" spans="5:19" s="575" customFormat="1">
      <c r="E101" s="570"/>
      <c r="F101" s="576"/>
      <c r="G101" s="516"/>
      <c r="H101" s="516"/>
      <c r="I101" s="458"/>
      <c r="J101" s="516"/>
      <c r="K101" s="516"/>
      <c r="L101" s="516"/>
      <c r="P101" s="580"/>
      <c r="Q101" s="580"/>
      <c r="R101" s="580"/>
      <c r="S101" s="580"/>
    </row>
    <row r="102" spans="5:19" s="575" customFormat="1">
      <c r="E102" s="570"/>
      <c r="F102" s="576"/>
      <c r="G102" s="516"/>
      <c r="H102" s="516"/>
      <c r="I102" s="458"/>
      <c r="J102" s="516"/>
      <c r="K102" s="516"/>
      <c r="L102" s="516"/>
      <c r="P102" s="580"/>
      <c r="Q102" s="580"/>
      <c r="R102" s="580"/>
      <c r="S102" s="580"/>
    </row>
    <row r="103" spans="5:19" s="575" customFormat="1">
      <c r="E103" s="570"/>
      <c r="F103" s="576"/>
      <c r="G103" s="516"/>
      <c r="H103" s="516"/>
      <c r="I103" s="458"/>
      <c r="J103" s="516"/>
      <c r="K103" s="516"/>
      <c r="L103" s="516"/>
      <c r="P103" s="580"/>
      <c r="Q103" s="580"/>
      <c r="R103" s="580"/>
      <c r="S103" s="580"/>
    </row>
    <row r="104" spans="5:19" s="575" customFormat="1">
      <c r="E104" s="570"/>
      <c r="F104" s="576"/>
      <c r="G104" s="516"/>
      <c r="H104" s="516"/>
      <c r="I104" s="458"/>
      <c r="J104" s="516"/>
      <c r="K104" s="516"/>
      <c r="L104" s="516"/>
      <c r="P104" s="580"/>
      <c r="Q104" s="580"/>
      <c r="R104" s="580"/>
      <c r="S104" s="580"/>
    </row>
    <row r="105" spans="5:19" s="575" customFormat="1">
      <c r="E105" s="570"/>
      <c r="F105" s="576"/>
      <c r="G105" s="516"/>
      <c r="H105" s="516"/>
      <c r="I105" s="458"/>
      <c r="J105" s="516"/>
      <c r="K105" s="516"/>
      <c r="L105" s="516"/>
      <c r="P105" s="580"/>
      <c r="Q105" s="580"/>
      <c r="R105" s="580"/>
      <c r="S105" s="580"/>
    </row>
    <row r="106" spans="5:19" s="575" customFormat="1">
      <c r="E106" s="570"/>
      <c r="F106" s="576"/>
      <c r="G106" s="516"/>
      <c r="H106" s="516"/>
      <c r="I106" s="458"/>
      <c r="J106" s="516"/>
      <c r="K106" s="516"/>
      <c r="L106" s="516"/>
      <c r="P106" s="580"/>
      <c r="Q106" s="580"/>
      <c r="R106" s="580"/>
      <c r="S106" s="580"/>
    </row>
    <row r="107" spans="5:19" s="575" customFormat="1">
      <c r="E107" s="570"/>
      <c r="F107" s="576"/>
      <c r="G107" s="516"/>
      <c r="H107" s="516"/>
      <c r="I107" s="458"/>
      <c r="J107" s="516"/>
      <c r="K107" s="516"/>
      <c r="L107" s="516"/>
      <c r="P107" s="580"/>
      <c r="Q107" s="580"/>
      <c r="R107" s="580"/>
      <c r="S107" s="580"/>
    </row>
    <row r="108" spans="5:19" s="575" customFormat="1">
      <c r="E108" s="570"/>
      <c r="F108" s="576"/>
      <c r="G108" s="516"/>
      <c r="H108" s="516"/>
      <c r="I108" s="458"/>
      <c r="J108" s="516"/>
      <c r="K108" s="516"/>
      <c r="L108" s="516"/>
      <c r="P108" s="580"/>
      <c r="Q108" s="580"/>
      <c r="R108" s="580"/>
      <c r="S108" s="580"/>
    </row>
    <row r="109" spans="5:19" s="575" customFormat="1">
      <c r="E109" s="570"/>
      <c r="F109" s="576"/>
      <c r="G109" s="516"/>
      <c r="H109" s="516"/>
      <c r="I109" s="458"/>
      <c r="J109" s="516"/>
      <c r="K109" s="516"/>
      <c r="L109" s="516"/>
      <c r="P109" s="580"/>
      <c r="Q109" s="580"/>
      <c r="R109" s="580"/>
      <c r="S109" s="580"/>
    </row>
    <row r="110" spans="5:19" s="575" customFormat="1">
      <c r="E110" s="570"/>
      <c r="F110" s="576"/>
      <c r="G110" s="516"/>
      <c r="H110" s="516"/>
      <c r="I110" s="458"/>
      <c r="J110" s="516"/>
      <c r="K110" s="516"/>
      <c r="L110" s="516"/>
      <c r="P110" s="580"/>
      <c r="Q110" s="580"/>
      <c r="R110" s="580"/>
      <c r="S110" s="580"/>
    </row>
    <row r="111" spans="5:19" s="575" customFormat="1">
      <c r="E111" s="570"/>
      <c r="F111" s="576"/>
      <c r="G111" s="516"/>
      <c r="H111" s="516"/>
      <c r="I111" s="458"/>
      <c r="J111" s="516"/>
      <c r="K111" s="516"/>
      <c r="L111" s="516"/>
      <c r="P111" s="580"/>
      <c r="Q111" s="580"/>
      <c r="R111" s="580"/>
      <c r="S111" s="580"/>
    </row>
    <row r="112" spans="5:19" s="575" customFormat="1">
      <c r="E112" s="570"/>
      <c r="F112" s="576"/>
      <c r="G112" s="516"/>
      <c r="H112" s="516"/>
      <c r="I112" s="458"/>
      <c r="J112" s="516"/>
      <c r="K112" s="516"/>
      <c r="L112" s="516"/>
      <c r="P112" s="580"/>
      <c r="Q112" s="580"/>
      <c r="R112" s="580"/>
      <c r="S112" s="580"/>
    </row>
    <row r="113" spans="5:22" s="575" customFormat="1">
      <c r="E113" s="570"/>
      <c r="F113" s="576"/>
      <c r="G113" s="516"/>
      <c r="H113" s="516"/>
      <c r="I113" s="458"/>
      <c r="J113" s="516"/>
      <c r="K113" s="516"/>
      <c r="L113" s="516"/>
      <c r="P113" s="580"/>
      <c r="Q113" s="580"/>
      <c r="R113" s="580"/>
      <c r="S113" s="580"/>
    </row>
    <row r="114" spans="5:22" s="575" customFormat="1">
      <c r="E114" s="570"/>
      <c r="F114" s="576"/>
      <c r="G114" s="516"/>
      <c r="H114" s="516"/>
      <c r="I114" s="458"/>
      <c r="J114" s="516"/>
      <c r="K114" s="516"/>
      <c r="L114" s="516"/>
      <c r="P114" s="580"/>
      <c r="Q114" s="580"/>
      <c r="R114" s="580"/>
      <c r="S114" s="580"/>
    </row>
    <row r="115" spans="5:22" s="575" customFormat="1">
      <c r="E115" s="570"/>
      <c r="F115" s="576"/>
      <c r="G115" s="516"/>
      <c r="H115" s="516"/>
      <c r="I115" s="458"/>
      <c r="J115" s="516"/>
      <c r="K115" s="516"/>
      <c r="L115" s="516"/>
      <c r="P115" s="580"/>
      <c r="Q115" s="580"/>
      <c r="R115" s="580"/>
      <c r="S115" s="580"/>
    </row>
    <row r="116" spans="5:22" s="575" customFormat="1">
      <c r="E116" s="570"/>
      <c r="F116" s="576"/>
      <c r="G116" s="516"/>
      <c r="H116" s="516"/>
      <c r="I116" s="458"/>
      <c r="J116" s="516"/>
      <c r="K116" s="516"/>
      <c r="L116" s="516"/>
      <c r="P116" s="580"/>
      <c r="Q116" s="580"/>
      <c r="R116" s="580"/>
      <c r="S116" s="580"/>
    </row>
    <row r="117" spans="5:22" s="575" customFormat="1">
      <c r="E117" s="570"/>
      <c r="F117" s="576"/>
      <c r="G117" s="516"/>
      <c r="H117" s="516"/>
      <c r="I117" s="458"/>
      <c r="J117" s="516"/>
      <c r="K117" s="516"/>
      <c r="L117" s="516"/>
      <c r="P117" s="580"/>
      <c r="Q117" s="580"/>
      <c r="R117" s="580"/>
      <c r="S117" s="580"/>
    </row>
    <row r="118" spans="5:22" s="575" customFormat="1">
      <c r="E118" s="570"/>
      <c r="F118" s="576"/>
      <c r="G118" s="516"/>
      <c r="H118" s="516"/>
      <c r="I118" s="458"/>
      <c r="J118" s="516"/>
      <c r="K118" s="516"/>
      <c r="L118" s="516"/>
      <c r="P118" s="580"/>
      <c r="Q118" s="580"/>
      <c r="R118" s="580"/>
      <c r="S118" s="580"/>
    </row>
    <row r="119" spans="5:22" s="575" customFormat="1">
      <c r="E119" s="570"/>
      <c r="F119" s="576"/>
      <c r="G119" s="516"/>
      <c r="H119" s="516"/>
      <c r="I119" s="458"/>
      <c r="J119" s="516"/>
      <c r="K119" s="516"/>
      <c r="L119" s="516"/>
      <c r="P119" s="580"/>
      <c r="Q119" s="580"/>
      <c r="R119" s="580"/>
      <c r="S119" s="580"/>
    </row>
    <row r="120" spans="5:22" s="575" customFormat="1">
      <c r="E120" s="570"/>
      <c r="F120" s="576"/>
      <c r="G120" s="516"/>
      <c r="H120" s="516"/>
      <c r="I120" s="458"/>
      <c r="J120" s="516"/>
      <c r="K120" s="516"/>
      <c r="L120" s="516"/>
      <c r="P120" s="580"/>
      <c r="Q120" s="580"/>
      <c r="R120" s="580"/>
      <c r="S120" s="580"/>
    </row>
    <row r="121" spans="5:22" s="575" customFormat="1">
      <c r="E121" s="570"/>
      <c r="F121" s="576"/>
      <c r="G121" s="516"/>
      <c r="H121" s="516"/>
      <c r="I121" s="458"/>
      <c r="J121" s="516"/>
      <c r="K121" s="516"/>
      <c r="L121" s="516"/>
      <c r="P121" s="580"/>
      <c r="Q121" s="580"/>
      <c r="R121" s="580"/>
      <c r="S121" s="580"/>
    </row>
    <row r="122" spans="5:22" s="575" customFormat="1">
      <c r="E122" s="570"/>
      <c r="F122" s="576"/>
      <c r="G122" s="516"/>
      <c r="H122" s="516"/>
      <c r="I122" s="458"/>
      <c r="J122" s="516"/>
      <c r="K122" s="516"/>
      <c r="L122" s="516"/>
      <c r="P122" s="580"/>
      <c r="Q122" s="580"/>
      <c r="R122" s="580"/>
      <c r="S122" s="580"/>
    </row>
    <row r="123" spans="5:22" s="575" customFormat="1">
      <c r="E123" s="570"/>
      <c r="F123" s="576"/>
      <c r="G123" s="516"/>
      <c r="H123" s="516"/>
      <c r="I123" s="458"/>
      <c r="J123" s="516"/>
      <c r="K123" s="516"/>
      <c r="L123" s="516"/>
      <c r="P123" s="580"/>
      <c r="Q123" s="580"/>
      <c r="R123" s="580"/>
      <c r="S123" s="580"/>
    </row>
    <row r="124" spans="5:22" s="575" customFormat="1">
      <c r="E124" s="570"/>
      <c r="F124" s="576"/>
      <c r="G124" s="516"/>
      <c r="H124" s="516"/>
      <c r="I124" s="458"/>
      <c r="J124" s="516"/>
      <c r="K124" s="516"/>
      <c r="L124" s="516"/>
      <c r="P124" s="580"/>
      <c r="Q124" s="580"/>
      <c r="R124" s="580"/>
      <c r="S124" s="580"/>
    </row>
    <row r="125" spans="5:22" s="575" customFormat="1">
      <c r="E125" s="570"/>
      <c r="F125" s="576"/>
      <c r="G125" s="516"/>
      <c r="H125" s="516"/>
      <c r="I125" s="458"/>
      <c r="J125" s="516"/>
      <c r="K125" s="516"/>
      <c r="L125" s="516"/>
      <c r="P125" s="580"/>
      <c r="Q125" s="580"/>
      <c r="R125" s="578"/>
      <c r="S125" s="578"/>
      <c r="T125" s="516"/>
      <c r="U125" s="516"/>
      <c r="V125" s="516"/>
    </row>
    <row r="126" spans="5:22" s="575" customFormat="1">
      <c r="E126" s="570"/>
      <c r="F126" s="576"/>
      <c r="G126" s="516"/>
      <c r="H126" s="516"/>
      <c r="I126" s="458"/>
      <c r="J126" s="516"/>
      <c r="K126" s="516"/>
      <c r="L126" s="516"/>
      <c r="P126" s="580"/>
      <c r="Q126" s="580"/>
      <c r="R126" s="578"/>
      <c r="S126" s="578"/>
      <c r="T126" s="516"/>
      <c r="U126" s="516"/>
      <c r="V126" s="516"/>
    </row>
    <row r="127" spans="5:22" s="575" customFormat="1">
      <c r="E127" s="570"/>
      <c r="F127" s="576"/>
      <c r="G127" s="516"/>
      <c r="H127" s="516"/>
      <c r="I127" s="458"/>
      <c r="J127" s="516"/>
      <c r="K127" s="516"/>
      <c r="L127" s="516"/>
      <c r="P127" s="580"/>
      <c r="Q127" s="580"/>
      <c r="R127" s="578"/>
      <c r="S127" s="578"/>
      <c r="T127" s="516"/>
      <c r="U127" s="516"/>
      <c r="V127" s="516"/>
    </row>
    <row r="128" spans="5:22" s="575" customFormat="1">
      <c r="E128" s="570"/>
      <c r="F128" s="576"/>
      <c r="G128" s="516"/>
      <c r="H128" s="516"/>
      <c r="I128" s="458"/>
      <c r="J128" s="516"/>
      <c r="K128" s="516"/>
      <c r="L128" s="516"/>
      <c r="P128" s="580"/>
      <c r="Q128" s="580"/>
      <c r="R128" s="578"/>
      <c r="S128" s="578"/>
      <c r="T128" s="516"/>
      <c r="U128" s="516"/>
      <c r="V128" s="516"/>
    </row>
    <row r="129" spans="1:22" s="575" customFormat="1">
      <c r="E129" s="570"/>
      <c r="F129" s="576"/>
      <c r="G129" s="516"/>
      <c r="H129" s="516"/>
      <c r="I129" s="458"/>
      <c r="J129" s="516"/>
      <c r="K129" s="516"/>
      <c r="L129" s="516"/>
      <c r="P129" s="580"/>
      <c r="Q129" s="580"/>
      <c r="R129" s="578"/>
      <c r="S129" s="578"/>
      <c r="T129" s="516"/>
      <c r="U129" s="516"/>
      <c r="V129" s="516"/>
    </row>
    <row r="130" spans="1:22" s="575" customFormat="1">
      <c r="E130" s="570"/>
      <c r="F130" s="576"/>
      <c r="G130" s="516"/>
      <c r="H130" s="516"/>
      <c r="I130" s="458"/>
      <c r="J130" s="516"/>
      <c r="K130" s="516"/>
      <c r="L130" s="516"/>
      <c r="N130" s="516"/>
      <c r="O130" s="458"/>
      <c r="P130" s="615"/>
      <c r="Q130" s="578"/>
      <c r="R130" s="578"/>
      <c r="S130" s="578"/>
      <c r="T130" s="516"/>
      <c r="U130" s="516"/>
      <c r="V130" s="516"/>
    </row>
    <row r="131" spans="1:22" s="575" customFormat="1">
      <c r="E131" s="570"/>
      <c r="F131" s="576"/>
      <c r="G131" s="516"/>
      <c r="H131" s="516"/>
      <c r="I131" s="458"/>
      <c r="J131" s="516"/>
      <c r="K131" s="516"/>
      <c r="L131" s="516"/>
      <c r="N131" s="516"/>
      <c r="O131" s="458"/>
      <c r="P131" s="615"/>
      <c r="Q131" s="578"/>
      <c r="R131" s="578"/>
      <c r="S131" s="578"/>
      <c r="T131" s="516"/>
      <c r="U131" s="516"/>
      <c r="V131" s="516"/>
    </row>
    <row r="132" spans="1:22" s="575" customFormat="1">
      <c r="E132" s="570"/>
      <c r="F132" s="576"/>
      <c r="G132" s="516"/>
      <c r="H132" s="516"/>
      <c r="I132" s="458"/>
      <c r="J132" s="516"/>
      <c r="K132" s="516"/>
      <c r="L132" s="516"/>
      <c r="N132" s="516"/>
      <c r="O132" s="458"/>
      <c r="P132" s="615"/>
      <c r="Q132" s="578"/>
      <c r="R132" s="578"/>
      <c r="S132" s="578"/>
      <c r="T132" s="516"/>
      <c r="U132" s="516"/>
      <c r="V132" s="516"/>
    </row>
    <row r="133" spans="1:22" s="575" customFormat="1">
      <c r="E133" s="570"/>
      <c r="F133" s="576"/>
      <c r="G133" s="516"/>
      <c r="H133" s="516"/>
      <c r="I133" s="458"/>
      <c r="J133" s="516"/>
      <c r="K133" s="516"/>
      <c r="L133" s="516"/>
      <c r="N133" s="516"/>
      <c r="O133" s="458"/>
      <c r="P133" s="615"/>
      <c r="Q133" s="578"/>
      <c r="R133" s="578"/>
      <c r="S133" s="578"/>
      <c r="T133" s="516"/>
      <c r="U133" s="516"/>
      <c r="V133" s="516"/>
    </row>
    <row r="134" spans="1:22" s="575" customFormat="1">
      <c r="A134" s="516"/>
      <c r="B134" s="516"/>
      <c r="C134" s="579"/>
      <c r="D134" s="579"/>
      <c r="E134" s="579"/>
      <c r="F134" s="579"/>
      <c r="H134" s="580"/>
      <c r="J134" s="516"/>
      <c r="K134" s="516"/>
      <c r="L134" s="516"/>
      <c r="N134" s="516"/>
      <c r="O134" s="458"/>
      <c r="P134" s="615"/>
      <c r="Q134" s="578"/>
      <c r="R134" s="578"/>
      <c r="S134" s="578"/>
      <c r="T134" s="516"/>
      <c r="U134" s="516"/>
      <c r="V134" s="516"/>
    </row>
    <row r="135" spans="1:22" s="575" customFormat="1">
      <c r="A135" s="516"/>
      <c r="B135" s="516"/>
      <c r="C135" s="579"/>
      <c r="D135" s="579"/>
      <c r="E135" s="579"/>
      <c r="F135" s="579"/>
      <c r="H135" s="580"/>
      <c r="J135" s="516"/>
      <c r="K135" s="516"/>
      <c r="L135" s="516"/>
      <c r="N135" s="516"/>
      <c r="O135" s="458"/>
      <c r="P135" s="615"/>
      <c r="Q135" s="578"/>
      <c r="R135" s="578"/>
      <c r="S135" s="578"/>
      <c r="T135" s="516"/>
      <c r="U135" s="516"/>
      <c r="V135" s="516"/>
    </row>
    <row r="136" spans="1:22" s="575" customFormat="1">
      <c r="A136" s="516"/>
      <c r="B136" s="516"/>
      <c r="C136" s="579"/>
      <c r="D136" s="579"/>
      <c r="E136" s="579"/>
      <c r="F136" s="579"/>
      <c r="H136" s="580"/>
      <c r="J136" s="516"/>
      <c r="K136" s="516"/>
      <c r="L136" s="516"/>
      <c r="N136" s="516"/>
      <c r="O136" s="458"/>
      <c r="P136" s="615"/>
      <c r="Q136" s="578"/>
      <c r="R136" s="578"/>
      <c r="S136" s="578"/>
      <c r="T136" s="516"/>
      <c r="U136" s="516"/>
      <c r="V136" s="516"/>
    </row>
    <row r="137" spans="1:22" s="575" customFormat="1">
      <c r="A137" s="516"/>
      <c r="B137" s="516"/>
      <c r="C137" s="579"/>
      <c r="D137" s="579"/>
      <c r="E137" s="579"/>
      <c r="F137" s="579"/>
      <c r="H137" s="580"/>
      <c r="J137" s="516"/>
      <c r="K137" s="516"/>
      <c r="L137" s="516"/>
      <c r="N137" s="516"/>
      <c r="O137" s="458"/>
      <c r="P137" s="615"/>
      <c r="Q137" s="578"/>
      <c r="R137" s="578"/>
      <c r="S137" s="578"/>
      <c r="T137" s="516"/>
      <c r="U137" s="516"/>
      <c r="V137" s="516"/>
    </row>
    <row r="138" spans="1:22" s="575" customFormat="1">
      <c r="A138" s="516"/>
      <c r="B138" s="516"/>
      <c r="C138" s="579"/>
      <c r="D138" s="579"/>
      <c r="E138" s="579"/>
      <c r="F138" s="579"/>
      <c r="H138" s="580"/>
      <c r="J138" s="516"/>
      <c r="K138" s="516"/>
      <c r="L138" s="516"/>
      <c r="N138" s="516"/>
      <c r="O138" s="458"/>
      <c r="P138" s="615"/>
      <c r="Q138" s="578"/>
      <c r="R138" s="578"/>
      <c r="S138" s="578"/>
      <c r="T138" s="516"/>
      <c r="U138" s="516"/>
      <c r="V138" s="516"/>
    </row>
    <row r="139" spans="1:22" s="575" customFormat="1">
      <c r="A139" s="516"/>
      <c r="B139" s="516"/>
      <c r="C139" s="579"/>
      <c r="D139" s="579"/>
      <c r="E139" s="579"/>
      <c r="F139" s="579"/>
      <c r="H139" s="580"/>
      <c r="J139" s="516"/>
      <c r="K139" s="516"/>
      <c r="L139" s="516"/>
      <c r="N139" s="516"/>
      <c r="O139" s="458"/>
      <c r="P139" s="615"/>
      <c r="Q139" s="578"/>
      <c r="R139" s="578"/>
      <c r="S139" s="578"/>
      <c r="T139" s="516"/>
      <c r="U139" s="516"/>
      <c r="V139" s="516"/>
    </row>
    <row r="140" spans="1:22" s="575" customFormat="1">
      <c r="A140" s="516"/>
      <c r="B140" s="516"/>
      <c r="C140" s="579"/>
      <c r="D140" s="579"/>
      <c r="E140" s="579"/>
      <c r="F140" s="579"/>
      <c r="H140" s="580"/>
      <c r="K140" s="516"/>
      <c r="L140" s="516"/>
      <c r="N140" s="516"/>
      <c r="O140" s="458"/>
      <c r="P140" s="615"/>
      <c r="Q140" s="578"/>
      <c r="R140" s="578"/>
      <c r="S140" s="578"/>
      <c r="T140" s="516"/>
      <c r="U140" s="516"/>
      <c r="V140" s="516"/>
    </row>
    <row r="141" spans="1:22" s="575" customFormat="1">
      <c r="A141" s="516"/>
      <c r="B141" s="516"/>
      <c r="C141" s="579"/>
      <c r="D141" s="579"/>
      <c r="E141" s="579"/>
      <c r="F141" s="579"/>
      <c r="H141" s="580"/>
      <c r="K141" s="516"/>
      <c r="L141" s="516"/>
      <c r="N141" s="516"/>
      <c r="O141" s="458"/>
      <c r="P141" s="615"/>
      <c r="Q141" s="578"/>
      <c r="R141" s="578"/>
      <c r="S141" s="578"/>
      <c r="T141" s="516"/>
      <c r="U141" s="516"/>
      <c r="V141" s="516"/>
    </row>
    <row r="142" spans="1:22" s="575" customFormat="1">
      <c r="A142" s="516"/>
      <c r="B142" s="516"/>
      <c r="C142" s="579"/>
      <c r="D142" s="579"/>
      <c r="E142" s="579"/>
      <c r="F142" s="579"/>
      <c r="H142" s="580"/>
      <c r="K142" s="516"/>
      <c r="L142" s="516"/>
      <c r="N142" s="516"/>
      <c r="O142" s="458"/>
      <c r="P142" s="615"/>
      <c r="Q142" s="578"/>
      <c r="R142" s="578"/>
      <c r="S142" s="578"/>
      <c r="T142" s="516"/>
      <c r="U142" s="516"/>
      <c r="V142" s="516"/>
    </row>
    <row r="143" spans="1:22" s="575" customFormat="1">
      <c r="A143" s="516"/>
      <c r="B143" s="516"/>
      <c r="C143" s="579"/>
      <c r="D143" s="579"/>
      <c r="E143" s="579"/>
      <c r="F143" s="579"/>
      <c r="H143" s="580"/>
      <c r="K143" s="570"/>
      <c r="L143" s="516"/>
      <c r="N143" s="516"/>
      <c r="O143" s="458"/>
      <c r="P143" s="615"/>
      <c r="Q143" s="578"/>
      <c r="R143" s="578"/>
      <c r="S143" s="578"/>
      <c r="T143" s="516"/>
      <c r="U143" s="516"/>
      <c r="V143" s="516"/>
    </row>
    <row r="144" spans="1:22" s="575" customFormat="1">
      <c r="A144" s="516"/>
      <c r="B144" s="516"/>
      <c r="C144" s="579"/>
      <c r="D144" s="579"/>
      <c r="E144" s="579"/>
      <c r="F144" s="579"/>
      <c r="H144" s="580"/>
      <c r="K144" s="570"/>
      <c r="L144" s="516"/>
      <c r="N144" s="516"/>
      <c r="O144" s="458"/>
      <c r="P144" s="615"/>
      <c r="Q144" s="578"/>
      <c r="R144" s="578"/>
      <c r="S144" s="578"/>
      <c r="T144" s="516"/>
      <c r="U144" s="516"/>
      <c r="V144" s="516"/>
    </row>
    <row r="145" spans="1:22" s="575" customFormat="1">
      <c r="A145" s="516"/>
      <c r="B145" s="516"/>
      <c r="C145" s="579"/>
      <c r="D145" s="579"/>
      <c r="E145" s="579"/>
      <c r="F145" s="579"/>
      <c r="H145" s="580"/>
      <c r="K145" s="570"/>
      <c r="L145" s="516"/>
      <c r="M145" s="516"/>
      <c r="N145" s="516"/>
      <c r="O145" s="458"/>
      <c r="P145" s="615"/>
      <c r="Q145" s="578"/>
      <c r="R145" s="578"/>
      <c r="S145" s="578"/>
      <c r="T145" s="516"/>
      <c r="U145" s="516"/>
      <c r="V145" s="516"/>
    </row>
    <row r="146" spans="1:22" s="575" customFormat="1">
      <c r="A146" s="516"/>
      <c r="B146" s="516"/>
      <c r="C146" s="579"/>
      <c r="D146" s="579"/>
      <c r="E146" s="579"/>
      <c r="F146" s="579"/>
      <c r="H146" s="580"/>
      <c r="K146" s="570"/>
      <c r="L146" s="516"/>
      <c r="M146" s="516"/>
      <c r="N146" s="516"/>
      <c r="O146" s="458"/>
      <c r="P146" s="615"/>
      <c r="Q146" s="578"/>
      <c r="R146" s="578"/>
      <c r="S146" s="578"/>
      <c r="T146" s="516"/>
      <c r="U146" s="516"/>
      <c r="V146" s="516"/>
    </row>
    <row r="147" spans="1:22" s="575" customFormat="1">
      <c r="A147" s="516"/>
      <c r="B147" s="516"/>
      <c r="C147" s="579"/>
      <c r="D147" s="579"/>
      <c r="E147" s="579"/>
      <c r="F147" s="579"/>
      <c r="H147" s="580"/>
      <c r="K147" s="570"/>
      <c r="L147" s="516"/>
      <c r="M147" s="516"/>
      <c r="N147" s="516"/>
      <c r="O147" s="458"/>
      <c r="P147" s="615"/>
      <c r="Q147" s="578"/>
      <c r="R147" s="578"/>
      <c r="S147" s="578"/>
      <c r="T147" s="516"/>
      <c r="U147" s="516"/>
      <c r="V147" s="516"/>
    </row>
    <row r="148" spans="1:22" s="575" customFormat="1">
      <c r="A148" s="516"/>
      <c r="B148" s="516"/>
      <c r="C148" s="579"/>
      <c r="D148" s="579"/>
      <c r="E148" s="579"/>
      <c r="F148" s="579"/>
      <c r="H148" s="580"/>
      <c r="K148" s="570"/>
      <c r="L148" s="576"/>
      <c r="M148" s="516"/>
      <c r="N148" s="516"/>
      <c r="O148" s="458"/>
      <c r="P148" s="615"/>
      <c r="Q148" s="578"/>
      <c r="R148" s="578"/>
      <c r="S148" s="578"/>
      <c r="T148" s="516"/>
      <c r="U148" s="516"/>
      <c r="V148" s="516"/>
    </row>
  </sheetData>
  <mergeCells count="5">
    <mergeCell ref="A7:L7"/>
    <mergeCell ref="M7:O7"/>
    <mergeCell ref="U7:V7"/>
    <mergeCell ref="D9:F9"/>
    <mergeCell ref="H9:K9"/>
  </mergeCells>
  <conditionalFormatting sqref="P36:P52 Z9:Z59">
    <cfRule type="aboveAverage" dxfId="5" priority="1" aboveAverage="0" stdDev="1"/>
    <cfRule type="aboveAverage" dxfId="4" priority="2" stdDev="1"/>
  </conditionalFormatting>
  <dataValidations count="1">
    <dataValidation type="list" allowBlank="1" showInputMessage="1" showErrorMessage="1" sqref="B5" xr:uid="{93B3D7FB-6741-44CA-B499-E17295D306D4}">
      <formula1>$AB$5:$AB$8</formula1>
    </dataValidation>
  </dataValidation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9F39A-1738-46FB-8D5F-098AD625AE90}">
  <dimension ref="A1:AD162"/>
  <sheetViews>
    <sheetView topLeftCell="B1" zoomScaleNormal="100" workbookViewId="0">
      <selection activeCell="I5" sqref="I5"/>
    </sheetView>
  </sheetViews>
  <sheetFormatPr defaultColWidth="7.88671875" defaultRowHeight="10.199999999999999"/>
  <cols>
    <col min="1" max="1" width="15.6640625" style="516" bestFit="1" customWidth="1"/>
    <col min="2" max="2" width="9.5546875" style="516" bestFit="1" customWidth="1"/>
    <col min="3" max="3" width="5.109375" style="579" customWidth="1"/>
    <col min="4" max="4" width="8.44140625" style="579" bestFit="1" customWidth="1"/>
    <col min="5" max="6" width="8.6640625" style="579" bestFit="1" customWidth="1"/>
    <col min="7" max="7" width="14.88671875" style="575" bestFit="1" customWidth="1"/>
    <col min="8" max="8" width="10.33203125" style="580" customWidth="1"/>
    <col min="9" max="10" width="10.33203125" style="575" bestFit="1" customWidth="1"/>
    <col min="11" max="11" width="10.33203125" style="570" bestFit="1" customWidth="1"/>
    <col min="12" max="12" width="16.33203125" style="576" bestFit="1" customWidth="1"/>
    <col min="13" max="13" width="7.6640625" style="516" bestFit="1" customWidth="1"/>
    <col min="14" max="14" width="6.109375" style="516" bestFit="1" customWidth="1"/>
    <col min="15" max="15" width="9.33203125" style="458" customWidth="1"/>
    <col min="16" max="16" width="7.6640625" style="615" bestFit="1" customWidth="1"/>
    <col min="17" max="17" width="6.6640625" style="578" bestFit="1" customWidth="1"/>
    <col min="18" max="18" width="8.44140625" style="578" customWidth="1"/>
    <col min="19" max="19" width="9.44140625" style="578" customWidth="1"/>
    <col min="20" max="20" width="15.6640625" style="578" bestFit="1" customWidth="1"/>
    <col min="21" max="21" width="10.109375" style="578" bestFit="1" customWidth="1"/>
    <col min="22" max="22" width="15.6640625" style="578" bestFit="1" customWidth="1"/>
    <col min="23" max="23" width="13.6640625" style="578" bestFit="1" customWidth="1"/>
    <col min="24" max="24" width="17.33203125" style="516" bestFit="1" customWidth="1"/>
    <col min="25" max="25" width="21.109375" style="516" bestFit="1" customWidth="1"/>
    <col min="26" max="26" width="11.33203125" style="516" customWidth="1"/>
    <col min="27" max="31" width="5.33203125" style="516" customWidth="1"/>
    <col min="32" max="32" width="17" style="516" customWidth="1"/>
    <col min="33" max="16384" width="7.88671875" style="516"/>
  </cols>
  <sheetData>
    <row r="1" spans="1:28" s="405" customFormat="1" ht="13.2">
      <c r="A1" s="585" t="s">
        <v>103</v>
      </c>
      <c r="B1" s="586"/>
      <c r="C1" s="397"/>
      <c r="D1" s="586"/>
      <c r="E1" s="398"/>
      <c r="F1" s="398"/>
      <c r="G1" s="399"/>
      <c r="H1" s="400" t="s">
        <v>148</v>
      </c>
      <c r="I1" s="401">
        <f>O47</f>
        <v>1093</v>
      </c>
      <c r="J1" s="402"/>
      <c r="K1" s="586"/>
      <c r="L1" s="586"/>
      <c r="N1" s="404"/>
      <c r="P1" s="587"/>
      <c r="Q1" s="587"/>
      <c r="R1" s="587"/>
      <c r="S1" s="587"/>
      <c r="T1" s="587"/>
      <c r="U1" s="587"/>
      <c r="V1" s="587"/>
      <c r="W1" s="587"/>
    </row>
    <row r="2" spans="1:28" s="405" customFormat="1" ht="13.2">
      <c r="A2" s="588" t="s">
        <v>105</v>
      </c>
      <c r="B2" s="586"/>
      <c r="C2" s="408"/>
      <c r="D2" s="586"/>
      <c r="E2" s="409"/>
      <c r="F2" s="409"/>
      <c r="G2" s="410"/>
      <c r="H2" s="411" t="s">
        <v>149</v>
      </c>
      <c r="I2" s="589">
        <f>Z13</f>
        <v>430</v>
      </c>
      <c r="J2" s="413"/>
      <c r="K2" s="586"/>
      <c r="L2" s="586"/>
      <c r="N2" s="415"/>
      <c r="P2" s="587"/>
      <c r="Q2" s="587"/>
      <c r="R2" s="587"/>
      <c r="S2" s="587"/>
      <c r="T2" s="587"/>
      <c r="U2" s="587"/>
      <c r="V2" s="587"/>
      <c r="W2" s="587"/>
    </row>
    <row r="3" spans="1:28" s="421" customFormat="1" ht="11.25" customHeight="1">
      <c r="A3" s="417" t="s">
        <v>107</v>
      </c>
      <c r="B3" s="407"/>
      <c r="C3" s="408"/>
      <c r="D3" s="409"/>
      <c r="E3" s="409"/>
      <c r="F3" s="409"/>
      <c r="G3" s="410"/>
      <c r="H3" s="417" t="s">
        <v>150</v>
      </c>
      <c r="I3" s="591">
        <f>Z48/100</f>
        <v>4.3079999999999998</v>
      </c>
      <c r="J3" s="413"/>
      <c r="K3" s="586"/>
      <c r="L3" s="586"/>
      <c r="N3" s="420"/>
      <c r="P3" s="590"/>
      <c r="Q3" s="590"/>
      <c r="R3" s="590"/>
      <c r="S3" s="590"/>
      <c r="T3" s="590"/>
      <c r="U3" s="590"/>
      <c r="V3" s="590"/>
      <c r="W3" s="590"/>
    </row>
    <row r="4" spans="1:28" s="405" customFormat="1" ht="13.2">
      <c r="A4" s="417" t="s">
        <v>109</v>
      </c>
      <c r="B4" s="407"/>
      <c r="C4" s="408"/>
      <c r="D4" s="409"/>
      <c r="E4" s="409"/>
      <c r="F4" s="409"/>
      <c r="G4" s="410"/>
      <c r="H4" s="417" t="s">
        <v>151</v>
      </c>
      <c r="I4" s="591">
        <f>(SUM(Q13:Q29)+((4.3-4.14)*0.52))/4.3</f>
        <v>0.42277073036468177</v>
      </c>
      <c r="J4" s="413"/>
      <c r="K4" s="586"/>
      <c r="L4" s="586"/>
      <c r="M4" s="404"/>
      <c r="N4" s="404"/>
      <c r="P4" s="587"/>
      <c r="Q4" s="587"/>
      <c r="R4" s="587"/>
      <c r="S4" s="587"/>
      <c r="T4" s="587"/>
      <c r="U4" s="587"/>
      <c r="V4" s="587"/>
      <c r="W4" s="587"/>
    </row>
    <row r="5" spans="1:28" s="425" customFormat="1" ht="13.2">
      <c r="A5" s="588" t="s">
        <v>111</v>
      </c>
      <c r="B5" s="422" t="s">
        <v>112</v>
      </c>
      <c r="C5" s="408"/>
      <c r="D5" s="409"/>
      <c r="E5" s="409"/>
      <c r="F5" s="409"/>
      <c r="G5" s="410"/>
      <c r="H5" s="417" t="s">
        <v>261</v>
      </c>
      <c r="I5" s="1224">
        <f>(I2*I4)/100</f>
        <v>1.8179141405681316</v>
      </c>
      <c r="J5" s="413"/>
      <c r="K5" s="586"/>
      <c r="L5" s="586"/>
      <c r="M5" s="424"/>
      <c r="N5" s="424"/>
      <c r="P5" s="592"/>
      <c r="Q5" s="592"/>
      <c r="R5" s="592"/>
      <c r="S5" s="592"/>
      <c r="T5" s="592"/>
      <c r="U5" s="592"/>
      <c r="V5" s="592"/>
      <c r="W5" s="592"/>
    </row>
    <row r="6" spans="1:28" s="424" customFormat="1" ht="13.8" thickBot="1">
      <c r="A6" s="593"/>
      <c r="B6" s="594"/>
      <c r="C6" s="595"/>
      <c r="D6" s="596"/>
      <c r="E6" s="596"/>
      <c r="F6" s="596"/>
      <c r="G6" s="597"/>
      <c r="H6" s="598"/>
      <c r="I6" s="599"/>
      <c r="J6" s="597"/>
      <c r="K6" s="594"/>
      <c r="L6" s="594"/>
      <c r="M6" s="445"/>
      <c r="P6" s="600"/>
      <c r="Q6" s="600"/>
      <c r="R6" s="600"/>
      <c r="S6" s="600"/>
      <c r="T6" s="600"/>
      <c r="U6" s="600"/>
      <c r="V6" s="600"/>
      <c r="W6" s="600"/>
    </row>
    <row r="7" spans="1:28" s="425" customFormat="1" ht="13.2" customHeight="1">
      <c r="A7" s="1414" t="s">
        <v>113</v>
      </c>
      <c r="B7" s="1415"/>
      <c r="C7" s="1415"/>
      <c r="D7" s="1415"/>
      <c r="E7" s="1415"/>
      <c r="F7" s="1415"/>
      <c r="G7" s="1415"/>
      <c r="H7" s="1415"/>
      <c r="I7" s="1415"/>
      <c r="J7" s="1415"/>
      <c r="K7" s="1415"/>
      <c r="L7" s="1427"/>
      <c r="M7" s="1041"/>
      <c r="N7" s="1065" t="s">
        <v>114</v>
      </c>
      <c r="O7" s="1066"/>
      <c r="P7" s="440" t="s">
        <v>115</v>
      </c>
      <c r="Q7" s="441"/>
      <c r="R7" s="1425" t="s">
        <v>116</v>
      </c>
      <c r="S7" s="1428"/>
      <c r="T7" s="1425" t="s">
        <v>225</v>
      </c>
      <c r="U7" s="1428"/>
      <c r="V7" s="1425" t="s">
        <v>226</v>
      </c>
      <c r="W7" s="1426"/>
      <c r="X7" s="1067"/>
      <c r="Y7" s="1412" t="s">
        <v>117</v>
      </c>
      <c r="Z7" s="1413"/>
      <c r="AA7" s="424"/>
      <c r="AB7" s="424"/>
    </row>
    <row r="8" spans="1:28" s="454" customFormat="1" ht="11.25" customHeight="1">
      <c r="A8" s="444"/>
      <c r="B8" s="445"/>
      <c r="C8" s="446"/>
      <c r="D8" s="603"/>
      <c r="E8" s="603"/>
      <c r="F8" s="603"/>
      <c r="G8" s="605"/>
      <c r="H8" s="606"/>
      <c r="I8" s="606"/>
      <c r="J8" s="606"/>
      <c r="K8" s="606"/>
      <c r="L8" s="1068"/>
      <c r="M8" s="606"/>
      <c r="N8" s="609"/>
      <c r="O8" s="446"/>
      <c r="P8" s="1069"/>
      <c r="Q8" s="450"/>
      <c r="R8" s="610"/>
      <c r="S8" s="610"/>
      <c r="T8" s="1069"/>
      <c r="U8" s="610"/>
      <c r="V8" s="1069"/>
      <c r="W8" s="450"/>
      <c r="X8" s="1070"/>
      <c r="Y8" s="423"/>
      <c r="Z8" s="423"/>
      <c r="AA8" s="453"/>
    </row>
    <row r="9" spans="1:28" s="455" customFormat="1">
      <c r="A9" s="611"/>
      <c r="B9" s="424"/>
      <c r="C9" s="456"/>
      <c r="D9" s="1419" t="s">
        <v>152</v>
      </c>
      <c r="E9" s="1420"/>
      <c r="F9" s="1421"/>
      <c r="G9" s="612"/>
      <c r="H9" s="1422" t="s">
        <v>153</v>
      </c>
      <c r="I9" s="1423"/>
      <c r="J9" s="1423"/>
      <c r="K9" s="1424"/>
      <c r="L9" s="1042"/>
      <c r="M9" s="614"/>
      <c r="N9" s="609" t="s">
        <v>118</v>
      </c>
      <c r="O9" s="447"/>
      <c r="P9" s="610"/>
      <c r="Q9" s="450"/>
      <c r="R9" s="615"/>
      <c r="S9" s="615"/>
      <c r="T9" s="1071"/>
      <c r="U9" s="615"/>
      <c r="V9" s="1071"/>
      <c r="W9" s="1072"/>
      <c r="X9" s="1070"/>
      <c r="Y9" s="459"/>
      <c r="Z9" s="460"/>
      <c r="AA9" s="461"/>
      <c r="AB9" s="462"/>
    </row>
    <row r="10" spans="1:28" s="455" customFormat="1">
      <c r="A10" s="463" t="s">
        <v>119</v>
      </c>
      <c r="B10" s="464" t="s">
        <v>120</v>
      </c>
      <c r="C10" s="465" t="s">
        <v>121</v>
      </c>
      <c r="D10" s="616" t="s">
        <v>154</v>
      </c>
      <c r="E10" s="617" t="s">
        <v>155</v>
      </c>
      <c r="F10" s="618" t="s">
        <v>156</v>
      </c>
      <c r="G10" s="612" t="s">
        <v>157</v>
      </c>
      <c r="H10" s="1043" t="s">
        <v>158</v>
      </c>
      <c r="I10" s="1043" t="s">
        <v>159</v>
      </c>
      <c r="J10" s="1043" t="s">
        <v>160</v>
      </c>
      <c r="K10" s="1043" t="s">
        <v>161</v>
      </c>
      <c r="L10" s="1042" t="s">
        <v>162</v>
      </c>
      <c r="M10" s="467" t="s">
        <v>122</v>
      </c>
      <c r="N10" s="620" t="s">
        <v>123</v>
      </c>
      <c r="O10" s="466" t="s">
        <v>124</v>
      </c>
      <c r="P10" s="451" t="s">
        <v>125</v>
      </c>
      <c r="Q10" s="450" t="s">
        <v>126</v>
      </c>
      <c r="R10" s="451" t="s">
        <v>126</v>
      </c>
      <c r="S10" s="451" t="s">
        <v>125</v>
      </c>
      <c r="T10" s="1069" t="s">
        <v>227</v>
      </c>
      <c r="U10" s="610" t="s">
        <v>228</v>
      </c>
      <c r="V10" s="1069" t="s">
        <v>227</v>
      </c>
      <c r="W10" s="450" t="s">
        <v>231</v>
      </c>
      <c r="X10" s="468" t="s">
        <v>127</v>
      </c>
      <c r="Y10" s="459" t="s">
        <v>213</v>
      </c>
      <c r="Z10" s="459" t="s">
        <v>129</v>
      </c>
      <c r="AA10" s="469"/>
    </row>
    <row r="11" spans="1:28" s="455" customFormat="1" ht="12" thickBot="1">
      <c r="A11" s="1073" t="s">
        <v>130</v>
      </c>
      <c r="B11" s="1074" t="s">
        <v>130</v>
      </c>
      <c r="C11" s="1075" t="s">
        <v>131</v>
      </c>
      <c r="D11" s="621" t="s">
        <v>163</v>
      </c>
      <c r="E11" s="622" t="s">
        <v>163</v>
      </c>
      <c r="F11" s="623" t="s">
        <v>163</v>
      </c>
      <c r="G11" s="624" t="s">
        <v>163</v>
      </c>
      <c r="H11" s="625" t="s">
        <v>163</v>
      </c>
      <c r="I11" s="625" t="s">
        <v>163</v>
      </c>
      <c r="J11" s="625" t="s">
        <v>163</v>
      </c>
      <c r="K11" s="625" t="s">
        <v>163</v>
      </c>
      <c r="L11" s="1076" t="s">
        <v>163</v>
      </c>
      <c r="M11" s="1077" t="s">
        <v>232</v>
      </c>
      <c r="N11" s="627" t="s">
        <v>163</v>
      </c>
      <c r="O11" s="472" t="s">
        <v>163</v>
      </c>
      <c r="P11" s="1078" t="s">
        <v>164</v>
      </c>
      <c r="Q11" s="476" t="s">
        <v>38</v>
      </c>
      <c r="R11" s="628" t="s">
        <v>38</v>
      </c>
      <c r="S11" s="628" t="s">
        <v>164</v>
      </c>
      <c r="T11" s="1078" t="s">
        <v>163</v>
      </c>
      <c r="U11" s="628" t="s">
        <v>163</v>
      </c>
      <c r="V11" s="1078" t="s">
        <v>163</v>
      </c>
      <c r="W11" s="476" t="s">
        <v>163</v>
      </c>
      <c r="X11" s="1079"/>
      <c r="Y11" s="479"/>
      <c r="Z11" s="480" t="s">
        <v>163</v>
      </c>
      <c r="AA11" s="469"/>
    </row>
    <row r="12" spans="1:28" s="455" customFormat="1">
      <c r="A12" s="629" t="s">
        <v>165</v>
      </c>
      <c r="B12" s="630"/>
      <c r="C12" s="631">
        <v>0</v>
      </c>
      <c r="D12" s="632" t="s">
        <v>166</v>
      </c>
      <c r="E12" s="633" t="s">
        <v>166</v>
      </c>
      <c r="F12" s="634" t="s">
        <v>166</v>
      </c>
      <c r="G12" s="635" t="s">
        <v>166</v>
      </c>
      <c r="H12" s="633" t="s">
        <v>166</v>
      </c>
      <c r="I12" s="633" t="s">
        <v>166</v>
      </c>
      <c r="J12" s="633" t="s">
        <v>166</v>
      </c>
      <c r="K12" s="633" t="s">
        <v>166</v>
      </c>
      <c r="L12" s="636" t="s">
        <v>166</v>
      </c>
      <c r="M12" s="631"/>
      <c r="N12" s="1080"/>
      <c r="O12" s="1081"/>
      <c r="P12" s="639"/>
      <c r="Q12" s="640"/>
      <c r="R12" s="641"/>
      <c r="S12" s="642"/>
      <c r="T12" s="1082"/>
      <c r="U12" s="642"/>
      <c r="V12" s="1083"/>
      <c r="W12" s="1083"/>
      <c r="X12" s="643"/>
      <c r="Y12" s="492" t="s">
        <v>135</v>
      </c>
      <c r="Z12" s="493">
        <v>430</v>
      </c>
      <c r="AA12" s="494"/>
    </row>
    <row r="13" spans="1:28" s="455" customFormat="1">
      <c r="A13" s="481">
        <v>105</v>
      </c>
      <c r="B13" s="482">
        <v>0</v>
      </c>
      <c r="C13" s="483">
        <v>10</v>
      </c>
      <c r="D13" s="644" t="s">
        <v>166</v>
      </c>
      <c r="E13" s="645" t="s">
        <v>166</v>
      </c>
      <c r="F13" s="646" t="s">
        <v>166</v>
      </c>
      <c r="G13" s="647" t="s">
        <v>166</v>
      </c>
      <c r="H13" s="645" t="s">
        <v>166</v>
      </c>
      <c r="I13" s="645" t="s">
        <v>166</v>
      </c>
      <c r="J13" s="645" t="s">
        <v>166</v>
      </c>
      <c r="K13" s="645" t="s">
        <v>166</v>
      </c>
      <c r="L13" s="648" t="s">
        <v>166</v>
      </c>
      <c r="M13" s="483">
        <v>1000</v>
      </c>
      <c r="N13" s="649">
        <f>C12</f>
        <v>0</v>
      </c>
      <c r="O13" s="650">
        <f t="shared" ref="O13:O18" si="0">(C13+C14-10)/2</f>
        <v>10</v>
      </c>
      <c r="P13" s="497">
        <f>(A13-B13)/M13</f>
        <v>0.105</v>
      </c>
      <c r="Q13" s="488">
        <f>(P13*(O13-N13))/100</f>
        <v>1.0500000000000001E-2</v>
      </c>
      <c r="R13" s="651">
        <f>SUM(Q$13:Q13)</f>
        <v>1.0500000000000001E-2</v>
      </c>
      <c r="S13" s="500">
        <f>R13/O13*100</f>
        <v>0.10500000000000001</v>
      </c>
      <c r="T13" s="1084"/>
      <c r="U13" s="500"/>
      <c r="V13" s="500"/>
      <c r="W13" s="500"/>
      <c r="X13" s="491"/>
      <c r="Y13" s="501" t="s">
        <v>136</v>
      </c>
      <c r="Z13" s="502">
        <v>430</v>
      </c>
      <c r="AA13" s="469"/>
    </row>
    <row r="14" spans="1:28" s="455" customFormat="1">
      <c r="A14" s="481">
        <v>250</v>
      </c>
      <c r="B14" s="482">
        <v>0</v>
      </c>
      <c r="C14" s="483">
        <v>20</v>
      </c>
      <c r="D14" s="644" t="s">
        <v>166</v>
      </c>
      <c r="E14" s="645" t="s">
        <v>166</v>
      </c>
      <c r="F14" s="646" t="s">
        <v>166</v>
      </c>
      <c r="G14" s="647" t="s">
        <v>166</v>
      </c>
      <c r="H14" s="645" t="s">
        <v>166</v>
      </c>
      <c r="I14" s="645" t="s">
        <v>166</v>
      </c>
      <c r="J14" s="645" t="s">
        <v>166</v>
      </c>
      <c r="K14" s="645" t="s">
        <v>166</v>
      </c>
      <c r="L14" s="648" t="s">
        <v>166</v>
      </c>
      <c r="M14" s="483">
        <v>1000</v>
      </c>
      <c r="N14" s="649">
        <f t="shared" ref="N14:N20" si="1">(C13+C14-10)/2</f>
        <v>10</v>
      </c>
      <c r="O14" s="650">
        <f t="shared" si="0"/>
        <v>20</v>
      </c>
      <c r="P14" s="497">
        <f t="shared" ref="P14:P19" si="2">(A14-B14)/M14</f>
        <v>0.25</v>
      </c>
      <c r="Q14" s="488">
        <f t="shared" ref="Q14:Q19" si="3">(P14*(O14-N14))/100</f>
        <v>2.5000000000000001E-2</v>
      </c>
      <c r="R14" s="651">
        <f>SUM(Q$13:Q14)</f>
        <v>3.5500000000000004E-2</v>
      </c>
      <c r="S14" s="500">
        <f t="shared" ref="S14:S20" si="4">R14/O14*100</f>
        <v>0.17750000000000002</v>
      </c>
      <c r="T14" s="1084"/>
      <c r="U14" s="500"/>
      <c r="V14" s="500"/>
      <c r="W14" s="500"/>
      <c r="X14" s="491"/>
      <c r="Y14" s="501" t="s">
        <v>136</v>
      </c>
      <c r="Z14" s="502">
        <v>427</v>
      </c>
      <c r="AA14" s="469"/>
    </row>
    <row r="15" spans="1:28" s="455" customFormat="1">
      <c r="A15" s="481">
        <v>245</v>
      </c>
      <c r="B15" s="482">
        <v>0</v>
      </c>
      <c r="C15" s="483">
        <v>30</v>
      </c>
      <c r="D15" s="644" t="s">
        <v>166</v>
      </c>
      <c r="E15" s="645" t="s">
        <v>166</v>
      </c>
      <c r="F15" s="646" t="s">
        <v>166</v>
      </c>
      <c r="G15" s="647" t="s">
        <v>166</v>
      </c>
      <c r="H15" s="645" t="s">
        <v>166</v>
      </c>
      <c r="I15" s="645" t="s">
        <v>166</v>
      </c>
      <c r="J15" s="645" t="s">
        <v>166</v>
      </c>
      <c r="K15" s="645" t="s">
        <v>166</v>
      </c>
      <c r="L15" s="648" t="s">
        <v>166</v>
      </c>
      <c r="M15" s="483">
        <v>1000</v>
      </c>
      <c r="N15" s="649">
        <f t="shared" si="1"/>
        <v>20</v>
      </c>
      <c r="O15" s="650">
        <f t="shared" si="0"/>
        <v>30</v>
      </c>
      <c r="P15" s="497">
        <f t="shared" si="2"/>
        <v>0.245</v>
      </c>
      <c r="Q15" s="488">
        <f t="shared" si="3"/>
        <v>2.4500000000000001E-2</v>
      </c>
      <c r="R15" s="651">
        <f>SUM(Q$13:Q15)</f>
        <v>6.0000000000000005E-2</v>
      </c>
      <c r="S15" s="500">
        <f t="shared" si="4"/>
        <v>0.2</v>
      </c>
      <c r="T15" s="1084"/>
      <c r="U15" s="500"/>
      <c r="V15" s="500"/>
      <c r="W15" s="500"/>
      <c r="X15" s="491"/>
      <c r="Y15" s="501" t="s">
        <v>136</v>
      </c>
      <c r="Z15" s="503">
        <v>432</v>
      </c>
      <c r="AA15" s="469"/>
    </row>
    <row r="16" spans="1:28" s="455" customFormat="1">
      <c r="A16" s="504">
        <v>240</v>
      </c>
      <c r="B16" s="482">
        <v>0</v>
      </c>
      <c r="C16" s="483">
        <v>40</v>
      </c>
      <c r="D16" s="644" t="s">
        <v>166</v>
      </c>
      <c r="E16" s="645" t="s">
        <v>166</v>
      </c>
      <c r="F16" s="646" t="s">
        <v>166</v>
      </c>
      <c r="G16" s="647" t="s">
        <v>166</v>
      </c>
      <c r="H16" s="645" t="s">
        <v>166</v>
      </c>
      <c r="I16" s="645" t="s">
        <v>166</v>
      </c>
      <c r="J16" s="645" t="s">
        <v>166</v>
      </c>
      <c r="K16" s="645" t="s">
        <v>166</v>
      </c>
      <c r="L16" s="648" t="s">
        <v>166</v>
      </c>
      <c r="M16" s="483">
        <v>1000</v>
      </c>
      <c r="N16" s="649">
        <f t="shared" si="1"/>
        <v>30</v>
      </c>
      <c r="O16" s="650">
        <f t="shared" si="0"/>
        <v>40</v>
      </c>
      <c r="P16" s="497">
        <f t="shared" si="2"/>
        <v>0.24</v>
      </c>
      <c r="Q16" s="488">
        <f t="shared" si="3"/>
        <v>2.4E-2</v>
      </c>
      <c r="R16" s="651">
        <f>SUM(Q$13:Q16)</f>
        <v>8.4000000000000005E-2</v>
      </c>
      <c r="S16" s="500">
        <f t="shared" si="4"/>
        <v>0.21000000000000002</v>
      </c>
      <c r="T16" s="1084"/>
      <c r="U16" s="500"/>
      <c r="V16" s="500"/>
      <c r="W16" s="500"/>
      <c r="X16" s="491"/>
      <c r="Y16" s="501" t="s">
        <v>136</v>
      </c>
      <c r="Z16" s="502">
        <v>435</v>
      </c>
      <c r="AA16" s="469">
        <f>AVERAGE(Z13:Z16)</f>
        <v>431</v>
      </c>
    </row>
    <row r="17" spans="1:29" s="455" customFormat="1">
      <c r="A17" s="504">
        <v>270</v>
      </c>
      <c r="B17" s="482">
        <v>0</v>
      </c>
      <c r="C17" s="483">
        <v>50</v>
      </c>
      <c r="D17" s="644" t="s">
        <v>166</v>
      </c>
      <c r="E17" s="645" t="s">
        <v>166</v>
      </c>
      <c r="F17" s="646" t="s">
        <v>166</v>
      </c>
      <c r="G17" s="647" t="s">
        <v>166</v>
      </c>
      <c r="H17" s="645" t="s">
        <v>166</v>
      </c>
      <c r="I17" s="645" t="s">
        <v>166</v>
      </c>
      <c r="J17" s="645" t="s">
        <v>166</v>
      </c>
      <c r="K17" s="645" t="s">
        <v>166</v>
      </c>
      <c r="L17" s="648" t="s">
        <v>166</v>
      </c>
      <c r="M17" s="483">
        <v>1000</v>
      </c>
      <c r="N17" s="649">
        <f t="shared" si="1"/>
        <v>40</v>
      </c>
      <c r="O17" s="650">
        <f t="shared" si="0"/>
        <v>50</v>
      </c>
      <c r="P17" s="497">
        <f t="shared" si="2"/>
        <v>0.27</v>
      </c>
      <c r="Q17" s="488">
        <f t="shared" si="3"/>
        <v>2.7000000000000003E-2</v>
      </c>
      <c r="R17" s="651">
        <f>SUM(Q$13:Q17)</f>
        <v>0.11100000000000002</v>
      </c>
      <c r="S17" s="500">
        <f t="shared" si="4"/>
        <v>0.22200000000000003</v>
      </c>
      <c r="T17" s="1084"/>
      <c r="U17" s="500"/>
      <c r="V17" s="500"/>
      <c r="W17" s="500"/>
      <c r="X17" s="491" t="s">
        <v>137</v>
      </c>
      <c r="Y17" s="501"/>
      <c r="Z17" s="502"/>
      <c r="AA17" s="461"/>
    </row>
    <row r="18" spans="1:29" s="455" customFormat="1">
      <c r="A18" s="504">
        <v>270</v>
      </c>
      <c r="B18" s="482">
        <v>0</v>
      </c>
      <c r="C18" s="483">
        <v>60</v>
      </c>
      <c r="D18" s="644" t="s">
        <v>166</v>
      </c>
      <c r="E18" s="645" t="s">
        <v>166</v>
      </c>
      <c r="F18" s="646" t="s">
        <v>166</v>
      </c>
      <c r="G18" s="647" t="s">
        <v>166</v>
      </c>
      <c r="H18" s="645" t="s">
        <v>166</v>
      </c>
      <c r="I18" s="645" t="s">
        <v>166</v>
      </c>
      <c r="J18" s="645" t="s">
        <v>166</v>
      </c>
      <c r="K18" s="645" t="s">
        <v>166</v>
      </c>
      <c r="L18" s="648" t="s">
        <v>166</v>
      </c>
      <c r="M18" s="483">
        <v>1000</v>
      </c>
      <c r="N18" s="649">
        <f t="shared" si="1"/>
        <v>50</v>
      </c>
      <c r="O18" s="650">
        <f t="shared" si="0"/>
        <v>60</v>
      </c>
      <c r="P18" s="497">
        <f t="shared" si="2"/>
        <v>0.27</v>
      </c>
      <c r="Q18" s="488">
        <f t="shared" si="3"/>
        <v>2.7000000000000003E-2</v>
      </c>
      <c r="R18" s="651">
        <f>SUM(Q$13:Q18)</f>
        <v>0.13800000000000001</v>
      </c>
      <c r="S18" s="500">
        <f t="shared" si="4"/>
        <v>0.23000000000000004</v>
      </c>
      <c r="T18" s="1084"/>
      <c r="U18" s="500"/>
      <c r="V18" s="500"/>
      <c r="W18" s="500"/>
      <c r="X18" s="506"/>
      <c r="Y18" s="501"/>
      <c r="Z18" s="502"/>
      <c r="AA18" s="461"/>
    </row>
    <row r="19" spans="1:29" s="455" customFormat="1" ht="10.199999999999999" customHeight="1">
      <c r="A19" s="504">
        <v>325</v>
      </c>
      <c r="B19" s="482">
        <v>0</v>
      </c>
      <c r="C19" s="483">
        <v>70</v>
      </c>
      <c r="D19" s="644" t="s">
        <v>166</v>
      </c>
      <c r="E19" s="645" t="s">
        <v>166</v>
      </c>
      <c r="F19" s="646" t="s">
        <v>166</v>
      </c>
      <c r="G19" s="647" t="s">
        <v>166</v>
      </c>
      <c r="H19" s="645" t="s">
        <v>166</v>
      </c>
      <c r="I19" s="645" t="s">
        <v>166</v>
      </c>
      <c r="J19" s="645" t="s">
        <v>166</v>
      </c>
      <c r="K19" s="645" t="s">
        <v>166</v>
      </c>
      <c r="L19" s="648" t="s">
        <v>166</v>
      </c>
      <c r="M19" s="483">
        <v>1000</v>
      </c>
      <c r="N19" s="649">
        <f t="shared" si="1"/>
        <v>60</v>
      </c>
      <c r="O19" s="650">
        <f>(C19+C20-10)/2</f>
        <v>70</v>
      </c>
      <c r="P19" s="497">
        <f t="shared" si="2"/>
        <v>0.32500000000000001</v>
      </c>
      <c r="Q19" s="488">
        <f t="shared" si="3"/>
        <v>3.2500000000000001E-2</v>
      </c>
      <c r="R19" s="651">
        <f>SUM(Q$13:Q19)</f>
        <v>0.17050000000000001</v>
      </c>
      <c r="S19" s="500">
        <f t="shared" si="4"/>
        <v>0.24357142857142858</v>
      </c>
      <c r="T19" s="1084"/>
      <c r="U19" s="500"/>
      <c r="V19" s="500"/>
      <c r="W19" s="500"/>
      <c r="X19" s="506"/>
      <c r="Y19" s="501"/>
      <c r="Z19" s="502"/>
      <c r="AA19" s="507"/>
    </row>
    <row r="20" spans="1:29" s="455" customFormat="1">
      <c r="A20" s="504">
        <v>320</v>
      </c>
      <c r="B20" s="482">
        <v>0</v>
      </c>
      <c r="C20" s="483">
        <v>80</v>
      </c>
      <c r="D20" s="644" t="s">
        <v>166</v>
      </c>
      <c r="E20" s="645" t="s">
        <v>166</v>
      </c>
      <c r="F20" s="646" t="s">
        <v>166</v>
      </c>
      <c r="G20" s="647" t="s">
        <v>166</v>
      </c>
      <c r="H20" s="645" t="s">
        <v>166</v>
      </c>
      <c r="I20" s="645" t="s">
        <v>166</v>
      </c>
      <c r="J20" s="645" t="s">
        <v>166</v>
      </c>
      <c r="K20" s="645" t="s">
        <v>166</v>
      </c>
      <c r="L20" s="648" t="s">
        <v>166</v>
      </c>
      <c r="M20" s="483">
        <v>1000</v>
      </c>
      <c r="N20" s="649">
        <f t="shared" si="1"/>
        <v>70</v>
      </c>
      <c r="O20" s="650">
        <f>(C20+C25-D25)/2</f>
        <v>89.5</v>
      </c>
      <c r="P20" s="497">
        <f>(A20-B20)/M20</f>
        <v>0.32</v>
      </c>
      <c r="Q20" s="488">
        <f>(P20*(O20-N20))/100</f>
        <v>6.2400000000000004E-2</v>
      </c>
      <c r="R20" s="651">
        <f>SUM(Q$13:Q20)</f>
        <v>0.23290000000000002</v>
      </c>
      <c r="S20" s="500">
        <f t="shared" si="4"/>
        <v>0.26022346368715088</v>
      </c>
      <c r="T20" s="1084"/>
      <c r="U20" s="500"/>
      <c r="V20" s="500"/>
      <c r="W20" s="500"/>
      <c r="X20" s="491"/>
      <c r="Y20" s="501"/>
      <c r="Z20" s="502"/>
      <c r="AA20" s="508"/>
    </row>
    <row r="21" spans="1:29" s="510" customFormat="1">
      <c r="A21" s="504"/>
      <c r="B21" s="482"/>
      <c r="C21" s="483"/>
      <c r="D21" s="644"/>
      <c r="E21" s="645"/>
      <c r="F21" s="646"/>
      <c r="G21" s="647"/>
      <c r="H21" s="645"/>
      <c r="I21" s="645"/>
      <c r="J21" s="645"/>
      <c r="K21" s="645"/>
      <c r="L21" s="648"/>
      <c r="M21" s="483"/>
      <c r="N21" s="649"/>
      <c r="O21" s="650"/>
      <c r="P21" s="497"/>
      <c r="Q21" s="488"/>
      <c r="R21" s="651"/>
      <c r="S21" s="500"/>
      <c r="T21" s="1084"/>
      <c r="U21" s="500"/>
      <c r="V21" s="500"/>
      <c r="W21" s="500"/>
      <c r="X21" s="509"/>
      <c r="Y21" s="501"/>
      <c r="Z21" s="502"/>
      <c r="AA21" s="508"/>
    </row>
    <row r="22" spans="1:29" s="510" customFormat="1">
      <c r="A22" s="504"/>
      <c r="B22" s="482"/>
      <c r="C22" s="483"/>
      <c r="D22" s="644"/>
      <c r="E22" s="645"/>
      <c r="F22" s="646"/>
      <c r="G22" s="647"/>
      <c r="H22" s="645"/>
      <c r="I22" s="645"/>
      <c r="J22" s="645"/>
      <c r="K22" s="645"/>
      <c r="L22" s="648"/>
      <c r="M22" s="483"/>
      <c r="N22" s="649"/>
      <c r="O22" s="650"/>
      <c r="P22" s="497"/>
      <c r="Q22" s="488"/>
      <c r="R22" s="651"/>
      <c r="S22" s="500"/>
      <c r="T22" s="1084"/>
      <c r="U22" s="500"/>
      <c r="V22" s="500"/>
      <c r="W22" s="500"/>
      <c r="X22" s="517"/>
      <c r="Y22" s="501"/>
      <c r="Z22" s="511"/>
      <c r="AA22" s="508"/>
    </row>
    <row r="23" spans="1:29" s="510" customFormat="1" ht="10.8" thickBot="1">
      <c r="A23" s="652"/>
      <c r="B23" s="653"/>
      <c r="C23" s="654"/>
      <c r="D23" s="655"/>
      <c r="E23" s="654"/>
      <c r="F23" s="656"/>
      <c r="G23" s="657"/>
      <c r="H23" s="654"/>
      <c r="I23" s="654"/>
      <c r="J23" s="654"/>
      <c r="K23" s="654"/>
      <c r="L23" s="658"/>
      <c r="M23" s="654"/>
      <c r="N23" s="659"/>
      <c r="O23" s="660"/>
      <c r="P23" s="661"/>
      <c r="Q23" s="662"/>
      <c r="R23" s="663"/>
      <c r="S23" s="664"/>
      <c r="T23" s="1085"/>
      <c r="U23" s="664"/>
      <c r="V23" s="664"/>
      <c r="W23" s="664"/>
      <c r="X23" s="665"/>
      <c r="Y23" s="501"/>
      <c r="Z23" s="513"/>
      <c r="AA23" s="514"/>
    </row>
    <row r="24" spans="1:29" s="510" customFormat="1">
      <c r="A24" s="666" t="s">
        <v>167</v>
      </c>
      <c r="B24" s="482"/>
      <c r="C24" s="483"/>
      <c r="D24" s="667"/>
      <c r="E24" s="483"/>
      <c r="F24" s="668"/>
      <c r="G24" s="669"/>
      <c r="H24" s="483"/>
      <c r="I24" s="483"/>
      <c r="J24" s="483"/>
      <c r="K24" s="483"/>
      <c r="L24" s="670"/>
      <c r="M24" s="483"/>
      <c r="N24" s="649"/>
      <c r="O24" s="650"/>
      <c r="P24" s="497"/>
      <c r="Q24" s="488"/>
      <c r="R24" s="651"/>
      <c r="S24" s="500"/>
      <c r="T24" s="500"/>
      <c r="U24" s="500"/>
      <c r="V24" s="500"/>
      <c r="W24" s="500"/>
      <c r="X24" s="517"/>
      <c r="Y24" s="501"/>
      <c r="Z24" s="513"/>
      <c r="AA24" s="514"/>
    </row>
    <row r="25" spans="1:29" s="1113" customFormat="1">
      <c r="A25" s="1089">
        <v>990</v>
      </c>
      <c r="B25" s="1090">
        <v>0</v>
      </c>
      <c r="C25" s="720">
        <v>190</v>
      </c>
      <c r="D25" s="1091">
        <v>91</v>
      </c>
      <c r="E25" s="1092"/>
      <c r="F25" s="1093"/>
      <c r="G25" s="1094">
        <f t="shared" ref="G25:G47" si="5">AVERAGE(D25:F25)</f>
        <v>91</v>
      </c>
      <c r="H25" s="1092">
        <v>5.7</v>
      </c>
      <c r="I25" s="1092"/>
      <c r="J25" s="1092"/>
      <c r="K25" s="1092"/>
      <c r="L25" s="1193">
        <f t="shared" ref="L25:L47" si="6">AVERAGE(H25:K25)</f>
        <v>5.7</v>
      </c>
      <c r="M25" s="720">
        <f>G25*    PI()* (L25/2)^2</f>
        <v>2322.1003559192618</v>
      </c>
      <c r="N25" s="1095">
        <f>(C20+C25-D25)/2</f>
        <v>89.5</v>
      </c>
      <c r="O25" s="1096">
        <f>(C25+C26-G26)/2</f>
        <v>190.5</v>
      </c>
      <c r="P25" s="1097">
        <f t="shared" ref="P25:P30" si="7">(A25-B25)/M25</f>
        <v>0.42633816298093785</v>
      </c>
      <c r="Q25" s="1098">
        <f t="shared" ref="Q25:Q47" si="8">(P25*(O25-N25))/100</f>
        <v>0.43060154461074723</v>
      </c>
      <c r="R25" s="1099">
        <f>SUM(Q$13:Q25)</f>
        <v>0.66350154461074728</v>
      </c>
      <c r="S25" s="1100">
        <f>R25/O25*100</f>
        <v>0.3482947740738831</v>
      </c>
      <c r="T25" s="1100"/>
      <c r="U25" s="1100"/>
      <c r="V25" s="1100"/>
      <c r="W25" s="1100"/>
      <c r="X25" s="1101" t="s">
        <v>244</v>
      </c>
      <c r="Y25" s="1106"/>
      <c r="Z25" s="1197"/>
      <c r="AA25" s="1112"/>
    </row>
    <row r="26" spans="1:29" s="1113" customFormat="1">
      <c r="A26" s="1089">
        <v>860</v>
      </c>
      <c r="B26" s="1090">
        <v>0</v>
      </c>
      <c r="C26" s="720">
        <v>265</v>
      </c>
      <c r="D26" s="1091">
        <v>74</v>
      </c>
      <c r="E26" s="1092"/>
      <c r="F26" s="1093"/>
      <c r="G26" s="1094">
        <f t="shared" si="5"/>
        <v>74</v>
      </c>
      <c r="H26" s="1092">
        <v>5.7</v>
      </c>
      <c r="I26" s="1092"/>
      <c r="J26" s="1092"/>
      <c r="K26" s="1092"/>
      <c r="L26" s="1193">
        <f t="shared" si="6"/>
        <v>5.7</v>
      </c>
      <c r="M26" s="720">
        <f t="shared" ref="M26:M47" si="9">G26*    PI()* (L26/2)^2</f>
        <v>1888.3013883299491</v>
      </c>
      <c r="N26" s="1095">
        <f>(C25+C26-G26)/2</f>
        <v>190.5</v>
      </c>
      <c r="O26" s="1096">
        <f>(C26+C27-G27)/2</f>
        <v>265</v>
      </c>
      <c r="P26" s="1097">
        <f t="shared" si="7"/>
        <v>0.45543577170199556</v>
      </c>
      <c r="Q26" s="1098">
        <f t="shared" si="8"/>
        <v>0.33929964991798672</v>
      </c>
      <c r="R26" s="1099">
        <f>SUM(Q$13:Q26)</f>
        <v>1.0028011945287341</v>
      </c>
      <c r="S26" s="1100">
        <f t="shared" ref="S26:S28" si="10">R26/O26*100</f>
        <v>0.37841554510518266</v>
      </c>
      <c r="T26" s="1100"/>
      <c r="U26" s="1100"/>
      <c r="V26" s="1100"/>
      <c r="W26" s="1100"/>
      <c r="X26" s="1101" t="s">
        <v>244</v>
      </c>
      <c r="Y26" s="1106"/>
      <c r="Z26" s="1107"/>
      <c r="AA26" s="1112"/>
    </row>
    <row r="27" spans="1:29" s="1113" customFormat="1">
      <c r="A27" s="1089">
        <v>810</v>
      </c>
      <c r="B27" s="1090">
        <v>0</v>
      </c>
      <c r="C27" s="720">
        <v>335</v>
      </c>
      <c r="D27" s="1091">
        <v>70</v>
      </c>
      <c r="E27" s="1092"/>
      <c r="F27" s="1093"/>
      <c r="G27" s="1094">
        <f t="shared" si="5"/>
        <v>70</v>
      </c>
      <c r="H27" s="1092">
        <v>5.7</v>
      </c>
      <c r="I27" s="1092"/>
      <c r="J27" s="1092"/>
      <c r="K27" s="1092"/>
      <c r="L27" s="1193">
        <f t="shared" si="6"/>
        <v>5.7</v>
      </c>
      <c r="M27" s="720">
        <f t="shared" si="9"/>
        <v>1786.2310430148166</v>
      </c>
      <c r="N27" s="1095">
        <f t="shared" ref="N27:N31" si="11">(C26+C27-G27)/2</f>
        <v>265</v>
      </c>
      <c r="O27" s="1096">
        <f t="shared" ref="O27:O46" si="12">(C27+C28-G28)/2</f>
        <v>318.5</v>
      </c>
      <c r="P27" s="1097">
        <f t="shared" si="7"/>
        <v>0.45346877335245211</v>
      </c>
      <c r="Q27" s="1098">
        <f t="shared" si="8"/>
        <v>0.24260579374356186</v>
      </c>
      <c r="R27" s="1099">
        <f>SUM(Q$13:Q27)</f>
        <v>1.245406988272296</v>
      </c>
      <c r="S27" s="1100">
        <f t="shared" si="10"/>
        <v>0.39102260228329544</v>
      </c>
      <c r="T27" s="1100"/>
      <c r="U27" s="1100"/>
      <c r="V27" s="1100"/>
      <c r="W27" s="1100"/>
      <c r="X27" s="1101" t="s">
        <v>245</v>
      </c>
      <c r="Y27" s="1106"/>
      <c r="Z27" s="1107"/>
      <c r="AA27" s="1112"/>
    </row>
    <row r="28" spans="1:29" s="1149" customFormat="1">
      <c r="A28" s="504">
        <v>820</v>
      </c>
      <c r="B28" s="1134">
        <v>0</v>
      </c>
      <c r="C28" s="1005">
        <f>C29-D29</f>
        <v>366</v>
      </c>
      <c r="D28" s="1135">
        <v>64</v>
      </c>
      <c r="E28" s="1136"/>
      <c r="F28" s="1137"/>
      <c r="G28" s="1138">
        <f t="shared" si="5"/>
        <v>64</v>
      </c>
      <c r="H28" s="1136">
        <v>5.7</v>
      </c>
      <c r="I28" s="1136"/>
      <c r="J28" s="1136"/>
      <c r="K28" s="1136"/>
      <c r="L28" s="1139">
        <f t="shared" si="6"/>
        <v>5.7</v>
      </c>
      <c r="M28" s="1005">
        <f t="shared" si="9"/>
        <v>1633.1255250421182</v>
      </c>
      <c r="N28" s="1140">
        <f t="shared" si="11"/>
        <v>318.5</v>
      </c>
      <c r="O28" s="1141">
        <f t="shared" si="12"/>
        <v>366</v>
      </c>
      <c r="P28" s="1142">
        <f t="shared" si="7"/>
        <v>0.50210469888948206</v>
      </c>
      <c r="Q28" s="1143">
        <f t="shared" si="8"/>
        <v>0.23849973197250399</v>
      </c>
      <c r="R28" s="1144">
        <f>SUM(Q$13:Q28)</f>
        <v>1.4839067202448</v>
      </c>
      <c r="S28" s="1145">
        <f t="shared" si="10"/>
        <v>0.40543899460240435</v>
      </c>
      <c r="T28" s="1145"/>
      <c r="U28" s="1145"/>
      <c r="V28" s="1145"/>
      <c r="W28" s="1145"/>
      <c r="X28" s="935"/>
      <c r="Y28" s="1146"/>
      <c r="Z28" s="1150"/>
      <c r="AA28" s="1148"/>
    </row>
    <row r="29" spans="1:29" s="1102" customFormat="1">
      <c r="A29" s="1089">
        <v>440</v>
      </c>
      <c r="B29" s="1090">
        <v>0</v>
      </c>
      <c r="C29" s="720">
        <v>399</v>
      </c>
      <c r="D29" s="1091">
        <v>33</v>
      </c>
      <c r="E29" s="1092"/>
      <c r="F29" s="1093"/>
      <c r="G29" s="1094">
        <f t="shared" si="5"/>
        <v>33</v>
      </c>
      <c r="H29" s="1092">
        <v>5.7</v>
      </c>
      <c r="I29" s="1092"/>
      <c r="J29" s="1092"/>
      <c r="K29" s="1092"/>
      <c r="L29" s="1193">
        <f t="shared" si="6"/>
        <v>5.7</v>
      </c>
      <c r="M29" s="720">
        <f t="shared" si="9"/>
        <v>842.08034884984215</v>
      </c>
      <c r="N29" s="1095">
        <f t="shared" si="11"/>
        <v>366</v>
      </c>
      <c r="O29" s="1096">
        <f>(C29+C30-G30)/2</f>
        <v>414</v>
      </c>
      <c r="P29" s="1097">
        <f t="shared" si="7"/>
        <v>0.52251545900694063</v>
      </c>
      <c r="Q29" s="1098">
        <f t="shared" si="8"/>
        <v>0.25080742032333148</v>
      </c>
      <c r="R29" s="1099">
        <f>SUM(Q$13:Q29)</f>
        <v>1.7347141405681314</v>
      </c>
      <c r="S29" s="1100">
        <f>R29/O29*100</f>
        <v>0.41901307743191585</v>
      </c>
      <c r="T29" s="1100"/>
      <c r="U29" s="1100"/>
      <c r="V29" s="1100"/>
      <c r="W29" s="1100"/>
      <c r="X29" s="1101" t="s">
        <v>246</v>
      </c>
      <c r="Y29" s="1106"/>
      <c r="Z29" s="1107"/>
      <c r="AA29" s="1112"/>
      <c r="AB29" s="1113"/>
      <c r="AC29" s="1113"/>
    </row>
    <row r="30" spans="1:29" s="1133" customFormat="1">
      <c r="A30" s="1114">
        <v>695</v>
      </c>
      <c r="B30" s="1115">
        <v>0</v>
      </c>
      <c r="C30" s="1116">
        <v>481</v>
      </c>
      <c r="D30" s="1117">
        <v>52</v>
      </c>
      <c r="E30" s="1118"/>
      <c r="F30" s="1119"/>
      <c r="G30" s="1120">
        <f>AVERAGE(D30:F30)</f>
        <v>52</v>
      </c>
      <c r="H30" s="1118">
        <v>5.7</v>
      </c>
      <c r="I30" s="1118"/>
      <c r="J30" s="1118"/>
      <c r="K30" s="1118"/>
      <c r="L30" s="1121">
        <f t="shared" si="6"/>
        <v>5.7</v>
      </c>
      <c r="M30" s="1116">
        <f t="shared" si="9"/>
        <v>1326.9144890967211</v>
      </c>
      <c r="N30" s="1122">
        <f t="shared" si="11"/>
        <v>414</v>
      </c>
      <c r="O30" s="1123">
        <f t="shared" si="12"/>
        <v>481</v>
      </c>
      <c r="P30" s="1124">
        <f t="shared" si="7"/>
        <v>0.52377150578339959</v>
      </c>
      <c r="Q30" s="1125">
        <f t="shared" si="8"/>
        <v>0.35092690887487771</v>
      </c>
      <c r="R30" s="1126">
        <f>SUM(Q$13:Q29) + (W30-N30)*P30/100</f>
        <v>1.8185175814934753</v>
      </c>
      <c r="S30" s="1127">
        <f>R30/W30*100</f>
        <v>0.42291106546359891</v>
      </c>
      <c r="T30" s="1127"/>
      <c r="U30" s="1127"/>
      <c r="V30" s="1127">
        <v>51</v>
      </c>
      <c r="W30" s="1127">
        <v>430</v>
      </c>
      <c r="X30" s="1128" t="s">
        <v>247</v>
      </c>
      <c r="Y30" s="1129"/>
      <c r="Z30" s="1130"/>
      <c r="AA30" s="1131"/>
      <c r="AB30" s="1132"/>
      <c r="AC30" s="1132"/>
    </row>
    <row r="31" spans="1:29" s="520" customFormat="1">
      <c r="A31" s="504">
        <v>495</v>
      </c>
      <c r="B31" s="1134">
        <v>0</v>
      </c>
      <c r="C31" s="1005">
        <f>C32-D32</f>
        <v>519</v>
      </c>
      <c r="D31" s="1135">
        <v>38</v>
      </c>
      <c r="E31" s="1136"/>
      <c r="F31" s="1137"/>
      <c r="G31" s="1138">
        <f t="shared" si="5"/>
        <v>38</v>
      </c>
      <c r="H31" s="1136">
        <v>5.7</v>
      </c>
      <c r="I31" s="1136"/>
      <c r="J31" s="1136"/>
      <c r="K31" s="1136"/>
      <c r="L31" s="1139">
        <f t="shared" si="6"/>
        <v>5.7</v>
      </c>
      <c r="M31" s="1005">
        <f t="shared" si="9"/>
        <v>969.66828049375761</v>
      </c>
      <c r="N31" s="1140">
        <f t="shared" si="11"/>
        <v>481</v>
      </c>
      <c r="O31" s="1141">
        <f t="shared" si="12"/>
        <v>519</v>
      </c>
      <c r="P31" s="1142">
        <f t="shared" ref="P31:P47" si="13">(A31-B31)/M31</f>
        <v>0.51048385304296506</v>
      </c>
      <c r="Q31" s="1143">
        <f t="shared" si="8"/>
        <v>0.19398386415632671</v>
      </c>
      <c r="R31" s="1144">
        <f>SUM(Q$31:Q31) + (N31-W30)*P30/100</f>
        <v>0.46110733210586052</v>
      </c>
      <c r="S31" s="1145">
        <f>R31/(O31-W$30)*100</f>
        <v>0.51809812596164107</v>
      </c>
      <c r="T31" s="1145"/>
      <c r="U31" s="1145"/>
      <c r="V31" s="1145"/>
      <c r="W31" s="1145"/>
      <c r="X31" s="935" t="s">
        <v>249</v>
      </c>
      <c r="Y31" s="1146"/>
      <c r="Z31" s="1150"/>
      <c r="AA31" s="1148"/>
      <c r="AB31" s="1149"/>
      <c r="AC31" s="1149"/>
    </row>
    <row r="32" spans="1:29" s="1133" customFormat="1">
      <c r="A32" s="1114">
        <v>600</v>
      </c>
      <c r="B32" s="1115">
        <v>0</v>
      </c>
      <c r="C32" s="1116">
        <v>560</v>
      </c>
      <c r="D32" s="1117">
        <v>41</v>
      </c>
      <c r="E32" s="1118"/>
      <c r="F32" s="1119"/>
      <c r="G32" s="1120">
        <f t="shared" si="5"/>
        <v>41</v>
      </c>
      <c r="H32" s="1118">
        <v>5.7</v>
      </c>
      <c r="I32" s="1118"/>
      <c r="J32" s="1118"/>
      <c r="K32" s="1118"/>
      <c r="L32" s="1121">
        <f t="shared" si="6"/>
        <v>5.7</v>
      </c>
      <c r="M32" s="1116">
        <f t="shared" si="9"/>
        <v>1046.2210394801068</v>
      </c>
      <c r="N32" s="1122">
        <f t="shared" ref="N32:N47" si="14">(C31+C32-G32)/2</f>
        <v>519</v>
      </c>
      <c r="O32" s="1123">
        <f t="shared" si="12"/>
        <v>560.5</v>
      </c>
      <c r="P32" s="1124">
        <f t="shared" si="13"/>
        <v>0.57349257695883737</v>
      </c>
      <c r="Q32" s="1125">
        <f t="shared" si="8"/>
        <v>0.2379994194379175</v>
      </c>
      <c r="R32" s="1126">
        <f>R31+(W32-N32)*P32/100</f>
        <v>0.55286614441927451</v>
      </c>
      <c r="S32" s="1127">
        <f>R32*100/(W32-W30)</f>
        <v>0.52653918516121379</v>
      </c>
      <c r="T32" s="1127"/>
      <c r="U32" s="1127"/>
      <c r="V32" s="1127">
        <v>25</v>
      </c>
      <c r="W32" s="1127">
        <f>560-25</f>
        <v>535</v>
      </c>
      <c r="X32" s="1128" t="s">
        <v>248</v>
      </c>
      <c r="Y32" s="1129"/>
      <c r="Z32" s="1130"/>
      <c r="AA32" s="1131"/>
      <c r="AB32" s="1132"/>
      <c r="AC32" s="1132"/>
    </row>
    <row r="33" spans="1:29" s="520" customFormat="1">
      <c r="A33" s="504">
        <v>650</v>
      </c>
      <c r="B33" s="1134">
        <v>0</v>
      </c>
      <c r="C33" s="1005">
        <f>C34-D34</f>
        <v>605</v>
      </c>
      <c r="D33" s="1135">
        <v>44</v>
      </c>
      <c r="E33" s="1136"/>
      <c r="F33" s="1137"/>
      <c r="G33" s="1138">
        <f t="shared" si="5"/>
        <v>44</v>
      </c>
      <c r="H33" s="1136">
        <v>5.7</v>
      </c>
      <c r="I33" s="1136"/>
      <c r="J33" s="1136"/>
      <c r="K33" s="1136"/>
      <c r="L33" s="1139">
        <f t="shared" si="6"/>
        <v>5.7</v>
      </c>
      <c r="M33" s="1005">
        <f t="shared" si="9"/>
        <v>1122.7737984664561</v>
      </c>
      <c r="N33" s="1140">
        <f t="shared" si="14"/>
        <v>560.5</v>
      </c>
      <c r="O33" s="1141">
        <f t="shared" si="12"/>
        <v>605</v>
      </c>
      <c r="P33" s="1142">
        <f t="shared" si="13"/>
        <v>0.57892337787700821</v>
      </c>
      <c r="Q33" s="1143">
        <f t="shared" si="8"/>
        <v>0.25762090315526864</v>
      </c>
      <c r="R33" s="1144">
        <f>Q33 + (O32-W32)*P32/100</f>
        <v>0.40386151027977218</v>
      </c>
      <c r="S33" s="1145">
        <f>R33/(O33-W$32)*100</f>
        <v>0.57694501468538884</v>
      </c>
      <c r="T33" s="1145"/>
      <c r="U33" s="1145"/>
      <c r="V33" s="1145"/>
      <c r="W33" s="1145"/>
      <c r="X33" s="935"/>
      <c r="Y33" s="1146"/>
      <c r="Z33" s="1150"/>
      <c r="AA33" s="1148"/>
      <c r="AB33" s="1149"/>
      <c r="AC33" s="1149"/>
    </row>
    <row r="34" spans="1:29" s="1102" customFormat="1">
      <c r="A34" s="1089">
        <v>435</v>
      </c>
      <c r="B34" s="1090">
        <v>0</v>
      </c>
      <c r="C34" s="720">
        <v>635</v>
      </c>
      <c r="D34" s="1091">
        <v>30</v>
      </c>
      <c r="E34" s="1092"/>
      <c r="F34" s="1093"/>
      <c r="G34" s="1094">
        <f t="shared" si="5"/>
        <v>30</v>
      </c>
      <c r="H34" s="1092">
        <v>5.7</v>
      </c>
      <c r="I34" s="1092"/>
      <c r="J34" s="1092"/>
      <c r="K34" s="1092"/>
      <c r="L34" s="1193">
        <f t="shared" si="6"/>
        <v>5.7</v>
      </c>
      <c r="M34" s="720">
        <f t="shared" si="9"/>
        <v>765.52758986349284</v>
      </c>
      <c r="N34" s="1095">
        <f t="shared" si="14"/>
        <v>605</v>
      </c>
      <c r="O34" s="1096">
        <f t="shared" si="12"/>
        <v>634.25</v>
      </c>
      <c r="P34" s="1097">
        <f t="shared" si="13"/>
        <v>0.56823556167004796</v>
      </c>
      <c r="Q34" s="1098">
        <f t="shared" si="8"/>
        <v>0.16620890178848902</v>
      </c>
      <c r="R34" s="1099">
        <f>R33+Q34</f>
        <v>0.57007041206826115</v>
      </c>
      <c r="S34" s="1100">
        <f t="shared" ref="S34:S35" si="15">R34/(O34-W$32)*100</f>
        <v>0.57437824893527578</v>
      </c>
      <c r="T34" s="1100"/>
      <c r="U34" s="1100"/>
      <c r="V34" s="1100"/>
      <c r="W34" s="1100"/>
      <c r="X34" s="1101" t="s">
        <v>249</v>
      </c>
      <c r="Y34" s="1106"/>
      <c r="Z34" s="1107"/>
      <c r="AA34" s="1111"/>
    </row>
    <row r="35" spans="1:29" s="520" customFormat="1">
      <c r="A35" s="504">
        <v>610</v>
      </c>
      <c r="B35" s="1134">
        <v>0</v>
      </c>
      <c r="C35" s="1005">
        <f>C36-D36</f>
        <v>674</v>
      </c>
      <c r="D35" s="1135">
        <v>40.5</v>
      </c>
      <c r="E35" s="1136"/>
      <c r="F35" s="1137"/>
      <c r="G35" s="1138">
        <f t="shared" si="5"/>
        <v>40.5</v>
      </c>
      <c r="H35" s="1136">
        <v>5.7</v>
      </c>
      <c r="I35" s="1136"/>
      <c r="J35" s="1136"/>
      <c r="K35" s="1136"/>
      <c r="L35" s="1139">
        <f t="shared" si="6"/>
        <v>5.7</v>
      </c>
      <c r="M35" s="1005">
        <f t="shared" si="9"/>
        <v>1033.4622463157154</v>
      </c>
      <c r="N35" s="1140">
        <f t="shared" si="14"/>
        <v>634.25</v>
      </c>
      <c r="O35" s="1141">
        <f t="shared" si="12"/>
        <v>674</v>
      </c>
      <c r="P35" s="1142">
        <f t="shared" si="13"/>
        <v>0.5902489444337663</v>
      </c>
      <c r="Q35" s="1143">
        <f t="shared" si="8"/>
        <v>0.23462395541242209</v>
      </c>
      <c r="R35" s="1144">
        <f>R34+Q35</f>
        <v>0.80469436748068324</v>
      </c>
      <c r="S35" s="1145">
        <f t="shared" si="15"/>
        <v>0.57891681113718219</v>
      </c>
      <c r="T35" s="1145"/>
      <c r="U35" s="1145"/>
      <c r="V35" s="1145"/>
      <c r="W35" s="1145"/>
      <c r="X35" s="935" t="s">
        <v>250</v>
      </c>
      <c r="Y35" s="1146"/>
      <c r="Z35" s="1150"/>
      <c r="AA35" s="519"/>
      <c r="AC35" s="521"/>
    </row>
    <row r="36" spans="1:29" s="1133" customFormat="1">
      <c r="A36" s="1114">
        <v>670</v>
      </c>
      <c r="B36" s="1115">
        <v>0</v>
      </c>
      <c r="C36" s="1116">
        <v>714</v>
      </c>
      <c r="D36" s="1117">
        <v>40</v>
      </c>
      <c r="E36" s="1118"/>
      <c r="F36" s="1119"/>
      <c r="G36" s="1120">
        <f t="shared" si="5"/>
        <v>40</v>
      </c>
      <c r="H36" s="1118">
        <v>5.7</v>
      </c>
      <c r="I36" s="1118"/>
      <c r="J36" s="1118"/>
      <c r="K36" s="1118"/>
      <c r="L36" s="1121">
        <f t="shared" si="6"/>
        <v>5.7</v>
      </c>
      <c r="M36" s="1116">
        <f t="shared" si="9"/>
        <v>1020.7034531513239</v>
      </c>
      <c r="N36" s="1122">
        <f t="shared" si="14"/>
        <v>674</v>
      </c>
      <c r="O36" s="1123">
        <f t="shared" si="12"/>
        <v>715.5</v>
      </c>
      <c r="P36" s="1124">
        <f t="shared" si="13"/>
        <v>0.65641004537746916</v>
      </c>
      <c r="Q36" s="1125">
        <f t="shared" si="8"/>
        <v>0.2724101688316497</v>
      </c>
      <c r="R36" s="1126">
        <f>R35+P36*(W36-N36)/100</f>
        <v>0.87033537201843014</v>
      </c>
      <c r="S36" s="1127">
        <f>R36*100/(W36-W32)</f>
        <v>0.58411769934122826</v>
      </c>
      <c r="T36" s="1127"/>
      <c r="U36" s="1127"/>
      <c r="V36" s="1127">
        <v>30</v>
      </c>
      <c r="W36" s="1127">
        <f>714-30</f>
        <v>684</v>
      </c>
      <c r="X36" s="1128" t="s">
        <v>251</v>
      </c>
      <c r="Y36" s="1129"/>
      <c r="Z36" s="1130"/>
      <c r="AA36" s="1210"/>
      <c r="AC36" s="1211"/>
    </row>
    <row r="37" spans="1:29" s="520" customFormat="1">
      <c r="A37" s="504">
        <v>475</v>
      </c>
      <c r="B37" s="1134">
        <v>0</v>
      </c>
      <c r="C37" s="1005">
        <f>C38-D38</f>
        <v>747.5</v>
      </c>
      <c r="D37" s="1135">
        <v>30.5</v>
      </c>
      <c r="E37" s="1136"/>
      <c r="F37" s="1137"/>
      <c r="G37" s="1138">
        <f t="shared" si="5"/>
        <v>30.5</v>
      </c>
      <c r="H37" s="1136">
        <v>5.7</v>
      </c>
      <c r="I37" s="1136"/>
      <c r="J37" s="1136"/>
      <c r="K37" s="1136"/>
      <c r="L37" s="1139">
        <f t="shared" si="6"/>
        <v>5.7</v>
      </c>
      <c r="M37" s="1005">
        <f t="shared" si="9"/>
        <v>778.28638302788443</v>
      </c>
      <c r="N37" s="1140">
        <f t="shared" si="14"/>
        <v>715.5</v>
      </c>
      <c r="O37" s="1141">
        <f t="shared" si="12"/>
        <v>747.5</v>
      </c>
      <c r="P37" s="1142">
        <f t="shared" si="13"/>
        <v>0.61031518777450033</v>
      </c>
      <c r="Q37" s="1143">
        <f t="shared" si="8"/>
        <v>0.19530086008784012</v>
      </c>
      <c r="R37" s="1144">
        <f>Q37+P36*(O36-W36)/100</f>
        <v>0.40207002438174289</v>
      </c>
      <c r="S37" s="1145">
        <f>R37*100/(O37-W36)</f>
        <v>0.63318114075865017</v>
      </c>
      <c r="T37" s="1145"/>
      <c r="U37" s="1145"/>
      <c r="V37" s="1145"/>
      <c r="W37" s="1145"/>
      <c r="X37" s="935" t="s">
        <v>253</v>
      </c>
      <c r="Y37" s="1146"/>
      <c r="Z37" s="1150"/>
      <c r="AA37" s="523"/>
    </row>
    <row r="38" spans="1:29" s="1133" customFormat="1">
      <c r="A38" s="1114">
        <v>710</v>
      </c>
      <c r="B38" s="1115">
        <v>0</v>
      </c>
      <c r="C38" s="1116">
        <v>792</v>
      </c>
      <c r="D38" s="1117">
        <v>44.5</v>
      </c>
      <c r="E38" s="1118"/>
      <c r="F38" s="1119"/>
      <c r="G38" s="1120">
        <f t="shared" si="5"/>
        <v>44.5</v>
      </c>
      <c r="H38" s="1118">
        <v>5.7</v>
      </c>
      <c r="I38" s="1118"/>
      <c r="J38" s="1118"/>
      <c r="K38" s="1118"/>
      <c r="L38" s="1121">
        <f t="shared" si="6"/>
        <v>5.7</v>
      </c>
      <c r="M38" s="1116">
        <f t="shared" si="9"/>
        <v>1135.5325916308479</v>
      </c>
      <c r="N38" s="1122">
        <f t="shared" si="14"/>
        <v>747.5</v>
      </c>
      <c r="O38" s="1123">
        <f t="shared" si="12"/>
        <v>789</v>
      </c>
      <c r="P38" s="1124">
        <f t="shared" si="13"/>
        <v>0.62525726274426041</v>
      </c>
      <c r="Q38" s="1125">
        <f t="shared" si="8"/>
        <v>0.25948176403886808</v>
      </c>
      <c r="R38" s="1126">
        <f>R37 + P38*(W38-N38)/100</f>
        <v>0.57401577163641448</v>
      </c>
      <c r="S38" s="1127">
        <f>R38*100/(W38-W36)</f>
        <v>0.63078656223781815</v>
      </c>
      <c r="T38" s="1127"/>
      <c r="U38" s="1127"/>
      <c r="V38" s="1127">
        <v>17</v>
      </c>
      <c r="W38" s="1127">
        <f>792-17</f>
        <v>775</v>
      </c>
      <c r="X38" s="1128" t="s">
        <v>252</v>
      </c>
      <c r="Y38" s="1129"/>
      <c r="Z38" s="1130"/>
      <c r="AA38" s="1191"/>
      <c r="AB38" s="1194"/>
    </row>
    <row r="39" spans="1:29" s="520" customFormat="1">
      <c r="A39" s="504">
        <v>735</v>
      </c>
      <c r="B39" s="1134">
        <v>0</v>
      </c>
      <c r="C39" s="1005">
        <f>C40-D40</f>
        <v>833</v>
      </c>
      <c r="D39" s="1135">
        <v>47</v>
      </c>
      <c r="E39" s="1136"/>
      <c r="F39" s="1137"/>
      <c r="G39" s="1138">
        <f t="shared" si="5"/>
        <v>47</v>
      </c>
      <c r="H39" s="1136">
        <v>5.7</v>
      </c>
      <c r="I39" s="1136"/>
      <c r="J39" s="1136"/>
      <c r="K39" s="1136"/>
      <c r="L39" s="1139">
        <f t="shared" si="6"/>
        <v>5.7</v>
      </c>
      <c r="M39" s="1005">
        <f t="shared" si="9"/>
        <v>1199.3265574528057</v>
      </c>
      <c r="N39" s="1140">
        <f t="shared" si="14"/>
        <v>789</v>
      </c>
      <c r="O39" s="1141">
        <f t="shared" si="12"/>
        <v>833</v>
      </c>
      <c r="P39" s="1142">
        <f t="shared" si="13"/>
        <v>0.61284392931399145</v>
      </c>
      <c r="Q39" s="1143">
        <f t="shared" si="8"/>
        <v>0.26965132889815624</v>
      </c>
      <c r="R39" s="1144">
        <f>Q39+P38*(O38-W38)/100</f>
        <v>0.35718734568235266</v>
      </c>
      <c r="S39" s="1145">
        <f>R39/(O39-W$38)*100</f>
        <v>0.61584025117647012</v>
      </c>
      <c r="T39" s="1145"/>
      <c r="U39" s="1145"/>
      <c r="V39" s="1145"/>
      <c r="W39" s="1145"/>
      <c r="X39" s="935"/>
      <c r="Y39" s="1146"/>
      <c r="Z39" s="1150"/>
      <c r="AA39" s="1198"/>
      <c r="AB39" s="1198"/>
    </row>
    <row r="40" spans="1:29" s="1102" customFormat="1">
      <c r="A40" s="1089">
        <v>520</v>
      </c>
      <c r="B40" s="1090">
        <v>0</v>
      </c>
      <c r="C40" s="720">
        <v>866</v>
      </c>
      <c r="D40" s="1091">
        <v>33</v>
      </c>
      <c r="E40" s="1092"/>
      <c r="F40" s="1093"/>
      <c r="G40" s="1094">
        <f t="shared" si="5"/>
        <v>33</v>
      </c>
      <c r="H40" s="1092">
        <v>5.7</v>
      </c>
      <c r="I40" s="1092"/>
      <c r="J40" s="1092"/>
      <c r="K40" s="1092"/>
      <c r="L40" s="1193">
        <f t="shared" si="6"/>
        <v>5.7</v>
      </c>
      <c r="M40" s="720">
        <f t="shared" si="9"/>
        <v>842.08034884984215</v>
      </c>
      <c r="N40" s="1095">
        <f t="shared" si="14"/>
        <v>833</v>
      </c>
      <c r="O40" s="1096">
        <f t="shared" si="12"/>
        <v>866</v>
      </c>
      <c r="P40" s="1097">
        <f t="shared" si="13"/>
        <v>0.6175182697354753</v>
      </c>
      <c r="Q40" s="1098">
        <f t="shared" si="8"/>
        <v>0.20378102901270687</v>
      </c>
      <c r="R40" s="1099">
        <f>R39+Q40</f>
        <v>0.56096837469505956</v>
      </c>
      <c r="S40" s="1100">
        <f>R40/(O40-W$38)*100</f>
        <v>0.61644876340116428</v>
      </c>
      <c r="T40" s="1100"/>
      <c r="U40" s="1100"/>
      <c r="V40" s="1100"/>
      <c r="W40" s="1100"/>
      <c r="X40" s="1101" t="s">
        <v>253</v>
      </c>
      <c r="Y40" s="1106"/>
      <c r="Z40" s="1107"/>
    </row>
    <row r="41" spans="1:29" s="1133" customFormat="1">
      <c r="A41" s="1114">
        <v>765</v>
      </c>
      <c r="B41" s="1115">
        <v>0</v>
      </c>
      <c r="C41" s="1116">
        <f>C42-D42</f>
        <v>910</v>
      </c>
      <c r="D41" s="1117">
        <v>44</v>
      </c>
      <c r="E41" s="1118"/>
      <c r="F41" s="1119"/>
      <c r="G41" s="1120">
        <f t="shared" si="5"/>
        <v>44</v>
      </c>
      <c r="H41" s="1118">
        <v>5.7</v>
      </c>
      <c r="I41" s="1118"/>
      <c r="J41" s="1118"/>
      <c r="K41" s="1118"/>
      <c r="L41" s="1121">
        <f t="shared" si="6"/>
        <v>5.7</v>
      </c>
      <c r="M41" s="1116">
        <f t="shared" si="9"/>
        <v>1122.7737984664561</v>
      </c>
      <c r="N41" s="1122">
        <f t="shared" si="14"/>
        <v>866</v>
      </c>
      <c r="O41" s="1123">
        <f t="shared" si="12"/>
        <v>910</v>
      </c>
      <c r="P41" s="1124">
        <f t="shared" si="13"/>
        <v>0.68134828319370966</v>
      </c>
      <c r="Q41" s="1125">
        <f t="shared" si="8"/>
        <v>0.29979324460523221</v>
      </c>
      <c r="R41" s="1126">
        <f>R40+P41*(W41-N41)/100</f>
        <v>0.58140882319087084</v>
      </c>
      <c r="S41" s="1127">
        <f>R41*100/(W41-W38)</f>
        <v>0.6185200246711392</v>
      </c>
      <c r="T41" s="1127"/>
      <c r="U41" s="1127"/>
      <c r="V41" s="1127">
        <v>41</v>
      </c>
      <c r="W41" s="1127">
        <f>910-41</f>
        <v>869</v>
      </c>
      <c r="X41" s="1128" t="s">
        <v>255</v>
      </c>
      <c r="Y41" s="1129"/>
      <c r="Z41" s="1130"/>
    </row>
    <row r="42" spans="1:29" s="1102" customFormat="1">
      <c r="A42" s="1089">
        <v>645</v>
      </c>
      <c r="B42" s="1090">
        <v>0</v>
      </c>
      <c r="C42" s="720">
        <v>948</v>
      </c>
      <c r="D42" s="1091">
        <v>38</v>
      </c>
      <c r="E42" s="1092"/>
      <c r="F42" s="1093"/>
      <c r="G42" s="1094">
        <f t="shared" si="5"/>
        <v>38</v>
      </c>
      <c r="H42" s="1092">
        <v>5.7</v>
      </c>
      <c r="I42" s="1092"/>
      <c r="J42" s="1092"/>
      <c r="K42" s="1092"/>
      <c r="L42" s="1193">
        <f t="shared" si="6"/>
        <v>5.7</v>
      </c>
      <c r="M42" s="720">
        <f t="shared" si="9"/>
        <v>969.66828049375761</v>
      </c>
      <c r="N42" s="1095">
        <f t="shared" si="14"/>
        <v>910</v>
      </c>
      <c r="O42" s="1096">
        <f t="shared" si="12"/>
        <v>950.5</v>
      </c>
      <c r="P42" s="1097">
        <f t="shared" si="13"/>
        <v>0.66517592972265149</v>
      </c>
      <c r="Q42" s="1098">
        <f t="shared" si="8"/>
        <v>0.26939625153767383</v>
      </c>
      <c r="R42" s="1099">
        <f>Q42+P41*(O41-W41)/100</f>
        <v>0.54874904764709487</v>
      </c>
      <c r="S42" s="1100">
        <f>R42*100/(O42-W$41)</f>
        <v>0.67331171490441089</v>
      </c>
      <c r="T42" s="1100"/>
      <c r="U42" s="1100"/>
      <c r="V42" s="1100"/>
      <c r="W42" s="1100"/>
      <c r="X42" s="1101"/>
      <c r="Y42" s="1106"/>
      <c r="Z42" s="1107"/>
    </row>
    <row r="43" spans="1:29" s="520" customFormat="1">
      <c r="A43" s="504">
        <v>530</v>
      </c>
      <c r="B43" s="1134">
        <v>0</v>
      </c>
      <c r="C43" s="1005">
        <f>C44-D44</f>
        <v>984</v>
      </c>
      <c r="D43" s="1135">
        <v>31</v>
      </c>
      <c r="E43" s="1136"/>
      <c r="F43" s="1137"/>
      <c r="G43" s="1138">
        <f t="shared" si="5"/>
        <v>31</v>
      </c>
      <c r="H43" s="1136">
        <v>5.7</v>
      </c>
      <c r="I43" s="1136"/>
      <c r="J43" s="1136"/>
      <c r="K43" s="1136"/>
      <c r="L43" s="1139">
        <f t="shared" si="6"/>
        <v>5.7</v>
      </c>
      <c r="M43" s="1005">
        <f t="shared" si="9"/>
        <v>791.0451761922759</v>
      </c>
      <c r="N43" s="1140">
        <f t="shared" si="14"/>
        <v>950.5</v>
      </c>
      <c r="O43" s="1141">
        <f t="shared" si="12"/>
        <v>984</v>
      </c>
      <c r="P43" s="1142">
        <f t="shared" si="13"/>
        <v>0.66999966114599652</v>
      </c>
      <c r="Q43" s="1143">
        <f t="shared" si="8"/>
        <v>0.22444988648390882</v>
      </c>
      <c r="R43" s="1144">
        <f>R42+Q43</f>
        <v>0.77319893413100371</v>
      </c>
      <c r="S43" s="1145">
        <f t="shared" ref="S43:S46" si="16">R43*100/(O43-W$41)</f>
        <v>0.67234689924435109</v>
      </c>
      <c r="T43" s="1145"/>
      <c r="U43" s="1145"/>
      <c r="V43" s="1145"/>
      <c r="W43" s="1145"/>
      <c r="X43" s="935"/>
      <c r="Y43" s="1146"/>
      <c r="Z43" s="1150"/>
    </row>
    <row r="44" spans="1:29" s="520" customFormat="1">
      <c r="A44" s="504">
        <v>530</v>
      </c>
      <c r="B44" s="1134">
        <v>0</v>
      </c>
      <c r="C44" s="1005">
        <f>C45-D45</f>
        <v>1011</v>
      </c>
      <c r="D44" s="1135">
        <v>27</v>
      </c>
      <c r="E44" s="1136"/>
      <c r="F44" s="1137"/>
      <c r="G44" s="1138">
        <f t="shared" si="5"/>
        <v>27</v>
      </c>
      <c r="H44" s="1136">
        <v>5.7</v>
      </c>
      <c r="I44" s="1136"/>
      <c r="J44" s="1136"/>
      <c r="K44" s="1136"/>
      <c r="L44" s="1139">
        <f t="shared" si="6"/>
        <v>5.7</v>
      </c>
      <c r="M44" s="1005">
        <f t="shared" si="9"/>
        <v>688.97483087714352</v>
      </c>
      <c r="N44" s="1140">
        <f t="shared" si="14"/>
        <v>984</v>
      </c>
      <c r="O44" s="1141">
        <f t="shared" si="12"/>
        <v>1011</v>
      </c>
      <c r="P44" s="1142">
        <f t="shared" si="13"/>
        <v>0.76925887020466277</v>
      </c>
      <c r="Q44" s="1143">
        <f t="shared" si="8"/>
        <v>0.20769989495525895</v>
      </c>
      <c r="R44" s="1144">
        <f t="shared" ref="R44:R46" si="17">R43+Q44</f>
        <v>0.98089882908626269</v>
      </c>
      <c r="S44" s="1145">
        <f t="shared" si="16"/>
        <v>0.690773823300185</v>
      </c>
      <c r="T44" s="1145">
        <v>3</v>
      </c>
      <c r="U44" s="1145">
        <v>6</v>
      </c>
      <c r="V44" s="1145"/>
      <c r="W44" s="1145"/>
      <c r="X44" s="935"/>
      <c r="Y44" s="1146"/>
      <c r="Z44" s="1150"/>
    </row>
    <row r="45" spans="1:29" s="1102" customFormat="1">
      <c r="A45" s="1089">
        <v>330</v>
      </c>
      <c r="B45" s="1090">
        <v>0</v>
      </c>
      <c r="C45" s="720">
        <v>1030</v>
      </c>
      <c r="D45" s="1091">
        <v>19</v>
      </c>
      <c r="E45" s="1092"/>
      <c r="F45" s="1093"/>
      <c r="G45" s="1094">
        <f t="shared" si="5"/>
        <v>19</v>
      </c>
      <c r="H45" s="1092">
        <v>5.7</v>
      </c>
      <c r="I45" s="1092"/>
      <c r="J45" s="1092"/>
      <c r="K45" s="1092"/>
      <c r="L45" s="1193">
        <f t="shared" si="6"/>
        <v>5.7</v>
      </c>
      <c r="M45" s="720">
        <f t="shared" si="9"/>
        <v>484.8341402468788</v>
      </c>
      <c r="N45" s="1095">
        <f t="shared" si="14"/>
        <v>1011</v>
      </c>
      <c r="O45" s="1096">
        <f t="shared" si="12"/>
        <v>1029.25</v>
      </c>
      <c r="P45" s="1097">
        <f t="shared" si="13"/>
        <v>0.68064513739062016</v>
      </c>
      <c r="Q45" s="1098">
        <f t="shared" si="8"/>
        <v>0.12421773757378818</v>
      </c>
      <c r="R45" s="1099">
        <f t="shared" si="17"/>
        <v>1.1051165666600509</v>
      </c>
      <c r="S45" s="1100">
        <f t="shared" si="16"/>
        <v>0.68962032240876803</v>
      </c>
      <c r="T45" s="1100"/>
      <c r="U45" s="1100"/>
      <c r="V45" s="1100"/>
      <c r="W45" s="1100"/>
      <c r="X45" s="1101"/>
      <c r="Y45" s="1106"/>
      <c r="Z45" s="1107"/>
    </row>
    <row r="46" spans="1:29" s="520" customFormat="1">
      <c r="A46" s="504">
        <v>570</v>
      </c>
      <c r="B46" s="1134">
        <v>0</v>
      </c>
      <c r="C46" s="1005">
        <f>C47-D47</f>
        <v>1058.5</v>
      </c>
      <c r="D46" s="1135">
        <v>30</v>
      </c>
      <c r="E46" s="1136"/>
      <c r="F46" s="1137"/>
      <c r="G46" s="1138">
        <f t="shared" si="5"/>
        <v>30</v>
      </c>
      <c r="H46" s="1136">
        <v>5.7</v>
      </c>
      <c r="I46" s="1136"/>
      <c r="J46" s="1136"/>
      <c r="K46" s="1136"/>
      <c r="L46" s="1139">
        <f t="shared" si="6"/>
        <v>5.7</v>
      </c>
      <c r="M46" s="1005">
        <f t="shared" si="9"/>
        <v>765.52758986349284</v>
      </c>
      <c r="N46" s="1140">
        <f t="shared" si="14"/>
        <v>1029.25</v>
      </c>
      <c r="O46" s="1141">
        <f t="shared" si="12"/>
        <v>1058.5</v>
      </c>
      <c r="P46" s="1142">
        <f t="shared" si="13"/>
        <v>0.74458452908489048</v>
      </c>
      <c r="Q46" s="1143">
        <f t="shared" si="8"/>
        <v>0.21779097475733045</v>
      </c>
      <c r="R46" s="1144">
        <f t="shared" si="17"/>
        <v>1.3229075414173814</v>
      </c>
      <c r="S46" s="1145">
        <f t="shared" si="16"/>
        <v>0.69810424349202194</v>
      </c>
      <c r="T46" s="1145"/>
      <c r="U46" s="1145"/>
      <c r="V46" s="1145"/>
      <c r="W46" s="1145"/>
      <c r="X46" s="935"/>
      <c r="Y46" s="1146"/>
      <c r="Z46" s="1150"/>
    </row>
    <row r="47" spans="1:29" s="1133" customFormat="1" ht="10.8" thickBot="1">
      <c r="A47" s="1114">
        <v>665</v>
      </c>
      <c r="B47" s="1115">
        <v>0</v>
      </c>
      <c r="C47" s="1116">
        <v>1093</v>
      </c>
      <c r="D47" s="1117">
        <v>34.5</v>
      </c>
      <c r="E47" s="1118"/>
      <c r="F47" s="1119"/>
      <c r="G47" s="1120">
        <f t="shared" si="5"/>
        <v>34.5</v>
      </c>
      <c r="H47" s="1118">
        <v>5.7</v>
      </c>
      <c r="I47" s="1118"/>
      <c r="J47" s="1118"/>
      <c r="K47" s="1118"/>
      <c r="L47" s="1121">
        <f t="shared" si="6"/>
        <v>5.7</v>
      </c>
      <c r="M47" s="1116">
        <f t="shared" si="9"/>
        <v>880.35672834301681</v>
      </c>
      <c r="N47" s="1122">
        <f t="shared" si="14"/>
        <v>1058.5</v>
      </c>
      <c r="O47" s="1123">
        <v>1093</v>
      </c>
      <c r="P47" s="1124">
        <f t="shared" si="13"/>
        <v>0.75537560921655555</v>
      </c>
      <c r="Q47" s="1125">
        <f t="shared" si="8"/>
        <v>0.26060458517971169</v>
      </c>
      <c r="R47" s="1126">
        <f>R46+P47*(N47-W47)/100</f>
        <v>1.4097757364772854</v>
      </c>
      <c r="S47" s="1127">
        <f>R47*100/(W47-W41)</f>
        <v>0.79200884071757616</v>
      </c>
      <c r="T47" s="1127"/>
      <c r="U47" s="1127"/>
      <c r="V47" s="1127">
        <v>46</v>
      </c>
      <c r="W47" s="1127">
        <f>1093-V47</f>
        <v>1047</v>
      </c>
      <c r="X47" s="1128" t="s">
        <v>257</v>
      </c>
      <c r="Y47" s="1129"/>
      <c r="Z47" s="1130"/>
    </row>
    <row r="48" spans="1:29" s="520" customFormat="1">
      <c r="A48" s="529" t="s">
        <v>140</v>
      </c>
      <c r="B48" s="530"/>
      <c r="C48" s="531"/>
      <c r="D48" s="531"/>
      <c r="E48" s="531"/>
      <c r="F48" s="531"/>
      <c r="G48" s="676"/>
      <c r="H48" s="531"/>
      <c r="I48" s="531"/>
      <c r="J48" s="531"/>
      <c r="K48" s="531"/>
      <c r="L48" s="677"/>
      <c r="M48" s="531"/>
      <c r="N48" s="678"/>
      <c r="O48" s="679"/>
      <c r="P48" s="535"/>
      <c r="Q48" s="680"/>
      <c r="R48" s="681"/>
      <c r="S48" s="538"/>
      <c r="T48" s="538"/>
      <c r="U48" s="538"/>
      <c r="V48" s="538"/>
      <c r="W48" s="538"/>
      <c r="X48" s="539"/>
      <c r="Y48" s="527" t="s">
        <v>138</v>
      </c>
      <c r="Z48" s="528">
        <f>AVERAGE(Z12:Z47)</f>
        <v>430.8</v>
      </c>
    </row>
    <row r="49" spans="1:30">
      <c r="A49" s="540"/>
      <c r="B49" s="541"/>
      <c r="C49" s="542"/>
      <c r="D49" s="542"/>
      <c r="E49" s="542"/>
      <c r="F49" s="542"/>
      <c r="G49" s="682"/>
      <c r="H49" s="542"/>
      <c r="I49" s="542"/>
      <c r="J49" s="542"/>
      <c r="K49" s="542"/>
      <c r="L49" s="683"/>
      <c r="M49" s="542"/>
      <c r="N49" s="684"/>
      <c r="O49" s="685"/>
      <c r="P49" s="686"/>
      <c r="Q49" s="547"/>
      <c r="R49" s="687"/>
      <c r="S49" s="688"/>
      <c r="T49" s="688"/>
      <c r="U49" s="688"/>
      <c r="V49" s="688"/>
      <c r="W49" s="688"/>
      <c r="X49" s="550"/>
      <c r="Y49" s="404" t="s">
        <v>139</v>
      </c>
      <c r="Z49" s="526">
        <f>STDEV(Z12:Z47)</f>
        <v>2.9495762407505248</v>
      </c>
    </row>
    <row r="50" spans="1:30" ht="10.8" thickBot="1">
      <c r="A50" s="551"/>
      <c r="B50" s="552"/>
      <c r="C50" s="553"/>
      <c r="D50" s="553"/>
      <c r="E50" s="553"/>
      <c r="F50" s="553"/>
      <c r="G50" s="689"/>
      <c r="H50" s="553"/>
      <c r="I50" s="553"/>
      <c r="J50" s="553"/>
      <c r="K50" s="553"/>
      <c r="L50" s="690"/>
      <c r="M50" s="553"/>
      <c r="N50" s="691"/>
      <c r="O50" s="692"/>
      <c r="P50" s="693"/>
      <c r="Q50" s="558"/>
      <c r="R50" s="694"/>
      <c r="S50" s="695"/>
      <c r="T50" s="695"/>
      <c r="U50" s="695"/>
      <c r="V50" s="695"/>
      <c r="W50" s="695"/>
      <c r="X50" s="561"/>
      <c r="Y50" s="404" t="s">
        <v>141</v>
      </c>
      <c r="Z50" s="526">
        <f>Z49/SQRT(COUNT(Z12:Z47))</f>
        <v>1.3190905958272916</v>
      </c>
    </row>
    <row r="51" spans="1:30">
      <c r="A51" s="564"/>
      <c r="B51" s="564"/>
      <c r="C51" s="565"/>
      <c r="D51" s="566"/>
      <c r="E51" s="566"/>
      <c r="F51" s="566"/>
      <c r="G51" s="567"/>
      <c r="H51" s="568"/>
      <c r="I51" s="569"/>
      <c r="J51" s="570"/>
      <c r="K51" s="571"/>
      <c r="L51" s="572"/>
      <c r="M51" s="458"/>
      <c r="O51" s="516"/>
      <c r="P51" s="578"/>
      <c r="X51" s="1212"/>
      <c r="Y51" s="404" t="s">
        <v>142</v>
      </c>
      <c r="Z51" s="526">
        <f>MAX(Z12:Z47)</f>
        <v>435</v>
      </c>
    </row>
    <row r="52" spans="1:30" ht="10.8" thickBot="1">
      <c r="A52" s="458"/>
      <c r="B52" s="458"/>
      <c r="C52" s="573"/>
      <c r="D52" s="573"/>
      <c r="E52" s="573"/>
      <c r="F52" s="573"/>
      <c r="G52" s="569"/>
      <c r="H52" s="568"/>
      <c r="I52" s="569"/>
      <c r="J52" s="570"/>
      <c r="K52" s="574"/>
      <c r="L52" s="572"/>
      <c r="M52" s="458"/>
      <c r="O52" s="516"/>
      <c r="P52" s="578"/>
      <c r="X52" s="1213"/>
      <c r="Y52" s="562" t="s">
        <v>143</v>
      </c>
      <c r="Z52" s="563">
        <f>MIN(Z12:Z47)</f>
        <v>427</v>
      </c>
    </row>
    <row r="53" spans="1:30">
      <c r="A53" s="575"/>
      <c r="B53" s="575"/>
      <c r="C53" s="575"/>
      <c r="D53" s="575"/>
      <c r="E53" s="570"/>
      <c r="F53" s="576"/>
      <c r="G53" s="458"/>
      <c r="H53" s="516"/>
      <c r="I53" s="458"/>
      <c r="J53" s="516"/>
      <c r="K53" s="516"/>
      <c r="L53" s="458"/>
      <c r="M53" s="458"/>
      <c r="O53" s="516"/>
      <c r="P53" s="578"/>
    </row>
    <row r="54" spans="1:30">
      <c r="A54" s="577"/>
      <c r="B54" s="577"/>
      <c r="C54" s="575"/>
      <c r="D54" s="575"/>
      <c r="E54" s="570"/>
      <c r="F54" s="576"/>
      <c r="G54" s="516"/>
      <c r="H54" s="516"/>
      <c r="I54" s="458"/>
      <c r="J54" s="516"/>
      <c r="K54" s="516"/>
      <c r="L54" s="458"/>
      <c r="M54" s="458"/>
      <c r="O54" s="516"/>
      <c r="P54" s="578"/>
      <c r="AA54" s="458"/>
      <c r="AB54" s="458"/>
    </row>
    <row r="55" spans="1:30">
      <c r="A55" s="451"/>
      <c r="B55" s="451"/>
      <c r="C55" s="575"/>
      <c r="D55" s="575"/>
      <c r="E55" s="570"/>
      <c r="F55" s="576"/>
      <c r="G55" s="516"/>
      <c r="H55" s="516"/>
      <c r="I55" s="458"/>
      <c r="J55" s="516"/>
      <c r="K55" s="516"/>
      <c r="L55" s="458"/>
      <c r="M55" s="458"/>
      <c r="O55" s="516"/>
      <c r="P55" s="578"/>
      <c r="AA55" s="524"/>
      <c r="AB55" s="458"/>
      <c r="AC55" s="458"/>
      <c r="AD55" s="458"/>
    </row>
    <row r="56" spans="1:30">
      <c r="A56" s="575"/>
      <c r="B56" s="575"/>
      <c r="C56" s="575"/>
      <c r="D56" s="575"/>
      <c r="E56" s="570"/>
      <c r="F56" s="576"/>
      <c r="G56" s="516"/>
      <c r="H56" s="516"/>
      <c r="I56" s="458"/>
      <c r="J56" s="516"/>
      <c r="K56" s="516"/>
      <c r="L56" s="458"/>
      <c r="M56" s="458"/>
      <c r="O56" s="516"/>
      <c r="P56" s="578"/>
      <c r="AA56" s="524"/>
    </row>
    <row r="57" spans="1:30">
      <c r="A57" s="575"/>
      <c r="B57" s="575"/>
      <c r="C57" s="575"/>
      <c r="D57" s="575"/>
      <c r="E57" s="570"/>
      <c r="F57" s="576"/>
      <c r="G57" s="516"/>
      <c r="H57" s="516"/>
      <c r="I57" s="458"/>
      <c r="J57" s="569"/>
      <c r="K57" s="516"/>
      <c r="L57" s="458"/>
      <c r="M57" s="458"/>
      <c r="O57" s="516"/>
      <c r="P57" s="578"/>
      <c r="AA57" s="458"/>
    </row>
    <row r="58" spans="1:30">
      <c r="A58" s="575"/>
      <c r="B58" s="575"/>
      <c r="C58" s="575"/>
      <c r="D58" s="575"/>
      <c r="E58" s="570"/>
      <c r="F58" s="576"/>
      <c r="G58" s="516"/>
      <c r="H58" s="516"/>
      <c r="I58" s="458"/>
      <c r="J58" s="569"/>
      <c r="K58" s="516"/>
      <c r="L58" s="458"/>
      <c r="M58" s="458"/>
      <c r="O58" s="516"/>
      <c r="P58" s="578"/>
    </row>
    <row r="59" spans="1:30">
      <c r="A59" s="575"/>
      <c r="B59" s="575"/>
      <c r="C59" s="575"/>
      <c r="D59" s="575"/>
      <c r="E59" s="570"/>
      <c r="F59" s="576"/>
      <c r="G59" s="516"/>
      <c r="H59" s="516"/>
      <c r="I59" s="458"/>
      <c r="J59" s="516"/>
      <c r="K59" s="516"/>
      <c r="L59" s="458"/>
      <c r="M59" s="458"/>
      <c r="O59" s="516"/>
      <c r="P59" s="578"/>
    </row>
    <row r="60" spans="1:30">
      <c r="A60" s="575"/>
      <c r="B60" s="575"/>
      <c r="C60" s="575"/>
      <c r="D60" s="575"/>
      <c r="E60" s="570"/>
      <c r="F60" s="576"/>
      <c r="G60" s="516"/>
      <c r="H60" s="516"/>
      <c r="I60" s="458"/>
      <c r="J60" s="516"/>
      <c r="K60" s="516"/>
      <c r="L60" s="458"/>
      <c r="M60" s="458"/>
      <c r="O60" s="516"/>
      <c r="P60" s="578"/>
    </row>
    <row r="61" spans="1:30">
      <c r="A61" s="575"/>
      <c r="B61" s="575"/>
      <c r="C61" s="575"/>
      <c r="D61" s="575"/>
      <c r="E61" s="570"/>
      <c r="F61" s="576"/>
      <c r="G61" s="516"/>
      <c r="H61" s="516"/>
      <c r="I61" s="458"/>
      <c r="J61" s="516"/>
      <c r="K61" s="516"/>
      <c r="L61" s="458"/>
      <c r="M61" s="458"/>
      <c r="O61" s="516"/>
      <c r="P61" s="578"/>
    </row>
    <row r="62" spans="1:30">
      <c r="A62" s="575"/>
      <c r="B62" s="575"/>
      <c r="C62" s="575"/>
      <c r="D62" s="575"/>
      <c r="E62" s="570"/>
      <c r="F62" s="576"/>
      <c r="G62" s="516"/>
      <c r="H62" s="516"/>
      <c r="I62" s="458"/>
      <c r="J62" s="516"/>
      <c r="K62" s="516"/>
      <c r="L62" s="458"/>
      <c r="M62" s="458"/>
      <c r="O62" s="516"/>
      <c r="P62" s="578"/>
    </row>
    <row r="63" spans="1:30">
      <c r="A63" s="575"/>
      <c r="B63" s="575"/>
      <c r="C63" s="575"/>
      <c r="D63" s="575"/>
      <c r="E63" s="570"/>
      <c r="F63" s="576"/>
      <c r="G63" s="516"/>
      <c r="H63" s="516"/>
      <c r="I63" s="458"/>
      <c r="J63" s="516"/>
      <c r="K63" s="516"/>
      <c r="L63" s="458"/>
      <c r="M63" s="458"/>
      <c r="O63" s="516"/>
      <c r="P63" s="578"/>
    </row>
    <row r="64" spans="1:30">
      <c r="A64" s="575"/>
      <c r="B64" s="575"/>
      <c r="C64" s="575"/>
      <c r="D64" s="575"/>
      <c r="E64" s="570"/>
      <c r="F64" s="576"/>
      <c r="G64" s="516"/>
      <c r="H64" s="516"/>
      <c r="I64" s="458"/>
      <c r="J64" s="516"/>
      <c r="K64" s="516"/>
      <c r="L64" s="458"/>
      <c r="O64" s="516"/>
      <c r="P64" s="578"/>
    </row>
    <row r="65" spans="1:16">
      <c r="A65" s="575"/>
      <c r="B65" s="575"/>
      <c r="C65" s="575"/>
      <c r="D65" s="575"/>
      <c r="E65" s="570"/>
      <c r="F65" s="576"/>
      <c r="G65" s="516"/>
      <c r="H65" s="516"/>
      <c r="I65" s="458"/>
      <c r="J65" s="516"/>
      <c r="K65" s="516"/>
      <c r="L65" s="458"/>
      <c r="O65" s="516"/>
      <c r="P65" s="578"/>
    </row>
    <row r="66" spans="1:16">
      <c r="A66" s="575"/>
      <c r="B66" s="575"/>
      <c r="C66" s="575"/>
      <c r="D66" s="575"/>
      <c r="E66" s="570"/>
      <c r="F66" s="576"/>
      <c r="G66" s="516"/>
      <c r="H66" s="516"/>
      <c r="I66" s="458"/>
      <c r="J66" s="516"/>
      <c r="K66" s="516"/>
      <c r="L66" s="516"/>
      <c r="O66" s="516"/>
      <c r="P66" s="578"/>
    </row>
    <row r="67" spans="1:16">
      <c r="A67" s="575"/>
      <c r="B67" s="575"/>
      <c r="C67" s="575"/>
      <c r="D67" s="575"/>
      <c r="E67" s="570"/>
      <c r="F67" s="576"/>
      <c r="G67" s="516"/>
      <c r="H67" s="516"/>
      <c r="I67" s="458"/>
      <c r="J67" s="516"/>
      <c r="K67" s="516"/>
      <c r="L67" s="516"/>
      <c r="O67" s="516"/>
      <c r="P67" s="578"/>
    </row>
    <row r="68" spans="1:16">
      <c r="A68" s="575"/>
      <c r="B68" s="575"/>
      <c r="C68" s="575"/>
      <c r="D68" s="575"/>
      <c r="E68" s="570"/>
      <c r="F68" s="576"/>
      <c r="G68" s="516"/>
      <c r="H68" s="516"/>
      <c r="I68" s="458"/>
      <c r="J68" s="516"/>
      <c r="K68" s="516"/>
      <c r="L68" s="516"/>
      <c r="O68" s="516"/>
      <c r="P68" s="578"/>
    </row>
    <row r="69" spans="1:16">
      <c r="A69" s="575"/>
      <c r="B69" s="575"/>
      <c r="C69" s="575"/>
      <c r="D69" s="575"/>
      <c r="E69" s="570"/>
      <c r="F69" s="576"/>
      <c r="G69" s="516"/>
      <c r="H69" s="516"/>
      <c r="I69" s="458"/>
      <c r="J69" s="516"/>
      <c r="K69" s="516"/>
      <c r="L69" s="516"/>
      <c r="O69" s="516"/>
      <c r="P69" s="578"/>
    </row>
    <row r="70" spans="1:16">
      <c r="A70" s="575"/>
      <c r="B70" s="575"/>
      <c r="C70" s="575"/>
      <c r="D70" s="575"/>
      <c r="E70" s="570"/>
      <c r="F70" s="576"/>
      <c r="G70" s="516"/>
      <c r="H70" s="516"/>
      <c r="I70" s="458"/>
      <c r="J70" s="516"/>
      <c r="K70" s="516"/>
      <c r="L70" s="516"/>
      <c r="O70" s="516"/>
      <c r="P70" s="578"/>
    </row>
    <row r="71" spans="1:16">
      <c r="A71" s="575"/>
      <c r="B71" s="575"/>
      <c r="C71" s="575"/>
      <c r="D71" s="575"/>
      <c r="E71" s="570"/>
      <c r="F71" s="576"/>
      <c r="G71" s="516"/>
      <c r="H71" s="516"/>
      <c r="I71" s="458"/>
      <c r="J71" s="516"/>
      <c r="K71" s="516"/>
      <c r="L71" s="516"/>
      <c r="O71" s="516"/>
      <c r="P71" s="578"/>
    </row>
    <row r="72" spans="1:16">
      <c r="A72" s="575"/>
      <c r="B72" s="575"/>
      <c r="C72" s="575"/>
      <c r="D72" s="575"/>
      <c r="E72" s="570"/>
      <c r="F72" s="576"/>
      <c r="G72" s="516"/>
      <c r="H72" s="516"/>
      <c r="I72" s="458"/>
      <c r="J72" s="516"/>
      <c r="K72" s="516"/>
      <c r="L72" s="516"/>
      <c r="O72" s="516"/>
      <c r="P72" s="578"/>
    </row>
    <row r="73" spans="1:16">
      <c r="A73" s="575"/>
      <c r="B73" s="575"/>
      <c r="C73" s="575"/>
      <c r="D73" s="575"/>
      <c r="E73" s="570"/>
      <c r="F73" s="576"/>
      <c r="G73" s="516"/>
      <c r="H73" s="516"/>
      <c r="I73" s="458"/>
      <c r="J73" s="516"/>
      <c r="K73" s="516"/>
      <c r="L73" s="516"/>
      <c r="O73" s="516"/>
      <c r="P73" s="578"/>
    </row>
    <row r="74" spans="1:16">
      <c r="A74" s="575"/>
      <c r="B74" s="575"/>
      <c r="C74" s="575"/>
      <c r="D74" s="575"/>
      <c r="E74" s="570"/>
      <c r="F74" s="576"/>
      <c r="G74" s="516"/>
      <c r="H74" s="516"/>
      <c r="I74" s="458"/>
      <c r="J74" s="516"/>
      <c r="K74" s="516"/>
      <c r="L74" s="516"/>
      <c r="O74" s="516"/>
      <c r="P74" s="578"/>
    </row>
    <row r="75" spans="1:16">
      <c r="A75" s="575"/>
      <c r="B75" s="575"/>
      <c r="C75" s="575"/>
      <c r="D75" s="575"/>
      <c r="E75" s="570"/>
      <c r="F75" s="576"/>
      <c r="G75" s="516"/>
      <c r="H75" s="516"/>
      <c r="I75" s="458"/>
      <c r="J75" s="516"/>
      <c r="K75" s="516"/>
      <c r="L75" s="516"/>
      <c r="O75" s="516"/>
      <c r="P75" s="578"/>
    </row>
    <row r="76" spans="1:16">
      <c r="A76" s="575"/>
      <c r="B76" s="575"/>
      <c r="C76" s="575"/>
      <c r="D76" s="575"/>
      <c r="E76" s="570"/>
      <c r="F76" s="576"/>
      <c r="G76" s="516"/>
      <c r="H76" s="516"/>
      <c r="I76" s="458"/>
      <c r="J76" s="516"/>
      <c r="K76" s="516"/>
      <c r="L76" s="516"/>
      <c r="O76" s="516"/>
      <c r="P76" s="578"/>
    </row>
    <row r="77" spans="1:16">
      <c r="A77" s="575"/>
      <c r="B77" s="575"/>
      <c r="C77" s="575"/>
      <c r="D77" s="575"/>
      <c r="E77" s="570"/>
      <c r="F77" s="576"/>
      <c r="G77" s="578"/>
      <c r="H77" s="516"/>
      <c r="I77" s="458"/>
      <c r="J77" s="516"/>
      <c r="K77" s="516"/>
      <c r="L77" s="516"/>
      <c r="O77" s="516"/>
      <c r="P77" s="578"/>
    </row>
    <row r="78" spans="1:16">
      <c r="A78" s="575"/>
      <c r="B78" s="575"/>
      <c r="C78" s="575"/>
      <c r="D78" s="575"/>
      <c r="E78" s="570"/>
      <c r="F78" s="576"/>
      <c r="G78" s="578"/>
      <c r="H78" s="516"/>
      <c r="I78" s="458"/>
      <c r="J78" s="516"/>
      <c r="K78" s="516"/>
      <c r="L78" s="516"/>
      <c r="O78" s="516"/>
      <c r="P78" s="578"/>
    </row>
    <row r="79" spans="1:16">
      <c r="A79" s="575"/>
      <c r="B79" s="575"/>
      <c r="C79" s="575"/>
      <c r="D79" s="575"/>
      <c r="E79" s="570"/>
      <c r="F79" s="576"/>
      <c r="G79" s="578"/>
      <c r="H79" s="516"/>
      <c r="I79" s="458"/>
      <c r="J79" s="516"/>
      <c r="K79" s="516"/>
      <c r="L79" s="516"/>
      <c r="O79" s="516"/>
      <c r="P79" s="578"/>
    </row>
    <row r="80" spans="1:16">
      <c r="A80" s="575"/>
      <c r="B80" s="575"/>
      <c r="C80" s="575"/>
      <c r="D80" s="575"/>
      <c r="E80" s="570"/>
      <c r="F80" s="576"/>
      <c r="G80" s="578"/>
      <c r="H80" s="516"/>
      <c r="I80" s="458"/>
      <c r="J80" s="516"/>
      <c r="K80" s="516"/>
      <c r="L80" s="516"/>
      <c r="O80" s="516"/>
      <c r="P80" s="578"/>
    </row>
    <row r="81" spans="1:26">
      <c r="A81" s="575"/>
      <c r="B81" s="575"/>
      <c r="C81" s="575"/>
      <c r="D81" s="575"/>
      <c r="E81" s="570"/>
      <c r="F81" s="576"/>
      <c r="G81" s="516"/>
      <c r="H81" s="516"/>
      <c r="I81" s="458"/>
      <c r="J81" s="516"/>
      <c r="K81" s="516"/>
      <c r="L81" s="516"/>
      <c r="O81" s="516"/>
      <c r="P81" s="578"/>
    </row>
    <row r="82" spans="1:26">
      <c r="A82" s="575"/>
      <c r="B82" s="575"/>
      <c r="C82" s="575"/>
      <c r="D82" s="575"/>
      <c r="E82" s="570"/>
      <c r="F82" s="576"/>
      <c r="G82" s="516"/>
      <c r="H82" s="516"/>
      <c r="I82" s="458"/>
      <c r="J82" s="516"/>
      <c r="K82" s="516"/>
      <c r="L82" s="516"/>
      <c r="O82" s="516"/>
      <c r="P82" s="578"/>
    </row>
    <row r="83" spans="1:26">
      <c r="A83" s="575"/>
      <c r="B83" s="575"/>
      <c r="C83" s="575"/>
      <c r="D83" s="575"/>
      <c r="E83" s="570"/>
      <c r="F83" s="576"/>
      <c r="G83" s="516"/>
      <c r="H83" s="516"/>
      <c r="I83" s="458"/>
      <c r="J83" s="516"/>
      <c r="K83" s="516"/>
      <c r="L83" s="516"/>
      <c r="O83" s="516"/>
      <c r="P83" s="578"/>
      <c r="R83" s="580"/>
      <c r="S83" s="580"/>
      <c r="T83" s="580"/>
      <c r="U83" s="580"/>
      <c r="V83" s="580"/>
      <c r="W83" s="580"/>
      <c r="X83" s="575"/>
    </row>
    <row r="84" spans="1:26">
      <c r="A84" s="575"/>
      <c r="B84" s="575"/>
      <c r="C84" s="575"/>
      <c r="D84" s="575"/>
      <c r="E84" s="570"/>
      <c r="F84" s="576"/>
      <c r="G84" s="516"/>
      <c r="H84" s="516"/>
      <c r="I84" s="458"/>
      <c r="J84" s="516"/>
      <c r="K84" s="516"/>
      <c r="L84" s="516"/>
      <c r="O84" s="516"/>
      <c r="P84" s="578"/>
      <c r="R84" s="580"/>
      <c r="S84" s="580"/>
      <c r="T84" s="580"/>
      <c r="U84" s="580"/>
      <c r="V84" s="580"/>
      <c r="W84" s="580"/>
      <c r="X84" s="575"/>
    </row>
    <row r="85" spans="1:26">
      <c r="A85" s="575"/>
      <c r="B85" s="575"/>
      <c r="C85" s="575"/>
      <c r="D85" s="575"/>
      <c r="E85" s="570"/>
      <c r="F85" s="576"/>
      <c r="G85" s="516"/>
      <c r="H85" s="516"/>
      <c r="I85" s="458"/>
      <c r="J85" s="516"/>
      <c r="K85" s="516"/>
      <c r="L85" s="516"/>
      <c r="O85" s="516"/>
      <c r="P85" s="578"/>
      <c r="R85" s="580"/>
      <c r="S85" s="580"/>
      <c r="T85" s="580"/>
      <c r="U85" s="580"/>
      <c r="V85" s="580"/>
      <c r="W85" s="580"/>
      <c r="X85" s="575"/>
      <c r="Y85" s="575"/>
      <c r="Z85" s="575"/>
    </row>
    <row r="86" spans="1:26">
      <c r="A86" s="575"/>
      <c r="B86" s="575"/>
      <c r="C86" s="575"/>
      <c r="D86" s="575"/>
      <c r="E86" s="570"/>
      <c r="F86" s="576"/>
      <c r="G86" s="516"/>
      <c r="H86" s="516"/>
      <c r="I86" s="458"/>
      <c r="J86" s="516"/>
      <c r="K86" s="516"/>
      <c r="L86" s="516"/>
      <c r="O86" s="516"/>
      <c r="P86" s="578"/>
      <c r="R86" s="580"/>
      <c r="S86" s="580"/>
      <c r="T86" s="580"/>
      <c r="U86" s="580"/>
      <c r="V86" s="580"/>
      <c r="W86" s="580"/>
      <c r="X86" s="575"/>
      <c r="Y86" s="575"/>
      <c r="Z86" s="575"/>
    </row>
    <row r="87" spans="1:26">
      <c r="A87" s="575"/>
      <c r="B87" s="575"/>
      <c r="C87" s="575"/>
      <c r="D87" s="575"/>
      <c r="E87" s="570"/>
      <c r="F87" s="576"/>
      <c r="G87" s="516"/>
      <c r="H87" s="516"/>
      <c r="I87" s="458"/>
      <c r="J87" s="516"/>
      <c r="K87" s="516"/>
      <c r="L87" s="516"/>
      <c r="O87" s="516"/>
      <c r="P87" s="578"/>
      <c r="R87" s="580"/>
      <c r="S87" s="580"/>
      <c r="T87" s="580"/>
      <c r="U87" s="580"/>
      <c r="V87" s="580"/>
      <c r="W87" s="580"/>
      <c r="X87" s="575"/>
      <c r="Y87" s="575"/>
      <c r="Z87" s="575"/>
    </row>
    <row r="88" spans="1:26">
      <c r="A88" s="575"/>
      <c r="B88" s="575"/>
      <c r="C88" s="575"/>
      <c r="D88" s="575"/>
      <c r="E88" s="570"/>
      <c r="F88" s="576"/>
      <c r="G88" s="516"/>
      <c r="H88" s="516"/>
      <c r="I88" s="458"/>
      <c r="J88" s="516"/>
      <c r="K88" s="516"/>
      <c r="L88" s="516"/>
      <c r="N88" s="575"/>
      <c r="O88" s="575"/>
      <c r="P88" s="580"/>
      <c r="Q88" s="580"/>
      <c r="R88" s="580"/>
      <c r="S88" s="580"/>
      <c r="T88" s="580"/>
      <c r="U88" s="580"/>
      <c r="V88" s="580"/>
      <c r="W88" s="580"/>
      <c r="X88" s="575"/>
      <c r="Y88" s="575"/>
      <c r="Z88" s="575"/>
    </row>
    <row r="89" spans="1:26">
      <c r="A89" s="575"/>
      <c r="B89" s="575"/>
      <c r="C89" s="575"/>
      <c r="D89" s="575"/>
      <c r="E89" s="570"/>
      <c r="F89" s="576"/>
      <c r="G89" s="516"/>
      <c r="H89" s="516"/>
      <c r="I89" s="458"/>
      <c r="J89" s="516"/>
      <c r="K89" s="516"/>
      <c r="L89" s="516"/>
      <c r="N89" s="575"/>
      <c r="O89" s="575"/>
      <c r="P89" s="580"/>
      <c r="Q89" s="580"/>
      <c r="R89" s="580"/>
      <c r="S89" s="580"/>
      <c r="T89" s="580"/>
      <c r="U89" s="580"/>
      <c r="V89" s="580"/>
      <c r="W89" s="580"/>
      <c r="X89" s="575"/>
      <c r="Y89" s="575"/>
      <c r="Z89" s="575"/>
    </row>
    <row r="90" spans="1:26" s="575" customFormat="1">
      <c r="E90" s="570"/>
      <c r="F90" s="576"/>
      <c r="G90" s="516"/>
      <c r="H90" s="516"/>
      <c r="I90" s="458"/>
      <c r="J90" s="516"/>
      <c r="K90" s="516"/>
      <c r="L90" s="516"/>
      <c r="M90" s="516"/>
      <c r="P90" s="580"/>
      <c r="Q90" s="580"/>
      <c r="R90" s="580"/>
      <c r="S90" s="580"/>
      <c r="T90" s="580"/>
      <c r="U90" s="580"/>
      <c r="V90" s="580"/>
      <c r="W90" s="580"/>
    </row>
    <row r="91" spans="1:26" s="575" customFormat="1">
      <c r="E91" s="570"/>
      <c r="F91" s="576"/>
      <c r="G91" s="516"/>
      <c r="H91" s="516"/>
      <c r="I91" s="458"/>
      <c r="J91" s="516"/>
      <c r="K91" s="516"/>
      <c r="L91" s="516"/>
      <c r="M91" s="516"/>
      <c r="P91" s="580"/>
      <c r="Q91" s="580"/>
      <c r="R91" s="580"/>
      <c r="S91" s="580"/>
      <c r="T91" s="580"/>
      <c r="U91" s="580"/>
      <c r="V91" s="580"/>
      <c r="W91" s="580"/>
    </row>
    <row r="92" spans="1:26" s="575" customFormat="1">
      <c r="E92" s="570"/>
      <c r="F92" s="576"/>
      <c r="G92" s="516"/>
      <c r="H92" s="516"/>
      <c r="I92" s="458"/>
      <c r="J92" s="516"/>
      <c r="K92" s="516"/>
      <c r="L92" s="516"/>
      <c r="M92" s="516"/>
      <c r="P92" s="580"/>
      <c r="Q92" s="580"/>
      <c r="R92" s="580"/>
      <c r="S92" s="580"/>
      <c r="T92" s="580"/>
      <c r="U92" s="580"/>
      <c r="V92" s="580"/>
      <c r="W92" s="580"/>
    </row>
    <row r="93" spans="1:26" s="575" customFormat="1">
      <c r="E93" s="570"/>
      <c r="F93" s="576"/>
      <c r="G93" s="516"/>
      <c r="H93" s="516"/>
      <c r="I93" s="458"/>
      <c r="J93" s="516"/>
      <c r="K93" s="516"/>
      <c r="L93" s="516"/>
      <c r="M93" s="516"/>
      <c r="P93" s="580"/>
      <c r="Q93" s="580"/>
      <c r="R93" s="580"/>
      <c r="S93" s="580"/>
      <c r="T93" s="580"/>
      <c r="U93" s="580"/>
      <c r="V93" s="580"/>
      <c r="W93" s="580"/>
    </row>
    <row r="94" spans="1:26" s="575" customFormat="1">
      <c r="E94" s="570"/>
      <c r="F94" s="576"/>
      <c r="G94" s="516"/>
      <c r="H94" s="516"/>
      <c r="I94" s="458"/>
      <c r="J94" s="516"/>
      <c r="K94" s="516"/>
      <c r="L94" s="516"/>
      <c r="M94" s="516"/>
      <c r="P94" s="580"/>
      <c r="Q94" s="580"/>
      <c r="R94" s="580"/>
      <c r="S94" s="580"/>
      <c r="T94" s="580"/>
      <c r="U94" s="580"/>
      <c r="V94" s="580"/>
      <c r="W94" s="580"/>
    </row>
    <row r="95" spans="1:26" s="575" customFormat="1">
      <c r="E95" s="570"/>
      <c r="F95" s="576"/>
      <c r="G95" s="516"/>
      <c r="H95" s="516"/>
      <c r="I95" s="458"/>
      <c r="J95" s="516"/>
      <c r="K95" s="516"/>
      <c r="L95" s="516"/>
      <c r="M95" s="516"/>
      <c r="P95" s="580"/>
      <c r="Q95" s="580"/>
      <c r="R95" s="580"/>
      <c r="S95" s="580"/>
      <c r="T95" s="580"/>
      <c r="U95" s="580"/>
      <c r="V95" s="580"/>
      <c r="W95" s="580"/>
    </row>
    <row r="96" spans="1:26" s="575" customFormat="1">
      <c r="E96" s="570"/>
      <c r="F96" s="576"/>
      <c r="G96" s="516"/>
      <c r="H96" s="516"/>
      <c r="I96" s="458"/>
      <c r="J96" s="516"/>
      <c r="K96" s="516"/>
      <c r="L96" s="516"/>
      <c r="M96" s="516"/>
      <c r="P96" s="580"/>
      <c r="Q96" s="580"/>
      <c r="R96" s="580"/>
      <c r="S96" s="580"/>
      <c r="T96" s="580"/>
      <c r="U96" s="580"/>
      <c r="V96" s="580"/>
      <c r="W96" s="580"/>
    </row>
    <row r="97" spans="5:23" s="575" customFormat="1">
      <c r="E97" s="570"/>
      <c r="F97" s="576"/>
      <c r="G97" s="516"/>
      <c r="H97" s="516"/>
      <c r="I97" s="458"/>
      <c r="J97" s="516"/>
      <c r="K97" s="516"/>
      <c r="L97" s="516"/>
      <c r="M97" s="516"/>
      <c r="P97" s="580"/>
      <c r="Q97" s="580"/>
      <c r="R97" s="580"/>
      <c r="S97" s="580"/>
      <c r="T97" s="580"/>
      <c r="U97" s="580"/>
      <c r="V97" s="580"/>
      <c r="W97" s="580"/>
    </row>
    <row r="98" spans="5:23" s="575" customFormat="1">
      <c r="E98" s="570"/>
      <c r="F98" s="576"/>
      <c r="G98" s="516"/>
      <c r="H98" s="516"/>
      <c r="I98" s="458"/>
      <c r="J98" s="516"/>
      <c r="K98" s="516"/>
      <c r="L98" s="516"/>
      <c r="M98" s="516"/>
      <c r="P98" s="580"/>
      <c r="Q98" s="580"/>
      <c r="R98" s="580"/>
      <c r="S98" s="580"/>
      <c r="T98" s="580"/>
      <c r="U98" s="580"/>
      <c r="V98" s="580"/>
      <c r="W98" s="580"/>
    </row>
    <row r="99" spans="5:23" s="575" customFormat="1">
      <c r="E99" s="570"/>
      <c r="F99" s="576"/>
      <c r="G99" s="516"/>
      <c r="H99" s="516"/>
      <c r="I99" s="458"/>
      <c r="J99" s="516"/>
      <c r="K99" s="516"/>
      <c r="L99" s="516"/>
      <c r="M99" s="516"/>
      <c r="P99" s="580"/>
      <c r="Q99" s="580"/>
      <c r="R99" s="580"/>
      <c r="S99" s="580"/>
      <c r="T99" s="580"/>
      <c r="U99" s="580"/>
      <c r="V99" s="580"/>
      <c r="W99" s="580"/>
    </row>
    <row r="100" spans="5:23" s="575" customFormat="1">
      <c r="E100" s="570"/>
      <c r="F100" s="576"/>
      <c r="G100" s="516"/>
      <c r="H100" s="516"/>
      <c r="I100" s="458"/>
      <c r="J100" s="516"/>
      <c r="K100" s="516"/>
      <c r="L100" s="516"/>
      <c r="M100" s="516"/>
      <c r="P100" s="580"/>
      <c r="Q100" s="580"/>
      <c r="R100" s="580"/>
      <c r="S100" s="580"/>
      <c r="T100" s="580"/>
      <c r="U100" s="580"/>
      <c r="V100" s="580"/>
      <c r="W100" s="580"/>
    </row>
    <row r="101" spans="5:23" s="575" customFormat="1">
      <c r="E101" s="570"/>
      <c r="F101" s="576"/>
      <c r="G101" s="516"/>
      <c r="H101" s="516"/>
      <c r="I101" s="458"/>
      <c r="J101" s="516"/>
      <c r="K101" s="516"/>
      <c r="L101" s="516"/>
      <c r="M101" s="516"/>
      <c r="P101" s="580"/>
      <c r="Q101" s="580"/>
      <c r="R101" s="580"/>
      <c r="S101" s="580"/>
      <c r="T101" s="580"/>
      <c r="U101" s="580"/>
      <c r="V101" s="580"/>
      <c r="W101" s="580"/>
    </row>
    <row r="102" spans="5:23" s="575" customFormat="1">
      <c r="E102" s="570"/>
      <c r="F102" s="576"/>
      <c r="G102" s="516"/>
      <c r="H102" s="516"/>
      <c r="I102" s="458"/>
      <c r="J102" s="516"/>
      <c r="K102" s="516"/>
      <c r="L102" s="516"/>
      <c r="M102" s="516"/>
      <c r="P102" s="580"/>
      <c r="Q102" s="580"/>
      <c r="R102" s="580"/>
      <c r="S102" s="580"/>
      <c r="T102" s="580"/>
      <c r="U102" s="580"/>
      <c r="V102" s="580"/>
      <c r="W102" s="580"/>
    </row>
    <row r="103" spans="5:23" s="575" customFormat="1">
      <c r="E103" s="570"/>
      <c r="F103" s="576"/>
      <c r="G103" s="516"/>
      <c r="H103" s="516"/>
      <c r="I103" s="458"/>
      <c r="J103" s="516"/>
      <c r="K103" s="516"/>
      <c r="L103" s="516"/>
      <c r="P103" s="580"/>
      <c r="Q103" s="580"/>
      <c r="R103" s="580"/>
      <c r="S103" s="580"/>
      <c r="T103" s="580"/>
      <c r="U103" s="580"/>
      <c r="V103" s="580"/>
      <c r="W103" s="580"/>
    </row>
    <row r="104" spans="5:23" s="575" customFormat="1">
      <c r="E104" s="570"/>
      <c r="F104" s="576"/>
      <c r="G104" s="516"/>
      <c r="H104" s="516"/>
      <c r="I104" s="458"/>
      <c r="J104" s="516"/>
      <c r="K104" s="516"/>
      <c r="L104" s="516"/>
      <c r="P104" s="580"/>
      <c r="Q104" s="580"/>
      <c r="R104" s="580"/>
      <c r="S104" s="580"/>
      <c r="T104" s="580"/>
      <c r="U104" s="580"/>
      <c r="V104" s="580"/>
      <c r="W104" s="580"/>
    </row>
    <row r="105" spans="5:23" s="575" customFormat="1">
      <c r="E105" s="570"/>
      <c r="F105" s="576"/>
      <c r="G105" s="516"/>
      <c r="H105" s="516"/>
      <c r="I105" s="458"/>
      <c r="J105" s="516"/>
      <c r="K105" s="516"/>
      <c r="L105" s="516"/>
      <c r="P105" s="580"/>
      <c r="Q105" s="580"/>
      <c r="R105" s="580"/>
      <c r="S105" s="580"/>
      <c r="T105" s="580"/>
      <c r="U105" s="580"/>
      <c r="V105" s="580"/>
      <c r="W105" s="580"/>
    </row>
    <row r="106" spans="5:23" s="575" customFormat="1">
      <c r="E106" s="570"/>
      <c r="F106" s="576"/>
      <c r="G106" s="516"/>
      <c r="H106" s="516"/>
      <c r="I106" s="458"/>
      <c r="J106" s="516"/>
      <c r="K106" s="516"/>
      <c r="L106" s="516"/>
      <c r="P106" s="580"/>
      <c r="Q106" s="580"/>
      <c r="R106" s="580"/>
      <c r="S106" s="580"/>
      <c r="T106" s="580"/>
      <c r="U106" s="580"/>
      <c r="V106" s="580"/>
      <c r="W106" s="580"/>
    </row>
    <row r="107" spans="5:23" s="575" customFormat="1">
      <c r="E107" s="570"/>
      <c r="F107" s="576"/>
      <c r="G107" s="516"/>
      <c r="H107" s="516"/>
      <c r="I107" s="458"/>
      <c r="J107" s="516"/>
      <c r="K107" s="516"/>
      <c r="L107" s="516"/>
      <c r="P107" s="580"/>
      <c r="Q107" s="580"/>
      <c r="R107" s="580"/>
      <c r="S107" s="580"/>
      <c r="T107" s="580"/>
      <c r="U107" s="580"/>
      <c r="V107" s="580"/>
      <c r="W107" s="580"/>
    </row>
    <row r="108" spans="5:23" s="575" customFormat="1">
      <c r="E108" s="570"/>
      <c r="F108" s="576"/>
      <c r="G108" s="516"/>
      <c r="H108" s="516"/>
      <c r="I108" s="458"/>
      <c r="J108" s="516"/>
      <c r="K108" s="516"/>
      <c r="L108" s="516"/>
      <c r="P108" s="580"/>
      <c r="Q108" s="580"/>
      <c r="R108" s="580"/>
      <c r="S108" s="580"/>
      <c r="T108" s="580"/>
      <c r="U108" s="580"/>
      <c r="V108" s="580"/>
      <c r="W108" s="580"/>
    </row>
    <row r="109" spans="5:23" s="575" customFormat="1">
      <c r="E109" s="570"/>
      <c r="F109" s="576"/>
      <c r="G109" s="516"/>
      <c r="H109" s="516"/>
      <c r="I109" s="458"/>
      <c r="J109" s="516"/>
      <c r="K109" s="516"/>
      <c r="L109" s="516"/>
      <c r="P109" s="580"/>
      <c r="Q109" s="580"/>
      <c r="R109" s="580"/>
      <c r="S109" s="580"/>
      <c r="T109" s="580"/>
      <c r="U109" s="580"/>
      <c r="V109" s="580"/>
      <c r="W109" s="580"/>
    </row>
    <row r="110" spans="5:23" s="575" customFormat="1">
      <c r="E110" s="570"/>
      <c r="F110" s="576"/>
      <c r="G110" s="516"/>
      <c r="H110" s="516"/>
      <c r="I110" s="458"/>
      <c r="J110" s="516"/>
      <c r="K110" s="516"/>
      <c r="L110" s="516"/>
      <c r="P110" s="580"/>
      <c r="Q110" s="580"/>
      <c r="R110" s="580"/>
      <c r="S110" s="580"/>
      <c r="T110" s="580"/>
      <c r="U110" s="580"/>
      <c r="V110" s="580"/>
      <c r="W110" s="580"/>
    </row>
    <row r="111" spans="5:23" s="575" customFormat="1">
      <c r="E111" s="570"/>
      <c r="F111" s="576"/>
      <c r="G111" s="516"/>
      <c r="H111" s="516"/>
      <c r="I111" s="458"/>
      <c r="J111" s="516"/>
      <c r="K111" s="516"/>
      <c r="L111" s="516"/>
      <c r="P111" s="580"/>
      <c r="Q111" s="580"/>
      <c r="R111" s="580"/>
      <c r="S111" s="580"/>
      <c r="T111" s="580"/>
      <c r="U111" s="580"/>
      <c r="V111" s="580"/>
      <c r="W111" s="580"/>
    </row>
    <row r="112" spans="5:23" s="575" customFormat="1">
      <c r="E112" s="570"/>
      <c r="F112" s="576"/>
      <c r="G112" s="516"/>
      <c r="H112" s="516"/>
      <c r="I112" s="458"/>
      <c r="J112" s="516"/>
      <c r="K112" s="516"/>
      <c r="L112" s="516"/>
      <c r="P112" s="580"/>
      <c r="Q112" s="580"/>
      <c r="R112" s="580"/>
      <c r="S112" s="580"/>
      <c r="T112" s="580"/>
      <c r="U112" s="580"/>
      <c r="V112" s="580"/>
      <c r="W112" s="580"/>
    </row>
    <row r="113" spans="5:23" s="575" customFormat="1">
      <c r="E113" s="570"/>
      <c r="F113" s="576"/>
      <c r="G113" s="516"/>
      <c r="H113" s="516"/>
      <c r="I113" s="458"/>
      <c r="J113" s="516"/>
      <c r="K113" s="516"/>
      <c r="L113" s="516"/>
      <c r="P113" s="580"/>
      <c r="Q113" s="580"/>
      <c r="R113" s="580"/>
      <c r="S113" s="580"/>
      <c r="T113" s="580"/>
      <c r="U113" s="580"/>
      <c r="V113" s="580"/>
      <c r="W113" s="580"/>
    </row>
    <row r="114" spans="5:23" s="575" customFormat="1">
      <c r="E114" s="570"/>
      <c r="F114" s="576"/>
      <c r="G114" s="516"/>
      <c r="H114" s="516"/>
      <c r="I114" s="458"/>
      <c r="J114" s="516"/>
      <c r="K114" s="516"/>
      <c r="L114" s="516"/>
      <c r="P114" s="580"/>
      <c r="Q114" s="580"/>
      <c r="R114" s="580"/>
      <c r="S114" s="580"/>
      <c r="T114" s="580"/>
      <c r="U114" s="580"/>
      <c r="V114" s="580"/>
      <c r="W114" s="580"/>
    </row>
    <row r="115" spans="5:23" s="575" customFormat="1">
      <c r="E115" s="570"/>
      <c r="F115" s="576"/>
      <c r="G115" s="516"/>
      <c r="H115" s="516"/>
      <c r="I115" s="458"/>
      <c r="J115" s="516"/>
      <c r="K115" s="516"/>
      <c r="L115" s="516"/>
      <c r="P115" s="580"/>
      <c r="Q115" s="580"/>
      <c r="R115" s="580"/>
      <c r="S115" s="580"/>
      <c r="T115" s="580"/>
      <c r="U115" s="580"/>
      <c r="V115" s="580"/>
      <c r="W115" s="580"/>
    </row>
    <row r="116" spans="5:23" s="575" customFormat="1">
      <c r="E116" s="570"/>
      <c r="F116" s="576"/>
      <c r="G116" s="516"/>
      <c r="H116" s="516"/>
      <c r="I116" s="458"/>
      <c r="J116" s="516"/>
      <c r="K116" s="516"/>
      <c r="L116" s="516"/>
      <c r="P116" s="580"/>
      <c r="Q116" s="580"/>
      <c r="R116" s="580"/>
      <c r="S116" s="580"/>
      <c r="T116" s="580"/>
      <c r="U116" s="580"/>
      <c r="V116" s="580"/>
      <c r="W116" s="580"/>
    </row>
    <row r="117" spans="5:23" s="575" customFormat="1">
      <c r="E117" s="570"/>
      <c r="F117" s="576"/>
      <c r="G117" s="516"/>
      <c r="H117" s="516"/>
      <c r="I117" s="458"/>
      <c r="J117" s="516"/>
      <c r="K117" s="516"/>
      <c r="L117" s="516"/>
      <c r="P117" s="580"/>
      <c r="Q117" s="580"/>
      <c r="R117" s="580"/>
      <c r="S117" s="580"/>
      <c r="T117" s="580"/>
      <c r="U117" s="580"/>
      <c r="V117" s="580"/>
      <c r="W117" s="580"/>
    </row>
    <row r="118" spans="5:23" s="575" customFormat="1">
      <c r="E118" s="570"/>
      <c r="F118" s="576"/>
      <c r="G118" s="516"/>
      <c r="H118" s="516"/>
      <c r="I118" s="458"/>
      <c r="J118" s="516"/>
      <c r="K118" s="516"/>
      <c r="L118" s="516"/>
      <c r="P118" s="580"/>
      <c r="Q118" s="580"/>
      <c r="R118" s="580"/>
      <c r="S118" s="580"/>
      <c r="T118" s="580"/>
      <c r="U118" s="580"/>
      <c r="V118" s="580"/>
      <c r="W118" s="580"/>
    </row>
    <row r="119" spans="5:23" s="575" customFormat="1">
      <c r="E119" s="570"/>
      <c r="F119" s="576"/>
      <c r="G119" s="516"/>
      <c r="H119" s="516"/>
      <c r="I119" s="458"/>
      <c r="J119" s="516"/>
      <c r="K119" s="516"/>
      <c r="L119" s="516"/>
      <c r="P119" s="580"/>
      <c r="Q119" s="580"/>
      <c r="R119" s="580"/>
      <c r="S119" s="580"/>
      <c r="T119" s="580"/>
      <c r="U119" s="580"/>
      <c r="V119" s="580"/>
      <c r="W119" s="580"/>
    </row>
    <row r="120" spans="5:23" s="575" customFormat="1">
      <c r="E120" s="570"/>
      <c r="F120" s="576"/>
      <c r="G120" s="516"/>
      <c r="H120" s="516"/>
      <c r="I120" s="458"/>
      <c r="J120" s="516"/>
      <c r="K120" s="516"/>
      <c r="L120" s="516"/>
      <c r="P120" s="580"/>
      <c r="Q120" s="580"/>
      <c r="R120" s="580"/>
      <c r="S120" s="580"/>
      <c r="T120" s="580"/>
      <c r="U120" s="580"/>
      <c r="V120" s="580"/>
      <c r="W120" s="580"/>
    </row>
    <row r="121" spans="5:23" s="575" customFormat="1">
      <c r="E121" s="570"/>
      <c r="F121" s="576"/>
      <c r="G121" s="516"/>
      <c r="H121" s="516"/>
      <c r="I121" s="458"/>
      <c r="J121" s="516"/>
      <c r="K121" s="516"/>
      <c r="L121" s="516"/>
      <c r="P121" s="580"/>
      <c r="Q121" s="580"/>
      <c r="R121" s="580"/>
      <c r="S121" s="580"/>
      <c r="T121" s="580"/>
      <c r="U121" s="580"/>
      <c r="V121" s="580"/>
      <c r="W121" s="580"/>
    </row>
    <row r="122" spans="5:23" s="575" customFormat="1">
      <c r="E122" s="570"/>
      <c r="F122" s="576"/>
      <c r="G122" s="516"/>
      <c r="H122" s="516"/>
      <c r="I122" s="458"/>
      <c r="J122" s="516"/>
      <c r="K122" s="516"/>
      <c r="L122" s="516"/>
      <c r="P122" s="580"/>
      <c r="Q122" s="580"/>
      <c r="R122" s="580"/>
      <c r="S122" s="580"/>
      <c r="T122" s="580"/>
      <c r="U122" s="580"/>
      <c r="V122" s="580"/>
      <c r="W122" s="580"/>
    </row>
    <row r="123" spans="5:23" s="575" customFormat="1">
      <c r="E123" s="570"/>
      <c r="F123" s="576"/>
      <c r="G123" s="516"/>
      <c r="H123" s="516"/>
      <c r="I123" s="458"/>
      <c r="J123" s="516"/>
      <c r="K123" s="516"/>
      <c r="L123" s="516"/>
      <c r="P123" s="580"/>
      <c r="Q123" s="580"/>
      <c r="R123" s="580"/>
      <c r="S123" s="580"/>
      <c r="T123" s="580"/>
      <c r="U123" s="580"/>
      <c r="V123" s="580"/>
      <c r="W123" s="580"/>
    </row>
    <row r="124" spans="5:23" s="575" customFormat="1">
      <c r="E124" s="570"/>
      <c r="F124" s="576"/>
      <c r="G124" s="516"/>
      <c r="H124" s="516"/>
      <c r="I124" s="458"/>
      <c r="J124" s="516"/>
      <c r="K124" s="516"/>
      <c r="L124" s="516"/>
      <c r="P124" s="580"/>
      <c r="Q124" s="580"/>
      <c r="R124" s="580"/>
      <c r="S124" s="580"/>
      <c r="T124" s="580"/>
      <c r="U124" s="580"/>
      <c r="V124" s="580"/>
      <c r="W124" s="580"/>
    </row>
    <row r="125" spans="5:23" s="575" customFormat="1">
      <c r="E125" s="570"/>
      <c r="F125" s="576"/>
      <c r="G125" s="516"/>
      <c r="H125" s="516"/>
      <c r="I125" s="458"/>
      <c r="J125" s="516"/>
      <c r="K125" s="516"/>
      <c r="L125" s="516"/>
      <c r="P125" s="580"/>
      <c r="Q125" s="580"/>
      <c r="R125" s="580"/>
      <c r="S125" s="580"/>
      <c r="T125" s="580"/>
      <c r="U125" s="580"/>
      <c r="V125" s="580"/>
      <c r="W125" s="580"/>
    </row>
    <row r="126" spans="5:23" s="575" customFormat="1">
      <c r="E126" s="570"/>
      <c r="F126" s="576"/>
      <c r="G126" s="516"/>
      <c r="H126" s="516"/>
      <c r="I126" s="458"/>
      <c r="J126" s="516"/>
      <c r="K126" s="516"/>
      <c r="L126" s="516"/>
      <c r="P126" s="580"/>
      <c r="Q126" s="580"/>
      <c r="R126" s="580"/>
      <c r="S126" s="580"/>
      <c r="T126" s="580"/>
      <c r="U126" s="580"/>
      <c r="V126" s="580"/>
      <c r="W126" s="580"/>
    </row>
    <row r="127" spans="5:23" s="575" customFormat="1">
      <c r="E127" s="570"/>
      <c r="F127" s="576"/>
      <c r="G127" s="516"/>
      <c r="H127" s="516"/>
      <c r="I127" s="458"/>
      <c r="J127" s="516"/>
      <c r="K127" s="516"/>
      <c r="L127" s="516"/>
      <c r="P127" s="580"/>
      <c r="Q127" s="580"/>
      <c r="R127" s="580"/>
      <c r="S127" s="580"/>
      <c r="T127" s="580"/>
      <c r="U127" s="580"/>
      <c r="V127" s="580"/>
      <c r="W127" s="580"/>
    </row>
    <row r="128" spans="5:23" s="575" customFormat="1">
      <c r="E128" s="570"/>
      <c r="F128" s="576"/>
      <c r="G128" s="516"/>
      <c r="H128" s="516"/>
      <c r="I128" s="458"/>
      <c r="J128" s="516"/>
      <c r="K128" s="516"/>
      <c r="L128" s="516"/>
      <c r="P128" s="580"/>
      <c r="Q128" s="580"/>
      <c r="R128" s="580"/>
      <c r="S128" s="580"/>
      <c r="T128" s="580"/>
      <c r="U128" s="580"/>
      <c r="V128" s="580"/>
      <c r="W128" s="580"/>
    </row>
    <row r="129" spans="5:26" s="575" customFormat="1">
      <c r="E129" s="570"/>
      <c r="F129" s="576"/>
      <c r="G129" s="516"/>
      <c r="H129" s="516"/>
      <c r="I129" s="458"/>
      <c r="J129" s="516"/>
      <c r="K129" s="516"/>
      <c r="L129" s="516"/>
      <c r="P129" s="580"/>
      <c r="Q129" s="580"/>
      <c r="R129" s="580"/>
      <c r="S129" s="580"/>
      <c r="T129" s="580"/>
      <c r="U129" s="580"/>
      <c r="V129" s="580"/>
      <c r="W129" s="580"/>
    </row>
    <row r="130" spans="5:26" s="575" customFormat="1">
      <c r="E130" s="570"/>
      <c r="F130" s="576"/>
      <c r="G130" s="516"/>
      <c r="H130" s="516"/>
      <c r="I130" s="458"/>
      <c r="J130" s="516"/>
      <c r="K130" s="516"/>
      <c r="L130" s="516"/>
      <c r="P130" s="580"/>
      <c r="Q130" s="580"/>
      <c r="R130" s="580"/>
      <c r="S130" s="580"/>
      <c r="T130" s="580"/>
      <c r="U130" s="580"/>
      <c r="V130" s="580"/>
      <c r="W130" s="580"/>
    </row>
    <row r="131" spans="5:26" s="575" customFormat="1">
      <c r="E131" s="570"/>
      <c r="F131" s="576"/>
      <c r="G131" s="516"/>
      <c r="H131" s="516"/>
      <c r="I131" s="458"/>
      <c r="J131" s="516"/>
      <c r="K131" s="516"/>
      <c r="L131" s="516"/>
      <c r="P131" s="580"/>
      <c r="Q131" s="580"/>
      <c r="R131" s="580"/>
      <c r="S131" s="580"/>
      <c r="T131" s="580"/>
      <c r="U131" s="580"/>
      <c r="V131" s="580"/>
      <c r="W131" s="580"/>
    </row>
    <row r="132" spans="5:26" s="575" customFormat="1">
      <c r="E132" s="570"/>
      <c r="F132" s="576"/>
      <c r="G132" s="516"/>
      <c r="H132" s="516"/>
      <c r="I132" s="458"/>
      <c r="J132" s="516"/>
      <c r="K132" s="516"/>
      <c r="L132" s="516"/>
      <c r="P132" s="580"/>
      <c r="Q132" s="580"/>
      <c r="R132" s="580"/>
      <c r="S132" s="580"/>
      <c r="T132" s="580"/>
      <c r="U132" s="580"/>
      <c r="V132" s="580"/>
      <c r="W132" s="580"/>
    </row>
    <row r="133" spans="5:26" s="575" customFormat="1">
      <c r="E133" s="570"/>
      <c r="F133" s="576"/>
      <c r="G133" s="516"/>
      <c r="H133" s="516"/>
      <c r="I133" s="458"/>
      <c r="J133" s="516"/>
      <c r="K133" s="516"/>
      <c r="L133" s="516"/>
      <c r="P133" s="580"/>
      <c r="Q133" s="580"/>
      <c r="R133" s="580"/>
      <c r="S133" s="580"/>
      <c r="T133" s="580"/>
      <c r="U133" s="580"/>
      <c r="V133" s="580"/>
      <c r="W133" s="580"/>
    </row>
    <row r="134" spans="5:26" s="575" customFormat="1">
      <c r="E134" s="570"/>
      <c r="F134" s="576"/>
      <c r="G134" s="516"/>
      <c r="H134" s="516"/>
      <c r="I134" s="458"/>
      <c r="J134" s="516"/>
      <c r="K134" s="516"/>
      <c r="L134" s="516"/>
      <c r="P134" s="580"/>
      <c r="Q134" s="580"/>
      <c r="R134" s="580"/>
      <c r="S134" s="580"/>
      <c r="T134" s="580"/>
      <c r="U134" s="580"/>
      <c r="V134" s="580"/>
      <c r="W134" s="580"/>
    </row>
    <row r="135" spans="5:26" s="575" customFormat="1">
      <c r="E135" s="570"/>
      <c r="F135" s="576"/>
      <c r="G135" s="516"/>
      <c r="H135" s="516"/>
      <c r="I135" s="458"/>
      <c r="J135" s="516"/>
      <c r="K135" s="516"/>
      <c r="L135" s="516"/>
      <c r="P135" s="580"/>
      <c r="Q135" s="580"/>
      <c r="R135" s="580"/>
      <c r="S135" s="580"/>
      <c r="T135" s="580"/>
      <c r="U135" s="580"/>
      <c r="V135" s="580"/>
      <c r="W135" s="580"/>
    </row>
    <row r="136" spans="5:26" s="575" customFormat="1">
      <c r="E136" s="570"/>
      <c r="F136" s="576"/>
      <c r="G136" s="516"/>
      <c r="H136" s="516"/>
      <c r="I136" s="458"/>
      <c r="J136" s="516"/>
      <c r="K136" s="516"/>
      <c r="L136" s="516"/>
      <c r="P136" s="580"/>
      <c r="Q136" s="580"/>
      <c r="R136" s="580"/>
      <c r="S136" s="580"/>
      <c r="T136" s="580"/>
      <c r="U136" s="580"/>
      <c r="V136" s="580"/>
      <c r="W136" s="580"/>
    </row>
    <row r="137" spans="5:26" s="575" customFormat="1">
      <c r="E137" s="570"/>
      <c r="F137" s="576"/>
      <c r="G137" s="516"/>
      <c r="H137" s="516"/>
      <c r="I137" s="458"/>
      <c r="J137" s="516"/>
      <c r="K137" s="516"/>
      <c r="L137" s="516"/>
      <c r="P137" s="580"/>
      <c r="Q137" s="580"/>
      <c r="R137" s="580"/>
      <c r="S137" s="580"/>
      <c r="T137" s="580"/>
      <c r="U137" s="580"/>
      <c r="V137" s="580"/>
      <c r="W137" s="580"/>
    </row>
    <row r="138" spans="5:26" s="575" customFormat="1">
      <c r="E138" s="570"/>
      <c r="F138" s="576"/>
      <c r="G138" s="516"/>
      <c r="H138" s="516"/>
      <c r="I138" s="458"/>
      <c r="J138" s="516"/>
      <c r="K138" s="516"/>
      <c r="L138" s="516"/>
      <c r="P138" s="580"/>
      <c r="Q138" s="580"/>
      <c r="R138" s="580"/>
      <c r="S138" s="580"/>
      <c r="T138" s="580"/>
      <c r="U138" s="580"/>
      <c r="V138" s="580"/>
      <c r="W138" s="580"/>
    </row>
    <row r="139" spans="5:26" s="575" customFormat="1">
      <c r="E139" s="570"/>
      <c r="F139" s="576"/>
      <c r="G139" s="516"/>
      <c r="H139" s="516"/>
      <c r="I139" s="458"/>
      <c r="J139" s="516"/>
      <c r="K139" s="516"/>
      <c r="L139" s="516"/>
      <c r="P139" s="580"/>
      <c r="Q139" s="580"/>
      <c r="R139" s="580"/>
      <c r="S139" s="580"/>
      <c r="T139" s="580"/>
      <c r="U139" s="580"/>
      <c r="V139" s="580"/>
      <c r="W139" s="580"/>
    </row>
    <row r="140" spans="5:26" s="575" customFormat="1">
      <c r="E140" s="570"/>
      <c r="F140" s="576"/>
      <c r="G140" s="516"/>
      <c r="H140" s="516"/>
      <c r="I140" s="458"/>
      <c r="J140" s="516"/>
      <c r="K140" s="516"/>
      <c r="L140" s="516"/>
      <c r="P140" s="580"/>
      <c r="Q140" s="580"/>
      <c r="R140" s="578"/>
      <c r="S140" s="578"/>
      <c r="T140" s="578"/>
      <c r="U140" s="578"/>
      <c r="V140" s="578"/>
      <c r="W140" s="578"/>
      <c r="X140" s="516"/>
    </row>
    <row r="141" spans="5:26" s="575" customFormat="1">
      <c r="E141" s="570"/>
      <c r="F141" s="576"/>
      <c r="G141" s="516"/>
      <c r="H141" s="516"/>
      <c r="I141" s="458"/>
      <c r="J141" s="516"/>
      <c r="K141" s="516"/>
      <c r="L141" s="516"/>
      <c r="P141" s="580"/>
      <c r="Q141" s="580"/>
      <c r="R141" s="578"/>
      <c r="S141" s="578"/>
      <c r="T141" s="578"/>
      <c r="U141" s="578"/>
      <c r="V141" s="578"/>
      <c r="W141" s="578"/>
      <c r="X141" s="516"/>
    </row>
    <row r="142" spans="5:26" s="575" customFormat="1">
      <c r="E142" s="570"/>
      <c r="F142" s="576"/>
      <c r="G142" s="516"/>
      <c r="H142" s="516"/>
      <c r="I142" s="458"/>
      <c r="J142" s="516"/>
      <c r="K142" s="516"/>
      <c r="L142" s="516"/>
      <c r="P142" s="580"/>
      <c r="Q142" s="580"/>
      <c r="R142" s="578"/>
      <c r="S142" s="578"/>
      <c r="T142" s="578"/>
      <c r="U142" s="578"/>
      <c r="V142" s="578"/>
      <c r="W142" s="578"/>
      <c r="X142" s="516"/>
      <c r="Y142" s="516"/>
      <c r="Z142" s="516"/>
    </row>
    <row r="143" spans="5:26" s="575" customFormat="1">
      <c r="E143" s="570"/>
      <c r="F143" s="576"/>
      <c r="G143" s="516"/>
      <c r="H143" s="516"/>
      <c r="I143" s="458"/>
      <c r="J143" s="516"/>
      <c r="K143" s="516"/>
      <c r="L143" s="516"/>
      <c r="P143" s="580"/>
      <c r="Q143" s="580"/>
      <c r="R143" s="578"/>
      <c r="S143" s="578"/>
      <c r="T143" s="578"/>
      <c r="U143" s="578"/>
      <c r="V143" s="578"/>
      <c r="W143" s="578"/>
      <c r="X143" s="516"/>
      <c r="Y143" s="516"/>
      <c r="Z143" s="516"/>
    </row>
    <row r="144" spans="5:26" s="575" customFormat="1">
      <c r="E144" s="570"/>
      <c r="F144" s="576"/>
      <c r="G144" s="516"/>
      <c r="H144" s="516"/>
      <c r="I144" s="458"/>
      <c r="J144" s="516"/>
      <c r="K144" s="516"/>
      <c r="L144" s="516"/>
      <c r="P144" s="580"/>
      <c r="Q144" s="580"/>
      <c r="R144" s="578"/>
      <c r="S144" s="578"/>
      <c r="T144" s="578"/>
      <c r="U144" s="578"/>
      <c r="V144" s="578"/>
      <c r="W144" s="578"/>
      <c r="X144" s="516"/>
      <c r="Y144" s="516"/>
      <c r="Z144" s="516"/>
    </row>
    <row r="145" spans="1:26" s="575" customFormat="1">
      <c r="E145" s="570"/>
      <c r="F145" s="576"/>
      <c r="G145" s="516"/>
      <c r="H145" s="516"/>
      <c r="I145" s="458"/>
      <c r="J145" s="516"/>
      <c r="K145" s="516"/>
      <c r="L145" s="516"/>
      <c r="N145" s="516"/>
      <c r="O145" s="458"/>
      <c r="P145" s="615"/>
      <c r="Q145" s="578"/>
      <c r="R145" s="578"/>
      <c r="S145" s="578"/>
      <c r="T145" s="578"/>
      <c r="U145" s="578"/>
      <c r="V145" s="578"/>
      <c r="W145" s="578"/>
      <c r="X145" s="516"/>
      <c r="Y145" s="516"/>
      <c r="Z145" s="516"/>
    </row>
    <row r="146" spans="1:26" s="575" customFormat="1">
      <c r="E146" s="570"/>
      <c r="F146" s="576"/>
      <c r="G146" s="516"/>
      <c r="H146" s="516"/>
      <c r="I146" s="458"/>
      <c r="J146" s="516"/>
      <c r="K146" s="516"/>
      <c r="L146" s="516"/>
      <c r="N146" s="516"/>
      <c r="O146" s="458"/>
      <c r="P146" s="615"/>
      <c r="Q146" s="578"/>
      <c r="R146" s="578"/>
      <c r="S146" s="578"/>
      <c r="T146" s="578"/>
      <c r="U146" s="578"/>
      <c r="V146" s="578"/>
      <c r="W146" s="578"/>
      <c r="X146" s="516"/>
      <c r="Y146" s="516"/>
      <c r="Z146" s="516"/>
    </row>
    <row r="147" spans="1:26">
      <c r="A147" s="575"/>
      <c r="B147" s="575"/>
      <c r="C147" s="575"/>
      <c r="D147" s="575"/>
      <c r="E147" s="570"/>
      <c r="F147" s="576"/>
      <c r="G147" s="516"/>
      <c r="H147" s="516"/>
      <c r="I147" s="458"/>
      <c r="J147" s="516"/>
      <c r="K147" s="516"/>
      <c r="L147" s="516"/>
      <c r="M147" s="575"/>
    </row>
    <row r="148" spans="1:26">
      <c r="A148" s="575"/>
      <c r="B148" s="575"/>
      <c r="C148" s="575"/>
      <c r="D148" s="575"/>
      <c r="E148" s="570"/>
      <c r="F148" s="576"/>
      <c r="G148" s="516"/>
      <c r="H148" s="516"/>
      <c r="I148" s="458"/>
      <c r="J148" s="516"/>
      <c r="K148" s="516"/>
      <c r="L148" s="516"/>
      <c r="M148" s="575"/>
    </row>
    <row r="149" spans="1:26">
      <c r="J149" s="516"/>
      <c r="K149" s="516"/>
      <c r="L149" s="516"/>
      <c r="M149" s="575"/>
    </row>
    <row r="150" spans="1:26">
      <c r="J150" s="516"/>
      <c r="K150" s="516"/>
      <c r="L150" s="516"/>
      <c r="M150" s="575"/>
    </row>
    <row r="151" spans="1:26">
      <c r="J151" s="516"/>
      <c r="K151" s="516"/>
      <c r="L151" s="516"/>
      <c r="M151" s="575"/>
    </row>
    <row r="152" spans="1:26">
      <c r="J152" s="516"/>
      <c r="K152" s="516"/>
      <c r="L152" s="516"/>
      <c r="M152" s="575"/>
    </row>
    <row r="153" spans="1:26">
      <c r="J153" s="516"/>
      <c r="K153" s="516"/>
      <c r="L153" s="516"/>
      <c r="M153" s="575"/>
    </row>
    <row r="154" spans="1:26">
      <c r="J154" s="516"/>
      <c r="K154" s="516"/>
      <c r="L154" s="516"/>
      <c r="M154" s="575"/>
    </row>
    <row r="155" spans="1:26">
      <c r="K155" s="516"/>
      <c r="L155" s="516"/>
      <c r="M155" s="575"/>
    </row>
    <row r="156" spans="1:26">
      <c r="K156" s="516"/>
      <c r="L156" s="516"/>
      <c r="M156" s="575"/>
    </row>
    <row r="157" spans="1:26">
      <c r="K157" s="516"/>
      <c r="L157" s="516"/>
      <c r="M157" s="575"/>
    </row>
    <row r="158" spans="1:26">
      <c r="L158" s="516"/>
      <c r="M158" s="575"/>
    </row>
    <row r="159" spans="1:26">
      <c r="L159" s="516"/>
      <c r="M159" s="575"/>
    </row>
    <row r="160" spans="1:26">
      <c r="L160" s="516"/>
    </row>
    <row r="161" spans="12:12">
      <c r="L161" s="516"/>
    </row>
    <row r="162" spans="12:12">
      <c r="L162" s="516"/>
    </row>
  </sheetData>
  <mergeCells count="7">
    <mergeCell ref="V7:W7"/>
    <mergeCell ref="Y7:Z7"/>
    <mergeCell ref="D9:F9"/>
    <mergeCell ref="H9:K9"/>
    <mergeCell ref="A7:L7"/>
    <mergeCell ref="R7:S7"/>
    <mergeCell ref="T7:U7"/>
  </mergeCells>
  <conditionalFormatting sqref="AD9:AD57 P51:P67">
    <cfRule type="aboveAverage" dxfId="3" priority="1" aboveAverage="0" stdDev="1"/>
    <cfRule type="aboveAverage" dxfId="2" priority="2" stdDev="1"/>
  </conditionalFormatting>
  <dataValidations disablePrompts="1" count="1">
    <dataValidation type="list" allowBlank="1" showInputMessage="1" showErrorMessage="1" sqref="B5" xr:uid="{E49CE4D5-CEBD-496C-9F27-A4B538BD4AF3}">
      <formula1>$AF$5:$AF$8</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0E91-B587-40F1-AB38-3A7214675816}">
  <dimension ref="A1:AJ194"/>
  <sheetViews>
    <sheetView zoomScale="80" zoomScaleNormal="80" workbookViewId="0">
      <selection activeCell="A32" sqref="A32:XFD32"/>
    </sheetView>
  </sheetViews>
  <sheetFormatPr defaultColWidth="7.88671875" defaultRowHeight="10.199999999999999"/>
  <cols>
    <col min="1" max="1" width="15.6640625" style="516" bestFit="1" customWidth="1"/>
    <col min="2" max="2" width="9.5546875" style="516" bestFit="1" customWidth="1"/>
    <col min="3" max="3" width="5.109375" style="579" customWidth="1"/>
    <col min="4" max="4" width="8.44140625" style="579" bestFit="1" customWidth="1"/>
    <col min="5" max="6" width="8.6640625" style="579" bestFit="1" customWidth="1"/>
    <col min="7" max="7" width="14.88671875" style="575" bestFit="1" customWidth="1"/>
    <col min="8" max="8" width="10.33203125" style="580" customWidth="1"/>
    <col min="9" max="10" width="10.33203125" style="575" bestFit="1" customWidth="1"/>
    <col min="11" max="11" width="10.33203125" style="570" bestFit="1" customWidth="1"/>
    <col min="12" max="12" width="16.33203125" style="576" bestFit="1" customWidth="1"/>
    <col min="13" max="13" width="7.6640625" style="516" bestFit="1" customWidth="1"/>
    <col min="14" max="14" width="6.109375" style="520" bestFit="1" customWidth="1"/>
    <col min="15" max="15" width="9.33203125" style="1175" customWidth="1"/>
    <col min="16" max="16" width="7.6640625" style="615" bestFit="1" customWidth="1"/>
    <col min="17" max="17" width="6.6640625" style="578" bestFit="1" customWidth="1"/>
    <col min="18" max="18" width="8.44140625" style="578" customWidth="1"/>
    <col min="19" max="19" width="9.44140625" style="578" customWidth="1"/>
    <col min="20" max="20" width="15.6640625" style="578" bestFit="1" customWidth="1"/>
    <col min="21" max="21" width="10.109375" style="578" bestFit="1" customWidth="1"/>
    <col min="22" max="23" width="10.109375" style="578" customWidth="1"/>
    <col min="24" max="24" width="10.44140625" style="1187" bestFit="1" customWidth="1"/>
    <col min="25" max="25" width="14" style="578" bestFit="1" customWidth="1"/>
    <col min="26" max="26" width="15.6640625" style="578" bestFit="1" customWidth="1"/>
    <col min="27" max="27" width="13.6640625" style="578" bestFit="1" customWidth="1"/>
    <col min="28" max="28" width="54" style="516" customWidth="1"/>
    <col min="29" max="29" width="21.109375" style="516" bestFit="1" customWidth="1"/>
    <col min="30" max="30" width="11.33203125" style="516" customWidth="1"/>
    <col min="31" max="35" width="5.33203125" style="516" customWidth="1"/>
    <col min="36" max="36" width="17" style="516" customWidth="1"/>
    <col min="37" max="16384" width="7.88671875" style="516"/>
  </cols>
  <sheetData>
    <row r="1" spans="1:32" s="405" customFormat="1" ht="13.2">
      <c r="A1" s="585" t="s">
        <v>103</v>
      </c>
      <c r="B1" s="586" t="s">
        <v>147</v>
      </c>
      <c r="C1" s="397"/>
      <c r="D1" s="586"/>
      <c r="E1" s="398"/>
      <c r="F1" s="398"/>
      <c r="G1" s="399"/>
      <c r="H1" s="400" t="s">
        <v>148</v>
      </c>
      <c r="I1" s="401">
        <f>C71</f>
        <v>1677</v>
      </c>
      <c r="J1" s="402"/>
      <c r="K1" s="586"/>
      <c r="L1" s="586"/>
      <c r="N1" s="1151"/>
      <c r="O1" s="521"/>
      <c r="P1" s="587"/>
      <c r="Q1" s="587"/>
      <c r="R1" s="587"/>
      <c r="S1" s="587"/>
      <c r="T1" s="587"/>
      <c r="U1" s="587"/>
      <c r="V1" s="587"/>
      <c r="W1" s="587"/>
      <c r="X1" s="1176"/>
      <c r="Y1" s="587"/>
      <c r="Z1" s="587"/>
      <c r="AA1" s="587"/>
    </row>
    <row r="2" spans="1:32" s="405" customFormat="1" ht="13.2">
      <c r="A2" s="588" t="s">
        <v>105</v>
      </c>
      <c r="B2" s="586" t="s">
        <v>88</v>
      </c>
      <c r="C2" s="408"/>
      <c r="D2" s="586"/>
      <c r="E2" s="409"/>
      <c r="F2" s="409"/>
      <c r="G2" s="410"/>
      <c r="H2" s="411" t="s">
        <v>149</v>
      </c>
      <c r="I2" s="589">
        <f>AA32</f>
        <v>425</v>
      </c>
      <c r="J2" s="413"/>
      <c r="K2" s="586"/>
      <c r="L2" s="586"/>
      <c r="N2" s="1152"/>
      <c r="O2" s="521"/>
      <c r="P2" s="587"/>
      <c r="Q2" s="587"/>
      <c r="R2" s="587"/>
      <c r="S2" s="587"/>
      <c r="T2" s="587"/>
      <c r="U2" s="587"/>
      <c r="V2" s="587"/>
      <c r="W2" s="587"/>
      <c r="X2" s="1176"/>
      <c r="Y2" s="587"/>
      <c r="Z2" s="587"/>
      <c r="AA2" s="587"/>
    </row>
    <row r="3" spans="1:32" s="421" customFormat="1" ht="11.25" customHeight="1">
      <c r="A3" s="417" t="s">
        <v>107</v>
      </c>
      <c r="B3" s="581">
        <v>45767</v>
      </c>
      <c r="C3" s="408"/>
      <c r="D3" s="409"/>
      <c r="E3" s="409"/>
      <c r="F3" s="409"/>
      <c r="G3" s="410"/>
      <c r="H3" s="417" t="s">
        <v>150</v>
      </c>
      <c r="I3" s="591">
        <f>AA32/100</f>
        <v>4.25</v>
      </c>
      <c r="J3" s="413"/>
      <c r="K3" s="586"/>
      <c r="L3" s="586"/>
      <c r="N3" s="1153"/>
      <c r="O3" s="1154"/>
      <c r="P3" s="590"/>
      <c r="Q3" s="590"/>
      <c r="R3" s="590"/>
      <c r="S3" s="590"/>
      <c r="T3" s="590"/>
      <c r="U3" s="590"/>
      <c r="V3" s="590"/>
      <c r="W3" s="590"/>
      <c r="X3" s="1177"/>
      <c r="Y3" s="590"/>
      <c r="Z3" s="590"/>
      <c r="AA3" s="590"/>
    </row>
    <row r="4" spans="1:32" s="405" customFormat="1" ht="13.2">
      <c r="A4" s="417" t="s">
        <v>109</v>
      </c>
      <c r="B4" s="407" t="s">
        <v>195</v>
      </c>
      <c r="C4" s="408"/>
      <c r="D4" s="409"/>
      <c r="E4" s="409"/>
      <c r="F4" s="409"/>
      <c r="G4" s="410"/>
      <c r="H4" s="417" t="s">
        <v>151</v>
      </c>
      <c r="I4" s="591">
        <f>S32</f>
        <v>0.42409746086043959</v>
      </c>
      <c r="J4" s="413"/>
      <c r="K4" s="586"/>
      <c r="L4" s="586"/>
      <c r="M4" s="404"/>
      <c r="N4" s="1151"/>
      <c r="O4" s="521"/>
      <c r="P4" s="587"/>
      <c r="Q4" s="587"/>
      <c r="R4" s="587"/>
      <c r="S4" s="587"/>
      <c r="T4" s="587"/>
      <c r="U4" s="587"/>
      <c r="V4" s="587"/>
      <c r="W4" s="587"/>
      <c r="X4" s="1176"/>
      <c r="Y4" s="587"/>
      <c r="Z4" s="587"/>
      <c r="AA4" s="587"/>
    </row>
    <row r="5" spans="1:32" s="425" customFormat="1" ht="13.2">
      <c r="A5" s="588" t="s">
        <v>111</v>
      </c>
      <c r="B5" s="422" t="s">
        <v>112</v>
      </c>
      <c r="C5" s="408"/>
      <c r="D5" s="409"/>
      <c r="E5" s="409"/>
      <c r="F5" s="409"/>
      <c r="G5" s="410"/>
      <c r="H5" s="417" t="s">
        <v>261</v>
      </c>
      <c r="I5" s="1224">
        <f>(I2*I4)/100</f>
        <v>1.8024142086568682</v>
      </c>
      <c r="J5" s="413"/>
      <c r="K5" s="586"/>
      <c r="L5" s="586"/>
      <c r="M5" s="424"/>
      <c r="N5" s="1155"/>
      <c r="O5" s="1156"/>
      <c r="P5" s="592"/>
      <c r="Q5" s="592"/>
      <c r="R5" s="592"/>
      <c r="S5" s="592"/>
      <c r="T5" s="592"/>
      <c r="U5" s="592"/>
      <c r="V5" s="592"/>
      <c r="W5" s="592"/>
      <c r="X5" s="1178"/>
      <c r="Y5" s="592"/>
      <c r="Z5" s="592"/>
      <c r="AA5" s="592"/>
    </row>
    <row r="6" spans="1:32" s="424" customFormat="1" ht="13.8" thickBot="1">
      <c r="A6" s="593"/>
      <c r="B6" s="594"/>
      <c r="C6" s="595"/>
      <c r="D6" s="596"/>
      <c r="E6" s="596"/>
      <c r="F6" s="596"/>
      <c r="G6" s="597"/>
      <c r="H6" s="598"/>
      <c r="I6" s="599"/>
      <c r="J6" s="597"/>
      <c r="K6" s="594"/>
      <c r="L6" s="594"/>
      <c r="M6" s="445"/>
      <c r="N6" s="1155"/>
      <c r="O6" s="1155"/>
      <c r="P6" s="600"/>
      <c r="Q6" s="600"/>
      <c r="R6" s="600"/>
      <c r="S6" s="600"/>
      <c r="T6" s="600"/>
      <c r="U6" s="600"/>
      <c r="V6" s="600"/>
      <c r="W6" s="600"/>
      <c r="X6" s="1179"/>
      <c r="Y6" s="600"/>
      <c r="Z6" s="600"/>
      <c r="AA6" s="600"/>
    </row>
    <row r="7" spans="1:32" s="425" customFormat="1" ht="13.2" customHeight="1">
      <c r="A7" s="1414" t="s">
        <v>113</v>
      </c>
      <c r="B7" s="1415"/>
      <c r="C7" s="1415"/>
      <c r="D7" s="1415"/>
      <c r="E7" s="1415"/>
      <c r="F7" s="1415"/>
      <c r="G7" s="1415"/>
      <c r="H7" s="1415"/>
      <c r="I7" s="1415"/>
      <c r="J7" s="1415"/>
      <c r="K7" s="1415"/>
      <c r="L7" s="1427"/>
      <c r="M7" s="1041"/>
      <c r="N7" s="1157" t="s">
        <v>114</v>
      </c>
      <c r="O7" s="1158"/>
      <c r="P7" s="440" t="s">
        <v>115</v>
      </c>
      <c r="Q7" s="441"/>
      <c r="R7" s="1425" t="s">
        <v>116</v>
      </c>
      <c r="S7" s="1428"/>
      <c r="T7" s="1425" t="s">
        <v>225</v>
      </c>
      <c r="U7" s="1428"/>
      <c r="V7" s="1428"/>
      <c r="W7" s="1428"/>
      <c r="X7" s="1428"/>
      <c r="Y7" s="1428"/>
      <c r="Z7" s="1425" t="s">
        <v>226</v>
      </c>
      <c r="AA7" s="1426"/>
      <c r="AB7" s="1067"/>
      <c r="AC7" s="1412" t="s">
        <v>117</v>
      </c>
      <c r="AD7" s="1413"/>
      <c r="AE7" s="424"/>
      <c r="AF7" s="424"/>
    </row>
    <row r="8" spans="1:32" s="454" customFormat="1" ht="11.25" customHeight="1">
      <c r="A8" s="444"/>
      <c r="B8" s="445"/>
      <c r="C8" s="446"/>
      <c r="D8" s="603"/>
      <c r="E8" s="603"/>
      <c r="F8" s="603"/>
      <c r="G8" s="605"/>
      <c r="H8" s="606"/>
      <c r="I8" s="606"/>
      <c r="J8" s="606"/>
      <c r="K8" s="606"/>
      <c r="L8" s="1068"/>
      <c r="M8" s="606"/>
      <c r="N8" s="1159"/>
      <c r="O8" s="1160"/>
      <c r="P8" s="1069"/>
      <c r="Q8" s="450"/>
      <c r="R8" s="610"/>
      <c r="S8" s="610"/>
      <c r="T8" s="1069"/>
      <c r="U8" s="610"/>
      <c r="V8" s="610"/>
      <c r="W8" s="610"/>
      <c r="X8" s="1180"/>
      <c r="Y8" s="610"/>
      <c r="Z8" s="1069"/>
      <c r="AA8" s="450"/>
      <c r="AB8" s="1070"/>
      <c r="AC8" s="423"/>
      <c r="AD8" s="423"/>
      <c r="AE8" s="453"/>
    </row>
    <row r="9" spans="1:32" s="455" customFormat="1">
      <c r="A9" s="611"/>
      <c r="B9" s="424"/>
      <c r="C9" s="456"/>
      <c r="D9" s="1419" t="s">
        <v>152</v>
      </c>
      <c r="E9" s="1420"/>
      <c r="F9" s="1421"/>
      <c r="G9" s="612"/>
      <c r="H9" s="1422" t="s">
        <v>153</v>
      </c>
      <c r="I9" s="1423"/>
      <c r="J9" s="1423"/>
      <c r="K9" s="1424"/>
      <c r="L9" s="1042"/>
      <c r="M9" s="614"/>
      <c r="N9" s="1159" t="s">
        <v>118</v>
      </c>
      <c r="O9" s="1161"/>
      <c r="P9" s="610"/>
      <c r="Q9" s="450"/>
      <c r="R9" s="615"/>
      <c r="S9" s="615"/>
      <c r="T9" s="1071"/>
      <c r="U9" s="615"/>
      <c r="V9" s="615"/>
      <c r="W9" s="615"/>
      <c r="X9" s="1181"/>
      <c r="Y9" s="615"/>
      <c r="Z9" s="1071"/>
      <c r="AA9" s="1072"/>
      <c r="AB9" s="1070"/>
      <c r="AC9" s="459"/>
      <c r="AD9" s="460"/>
      <c r="AE9" s="461"/>
      <c r="AF9" s="462"/>
    </row>
    <row r="10" spans="1:32" s="455" customFormat="1">
      <c r="A10" s="463" t="s">
        <v>119</v>
      </c>
      <c r="B10" s="464" t="s">
        <v>120</v>
      </c>
      <c r="C10" s="465" t="s">
        <v>121</v>
      </c>
      <c r="D10" s="616" t="s">
        <v>154</v>
      </c>
      <c r="E10" s="617" t="s">
        <v>155</v>
      </c>
      <c r="F10" s="618" t="s">
        <v>156</v>
      </c>
      <c r="G10" s="612" t="s">
        <v>157</v>
      </c>
      <c r="H10" s="1043" t="s">
        <v>158</v>
      </c>
      <c r="I10" s="1043" t="s">
        <v>159</v>
      </c>
      <c r="J10" s="1043" t="s">
        <v>160</v>
      </c>
      <c r="K10" s="1043" t="s">
        <v>161</v>
      </c>
      <c r="L10" s="1042" t="s">
        <v>162</v>
      </c>
      <c r="M10" s="467" t="s">
        <v>122</v>
      </c>
      <c r="N10" s="1162" t="s">
        <v>123</v>
      </c>
      <c r="O10" s="1163" t="s">
        <v>124</v>
      </c>
      <c r="P10" s="451" t="s">
        <v>125</v>
      </c>
      <c r="Q10" s="450" t="s">
        <v>126</v>
      </c>
      <c r="R10" s="451" t="s">
        <v>126</v>
      </c>
      <c r="S10" s="451" t="s">
        <v>125</v>
      </c>
      <c r="T10" s="1069" t="s">
        <v>227</v>
      </c>
      <c r="U10" s="610" t="s">
        <v>228</v>
      </c>
      <c r="V10" s="610" t="s">
        <v>227</v>
      </c>
      <c r="W10" s="610" t="s">
        <v>228</v>
      </c>
      <c r="X10" s="1180" t="s">
        <v>229</v>
      </c>
      <c r="Y10" s="610" t="s">
        <v>230</v>
      </c>
      <c r="Z10" s="1069" t="s">
        <v>227</v>
      </c>
      <c r="AA10" s="450" t="s">
        <v>231</v>
      </c>
      <c r="AB10" s="468" t="s">
        <v>127</v>
      </c>
      <c r="AC10" s="459" t="s">
        <v>213</v>
      </c>
      <c r="AD10" s="459" t="s">
        <v>129</v>
      </c>
      <c r="AE10" s="469"/>
    </row>
    <row r="11" spans="1:32" s="455" customFormat="1" ht="12" thickBot="1">
      <c r="A11" s="1073" t="s">
        <v>130</v>
      </c>
      <c r="B11" s="1074" t="s">
        <v>130</v>
      </c>
      <c r="C11" s="1075" t="s">
        <v>131</v>
      </c>
      <c r="D11" s="621" t="s">
        <v>163</v>
      </c>
      <c r="E11" s="622" t="s">
        <v>163</v>
      </c>
      <c r="F11" s="623" t="s">
        <v>163</v>
      </c>
      <c r="G11" s="624" t="s">
        <v>163</v>
      </c>
      <c r="H11" s="625" t="s">
        <v>163</v>
      </c>
      <c r="I11" s="625" t="s">
        <v>163</v>
      </c>
      <c r="J11" s="625" t="s">
        <v>163</v>
      </c>
      <c r="K11" s="625" t="s">
        <v>163</v>
      </c>
      <c r="L11" s="1076" t="s">
        <v>163</v>
      </c>
      <c r="M11" s="1077" t="s">
        <v>232</v>
      </c>
      <c r="N11" s="1164" t="s">
        <v>163</v>
      </c>
      <c r="O11" s="1165" t="s">
        <v>163</v>
      </c>
      <c r="P11" s="1078" t="s">
        <v>164</v>
      </c>
      <c r="Q11" s="476" t="s">
        <v>38</v>
      </c>
      <c r="R11" s="628" t="s">
        <v>38</v>
      </c>
      <c r="S11" s="628" t="s">
        <v>164</v>
      </c>
      <c r="T11" s="1078" t="s">
        <v>163</v>
      </c>
      <c r="U11" s="628" t="s">
        <v>163</v>
      </c>
      <c r="V11" s="628" t="s">
        <v>163</v>
      </c>
      <c r="W11" s="628" t="s">
        <v>163</v>
      </c>
      <c r="X11" s="1182" t="s">
        <v>233</v>
      </c>
      <c r="Y11" s="628" t="s">
        <v>234</v>
      </c>
      <c r="Z11" s="1078" t="s">
        <v>163</v>
      </c>
      <c r="AA11" s="476" t="s">
        <v>163</v>
      </c>
      <c r="AB11" s="1079"/>
      <c r="AC11" s="479"/>
      <c r="AD11" s="480" t="s">
        <v>163</v>
      </c>
      <c r="AE11" s="469"/>
    </row>
    <row r="12" spans="1:32" s="455" customFormat="1">
      <c r="A12" s="629" t="s">
        <v>165</v>
      </c>
      <c r="B12" s="630"/>
      <c r="C12" s="631">
        <v>0</v>
      </c>
      <c r="D12" s="632" t="s">
        <v>166</v>
      </c>
      <c r="E12" s="633" t="s">
        <v>166</v>
      </c>
      <c r="F12" s="634" t="s">
        <v>166</v>
      </c>
      <c r="G12" s="635" t="s">
        <v>166</v>
      </c>
      <c r="H12" s="633" t="s">
        <v>166</v>
      </c>
      <c r="I12" s="633" t="s">
        <v>166</v>
      </c>
      <c r="J12" s="633" t="s">
        <v>166</v>
      </c>
      <c r="K12" s="633" t="s">
        <v>166</v>
      </c>
      <c r="L12" s="636" t="s">
        <v>166</v>
      </c>
      <c r="M12" s="631"/>
      <c r="N12" s="1166"/>
      <c r="O12" s="1167"/>
      <c r="P12" s="639"/>
      <c r="Q12" s="640"/>
      <c r="R12" s="641"/>
      <c r="S12" s="642"/>
      <c r="T12" s="1082"/>
      <c r="U12" s="642"/>
      <c r="V12" s="642"/>
      <c r="W12" s="642"/>
      <c r="X12" s="1183"/>
      <c r="Y12" s="642"/>
      <c r="Z12" s="1083"/>
      <c r="AA12" s="1083"/>
      <c r="AB12" s="643"/>
      <c r="AC12" s="492" t="s">
        <v>135</v>
      </c>
      <c r="AD12" s="493">
        <v>425</v>
      </c>
      <c r="AE12" s="494"/>
    </row>
    <row r="13" spans="1:32" s="455" customFormat="1">
      <c r="A13" s="481">
        <v>105</v>
      </c>
      <c r="B13" s="482">
        <v>0</v>
      </c>
      <c r="C13" s="483">
        <v>10</v>
      </c>
      <c r="D13" s="644" t="s">
        <v>166</v>
      </c>
      <c r="E13" s="645" t="s">
        <v>166</v>
      </c>
      <c r="F13" s="646" t="s">
        <v>166</v>
      </c>
      <c r="G13" s="647" t="s">
        <v>166</v>
      </c>
      <c r="H13" s="645" t="s">
        <v>166</v>
      </c>
      <c r="I13" s="645" t="s">
        <v>166</v>
      </c>
      <c r="J13" s="645" t="s">
        <v>166</v>
      </c>
      <c r="K13" s="645" t="s">
        <v>166</v>
      </c>
      <c r="L13" s="648" t="s">
        <v>166</v>
      </c>
      <c r="M13" s="483">
        <v>1000</v>
      </c>
      <c r="N13" s="1140">
        <f>C12</f>
        <v>0</v>
      </c>
      <c r="O13" s="1141">
        <f t="shared" ref="O13:O19" si="0">(C13+C14-10)/2</f>
        <v>10</v>
      </c>
      <c r="P13" s="497">
        <f>(A13-B13)/M13</f>
        <v>0.105</v>
      </c>
      <c r="Q13" s="488">
        <f>(P13*(O13-N13))/100</f>
        <v>1.0500000000000001E-2</v>
      </c>
      <c r="R13" s="651">
        <f>SUM(Q$13:Q13)</f>
        <v>1.0500000000000001E-2</v>
      </c>
      <c r="S13" s="500">
        <f>R13/O13*100</f>
        <v>0.10500000000000001</v>
      </c>
      <c r="T13" s="1084"/>
      <c r="U13" s="500"/>
      <c r="V13" s="500"/>
      <c r="W13" s="500"/>
      <c r="X13" s="1145">
        <f>U13*98.5</f>
        <v>0</v>
      </c>
      <c r="Y13" s="500">
        <f t="shared" ref="Y13:Y21" si="1">(A14-(X13/0.9))/M13</f>
        <v>0.24</v>
      </c>
      <c r="Z13" s="500"/>
      <c r="AA13" s="500"/>
      <c r="AB13" s="491"/>
      <c r="AC13" s="501"/>
      <c r="AD13" s="502"/>
      <c r="AE13" s="469"/>
    </row>
    <row r="14" spans="1:32" s="455" customFormat="1">
      <c r="A14" s="481">
        <v>240</v>
      </c>
      <c r="B14" s="482">
        <v>0</v>
      </c>
      <c r="C14" s="483">
        <v>20</v>
      </c>
      <c r="D14" s="644" t="s">
        <v>166</v>
      </c>
      <c r="E14" s="645" t="s">
        <v>166</v>
      </c>
      <c r="F14" s="646" t="s">
        <v>166</v>
      </c>
      <c r="G14" s="647" t="s">
        <v>166</v>
      </c>
      <c r="H14" s="645" t="s">
        <v>166</v>
      </c>
      <c r="I14" s="645" t="s">
        <v>166</v>
      </c>
      <c r="J14" s="645" t="s">
        <v>166</v>
      </c>
      <c r="K14" s="645" t="s">
        <v>166</v>
      </c>
      <c r="L14" s="648" t="s">
        <v>166</v>
      </c>
      <c r="M14" s="483">
        <v>1000</v>
      </c>
      <c r="N14" s="1140">
        <f t="shared" ref="N14:N21" si="2">(C13+C14-10)/2</f>
        <v>10</v>
      </c>
      <c r="O14" s="1141">
        <f t="shared" si="0"/>
        <v>20</v>
      </c>
      <c r="P14" s="497">
        <f t="shared" ref="P14:P21" si="3">(A14-B14)/M14</f>
        <v>0.24</v>
      </c>
      <c r="Q14" s="488">
        <f t="shared" ref="Q14:Q20" si="4">(P14*(O14-N14))/100</f>
        <v>2.4E-2</v>
      </c>
      <c r="R14" s="651">
        <f>SUM(Q$13:Q14)</f>
        <v>3.4500000000000003E-2</v>
      </c>
      <c r="S14" s="500">
        <f t="shared" ref="S14:S19" si="5">R14/O14*100</f>
        <v>0.17250000000000001</v>
      </c>
      <c r="T14" s="1084"/>
      <c r="U14" s="500"/>
      <c r="V14" s="500"/>
      <c r="W14" s="500"/>
      <c r="X14" s="1145">
        <f t="shared" ref="X14:X21" si="6">U14*98.5</f>
        <v>0</v>
      </c>
      <c r="Y14" s="500">
        <f t="shared" si="1"/>
        <v>0.28999999999999998</v>
      </c>
      <c r="Z14" s="500"/>
      <c r="AA14" s="500"/>
      <c r="AB14" s="491"/>
      <c r="AC14" s="501"/>
      <c r="AD14" s="502"/>
      <c r="AE14" s="469"/>
    </row>
    <row r="15" spans="1:32" s="455" customFormat="1">
      <c r="A15" s="481">
        <v>290</v>
      </c>
      <c r="B15" s="482">
        <v>0</v>
      </c>
      <c r="C15" s="483">
        <v>30</v>
      </c>
      <c r="D15" s="644" t="s">
        <v>166</v>
      </c>
      <c r="E15" s="645" t="s">
        <v>166</v>
      </c>
      <c r="F15" s="646" t="s">
        <v>166</v>
      </c>
      <c r="G15" s="647" t="s">
        <v>166</v>
      </c>
      <c r="H15" s="645" t="s">
        <v>166</v>
      </c>
      <c r="I15" s="645" t="s">
        <v>166</v>
      </c>
      <c r="J15" s="645" t="s">
        <v>166</v>
      </c>
      <c r="K15" s="645" t="s">
        <v>166</v>
      </c>
      <c r="L15" s="648" t="s">
        <v>166</v>
      </c>
      <c r="M15" s="483">
        <v>1000</v>
      </c>
      <c r="N15" s="1140">
        <f t="shared" si="2"/>
        <v>20</v>
      </c>
      <c r="O15" s="1141">
        <f t="shared" si="0"/>
        <v>30</v>
      </c>
      <c r="P15" s="497">
        <f t="shared" si="3"/>
        <v>0.28999999999999998</v>
      </c>
      <c r="Q15" s="488">
        <f t="shared" si="4"/>
        <v>2.8999999999999998E-2</v>
      </c>
      <c r="R15" s="651">
        <f>SUM(Q$13:Q15)</f>
        <v>6.3500000000000001E-2</v>
      </c>
      <c r="S15" s="500">
        <f t="shared" si="5"/>
        <v>0.2116666666666667</v>
      </c>
      <c r="T15" s="1084"/>
      <c r="U15" s="500"/>
      <c r="V15" s="500"/>
      <c r="W15" s="500"/>
      <c r="X15" s="1145">
        <f t="shared" si="6"/>
        <v>0</v>
      </c>
      <c r="Y15" s="500">
        <f t="shared" si="1"/>
        <v>0.26500000000000001</v>
      </c>
      <c r="Z15" s="500"/>
      <c r="AA15" s="500"/>
      <c r="AB15" s="491"/>
      <c r="AC15" s="501"/>
      <c r="AD15" s="503"/>
      <c r="AE15" s="469"/>
    </row>
    <row r="16" spans="1:32" s="455" customFormat="1">
      <c r="A16" s="504">
        <v>265</v>
      </c>
      <c r="B16" s="482">
        <v>0</v>
      </c>
      <c r="C16" s="483">
        <v>40</v>
      </c>
      <c r="D16" s="644" t="s">
        <v>166</v>
      </c>
      <c r="E16" s="645" t="s">
        <v>166</v>
      </c>
      <c r="F16" s="646" t="s">
        <v>166</v>
      </c>
      <c r="G16" s="647" t="s">
        <v>166</v>
      </c>
      <c r="H16" s="645" t="s">
        <v>166</v>
      </c>
      <c r="I16" s="645" t="s">
        <v>166</v>
      </c>
      <c r="J16" s="645" t="s">
        <v>166</v>
      </c>
      <c r="K16" s="645" t="s">
        <v>166</v>
      </c>
      <c r="L16" s="648" t="s">
        <v>166</v>
      </c>
      <c r="M16" s="483">
        <v>1000</v>
      </c>
      <c r="N16" s="1140">
        <f t="shared" si="2"/>
        <v>30</v>
      </c>
      <c r="O16" s="1141">
        <f t="shared" si="0"/>
        <v>40</v>
      </c>
      <c r="P16" s="497">
        <f t="shared" si="3"/>
        <v>0.26500000000000001</v>
      </c>
      <c r="Q16" s="488">
        <f t="shared" si="4"/>
        <v>2.6500000000000003E-2</v>
      </c>
      <c r="R16" s="651">
        <f>SUM(Q$13:Q16)</f>
        <v>0.09</v>
      </c>
      <c r="S16" s="500">
        <f t="shared" si="5"/>
        <v>0.22499999999999998</v>
      </c>
      <c r="T16" s="1084"/>
      <c r="U16" s="500"/>
      <c r="V16" s="500"/>
      <c r="W16" s="500"/>
      <c r="X16" s="1145">
        <f t="shared" si="6"/>
        <v>0</v>
      </c>
      <c r="Y16" s="500">
        <f t="shared" si="1"/>
        <v>0.3</v>
      </c>
      <c r="Z16" s="500"/>
      <c r="AA16" s="500"/>
      <c r="AB16" s="491"/>
      <c r="AC16" s="501"/>
      <c r="AD16" s="502"/>
      <c r="AE16" s="469"/>
    </row>
    <row r="17" spans="1:33" s="455" customFormat="1">
      <c r="A17" s="504">
        <v>300</v>
      </c>
      <c r="B17" s="482">
        <v>0</v>
      </c>
      <c r="C17" s="483">
        <v>50</v>
      </c>
      <c r="D17" s="644" t="s">
        <v>166</v>
      </c>
      <c r="E17" s="645" t="s">
        <v>166</v>
      </c>
      <c r="F17" s="646" t="s">
        <v>166</v>
      </c>
      <c r="G17" s="647" t="s">
        <v>166</v>
      </c>
      <c r="H17" s="645" t="s">
        <v>166</v>
      </c>
      <c r="I17" s="645" t="s">
        <v>166</v>
      </c>
      <c r="J17" s="645" t="s">
        <v>166</v>
      </c>
      <c r="K17" s="645" t="s">
        <v>166</v>
      </c>
      <c r="L17" s="648" t="s">
        <v>166</v>
      </c>
      <c r="M17" s="483">
        <v>1000</v>
      </c>
      <c r="N17" s="1140">
        <f t="shared" si="2"/>
        <v>40</v>
      </c>
      <c r="O17" s="1141">
        <f t="shared" si="0"/>
        <v>50</v>
      </c>
      <c r="P17" s="497">
        <f t="shared" si="3"/>
        <v>0.3</v>
      </c>
      <c r="Q17" s="488">
        <f t="shared" si="4"/>
        <v>0.03</v>
      </c>
      <c r="R17" s="651">
        <f>SUM(Q$13:Q17)</f>
        <v>0.12</v>
      </c>
      <c r="S17" s="500">
        <f t="shared" si="5"/>
        <v>0.24</v>
      </c>
      <c r="T17" s="1084"/>
      <c r="U17" s="500"/>
      <c r="V17" s="500"/>
      <c r="W17" s="500"/>
      <c r="X17" s="1145">
        <f t="shared" si="6"/>
        <v>0</v>
      </c>
      <c r="Y17" s="500">
        <f t="shared" si="1"/>
        <v>0.32500000000000001</v>
      </c>
      <c r="Z17" s="500"/>
      <c r="AA17" s="500"/>
      <c r="AB17" s="491" t="s">
        <v>137</v>
      </c>
      <c r="AC17" s="501"/>
      <c r="AD17" s="502"/>
      <c r="AE17" s="461"/>
    </row>
    <row r="18" spans="1:33" s="455" customFormat="1">
      <c r="A18" s="504">
        <v>325</v>
      </c>
      <c r="B18" s="482">
        <v>0</v>
      </c>
      <c r="C18" s="483">
        <v>60</v>
      </c>
      <c r="D18" s="644" t="s">
        <v>166</v>
      </c>
      <c r="E18" s="645" t="s">
        <v>166</v>
      </c>
      <c r="F18" s="646" t="s">
        <v>166</v>
      </c>
      <c r="G18" s="647" t="s">
        <v>166</v>
      </c>
      <c r="H18" s="645" t="s">
        <v>166</v>
      </c>
      <c r="I18" s="645" t="s">
        <v>166</v>
      </c>
      <c r="J18" s="645" t="s">
        <v>166</v>
      </c>
      <c r="K18" s="645" t="s">
        <v>166</v>
      </c>
      <c r="L18" s="648" t="s">
        <v>166</v>
      </c>
      <c r="M18" s="483">
        <v>1000</v>
      </c>
      <c r="N18" s="1140">
        <f t="shared" si="2"/>
        <v>50</v>
      </c>
      <c r="O18" s="1141">
        <f t="shared" si="0"/>
        <v>60</v>
      </c>
      <c r="P18" s="497">
        <f t="shared" si="3"/>
        <v>0.32500000000000001</v>
      </c>
      <c r="Q18" s="488">
        <f t="shared" si="4"/>
        <v>3.2500000000000001E-2</v>
      </c>
      <c r="R18" s="651">
        <f>SUM(Q$13:Q18)</f>
        <v>0.1525</v>
      </c>
      <c r="S18" s="500">
        <f t="shared" si="5"/>
        <v>0.25416666666666665</v>
      </c>
      <c r="T18" s="1084"/>
      <c r="U18" s="500"/>
      <c r="V18" s="500"/>
      <c r="W18" s="500"/>
      <c r="X18" s="1145">
        <f t="shared" si="6"/>
        <v>0</v>
      </c>
      <c r="Y18" s="500">
        <f t="shared" si="1"/>
        <v>0.375</v>
      </c>
      <c r="Z18" s="500"/>
      <c r="AA18" s="500"/>
      <c r="AB18" s="506"/>
      <c r="AC18" s="501"/>
      <c r="AD18" s="502"/>
      <c r="AE18" s="461"/>
    </row>
    <row r="19" spans="1:33" s="455" customFormat="1" ht="10.199999999999999" customHeight="1">
      <c r="A19" s="504">
        <v>375</v>
      </c>
      <c r="B19" s="482">
        <v>0</v>
      </c>
      <c r="C19" s="483">
        <v>70</v>
      </c>
      <c r="D19" s="644" t="s">
        <v>166</v>
      </c>
      <c r="E19" s="645" t="s">
        <v>166</v>
      </c>
      <c r="F19" s="646" t="s">
        <v>166</v>
      </c>
      <c r="G19" s="647" t="s">
        <v>166</v>
      </c>
      <c r="H19" s="645" t="s">
        <v>166</v>
      </c>
      <c r="I19" s="645" t="s">
        <v>166</v>
      </c>
      <c r="J19" s="645" t="s">
        <v>166</v>
      </c>
      <c r="K19" s="645" t="s">
        <v>166</v>
      </c>
      <c r="L19" s="648" t="s">
        <v>166</v>
      </c>
      <c r="M19" s="483">
        <v>1000</v>
      </c>
      <c r="N19" s="1140">
        <f t="shared" si="2"/>
        <v>60</v>
      </c>
      <c r="O19" s="1141">
        <f t="shared" si="0"/>
        <v>70</v>
      </c>
      <c r="P19" s="497">
        <f t="shared" si="3"/>
        <v>0.375</v>
      </c>
      <c r="Q19" s="488">
        <f t="shared" si="4"/>
        <v>3.7499999999999999E-2</v>
      </c>
      <c r="R19" s="651">
        <f>SUM(Q$13:Q19)</f>
        <v>0.19</v>
      </c>
      <c r="S19" s="500">
        <f t="shared" si="5"/>
        <v>0.27142857142857141</v>
      </c>
      <c r="T19" s="1084"/>
      <c r="U19" s="500"/>
      <c r="V19" s="500"/>
      <c r="W19" s="500"/>
      <c r="X19" s="1145">
        <f t="shared" si="6"/>
        <v>0</v>
      </c>
      <c r="Y19" s="500">
        <f t="shared" si="1"/>
        <v>0.39</v>
      </c>
      <c r="Z19" s="500"/>
      <c r="AA19" s="500"/>
      <c r="AB19" s="506"/>
      <c r="AC19" s="501"/>
      <c r="AD19" s="502"/>
      <c r="AE19" s="507"/>
    </row>
    <row r="20" spans="1:33" s="455" customFormat="1">
      <c r="A20" s="504">
        <v>390</v>
      </c>
      <c r="B20" s="482">
        <v>0</v>
      </c>
      <c r="C20" s="483">
        <v>80</v>
      </c>
      <c r="D20" s="644" t="s">
        <v>166</v>
      </c>
      <c r="E20" s="645" t="s">
        <v>166</v>
      </c>
      <c r="F20" s="646" t="s">
        <v>166</v>
      </c>
      <c r="G20" s="647" t="s">
        <v>166</v>
      </c>
      <c r="H20" s="645" t="s">
        <v>166</v>
      </c>
      <c r="I20" s="645" t="s">
        <v>166</v>
      </c>
      <c r="J20" s="645" t="s">
        <v>166</v>
      </c>
      <c r="K20" s="645" t="s">
        <v>166</v>
      </c>
      <c r="L20" s="648" t="s">
        <v>166</v>
      </c>
      <c r="M20" s="483">
        <v>1000</v>
      </c>
      <c r="N20" s="1140">
        <f t="shared" si="2"/>
        <v>70</v>
      </c>
      <c r="O20" s="1141">
        <f>(C20+C21-10)/2</f>
        <v>80</v>
      </c>
      <c r="P20" s="497">
        <f t="shared" si="3"/>
        <v>0.39</v>
      </c>
      <c r="Q20" s="488">
        <f t="shared" si="4"/>
        <v>3.9000000000000007E-2</v>
      </c>
      <c r="R20" s="651">
        <f>SUM(Q$13:Q20)</f>
        <v>0.22900000000000001</v>
      </c>
      <c r="S20" s="500">
        <f>R20/O20*100</f>
        <v>0.28625</v>
      </c>
      <c r="T20" s="1084"/>
      <c r="U20" s="500"/>
      <c r="V20" s="500"/>
      <c r="W20" s="500"/>
      <c r="X20" s="1145">
        <f t="shared" si="6"/>
        <v>0</v>
      </c>
      <c r="Y20" s="500">
        <f t="shared" si="1"/>
        <v>0.39</v>
      </c>
      <c r="Z20" s="500"/>
      <c r="AA20" s="500"/>
      <c r="AB20" s="491"/>
      <c r="AC20" s="501"/>
      <c r="AD20" s="502"/>
      <c r="AE20" s="508"/>
    </row>
    <row r="21" spans="1:33" s="510" customFormat="1">
      <c r="A21" s="504">
        <v>390</v>
      </c>
      <c r="B21" s="482">
        <v>0</v>
      </c>
      <c r="C21" s="483">
        <v>90</v>
      </c>
      <c r="D21" s="644" t="s">
        <v>166</v>
      </c>
      <c r="E21" s="645" t="s">
        <v>166</v>
      </c>
      <c r="F21" s="646" t="s">
        <v>166</v>
      </c>
      <c r="G21" s="647" t="s">
        <v>166</v>
      </c>
      <c r="H21" s="645" t="s">
        <v>166</v>
      </c>
      <c r="I21" s="645" t="s">
        <v>166</v>
      </c>
      <c r="J21" s="645" t="s">
        <v>166</v>
      </c>
      <c r="K21" s="645" t="s">
        <v>166</v>
      </c>
      <c r="L21" s="648" t="s">
        <v>166</v>
      </c>
      <c r="M21" s="483">
        <v>1000</v>
      </c>
      <c r="N21" s="1140">
        <f t="shared" si="2"/>
        <v>80</v>
      </c>
      <c r="O21" s="1141">
        <f>(C21+C24-D24)/2</f>
        <v>89</v>
      </c>
      <c r="P21" s="497">
        <f t="shared" si="3"/>
        <v>0.39</v>
      </c>
      <c r="Q21" s="488">
        <f>(P21*(O21-N21))/100</f>
        <v>3.5099999999999999E-2</v>
      </c>
      <c r="R21" s="651">
        <f>SUM(Q$13:Q21)</f>
        <v>0.2641</v>
      </c>
      <c r="S21" s="500">
        <f>R21/O21*100</f>
        <v>0.29674157303370785</v>
      </c>
      <c r="T21" s="1084"/>
      <c r="U21" s="500"/>
      <c r="V21" s="500"/>
      <c r="W21" s="500"/>
      <c r="X21" s="1145">
        <f t="shared" si="6"/>
        <v>0</v>
      </c>
      <c r="Y21" s="500">
        <f t="shared" si="1"/>
        <v>0</v>
      </c>
      <c r="Z21" s="500"/>
      <c r="AA21" s="500"/>
      <c r="AB21" s="509"/>
      <c r="AC21" s="501"/>
      <c r="AD21" s="502"/>
      <c r="AE21" s="508"/>
    </row>
    <row r="22" spans="1:33" s="510" customFormat="1" ht="10.8" thickBot="1">
      <c r="A22" s="652"/>
      <c r="B22" s="653"/>
      <c r="C22" s="654"/>
      <c r="D22" s="655"/>
      <c r="E22" s="654"/>
      <c r="F22" s="656"/>
      <c r="G22" s="657"/>
      <c r="H22" s="654"/>
      <c r="I22" s="654"/>
      <c r="J22" s="654"/>
      <c r="K22" s="654"/>
      <c r="L22" s="658"/>
      <c r="M22" s="654"/>
      <c r="N22" s="1168"/>
      <c r="O22" s="1169"/>
      <c r="P22" s="661"/>
      <c r="Q22" s="662"/>
      <c r="R22" s="663"/>
      <c r="S22" s="664"/>
      <c r="T22" s="1085"/>
      <c r="U22" s="664"/>
      <c r="V22" s="664"/>
      <c r="W22" s="664"/>
      <c r="X22" s="1184"/>
      <c r="Y22" s="664"/>
      <c r="Z22" s="664"/>
      <c r="AA22" s="664"/>
      <c r="AB22" s="665"/>
      <c r="AC22" s="501"/>
      <c r="AD22" s="513"/>
      <c r="AE22" s="514"/>
    </row>
    <row r="23" spans="1:33" s="510" customFormat="1">
      <c r="A23" s="666" t="s">
        <v>167</v>
      </c>
      <c r="B23" s="482"/>
      <c r="C23" s="483"/>
      <c r="D23" s="667"/>
      <c r="E23" s="483"/>
      <c r="F23" s="668"/>
      <c r="G23" s="669"/>
      <c r="H23" s="483"/>
      <c r="I23" s="483"/>
      <c r="J23" s="483"/>
      <c r="K23" s="483"/>
      <c r="L23" s="670"/>
      <c r="M23" s="483"/>
      <c r="N23" s="1140"/>
      <c r="O23" s="1141"/>
      <c r="P23" s="497"/>
      <c r="Q23" s="488"/>
      <c r="R23" s="651"/>
      <c r="S23" s="500"/>
      <c r="T23" s="500"/>
      <c r="U23" s="500"/>
      <c r="V23" s="500"/>
      <c r="W23" s="500"/>
      <c r="X23" s="1145"/>
      <c r="Y23" s="500"/>
      <c r="Z23" s="500"/>
      <c r="AA23" s="500"/>
      <c r="AB23" s="517"/>
      <c r="AC23" s="501"/>
      <c r="AD23" s="513"/>
      <c r="AE23" s="514"/>
    </row>
    <row r="24" spans="1:33" s="1149" customFormat="1">
      <c r="A24" s="504">
        <v>555</v>
      </c>
      <c r="B24" s="1134">
        <v>0</v>
      </c>
      <c r="C24" s="1005">
        <f>C25-D25</f>
        <v>140</v>
      </c>
      <c r="D24" s="1135">
        <v>52</v>
      </c>
      <c r="E24" s="1136"/>
      <c r="F24" s="1137"/>
      <c r="G24" s="1138">
        <f t="shared" ref="G24:G79" si="7">AVERAGE(D24:F24)</f>
        <v>52</v>
      </c>
      <c r="H24" s="1136">
        <v>5.7</v>
      </c>
      <c r="I24" s="1136"/>
      <c r="J24" s="1136"/>
      <c r="K24" s="1136"/>
      <c r="L24" s="1139">
        <v>5.7</v>
      </c>
      <c r="M24" s="1005">
        <f>G24*    PI()* (L24/2)^2</f>
        <v>1326.9144890967211</v>
      </c>
      <c r="N24" s="1140">
        <f>(C21+C24-D24)/2</f>
        <v>89</v>
      </c>
      <c r="O24" s="1141">
        <f>(C24+C25-G25)/2</f>
        <v>140</v>
      </c>
      <c r="P24" s="1142">
        <f>(A24-B24)/M24</f>
        <v>0.41826357656084429</v>
      </c>
      <c r="Q24" s="1143">
        <f t="shared" ref="Q24:Q79" si="8">(P24*(O24-N24))/100</f>
        <v>0.2133144240460306</v>
      </c>
      <c r="R24" s="1144">
        <f>SUM(Q$13:Q24)</f>
        <v>0.47741442404603063</v>
      </c>
      <c r="S24" s="1145">
        <f t="shared" ref="S24:S79" si="9">R24/O24*100</f>
        <v>0.34101030289002188</v>
      </c>
      <c r="T24" s="1145"/>
      <c r="U24" s="1145"/>
      <c r="V24" s="1145"/>
      <c r="W24" s="1145"/>
      <c r="X24" s="1145">
        <f t="shared" ref="X24:X63" si="10">(W24+U24)*    PI()* (L24/2)^2</f>
        <v>0</v>
      </c>
      <c r="Y24" s="1145">
        <f>(A24-(X24*0.9))/(M24-X24)</f>
        <v>0.41826357656084429</v>
      </c>
      <c r="Z24" s="1145"/>
      <c r="AA24" s="1145"/>
      <c r="AB24" s="935"/>
      <c r="AC24" s="1146"/>
      <c r="AD24" s="1147"/>
      <c r="AE24" s="1148"/>
    </row>
    <row r="25" spans="1:33" s="1113" customFormat="1">
      <c r="A25" s="1089">
        <v>425</v>
      </c>
      <c r="B25" s="1090">
        <v>0</v>
      </c>
      <c r="C25" s="720">
        <v>179</v>
      </c>
      <c r="D25" s="1091">
        <v>39</v>
      </c>
      <c r="E25" s="1092"/>
      <c r="F25" s="1093"/>
      <c r="G25" s="1094">
        <f t="shared" si="7"/>
        <v>39</v>
      </c>
      <c r="H25" s="1092">
        <v>5.7</v>
      </c>
      <c r="I25" s="1092"/>
      <c r="J25" s="1092"/>
      <c r="K25" s="1092"/>
      <c r="L25" s="1193">
        <v>5.7</v>
      </c>
      <c r="M25" s="720">
        <f t="shared" ref="M25:M79" si="11">G25*    PI()* (L25/2)^2</f>
        <v>995.18586682254067</v>
      </c>
      <c r="N25" s="1095">
        <f>(C24+C25-G25)/2</f>
        <v>140</v>
      </c>
      <c r="O25" s="1096">
        <f>(C25+C26-G26)/2</f>
        <v>177</v>
      </c>
      <c r="P25" s="1097">
        <f>(A25-B25)/M25</f>
        <v>0.42705590399605731</v>
      </c>
      <c r="Q25" s="1098">
        <f t="shared" si="8"/>
        <v>0.15801068447854122</v>
      </c>
      <c r="R25" s="1099">
        <f>SUM(Q$13:Q25)</f>
        <v>0.6354251085245719</v>
      </c>
      <c r="S25" s="1100">
        <f t="shared" si="9"/>
        <v>0.35899723645456039</v>
      </c>
      <c r="T25" s="1100"/>
      <c r="U25" s="1100"/>
      <c r="V25" s="1100"/>
      <c r="W25" s="1100"/>
      <c r="X25" s="1100">
        <f t="shared" si="10"/>
        <v>0</v>
      </c>
      <c r="Y25" s="1100">
        <f t="shared" ref="Y25:Y71" si="12">(A25-(X25*0.9))/(M25-X25)</f>
        <v>0.42705590399605731</v>
      </c>
      <c r="Z25" s="1100"/>
      <c r="AA25" s="1100"/>
      <c r="AB25" s="1101"/>
      <c r="AC25" s="1106"/>
      <c r="AD25" s="1107"/>
      <c r="AE25" s="1112"/>
    </row>
    <row r="26" spans="1:33" s="1149" customFormat="1">
      <c r="A26" s="504">
        <v>465</v>
      </c>
      <c r="B26" s="1134">
        <v>0</v>
      </c>
      <c r="C26" s="1005">
        <f t="shared" ref="C26:C68" si="13">C27-D27</f>
        <v>216</v>
      </c>
      <c r="D26" s="1135">
        <v>41</v>
      </c>
      <c r="E26" s="1136"/>
      <c r="F26" s="1137"/>
      <c r="G26" s="1138">
        <f t="shared" si="7"/>
        <v>41</v>
      </c>
      <c r="H26" s="1136">
        <v>5.7</v>
      </c>
      <c r="I26" s="1136"/>
      <c r="J26" s="1136"/>
      <c r="K26" s="1136"/>
      <c r="L26" s="1139">
        <v>5.7</v>
      </c>
      <c r="M26" s="1005">
        <f t="shared" si="11"/>
        <v>1046.2210394801068</v>
      </c>
      <c r="N26" s="1140">
        <f t="shared" ref="N26:N79" si="14">(C25+C26-G26)/2</f>
        <v>177</v>
      </c>
      <c r="O26" s="1141">
        <f t="shared" ref="O26:O70" si="15">(C26+C27-G27)/2</f>
        <v>216</v>
      </c>
      <c r="P26" s="1142">
        <f t="shared" ref="P26:P79" si="16">(A26-B26)/M26</f>
        <v>0.44445674714309896</v>
      </c>
      <c r="Q26" s="1143">
        <f t="shared" si="8"/>
        <v>0.17333813138580859</v>
      </c>
      <c r="R26" s="1144">
        <f>SUM(Q$13:Q26)</f>
        <v>0.80876323991038046</v>
      </c>
      <c r="S26" s="1145">
        <f t="shared" si="9"/>
        <v>0.37442742588443539</v>
      </c>
      <c r="T26" s="1145"/>
      <c r="U26" s="1145"/>
      <c r="V26" s="1145"/>
      <c r="W26" s="1145"/>
      <c r="X26" s="1145">
        <f t="shared" si="10"/>
        <v>0</v>
      </c>
      <c r="Y26" s="1145">
        <f t="shared" si="12"/>
        <v>0.44445674714309896</v>
      </c>
      <c r="Z26" s="1145"/>
      <c r="AA26" s="1145"/>
      <c r="AB26" s="935"/>
      <c r="AC26" s="1146"/>
      <c r="AD26" s="1150"/>
      <c r="AE26" s="1148"/>
    </row>
    <row r="27" spans="1:33" s="1113" customFormat="1">
      <c r="A27" s="1089">
        <v>460</v>
      </c>
      <c r="B27" s="1090">
        <v>0</v>
      </c>
      <c r="C27" s="720">
        <v>256</v>
      </c>
      <c r="D27" s="1091">
        <v>40</v>
      </c>
      <c r="E27" s="1092"/>
      <c r="F27" s="1093"/>
      <c r="G27" s="1094">
        <f t="shared" si="7"/>
        <v>40</v>
      </c>
      <c r="H27" s="1092">
        <v>5.7</v>
      </c>
      <c r="I27" s="1092"/>
      <c r="J27" s="1092"/>
      <c r="K27" s="1092"/>
      <c r="L27" s="1193">
        <v>5.7</v>
      </c>
      <c r="M27" s="720">
        <f t="shared" si="11"/>
        <v>1020.7034531513239</v>
      </c>
      <c r="N27" s="1095">
        <f t="shared" si="14"/>
        <v>216</v>
      </c>
      <c r="O27" s="1096">
        <f>(C27+C28-G28)/2</f>
        <v>256.5</v>
      </c>
      <c r="P27" s="1097">
        <f t="shared" si="16"/>
        <v>0.45066958339348634</v>
      </c>
      <c r="Q27" s="1098">
        <f t="shared" si="8"/>
        <v>0.18252118127436198</v>
      </c>
      <c r="R27" s="1099">
        <f>SUM(Q$13:Q27)</f>
        <v>0.99128442118474247</v>
      </c>
      <c r="S27" s="1100">
        <f t="shared" si="9"/>
        <v>0.38646566128060134</v>
      </c>
      <c r="T27" s="1100"/>
      <c r="U27" s="1100"/>
      <c r="V27" s="1100"/>
      <c r="W27" s="1100"/>
      <c r="X27" s="1100">
        <f t="shared" si="10"/>
        <v>0</v>
      </c>
      <c r="Y27" s="1100">
        <f t="shared" si="12"/>
        <v>0.45066958339348634</v>
      </c>
      <c r="Z27" s="1100"/>
      <c r="AA27" s="1100"/>
      <c r="AB27" s="1101"/>
      <c r="AC27" s="1106"/>
      <c r="AD27" s="1107"/>
      <c r="AE27" s="1112"/>
    </row>
    <row r="28" spans="1:33" s="520" customFormat="1">
      <c r="A28" s="504">
        <v>400</v>
      </c>
      <c r="B28" s="1134">
        <v>0</v>
      </c>
      <c r="C28" s="1005">
        <f t="shared" si="13"/>
        <v>289</v>
      </c>
      <c r="D28" s="1135">
        <v>32</v>
      </c>
      <c r="E28" s="1136"/>
      <c r="F28" s="1137"/>
      <c r="G28" s="1138">
        <f t="shared" si="7"/>
        <v>32</v>
      </c>
      <c r="H28" s="1136">
        <v>5.7</v>
      </c>
      <c r="I28" s="1136"/>
      <c r="J28" s="1136"/>
      <c r="K28" s="1136"/>
      <c r="L28" s="1139">
        <v>5.7</v>
      </c>
      <c r="M28" s="1005">
        <f t="shared" si="11"/>
        <v>816.56276252105908</v>
      </c>
      <c r="N28" s="1140">
        <f t="shared" si="14"/>
        <v>256.5</v>
      </c>
      <c r="O28" s="1141">
        <f t="shared" si="15"/>
        <v>289</v>
      </c>
      <c r="P28" s="1142">
        <f t="shared" si="16"/>
        <v>0.48985824281900686</v>
      </c>
      <c r="Q28" s="1143">
        <f t="shared" si="8"/>
        <v>0.15920392891617724</v>
      </c>
      <c r="R28" s="1144">
        <f>SUM(Q$13:Q28)</f>
        <v>1.1504883501009198</v>
      </c>
      <c r="S28" s="1145">
        <f t="shared" si="9"/>
        <v>0.39809285470620059</v>
      </c>
      <c r="T28" s="1145"/>
      <c r="U28" s="1145"/>
      <c r="V28" s="1145"/>
      <c r="W28" s="1145"/>
      <c r="X28" s="1145">
        <f t="shared" si="10"/>
        <v>0</v>
      </c>
      <c r="Y28" s="1145">
        <f t="shared" si="12"/>
        <v>0.48985824281900686</v>
      </c>
      <c r="Z28" s="1145"/>
      <c r="AA28" s="1145"/>
      <c r="AB28" s="935"/>
      <c r="AC28" s="1146"/>
      <c r="AD28" s="1150"/>
      <c r="AE28" s="1148"/>
      <c r="AF28" s="1149"/>
      <c r="AG28" s="1149"/>
    </row>
    <row r="29" spans="1:33" s="1102" customFormat="1">
      <c r="A29" s="1089">
        <v>555</v>
      </c>
      <c r="B29" s="1090">
        <v>0</v>
      </c>
      <c r="C29" s="720">
        <v>338</v>
      </c>
      <c r="D29" s="1091">
        <v>49</v>
      </c>
      <c r="E29" s="1092"/>
      <c r="F29" s="1093"/>
      <c r="G29" s="1094">
        <f t="shared" si="7"/>
        <v>49</v>
      </c>
      <c r="H29" s="1092">
        <v>5.7</v>
      </c>
      <c r="I29" s="1092"/>
      <c r="J29" s="1092"/>
      <c r="K29" s="1092"/>
      <c r="L29" s="1193">
        <v>5.7</v>
      </c>
      <c r="M29" s="720">
        <f t="shared" si="11"/>
        <v>1250.3617301103716</v>
      </c>
      <c r="N29" s="1095">
        <f t="shared" si="14"/>
        <v>289</v>
      </c>
      <c r="O29" s="1096">
        <f t="shared" si="15"/>
        <v>334.5</v>
      </c>
      <c r="P29" s="1097">
        <f t="shared" si="16"/>
        <v>0.44387155063599809</v>
      </c>
      <c r="Q29" s="1098">
        <f t="shared" si="8"/>
        <v>0.20196155553937914</v>
      </c>
      <c r="R29" s="1099">
        <f>SUM(Q$13:Q29)</f>
        <v>1.352449905640299</v>
      </c>
      <c r="S29" s="1100">
        <f t="shared" si="9"/>
        <v>0.40431985220935696</v>
      </c>
      <c r="T29" s="1100"/>
      <c r="U29" s="1100"/>
      <c r="V29" s="1100"/>
      <c r="W29" s="1100"/>
      <c r="X29" s="1100">
        <f t="shared" si="10"/>
        <v>0</v>
      </c>
      <c r="Y29" s="1100">
        <f t="shared" si="12"/>
        <v>0.44387155063599809</v>
      </c>
      <c r="Z29" s="1100"/>
      <c r="AA29" s="1100"/>
      <c r="AB29" s="1101"/>
      <c r="AC29" s="1106"/>
      <c r="AD29" s="1107"/>
      <c r="AE29" s="1112"/>
      <c r="AF29" s="1113"/>
      <c r="AG29" s="1113"/>
    </row>
    <row r="30" spans="1:33">
      <c r="A30" s="504">
        <v>380</v>
      </c>
      <c r="B30" s="482">
        <v>0</v>
      </c>
      <c r="C30" s="483">
        <f t="shared" si="13"/>
        <v>363</v>
      </c>
      <c r="D30" s="671">
        <v>32</v>
      </c>
      <c r="E30" s="672"/>
      <c r="F30" s="673"/>
      <c r="G30" s="674">
        <f t="shared" si="7"/>
        <v>32</v>
      </c>
      <c r="H30" s="672">
        <v>5.7</v>
      </c>
      <c r="I30" s="672"/>
      <c r="J30" s="672"/>
      <c r="K30" s="672"/>
      <c r="L30" s="675">
        <v>5.7</v>
      </c>
      <c r="M30" s="483">
        <f t="shared" si="11"/>
        <v>816.56276252105908</v>
      </c>
      <c r="N30" s="1140">
        <f t="shared" si="14"/>
        <v>334.5</v>
      </c>
      <c r="O30" s="1141">
        <f t="shared" si="15"/>
        <v>363</v>
      </c>
      <c r="P30" s="497">
        <f t="shared" si="16"/>
        <v>0.46536533067805652</v>
      </c>
      <c r="Q30" s="488">
        <f t="shared" si="8"/>
        <v>0.13262911924324611</v>
      </c>
      <c r="R30" s="651">
        <f>SUM(Q$13:Q30)</f>
        <v>1.485079024883545</v>
      </c>
      <c r="S30" s="500">
        <f t="shared" si="9"/>
        <v>0.40911267903127968</v>
      </c>
      <c r="T30" s="500"/>
      <c r="U30" s="500"/>
      <c r="V30" s="500"/>
      <c r="W30" s="500"/>
      <c r="X30" s="1145">
        <f t="shared" si="10"/>
        <v>0</v>
      </c>
      <c r="Y30" s="500">
        <f t="shared" si="12"/>
        <v>0.46536533067805652</v>
      </c>
      <c r="Z30" s="500"/>
      <c r="AA30" s="500"/>
      <c r="AB30" s="517"/>
      <c r="AC30" s="501"/>
      <c r="AD30" s="502"/>
      <c r="AE30" s="514"/>
      <c r="AF30" s="510"/>
      <c r="AG30" s="510"/>
    </row>
    <row r="31" spans="1:33" s="1102" customFormat="1">
      <c r="A31" s="1089">
        <v>615</v>
      </c>
      <c r="B31" s="1090">
        <v>0</v>
      </c>
      <c r="C31" s="720">
        <v>410</v>
      </c>
      <c r="D31" s="1091">
        <v>47</v>
      </c>
      <c r="E31" s="1092"/>
      <c r="F31" s="1093"/>
      <c r="G31" s="1094">
        <f t="shared" si="7"/>
        <v>47</v>
      </c>
      <c r="H31" s="1092">
        <v>5.7</v>
      </c>
      <c r="I31" s="1092"/>
      <c r="J31" s="1092"/>
      <c r="K31" s="1092"/>
      <c r="L31" s="1193">
        <v>5.7</v>
      </c>
      <c r="M31" s="720">
        <f t="shared" si="11"/>
        <v>1199.3265574528057</v>
      </c>
      <c r="N31" s="1095">
        <f t="shared" si="14"/>
        <v>363</v>
      </c>
      <c r="O31" s="1096">
        <f t="shared" si="15"/>
        <v>411.5</v>
      </c>
      <c r="P31" s="1097">
        <f t="shared" si="16"/>
        <v>0.5127877775892582</v>
      </c>
      <c r="Q31" s="1098">
        <f t="shared" si="8"/>
        <v>0.24870207213079024</v>
      </c>
      <c r="R31" s="1099">
        <f>SUM(Q$13:Q31)</f>
        <v>1.7337810970143352</v>
      </c>
      <c r="S31" s="1100">
        <f t="shared" si="9"/>
        <v>0.42133197983337428</v>
      </c>
      <c r="T31" s="1100"/>
      <c r="U31" s="1100"/>
      <c r="V31" s="1100"/>
      <c r="W31" s="1100"/>
      <c r="X31" s="1100">
        <f t="shared" si="10"/>
        <v>0</v>
      </c>
      <c r="Y31" s="1100">
        <f t="shared" si="12"/>
        <v>0.5127877775892582</v>
      </c>
      <c r="Z31" s="1100"/>
      <c r="AA31" s="1100"/>
      <c r="AB31" s="1101"/>
      <c r="AC31" s="1106"/>
      <c r="AD31" s="1107"/>
      <c r="AE31" s="1112"/>
      <c r="AF31" s="1113"/>
      <c r="AG31" s="1113"/>
    </row>
    <row r="32" spans="1:33" s="1133" customFormat="1">
      <c r="A32" s="1114">
        <v>480</v>
      </c>
      <c r="B32" s="1115">
        <v>0</v>
      </c>
      <c r="C32" s="1116">
        <f t="shared" si="13"/>
        <v>450</v>
      </c>
      <c r="D32" s="1117">
        <v>37</v>
      </c>
      <c r="E32" s="1118"/>
      <c r="F32" s="1119"/>
      <c r="G32" s="1120">
        <f t="shared" si="7"/>
        <v>37</v>
      </c>
      <c r="H32" s="1118">
        <v>5.7</v>
      </c>
      <c r="I32" s="1118"/>
      <c r="J32" s="1118"/>
      <c r="K32" s="1118"/>
      <c r="L32" s="1121">
        <v>5.7</v>
      </c>
      <c r="M32" s="1116">
        <f t="shared" si="11"/>
        <v>944.15069416497454</v>
      </c>
      <c r="N32" s="1122">
        <f t="shared" si="14"/>
        <v>411.5</v>
      </c>
      <c r="O32" s="1123">
        <f t="shared" si="15"/>
        <v>450</v>
      </c>
      <c r="P32" s="1124">
        <f t="shared" si="16"/>
        <v>0.5083934195743206</v>
      </c>
      <c r="Q32" s="1125">
        <f t="shared" si="8"/>
        <v>0.19573146653611342</v>
      </c>
      <c r="R32" s="1126">
        <f>SUM(Q$13:Q31) + (AA32-N32)*P32/100</f>
        <v>1.8024142086568684</v>
      </c>
      <c r="S32" s="1127">
        <f>R32/AA32*100</f>
        <v>0.42409746086043959</v>
      </c>
      <c r="T32" s="1127"/>
      <c r="U32" s="1127"/>
      <c r="V32" s="1127"/>
      <c r="W32" s="1127"/>
      <c r="X32" s="1127">
        <f t="shared" si="10"/>
        <v>0</v>
      </c>
      <c r="Y32" s="1127">
        <f t="shared" si="12"/>
        <v>0.5083934195743206</v>
      </c>
      <c r="Z32" s="1127">
        <v>25</v>
      </c>
      <c r="AA32" s="1127">
        <f>C32-Z32</f>
        <v>425</v>
      </c>
      <c r="AB32" s="1128" t="s">
        <v>237</v>
      </c>
      <c r="AC32" s="1129"/>
      <c r="AD32" s="1130"/>
      <c r="AE32" s="1131"/>
      <c r="AF32" s="1132"/>
      <c r="AG32" s="1132"/>
    </row>
    <row r="33" spans="1:33" s="1102" customFormat="1">
      <c r="A33" s="1089">
        <v>485</v>
      </c>
      <c r="B33" s="1090">
        <v>0</v>
      </c>
      <c r="C33" s="720">
        <v>487</v>
      </c>
      <c r="D33" s="1091">
        <v>37</v>
      </c>
      <c r="E33" s="1092"/>
      <c r="F33" s="1093"/>
      <c r="G33" s="1094">
        <f t="shared" si="7"/>
        <v>37</v>
      </c>
      <c r="H33" s="1092">
        <v>5.7</v>
      </c>
      <c r="I33" s="1092"/>
      <c r="J33" s="1092"/>
      <c r="K33" s="1092"/>
      <c r="L33" s="1193">
        <v>5.7</v>
      </c>
      <c r="M33" s="720">
        <f t="shared" si="11"/>
        <v>944.15069416497454</v>
      </c>
      <c r="N33" s="1095">
        <f t="shared" si="14"/>
        <v>450</v>
      </c>
      <c r="O33" s="1096">
        <f t="shared" si="15"/>
        <v>488</v>
      </c>
      <c r="P33" s="1097">
        <f t="shared" si="16"/>
        <v>0.5136891843615532</v>
      </c>
      <c r="Q33" s="1098">
        <f t="shared" si="8"/>
        <v>0.19520189005739019</v>
      </c>
      <c r="R33" s="1099">
        <f>SUM(Q$33:Q33) + (O$32-AA$32)*P$32/100</f>
        <v>0.32230024495097032</v>
      </c>
      <c r="S33" s="1100">
        <f>R33/(O33-425)*100</f>
        <v>0.51158769039836549</v>
      </c>
      <c r="T33" s="1100"/>
      <c r="U33" s="1100"/>
      <c r="V33" s="1100"/>
      <c r="W33" s="1100"/>
      <c r="X33" s="1100">
        <f t="shared" si="10"/>
        <v>0</v>
      </c>
      <c r="Y33" s="1100">
        <f t="shared" si="12"/>
        <v>0.5136891843615532</v>
      </c>
      <c r="Z33" s="1100"/>
      <c r="AA33" s="1100"/>
      <c r="AB33" s="1101"/>
      <c r="AC33" s="1106"/>
      <c r="AD33" s="1107"/>
      <c r="AE33" s="1111"/>
    </row>
    <row r="34" spans="1:33" s="520" customFormat="1">
      <c r="A34" s="504">
        <v>545</v>
      </c>
      <c r="B34" s="1134">
        <v>0</v>
      </c>
      <c r="C34" s="1005">
        <f t="shared" si="13"/>
        <v>529</v>
      </c>
      <c r="D34" s="1135">
        <v>40</v>
      </c>
      <c r="E34" s="1136"/>
      <c r="F34" s="1137"/>
      <c r="G34" s="1138">
        <f t="shared" si="7"/>
        <v>40</v>
      </c>
      <c r="H34" s="1136">
        <v>5.7</v>
      </c>
      <c r="I34" s="1136"/>
      <c r="J34" s="1136"/>
      <c r="K34" s="1136"/>
      <c r="L34" s="1139">
        <v>5.7</v>
      </c>
      <c r="M34" s="1005">
        <f t="shared" si="11"/>
        <v>1020.7034531513239</v>
      </c>
      <c r="N34" s="1140">
        <f t="shared" si="14"/>
        <v>488</v>
      </c>
      <c r="O34" s="1141">
        <f t="shared" si="15"/>
        <v>529</v>
      </c>
      <c r="P34" s="1142">
        <f t="shared" si="16"/>
        <v>0.53394548467271752</v>
      </c>
      <c r="Q34" s="1143">
        <f t="shared" si="8"/>
        <v>0.21891764871581418</v>
      </c>
      <c r="R34" s="1144">
        <f>SUM(Q$33:Q34) + (O$32-AA$32)*P$32/100</f>
        <v>0.54121789366678452</v>
      </c>
      <c r="S34" s="1145">
        <f t="shared" ref="S34:S37" si="17">R34/(O34-425)*100</f>
        <v>0.52040182083344666</v>
      </c>
      <c r="T34" s="1145"/>
      <c r="U34" s="1145"/>
      <c r="V34" s="1145"/>
      <c r="W34" s="1145"/>
      <c r="X34" s="1145">
        <f t="shared" si="10"/>
        <v>0</v>
      </c>
      <c r="Y34" s="1145">
        <f t="shared" si="12"/>
        <v>0.53394548467271752</v>
      </c>
      <c r="Z34" s="1145"/>
      <c r="AA34" s="1145"/>
      <c r="AB34" s="935"/>
      <c r="AC34" s="1146"/>
      <c r="AD34" s="1150"/>
      <c r="AE34" s="519"/>
      <c r="AG34" s="521"/>
    </row>
    <row r="35" spans="1:33" s="1102" customFormat="1">
      <c r="A35" s="1089">
        <v>545</v>
      </c>
      <c r="B35" s="1090">
        <v>0</v>
      </c>
      <c r="C35" s="720">
        <v>569</v>
      </c>
      <c r="D35" s="1091">
        <v>40</v>
      </c>
      <c r="E35" s="1092"/>
      <c r="F35" s="1093"/>
      <c r="G35" s="1094">
        <f t="shared" si="7"/>
        <v>40</v>
      </c>
      <c r="H35" s="1092">
        <v>5.7</v>
      </c>
      <c r="I35" s="1092"/>
      <c r="J35" s="1092"/>
      <c r="K35" s="1092"/>
      <c r="L35" s="1193">
        <v>5.7</v>
      </c>
      <c r="M35" s="720">
        <f t="shared" si="11"/>
        <v>1020.7034531513239</v>
      </c>
      <c r="N35" s="1095">
        <f t="shared" si="14"/>
        <v>529</v>
      </c>
      <c r="O35" s="1096">
        <f t="shared" si="15"/>
        <v>568.5</v>
      </c>
      <c r="P35" s="1097">
        <f t="shared" si="16"/>
        <v>0.53394548467271752</v>
      </c>
      <c r="Q35" s="1098">
        <f t="shared" si="8"/>
        <v>0.21090846644572342</v>
      </c>
      <c r="R35" s="1099">
        <f>SUM(Q$33:Q35) + (O$32-AA$32)*P$32/100</f>
        <v>0.752126360112508</v>
      </c>
      <c r="S35" s="1100">
        <f t="shared" si="17"/>
        <v>0.52412986767422165</v>
      </c>
      <c r="T35" s="1100"/>
      <c r="U35" s="1100"/>
      <c r="V35" s="1100"/>
      <c r="W35" s="1100"/>
      <c r="X35" s="1100">
        <f t="shared" si="10"/>
        <v>0</v>
      </c>
      <c r="Y35" s="1100">
        <f t="shared" si="12"/>
        <v>0.53394548467271752</v>
      </c>
      <c r="Z35" s="1100"/>
      <c r="AA35" s="1100"/>
      <c r="AB35" s="1101"/>
      <c r="AC35" s="1106"/>
      <c r="AD35" s="1107"/>
      <c r="AE35" s="1109"/>
      <c r="AG35" s="1110"/>
    </row>
    <row r="36" spans="1:33" s="520" customFormat="1">
      <c r="A36" s="504">
        <v>610</v>
      </c>
      <c r="B36" s="1134">
        <v>0</v>
      </c>
      <c r="C36" s="1005">
        <f t="shared" si="13"/>
        <v>610</v>
      </c>
      <c r="D36" s="1135">
        <v>42</v>
      </c>
      <c r="E36" s="1136"/>
      <c r="F36" s="1137"/>
      <c r="G36" s="1138">
        <f t="shared" si="7"/>
        <v>42</v>
      </c>
      <c r="H36" s="1136">
        <v>5.7</v>
      </c>
      <c r="I36" s="1136"/>
      <c r="J36" s="1136"/>
      <c r="K36" s="1136"/>
      <c r="L36" s="1139">
        <v>5.7</v>
      </c>
      <c r="M36" s="1005">
        <f t="shared" si="11"/>
        <v>1071.73862580889</v>
      </c>
      <c r="N36" s="1140">
        <f t="shared" si="14"/>
        <v>568.5</v>
      </c>
      <c r="O36" s="1141">
        <f t="shared" si="15"/>
        <v>610</v>
      </c>
      <c r="P36" s="1142">
        <f t="shared" si="16"/>
        <v>0.56916862498970322</v>
      </c>
      <c r="Q36" s="1143">
        <f t="shared" si="8"/>
        <v>0.23620497937072685</v>
      </c>
      <c r="R36" s="1144">
        <f>SUM(Q$33:Q36) + (O$32-AA$32)*P$32/100</f>
        <v>0.98833133948323482</v>
      </c>
      <c r="S36" s="1145">
        <f t="shared" si="17"/>
        <v>0.53423315647742431</v>
      </c>
      <c r="T36" s="1145">
        <v>19</v>
      </c>
      <c r="U36" s="1145">
        <v>0.5</v>
      </c>
      <c r="V36" s="1145"/>
      <c r="W36" s="1145"/>
      <c r="X36" s="1145">
        <f t="shared" si="10"/>
        <v>12.758793164391548</v>
      </c>
      <c r="Y36" s="1145">
        <f t="shared" si="12"/>
        <v>0.56518270480885624</v>
      </c>
      <c r="Z36" s="1145"/>
      <c r="AA36" s="1145"/>
      <c r="AB36" s="935"/>
      <c r="AC36" s="1146"/>
      <c r="AD36" s="1150"/>
      <c r="AE36" s="523"/>
    </row>
    <row r="37" spans="1:33" s="1102" customFormat="1">
      <c r="A37" s="1089">
        <v>590</v>
      </c>
      <c r="B37" s="1090">
        <v>0</v>
      </c>
      <c r="C37" s="720">
        <v>652</v>
      </c>
      <c r="D37" s="1091">
        <v>42</v>
      </c>
      <c r="E37" s="1092"/>
      <c r="F37" s="1093"/>
      <c r="G37" s="1094">
        <f t="shared" si="7"/>
        <v>42</v>
      </c>
      <c r="H37" s="1092">
        <v>5.7</v>
      </c>
      <c r="I37" s="1092"/>
      <c r="J37" s="1092"/>
      <c r="K37" s="1092"/>
      <c r="L37" s="1193">
        <v>5.7</v>
      </c>
      <c r="M37" s="720">
        <f t="shared" si="11"/>
        <v>1071.73862580889</v>
      </c>
      <c r="N37" s="1095">
        <f t="shared" si="14"/>
        <v>610</v>
      </c>
      <c r="O37" s="1096">
        <f t="shared" si="15"/>
        <v>650.5</v>
      </c>
      <c r="P37" s="1097">
        <f t="shared" si="16"/>
        <v>0.55050735859659827</v>
      </c>
      <c r="Q37" s="1098">
        <f t="shared" si="8"/>
        <v>0.22295548023162229</v>
      </c>
      <c r="R37" s="1099">
        <f>SUM(Q$33:Q37) + (O$32-AA$32)*P$32/100</f>
        <v>1.2112868197148572</v>
      </c>
      <c r="S37" s="1100">
        <f t="shared" si="17"/>
        <v>0.53715601761191001</v>
      </c>
      <c r="T37" s="1100"/>
      <c r="U37" s="1100"/>
      <c r="V37" s="1100"/>
      <c r="W37" s="1100"/>
      <c r="X37" s="1100">
        <f t="shared" si="10"/>
        <v>0</v>
      </c>
      <c r="Y37" s="1100">
        <f t="shared" si="12"/>
        <v>0.55050735859659827</v>
      </c>
      <c r="Z37" s="1100"/>
      <c r="AA37" s="1100"/>
      <c r="AB37" s="1101"/>
      <c r="AC37" s="1106"/>
      <c r="AD37" s="1107"/>
      <c r="AE37" s="1103"/>
      <c r="AF37" s="1108"/>
    </row>
    <row r="38" spans="1:33" s="1133" customFormat="1">
      <c r="A38" s="1114">
        <v>535</v>
      </c>
      <c r="B38" s="1115">
        <v>0</v>
      </c>
      <c r="C38" s="1116">
        <f t="shared" si="13"/>
        <v>687</v>
      </c>
      <c r="D38" s="1117">
        <v>38</v>
      </c>
      <c r="E38" s="1118"/>
      <c r="F38" s="1119"/>
      <c r="G38" s="1120">
        <f t="shared" si="7"/>
        <v>38</v>
      </c>
      <c r="H38" s="1118">
        <v>5.7</v>
      </c>
      <c r="I38" s="1118"/>
      <c r="J38" s="1118"/>
      <c r="K38" s="1118"/>
      <c r="L38" s="1121">
        <v>5.7</v>
      </c>
      <c r="M38" s="1116">
        <f t="shared" si="11"/>
        <v>969.66828049375761</v>
      </c>
      <c r="N38" s="1122">
        <f t="shared" si="14"/>
        <v>650.5</v>
      </c>
      <c r="O38" s="1123">
        <f t="shared" si="15"/>
        <v>687</v>
      </c>
      <c r="P38" s="1124">
        <f t="shared" si="16"/>
        <v>0.55173507349088147</v>
      </c>
      <c r="Q38" s="1125">
        <f t="shared" si="8"/>
        <v>0.20138330182417175</v>
      </c>
      <c r="R38" s="1126">
        <f>SUM(Q$33:Q37) + (O$32-AA$32)*P$32/100 +(AA38-N38)*P38/100</f>
        <v>1.379566017129576</v>
      </c>
      <c r="S38" s="1127">
        <f>R38/(AA38-AA32)*100</f>
        <v>0.5388929754412406</v>
      </c>
      <c r="T38" s="1127"/>
      <c r="U38" s="1127"/>
      <c r="V38" s="1127"/>
      <c r="W38" s="1127"/>
      <c r="X38" s="1127">
        <f t="shared" si="10"/>
        <v>0</v>
      </c>
      <c r="Y38" s="1127">
        <f t="shared" si="12"/>
        <v>0.55173507349088147</v>
      </c>
      <c r="Z38" s="1127">
        <v>6</v>
      </c>
      <c r="AA38" s="1127">
        <f>C38-Z38</f>
        <v>681</v>
      </c>
      <c r="AB38" s="1128" t="s">
        <v>243</v>
      </c>
      <c r="AC38" s="1129"/>
      <c r="AD38" s="1130"/>
      <c r="AE38" s="1194"/>
      <c r="AF38" s="1194"/>
    </row>
    <row r="39" spans="1:33" s="520" customFormat="1">
      <c r="A39" s="504">
        <v>325</v>
      </c>
      <c r="B39" s="1134">
        <v>0</v>
      </c>
      <c r="C39" s="1005">
        <f t="shared" si="13"/>
        <v>709</v>
      </c>
      <c r="D39" s="1135">
        <v>22</v>
      </c>
      <c r="E39" s="1136"/>
      <c r="F39" s="1137"/>
      <c r="G39" s="1138">
        <f t="shared" si="7"/>
        <v>22</v>
      </c>
      <c r="H39" s="1136">
        <v>5.7</v>
      </c>
      <c r="I39" s="1136"/>
      <c r="J39" s="1136"/>
      <c r="K39" s="1136"/>
      <c r="L39" s="1139">
        <v>5.7</v>
      </c>
      <c r="M39" s="1005">
        <f t="shared" si="11"/>
        <v>561.38689923322806</v>
      </c>
      <c r="N39" s="1140">
        <f t="shared" si="14"/>
        <v>687</v>
      </c>
      <c r="O39" s="1141">
        <f t="shared" si="15"/>
        <v>709</v>
      </c>
      <c r="P39" s="1142">
        <f t="shared" si="16"/>
        <v>0.57892337787700821</v>
      </c>
      <c r="Q39" s="1143">
        <f t="shared" si="8"/>
        <v>0.12736314313294181</v>
      </c>
      <c r="R39" s="1144">
        <f>SUM(Q$39:Q39) + (O$38-AA$38)*P$38/100</f>
        <v>0.16046724754239469</v>
      </c>
      <c r="S39" s="1145">
        <f>R39/(O39-AA$38)*100</f>
        <v>0.57309731265140962</v>
      </c>
      <c r="T39" s="1145"/>
      <c r="U39" s="1145"/>
      <c r="V39" s="1145"/>
      <c r="W39" s="1145"/>
      <c r="X39" s="1145">
        <f t="shared" si="10"/>
        <v>0</v>
      </c>
      <c r="Y39" s="1145">
        <f t="shared" si="12"/>
        <v>0.57892337787700821</v>
      </c>
      <c r="Z39" s="1145"/>
      <c r="AA39" s="1145"/>
      <c r="AB39" s="935"/>
      <c r="AC39" s="1146"/>
      <c r="AD39" s="1150"/>
    </row>
    <row r="40" spans="1:33" s="1102" customFormat="1">
      <c r="A40" s="1089">
        <v>280</v>
      </c>
      <c r="B40" s="1090">
        <v>0</v>
      </c>
      <c r="C40" s="720">
        <v>727</v>
      </c>
      <c r="D40" s="1091">
        <v>18</v>
      </c>
      <c r="E40" s="1092"/>
      <c r="F40" s="1093"/>
      <c r="G40" s="1094">
        <f t="shared" si="7"/>
        <v>18</v>
      </c>
      <c r="H40" s="1092">
        <v>5.7</v>
      </c>
      <c r="I40" s="1092"/>
      <c r="J40" s="1092"/>
      <c r="K40" s="1092"/>
      <c r="L40" s="1193">
        <v>5.7</v>
      </c>
      <c r="M40" s="720">
        <f t="shared" si="11"/>
        <v>459.31655391809574</v>
      </c>
      <c r="N40" s="1095">
        <f t="shared" si="14"/>
        <v>709</v>
      </c>
      <c r="O40" s="1096">
        <f t="shared" si="15"/>
        <v>728</v>
      </c>
      <c r="P40" s="1097">
        <f t="shared" si="16"/>
        <v>0.60960136884143079</v>
      </c>
      <c r="Q40" s="1098">
        <f t="shared" si="8"/>
        <v>0.11582426007987184</v>
      </c>
      <c r="R40" s="1099">
        <f>SUM(Q$39:Q40) + (O$38-AA$38)*P$38/100</f>
        <v>0.27629150762226656</v>
      </c>
      <c r="S40" s="1100">
        <f t="shared" ref="S40" si="18">R40/(O40-AA$38)*100</f>
        <v>0.58785427153673731</v>
      </c>
      <c r="T40" s="1100"/>
      <c r="U40" s="1100"/>
      <c r="V40" s="1100"/>
      <c r="W40" s="1100"/>
      <c r="X40" s="1100">
        <f t="shared" si="10"/>
        <v>0</v>
      </c>
      <c r="Y40" s="1100">
        <f t="shared" si="12"/>
        <v>0.60960136884143079</v>
      </c>
      <c r="Z40" s="1100"/>
      <c r="AA40" s="1100"/>
      <c r="AB40" s="1101"/>
      <c r="AC40" s="1106"/>
      <c r="AD40" s="1107"/>
    </row>
    <row r="41" spans="1:33" s="1133" customFormat="1">
      <c r="A41" s="1114">
        <v>710</v>
      </c>
      <c r="B41" s="1115">
        <v>0</v>
      </c>
      <c r="C41" s="1116">
        <f t="shared" si="13"/>
        <v>773</v>
      </c>
      <c r="D41" s="1117">
        <v>44</v>
      </c>
      <c r="E41" s="1118"/>
      <c r="F41" s="1119"/>
      <c r="G41" s="1120">
        <f t="shared" si="7"/>
        <v>44</v>
      </c>
      <c r="H41" s="1118">
        <v>5.7</v>
      </c>
      <c r="I41" s="1118"/>
      <c r="J41" s="1118"/>
      <c r="K41" s="1118"/>
      <c r="L41" s="1121">
        <v>5.7</v>
      </c>
      <c r="M41" s="1116">
        <f t="shared" si="11"/>
        <v>1122.7737984664561</v>
      </c>
      <c r="N41" s="1122">
        <f t="shared" si="14"/>
        <v>728</v>
      </c>
      <c r="O41" s="1123">
        <f t="shared" si="15"/>
        <v>773</v>
      </c>
      <c r="P41" s="1124">
        <f t="shared" si="16"/>
        <v>0.63236245891180898</v>
      </c>
      <c r="Q41" s="1125">
        <f t="shared" si="8"/>
        <v>0.28456310651031402</v>
      </c>
      <c r="R41" s="1126">
        <f>SUM(Q$39:Q40) + (O$38-AA$38)*P$38/100  + (AA41-N41)*P41/100</f>
        <v>0.53556011577610829</v>
      </c>
      <c r="S41" s="1127">
        <f>R41/(AA41-AA$38)*100</f>
        <v>0.60859104065466851</v>
      </c>
      <c r="T41" s="1127">
        <v>6</v>
      </c>
      <c r="U41" s="1127">
        <v>4</v>
      </c>
      <c r="V41" s="1127"/>
      <c r="W41" s="1127"/>
      <c r="X41" s="1127">
        <f t="shared" si="10"/>
        <v>102.07034531513239</v>
      </c>
      <c r="Y41" s="1127">
        <f t="shared" si="12"/>
        <v>0.60559870480298983</v>
      </c>
      <c r="Z41" s="1127">
        <v>4</v>
      </c>
      <c r="AA41" s="1127">
        <f>C41-Z41</f>
        <v>769</v>
      </c>
      <c r="AB41" s="1128" t="s">
        <v>242</v>
      </c>
      <c r="AC41" s="1129"/>
      <c r="AD41" s="1130"/>
    </row>
    <row r="42" spans="1:33" s="1102" customFormat="1">
      <c r="A42" s="1089">
        <v>510</v>
      </c>
      <c r="B42" s="1090">
        <v>0</v>
      </c>
      <c r="C42" s="720">
        <v>805</v>
      </c>
      <c r="D42" s="1091">
        <v>32</v>
      </c>
      <c r="E42" s="1092"/>
      <c r="F42" s="1093"/>
      <c r="G42" s="1094">
        <f t="shared" si="7"/>
        <v>32</v>
      </c>
      <c r="H42" s="1092">
        <v>5.7</v>
      </c>
      <c r="I42" s="1092"/>
      <c r="J42" s="1092"/>
      <c r="K42" s="1092"/>
      <c r="L42" s="1193">
        <v>5.7</v>
      </c>
      <c r="M42" s="720">
        <f t="shared" si="11"/>
        <v>816.56276252105908</v>
      </c>
      <c r="N42" s="1095">
        <f t="shared" si="14"/>
        <v>773</v>
      </c>
      <c r="O42" s="1096">
        <f t="shared" si="15"/>
        <v>803.5</v>
      </c>
      <c r="P42" s="1097">
        <f t="shared" si="16"/>
        <v>0.62456925959423371</v>
      </c>
      <c r="Q42" s="1098">
        <f t="shared" si="8"/>
        <v>0.19049362417624127</v>
      </c>
      <c r="R42" s="1099">
        <f>SUM(Q$42:Q42) + (O$41-AA$41)*P$41/100</f>
        <v>0.21578812253271362</v>
      </c>
      <c r="S42" s="1100">
        <f>R42/(O42-AA$41)*100</f>
        <v>0.62547281893540174</v>
      </c>
      <c r="T42" s="1100">
        <v>22</v>
      </c>
      <c r="U42" s="1100">
        <v>4</v>
      </c>
      <c r="V42" s="1100"/>
      <c r="W42" s="1100"/>
      <c r="X42" s="1100">
        <f t="shared" si="10"/>
        <v>102.07034531513239</v>
      </c>
      <c r="Y42" s="1100">
        <f t="shared" si="12"/>
        <v>0.5852220109648385</v>
      </c>
      <c r="Z42" s="1100"/>
      <c r="AA42" s="1100"/>
      <c r="AB42" s="1101"/>
      <c r="AC42" s="1106"/>
      <c r="AD42" s="1107"/>
    </row>
    <row r="43" spans="1:33" s="520" customFormat="1">
      <c r="A43" s="504">
        <v>380</v>
      </c>
      <c r="B43" s="1134">
        <v>0</v>
      </c>
      <c r="C43" s="1005">
        <f t="shared" si="13"/>
        <v>826</v>
      </c>
      <c r="D43" s="1135">
        <v>24</v>
      </c>
      <c r="E43" s="1136"/>
      <c r="F43" s="1137"/>
      <c r="G43" s="1138">
        <f t="shared" si="7"/>
        <v>24</v>
      </c>
      <c r="H43" s="1136">
        <v>5.7</v>
      </c>
      <c r="I43" s="1136"/>
      <c r="J43" s="1136"/>
      <c r="K43" s="1136"/>
      <c r="L43" s="1139">
        <v>5.7</v>
      </c>
      <c r="M43" s="1005">
        <f t="shared" si="11"/>
        <v>612.42207189079431</v>
      </c>
      <c r="N43" s="1140">
        <f t="shared" si="14"/>
        <v>803.5</v>
      </c>
      <c r="O43" s="1141">
        <f t="shared" si="15"/>
        <v>826</v>
      </c>
      <c r="P43" s="1142">
        <f t="shared" si="16"/>
        <v>0.62048710757074199</v>
      </c>
      <c r="Q43" s="1143">
        <f t="shared" si="8"/>
        <v>0.13960959920341695</v>
      </c>
      <c r="R43" s="1144">
        <f>SUM(Q$42:Q43) + (O$41-AA$41)*P$41/100</f>
        <v>0.3553977217361306</v>
      </c>
      <c r="S43" s="1145">
        <f t="shared" ref="S43:S48" si="19">R43/(O43-AA$41)*100</f>
        <v>0.6235047749756677</v>
      </c>
      <c r="T43" s="1145"/>
      <c r="U43" s="1145"/>
      <c r="V43" s="1145"/>
      <c r="W43" s="1145"/>
      <c r="X43" s="1145">
        <f t="shared" si="10"/>
        <v>0</v>
      </c>
      <c r="Y43" s="1145">
        <f t="shared" si="12"/>
        <v>0.62048710757074199</v>
      </c>
      <c r="Z43" s="1145"/>
      <c r="AA43" s="1145"/>
      <c r="AB43" s="935"/>
      <c r="AC43" s="1146"/>
      <c r="AD43" s="1150"/>
    </row>
    <row r="44" spans="1:33" s="520" customFormat="1">
      <c r="A44" s="504">
        <v>540</v>
      </c>
      <c r="B44" s="1134">
        <v>0</v>
      </c>
      <c r="C44" s="1005">
        <f t="shared" si="13"/>
        <v>860</v>
      </c>
      <c r="D44" s="1135">
        <v>34</v>
      </c>
      <c r="E44" s="1136"/>
      <c r="F44" s="1137"/>
      <c r="G44" s="1138">
        <f t="shared" si="7"/>
        <v>34</v>
      </c>
      <c r="H44" s="1136">
        <v>5.7</v>
      </c>
      <c r="I44" s="1136"/>
      <c r="J44" s="1136"/>
      <c r="K44" s="1136"/>
      <c r="L44" s="1139">
        <v>5.7</v>
      </c>
      <c r="M44" s="1005">
        <f t="shared" si="11"/>
        <v>867.59793517862533</v>
      </c>
      <c r="N44" s="1140">
        <f t="shared" si="14"/>
        <v>826</v>
      </c>
      <c r="O44" s="1141">
        <f t="shared" si="15"/>
        <v>860</v>
      </c>
      <c r="P44" s="1142">
        <f t="shared" si="16"/>
        <v>0.62240812028767922</v>
      </c>
      <c r="Q44" s="1143">
        <f t="shared" si="8"/>
        <v>0.21161876089781093</v>
      </c>
      <c r="R44" s="1144">
        <f>SUM(Q$42:Q44) + (O$41-AA$41)*P$41/100</f>
        <v>0.56701648263394155</v>
      </c>
      <c r="S44" s="1145">
        <f t="shared" si="19"/>
        <v>0.62309503586147419</v>
      </c>
      <c r="T44" s="1145"/>
      <c r="U44" s="1145"/>
      <c r="V44" s="1145"/>
      <c r="W44" s="1145"/>
      <c r="X44" s="1145">
        <f t="shared" si="10"/>
        <v>0</v>
      </c>
      <c r="Y44" s="1145">
        <f t="shared" si="12"/>
        <v>0.62240812028767922</v>
      </c>
      <c r="Z44" s="1145"/>
      <c r="AA44" s="1145"/>
      <c r="AB44" s="935"/>
      <c r="AC44" s="1146"/>
      <c r="AD44" s="1150"/>
    </row>
    <row r="45" spans="1:33" s="1102" customFormat="1">
      <c r="A45" s="1089">
        <v>450</v>
      </c>
      <c r="B45" s="1090">
        <v>0</v>
      </c>
      <c r="C45" s="720">
        <v>887</v>
      </c>
      <c r="D45" s="1091">
        <v>27</v>
      </c>
      <c r="E45" s="1092"/>
      <c r="F45" s="1093"/>
      <c r="G45" s="1094">
        <f t="shared" si="7"/>
        <v>27</v>
      </c>
      <c r="H45" s="1092">
        <v>5.7</v>
      </c>
      <c r="I45" s="1092"/>
      <c r="J45" s="1092"/>
      <c r="K45" s="1092"/>
      <c r="L45" s="1193">
        <v>5.7</v>
      </c>
      <c r="M45" s="720">
        <f t="shared" si="11"/>
        <v>688.97483087714352</v>
      </c>
      <c r="N45" s="1095">
        <f t="shared" si="14"/>
        <v>860</v>
      </c>
      <c r="O45" s="1096">
        <f t="shared" si="15"/>
        <v>887</v>
      </c>
      <c r="P45" s="1097">
        <f t="shared" si="16"/>
        <v>0.65314432375867593</v>
      </c>
      <c r="Q45" s="1098">
        <f t="shared" si="8"/>
        <v>0.17634896741484252</v>
      </c>
      <c r="R45" s="1099">
        <f>SUM(Q$42:Q45) + (O$41-AA$41)*P$41/100</f>
        <v>0.74336545004878407</v>
      </c>
      <c r="S45" s="1100">
        <f t="shared" si="19"/>
        <v>0.62997072038032542</v>
      </c>
      <c r="T45" s="1100"/>
      <c r="U45" s="1100"/>
      <c r="V45" s="1100"/>
      <c r="W45" s="1100"/>
      <c r="X45" s="1100">
        <f t="shared" si="10"/>
        <v>0</v>
      </c>
      <c r="Y45" s="1100">
        <f t="shared" si="12"/>
        <v>0.65314432375867593</v>
      </c>
      <c r="Z45" s="1100"/>
      <c r="AA45" s="1100"/>
      <c r="AB45" s="1101"/>
      <c r="AC45" s="1106"/>
      <c r="AD45" s="1107"/>
    </row>
    <row r="46" spans="1:33" s="520" customFormat="1">
      <c r="A46" s="504">
        <v>680</v>
      </c>
      <c r="B46" s="1134">
        <v>0</v>
      </c>
      <c r="C46" s="1005">
        <f t="shared" si="13"/>
        <v>924</v>
      </c>
      <c r="D46" s="1135">
        <v>37</v>
      </c>
      <c r="E46" s="1136"/>
      <c r="F46" s="1137"/>
      <c r="G46" s="1138">
        <f t="shared" si="7"/>
        <v>37</v>
      </c>
      <c r="H46" s="1136">
        <v>5.7</v>
      </c>
      <c r="I46" s="1136"/>
      <c r="J46" s="1136"/>
      <c r="K46" s="1136"/>
      <c r="L46" s="1139">
        <v>5.7</v>
      </c>
      <c r="M46" s="1005">
        <f t="shared" si="11"/>
        <v>944.15069416497454</v>
      </c>
      <c r="N46" s="1140">
        <f t="shared" si="14"/>
        <v>887</v>
      </c>
      <c r="O46" s="1141">
        <f t="shared" si="15"/>
        <v>924</v>
      </c>
      <c r="P46" s="1142">
        <f t="shared" si="16"/>
        <v>0.72022401106362088</v>
      </c>
      <c r="Q46" s="1143">
        <f t="shared" si="8"/>
        <v>0.26648288409353976</v>
      </c>
      <c r="R46" s="1144">
        <f>SUM(Q$42:Q46) + (O$41-AA$41)*P$41/100</f>
        <v>1.0098483341423239</v>
      </c>
      <c r="S46" s="1145">
        <f t="shared" si="19"/>
        <v>0.65151505428537027</v>
      </c>
      <c r="T46" s="1145">
        <v>17</v>
      </c>
      <c r="U46" s="1145">
        <v>1</v>
      </c>
      <c r="V46" s="1145">
        <v>28</v>
      </c>
      <c r="W46" s="1145">
        <v>4</v>
      </c>
      <c r="X46" s="1145">
        <f t="shared" si="10"/>
        <v>127.58793164391548</v>
      </c>
      <c r="Y46" s="1145">
        <f t="shared" si="12"/>
        <v>0.69213401279231157</v>
      </c>
      <c r="Z46" s="1145"/>
      <c r="AA46" s="1145"/>
      <c r="AB46" s="935"/>
      <c r="AC46" s="1146"/>
      <c r="AD46" s="1150"/>
    </row>
    <row r="47" spans="1:33" s="1102" customFormat="1">
      <c r="A47" s="1089">
        <v>590</v>
      </c>
      <c r="B47" s="1090">
        <v>0</v>
      </c>
      <c r="C47" s="720">
        <v>962</v>
      </c>
      <c r="D47" s="1091">
        <v>38</v>
      </c>
      <c r="E47" s="1092"/>
      <c r="F47" s="1093"/>
      <c r="G47" s="1094">
        <f t="shared" si="7"/>
        <v>38</v>
      </c>
      <c r="H47" s="1092">
        <v>5.7</v>
      </c>
      <c r="I47" s="1092"/>
      <c r="J47" s="1092"/>
      <c r="K47" s="1092"/>
      <c r="L47" s="1193">
        <v>5.7</v>
      </c>
      <c r="M47" s="720">
        <f t="shared" si="11"/>
        <v>969.66828049375761</v>
      </c>
      <c r="N47" s="1095">
        <f t="shared" si="14"/>
        <v>924</v>
      </c>
      <c r="O47" s="1096">
        <f t="shared" si="15"/>
        <v>962.5</v>
      </c>
      <c r="P47" s="1097">
        <f t="shared" si="16"/>
        <v>0.60845550160676642</v>
      </c>
      <c r="Q47" s="1098">
        <f t="shared" si="8"/>
        <v>0.23425536811860506</v>
      </c>
      <c r="R47" s="1099">
        <f>SUM(Q$42:Q47) + (O$41-AA$41)*P$41/100</f>
        <v>1.2441037022609289</v>
      </c>
      <c r="S47" s="1100">
        <f t="shared" si="19"/>
        <v>0.64294764974725005</v>
      </c>
      <c r="T47" s="1100">
        <v>28</v>
      </c>
      <c r="U47" s="1100">
        <v>4</v>
      </c>
      <c r="V47" s="1100"/>
      <c r="W47" s="1100"/>
      <c r="X47" s="1100">
        <f t="shared" si="10"/>
        <v>102.07034531513239</v>
      </c>
      <c r="Y47" s="1100">
        <f t="shared" si="12"/>
        <v>0.5741561488546213</v>
      </c>
      <c r="Z47" s="1100"/>
      <c r="AA47" s="1100"/>
      <c r="AB47" s="1101"/>
      <c r="AC47" s="1106"/>
      <c r="AD47" s="1107"/>
    </row>
    <row r="48" spans="1:33" s="520" customFormat="1">
      <c r="A48" s="504">
        <v>615</v>
      </c>
      <c r="B48" s="1134">
        <v>0</v>
      </c>
      <c r="C48" s="1005">
        <f t="shared" si="13"/>
        <v>1003</v>
      </c>
      <c r="D48" s="1135">
        <v>40</v>
      </c>
      <c r="E48" s="1136"/>
      <c r="F48" s="1137"/>
      <c r="G48" s="1138">
        <f t="shared" si="7"/>
        <v>40</v>
      </c>
      <c r="H48" s="1136">
        <v>5.7</v>
      </c>
      <c r="I48" s="1136"/>
      <c r="J48" s="1136"/>
      <c r="K48" s="1136"/>
      <c r="L48" s="1139">
        <v>5.7</v>
      </c>
      <c r="M48" s="1005">
        <f t="shared" si="11"/>
        <v>1020.7034531513239</v>
      </c>
      <c r="N48" s="1140">
        <f t="shared" si="14"/>
        <v>962.5</v>
      </c>
      <c r="O48" s="1141">
        <f t="shared" si="15"/>
        <v>1003</v>
      </c>
      <c r="P48" s="1142">
        <f t="shared" si="16"/>
        <v>0.6025256386673784</v>
      </c>
      <c r="Q48" s="1143">
        <f t="shared" si="8"/>
        <v>0.24402288366028824</v>
      </c>
      <c r="R48" s="1144">
        <f>SUM(Q$42:Q48) + (O$41-AA$41)*P$41/100</f>
        <v>1.4881265859212172</v>
      </c>
      <c r="S48" s="1145">
        <f t="shared" si="19"/>
        <v>0.63595153244496461</v>
      </c>
      <c r="T48" s="1145"/>
      <c r="U48" s="1145"/>
      <c r="V48" s="1145"/>
      <c r="W48" s="1145"/>
      <c r="X48" s="1145">
        <f t="shared" si="10"/>
        <v>0</v>
      </c>
      <c r="Y48" s="1145">
        <f t="shared" si="12"/>
        <v>0.6025256386673784</v>
      </c>
      <c r="Z48" s="1145"/>
      <c r="AA48" s="1145"/>
      <c r="AB48" s="935"/>
      <c r="AC48" s="1146"/>
      <c r="AD48" s="1150"/>
    </row>
    <row r="49" spans="1:34" s="1133" customFormat="1">
      <c r="A49" s="1114">
        <v>640</v>
      </c>
      <c r="B49" s="1115">
        <v>0</v>
      </c>
      <c r="C49" s="1116">
        <v>1042</v>
      </c>
      <c r="D49" s="1117">
        <v>39</v>
      </c>
      <c r="E49" s="1118"/>
      <c r="F49" s="1119"/>
      <c r="G49" s="1120">
        <f t="shared" si="7"/>
        <v>39</v>
      </c>
      <c r="H49" s="1118">
        <v>5.7</v>
      </c>
      <c r="I49" s="1118"/>
      <c r="J49" s="1118"/>
      <c r="K49" s="1118"/>
      <c r="L49" s="1121">
        <v>5.7</v>
      </c>
      <c r="M49" s="1116">
        <f t="shared" si="11"/>
        <v>995.18586682254067</v>
      </c>
      <c r="N49" s="1122">
        <f t="shared" si="14"/>
        <v>1003</v>
      </c>
      <c r="O49" s="1123">
        <f t="shared" si="15"/>
        <v>1041</v>
      </c>
      <c r="P49" s="1124">
        <f t="shared" si="16"/>
        <v>0.64309594954700389</v>
      </c>
      <c r="Q49" s="1125">
        <f t="shared" si="8"/>
        <v>0.24437646082786149</v>
      </c>
      <c r="R49" s="1126">
        <f>SUM(Q$42:Q48) + (O$41-AA$41)*P$41/100 + (AA49-N49)*P49/100</f>
        <v>1.6778398910375834</v>
      </c>
      <c r="S49" s="1127">
        <f>R49/(AA49-AA41)*100</f>
        <v>0.63675138179794433</v>
      </c>
      <c r="T49" s="1127"/>
      <c r="U49" s="1127"/>
      <c r="V49" s="1127"/>
      <c r="W49" s="1127"/>
      <c r="X49" s="1127">
        <f t="shared" si="10"/>
        <v>0</v>
      </c>
      <c r="Y49" s="1127">
        <f t="shared" si="12"/>
        <v>0.64309594954700389</v>
      </c>
      <c r="Z49" s="1127">
        <v>9.5</v>
      </c>
      <c r="AA49" s="1127">
        <f>C49-Z49</f>
        <v>1032.5</v>
      </c>
      <c r="AB49" s="1128" t="s">
        <v>241</v>
      </c>
      <c r="AC49" s="1129"/>
      <c r="AD49" s="1130"/>
    </row>
    <row r="50" spans="1:34">
      <c r="A50" s="504">
        <v>440</v>
      </c>
      <c r="B50" s="482">
        <v>0</v>
      </c>
      <c r="C50" s="483">
        <f t="shared" si="13"/>
        <v>1063</v>
      </c>
      <c r="D50" s="671">
        <v>23</v>
      </c>
      <c r="E50" s="672"/>
      <c r="F50" s="673"/>
      <c r="G50" s="674">
        <f t="shared" si="7"/>
        <v>23</v>
      </c>
      <c r="H50" s="672">
        <v>5.7</v>
      </c>
      <c r="I50" s="672"/>
      <c r="J50" s="672"/>
      <c r="K50" s="672"/>
      <c r="L50" s="675">
        <v>5.7</v>
      </c>
      <c r="M50" s="483">
        <f t="shared" si="11"/>
        <v>586.90448556201113</v>
      </c>
      <c r="N50" s="1140">
        <f t="shared" si="14"/>
        <v>1041</v>
      </c>
      <c r="O50" s="1141">
        <f t="shared" si="15"/>
        <v>1063</v>
      </c>
      <c r="P50" s="497">
        <f t="shared" si="16"/>
        <v>0.74969609335778453</v>
      </c>
      <c r="Q50" s="488">
        <f t="shared" si="8"/>
        <v>0.16493314053871258</v>
      </c>
      <c r="R50" s="651">
        <f>SUM(Q$50:Q50) + (O$49-AA$49)*P$49/100</f>
        <v>0.21959629625020791</v>
      </c>
      <c r="S50" s="500">
        <f>R50/(O50-AA$49)*100</f>
        <v>0.71998785655805875</v>
      </c>
      <c r="T50" s="500">
        <v>2</v>
      </c>
      <c r="U50" s="500">
        <v>5</v>
      </c>
      <c r="V50" s="500"/>
      <c r="W50" s="500"/>
      <c r="X50" s="1145">
        <f t="shared" si="10"/>
        <v>127.58793164391548</v>
      </c>
      <c r="Y50" s="500">
        <f t="shared" si="12"/>
        <v>0.70794500817939132</v>
      </c>
      <c r="Z50" s="500"/>
      <c r="AA50" s="500"/>
      <c r="AB50" s="517"/>
      <c r="AC50" s="501"/>
      <c r="AD50" s="502"/>
    </row>
    <row r="51" spans="1:34" ht="10.8" thickBot="1">
      <c r="A51" s="504">
        <v>390</v>
      </c>
      <c r="B51" s="482">
        <v>0</v>
      </c>
      <c r="C51" s="483">
        <f t="shared" si="13"/>
        <v>1088</v>
      </c>
      <c r="D51" s="671">
        <v>25</v>
      </c>
      <c r="E51" s="672"/>
      <c r="F51" s="673"/>
      <c r="G51" s="674">
        <f t="shared" si="7"/>
        <v>25</v>
      </c>
      <c r="H51" s="672">
        <v>5.7</v>
      </c>
      <c r="I51" s="672"/>
      <c r="J51" s="672"/>
      <c r="K51" s="672"/>
      <c r="L51" s="675">
        <v>5.7</v>
      </c>
      <c r="M51" s="483">
        <f t="shared" si="11"/>
        <v>637.93965821957738</v>
      </c>
      <c r="N51" s="1140">
        <f t="shared" si="14"/>
        <v>1063</v>
      </c>
      <c r="O51" s="1141">
        <f t="shared" si="15"/>
        <v>1088</v>
      </c>
      <c r="P51" s="497">
        <f t="shared" si="16"/>
        <v>0.61134308703812057</v>
      </c>
      <c r="Q51" s="488">
        <f t="shared" si="8"/>
        <v>0.15283577175953014</v>
      </c>
      <c r="R51" s="651">
        <f>SUM(Q$50:Q51) + (O$49-AA$49)*P$49/100</f>
        <v>0.37243206800973805</v>
      </c>
      <c r="S51" s="500">
        <f t="shared" ref="S51:S53" si="20">R51/(O51-AA$49)*100</f>
        <v>0.6710487711887172</v>
      </c>
      <c r="T51" s="500"/>
      <c r="U51" s="500"/>
      <c r="V51" s="500"/>
      <c r="W51" s="500"/>
      <c r="X51" s="1145">
        <f t="shared" si="10"/>
        <v>0</v>
      </c>
      <c r="Y51" s="500">
        <f t="shared" si="12"/>
        <v>0.61134308703812057</v>
      </c>
      <c r="Z51" s="500"/>
      <c r="AA51" s="500"/>
      <c r="AB51" s="517"/>
      <c r="AC51" s="501"/>
      <c r="AD51" s="526"/>
    </row>
    <row r="52" spans="1:34" s="1102" customFormat="1">
      <c r="A52" s="1089">
        <v>390</v>
      </c>
      <c r="B52" s="1090">
        <v>0</v>
      </c>
      <c r="C52" s="720">
        <v>1113</v>
      </c>
      <c r="D52" s="1091">
        <v>25</v>
      </c>
      <c r="E52" s="1092"/>
      <c r="F52" s="1093"/>
      <c r="G52" s="1094">
        <f t="shared" si="7"/>
        <v>25</v>
      </c>
      <c r="H52" s="1092">
        <v>5.7</v>
      </c>
      <c r="I52" s="1092"/>
      <c r="J52" s="1092"/>
      <c r="K52" s="1092"/>
      <c r="L52" s="1193">
        <v>5.7</v>
      </c>
      <c r="M52" s="720">
        <f t="shared" si="11"/>
        <v>637.93965821957738</v>
      </c>
      <c r="N52" s="1095">
        <f t="shared" si="14"/>
        <v>1088</v>
      </c>
      <c r="O52" s="1096">
        <f t="shared" si="15"/>
        <v>1109.5</v>
      </c>
      <c r="P52" s="1097">
        <f t="shared" si="16"/>
        <v>0.61134308703812057</v>
      </c>
      <c r="Q52" s="1098">
        <f t="shared" si="8"/>
        <v>0.13143876371319593</v>
      </c>
      <c r="R52" s="1099">
        <f>SUM(Q$50:Q52) + (O$49-AA$49)*P$49/100</f>
        <v>0.5038708317229339</v>
      </c>
      <c r="S52" s="1100">
        <f t="shared" si="20"/>
        <v>0.65437770353627778</v>
      </c>
      <c r="T52" s="1100"/>
      <c r="U52" s="1100"/>
      <c r="V52" s="1100"/>
      <c r="W52" s="1100"/>
      <c r="X52" s="1100">
        <f t="shared" si="10"/>
        <v>0</v>
      </c>
      <c r="Y52" s="1100">
        <f t="shared" si="12"/>
        <v>0.61134308703812057</v>
      </c>
      <c r="Z52" s="1100"/>
      <c r="AA52" s="1100"/>
      <c r="AB52" s="1101"/>
      <c r="AC52" s="1104" t="s">
        <v>138</v>
      </c>
      <c r="AD52" s="1105">
        <f>AVERAGE(AD12:AD51)</f>
        <v>425</v>
      </c>
    </row>
    <row r="53" spans="1:34">
      <c r="A53" s="504">
        <v>530</v>
      </c>
      <c r="B53" s="482">
        <v>0</v>
      </c>
      <c r="C53" s="483">
        <f t="shared" si="13"/>
        <v>1139</v>
      </c>
      <c r="D53" s="671">
        <v>33</v>
      </c>
      <c r="E53" s="672"/>
      <c r="F53" s="673"/>
      <c r="G53" s="674">
        <f t="shared" si="7"/>
        <v>33</v>
      </c>
      <c r="H53" s="672">
        <v>5.7</v>
      </c>
      <c r="I53" s="672"/>
      <c r="J53" s="672"/>
      <c r="K53" s="672"/>
      <c r="L53" s="675">
        <v>5.7</v>
      </c>
      <c r="M53" s="483">
        <f t="shared" si="11"/>
        <v>842.08034884984215</v>
      </c>
      <c r="N53" s="1140">
        <f t="shared" si="14"/>
        <v>1109.5</v>
      </c>
      <c r="O53" s="1141">
        <f t="shared" si="15"/>
        <v>1139</v>
      </c>
      <c r="P53" s="497">
        <f t="shared" si="16"/>
        <v>0.62939362107654218</v>
      </c>
      <c r="Q53" s="488">
        <f t="shared" si="8"/>
        <v>0.18567111821757995</v>
      </c>
      <c r="R53" s="651">
        <f>SUM(Q$50:Q53) + (O$49-AA$49)*P$49/100</f>
        <v>0.68954194994051399</v>
      </c>
      <c r="S53" s="500">
        <f t="shared" si="20"/>
        <v>0.6474572299910929</v>
      </c>
      <c r="T53" s="500"/>
      <c r="U53" s="500"/>
      <c r="V53" s="500"/>
      <c r="W53" s="500"/>
      <c r="X53" s="1145">
        <f t="shared" si="10"/>
        <v>0</v>
      </c>
      <c r="Y53" s="500">
        <f t="shared" si="12"/>
        <v>0.62939362107654218</v>
      </c>
      <c r="Z53" s="500"/>
      <c r="AA53" s="500"/>
      <c r="AB53" s="517"/>
      <c r="AC53" s="404" t="s">
        <v>139</v>
      </c>
      <c r="AD53" s="526" t="e">
        <f>STDEV(AD12:AD51)</f>
        <v>#DIV/0!</v>
      </c>
      <c r="AE53" s="458"/>
      <c r="AF53" s="458"/>
    </row>
    <row r="54" spans="1:34" s="1133" customFormat="1">
      <c r="A54" s="1114">
        <v>770</v>
      </c>
      <c r="B54" s="1115">
        <v>0</v>
      </c>
      <c r="C54" s="1116">
        <v>1181</v>
      </c>
      <c r="D54" s="1117">
        <v>42</v>
      </c>
      <c r="E54" s="1118"/>
      <c r="F54" s="1119"/>
      <c r="G54" s="1120">
        <f t="shared" si="7"/>
        <v>42</v>
      </c>
      <c r="H54" s="1118">
        <v>5.7</v>
      </c>
      <c r="I54" s="1118"/>
      <c r="J54" s="1118"/>
      <c r="K54" s="1118"/>
      <c r="L54" s="1121">
        <v>5.7</v>
      </c>
      <c r="M54" s="1116">
        <f t="shared" si="11"/>
        <v>1071.73862580889</v>
      </c>
      <c r="N54" s="1122">
        <f t="shared" si="14"/>
        <v>1139</v>
      </c>
      <c r="O54" s="1123">
        <f t="shared" si="15"/>
        <v>1186</v>
      </c>
      <c r="P54" s="1124">
        <f t="shared" si="16"/>
        <v>0.71845875613454346</v>
      </c>
      <c r="Q54" s="1125">
        <f t="shared" si="8"/>
        <v>0.33767561538323543</v>
      </c>
      <c r="R54" s="1126">
        <f>SUM(Q$50:Q53) + (O$49-AA$49)*P$49/100 + (AA54-N54)*P54/100</f>
        <v>0.95537168971029507</v>
      </c>
      <c r="S54" s="1127">
        <f>R54/(AA54-AA$49)*100</f>
        <v>0.66576424370055398</v>
      </c>
      <c r="T54" s="1127">
        <v>0</v>
      </c>
      <c r="U54" s="1127">
        <v>5</v>
      </c>
      <c r="V54" s="1127"/>
      <c r="W54" s="1127"/>
      <c r="X54" s="1127">
        <f t="shared" si="10"/>
        <v>127.58793164391548</v>
      </c>
      <c r="Y54" s="1127">
        <f t="shared" si="12"/>
        <v>0.6939261556121844</v>
      </c>
      <c r="Z54" s="1127">
        <v>5</v>
      </c>
      <c r="AA54" s="1127">
        <f>C54-Z54</f>
        <v>1176</v>
      </c>
      <c r="AB54" s="1128" t="s">
        <v>240</v>
      </c>
      <c r="AC54" s="1189" t="s">
        <v>141</v>
      </c>
      <c r="AD54" s="1190" t="e">
        <f>AD53/SQRT(COUNT(AD12:AD51))</f>
        <v>#DIV/0!</v>
      </c>
      <c r="AE54" s="1191"/>
      <c r="AF54" s="1192"/>
      <c r="AG54" s="1192"/>
      <c r="AH54" s="1192"/>
    </row>
    <row r="55" spans="1:34">
      <c r="A55" s="504">
        <v>380</v>
      </c>
      <c r="B55" s="482">
        <v>0</v>
      </c>
      <c r="C55" s="483">
        <f t="shared" si="13"/>
        <v>1213</v>
      </c>
      <c r="D55" s="671">
        <v>22</v>
      </c>
      <c r="E55" s="672"/>
      <c r="F55" s="673"/>
      <c r="G55" s="674">
        <f t="shared" si="7"/>
        <v>22</v>
      </c>
      <c r="H55" s="672">
        <v>5.7</v>
      </c>
      <c r="I55" s="672"/>
      <c r="J55" s="672"/>
      <c r="K55" s="672"/>
      <c r="L55" s="675">
        <v>5.7</v>
      </c>
      <c r="M55" s="483">
        <f t="shared" si="11"/>
        <v>561.38689923322806</v>
      </c>
      <c r="N55" s="1140">
        <f t="shared" si="14"/>
        <v>1186</v>
      </c>
      <c r="O55" s="1141">
        <f t="shared" si="15"/>
        <v>1213</v>
      </c>
      <c r="P55" s="497">
        <f t="shared" si="16"/>
        <v>0.67689502644080957</v>
      </c>
      <c r="Q55" s="488">
        <f t="shared" si="8"/>
        <v>0.18276165713901857</v>
      </c>
      <c r="R55" s="651">
        <f>SUM(Q$55:Q55) + (O$54-AA$54)*P$54/100</f>
        <v>0.25460753275247294</v>
      </c>
      <c r="S55" s="500">
        <f>R55/(O55-AA$54)*100</f>
        <v>0.68812846689857554</v>
      </c>
      <c r="T55" s="500"/>
      <c r="U55" s="500"/>
      <c r="V55" s="500"/>
      <c r="W55" s="500"/>
      <c r="X55" s="1145">
        <f t="shared" si="10"/>
        <v>0</v>
      </c>
      <c r="Y55" s="500">
        <f t="shared" si="12"/>
        <v>0.67689502644080957</v>
      </c>
      <c r="Z55" s="500"/>
      <c r="AA55" s="500"/>
      <c r="AB55" s="517"/>
      <c r="AC55" s="404" t="s">
        <v>142</v>
      </c>
      <c r="AD55" s="526">
        <f>MAX(AD12:AD51)</f>
        <v>425</v>
      </c>
      <c r="AE55" s="524"/>
    </row>
    <row r="56" spans="1:34" ht="10.8" thickBot="1">
      <c r="A56" s="504">
        <v>490</v>
      </c>
      <c r="B56" s="482">
        <v>0</v>
      </c>
      <c r="C56" s="483">
        <f t="shared" si="13"/>
        <v>1240</v>
      </c>
      <c r="D56" s="671">
        <v>27</v>
      </c>
      <c r="E56" s="672"/>
      <c r="F56" s="673"/>
      <c r="G56" s="674">
        <f t="shared" si="7"/>
        <v>27</v>
      </c>
      <c r="H56" s="672">
        <v>5.7</v>
      </c>
      <c r="I56" s="672"/>
      <c r="J56" s="672"/>
      <c r="K56" s="672"/>
      <c r="L56" s="675">
        <v>5.7</v>
      </c>
      <c r="M56" s="483">
        <f t="shared" si="11"/>
        <v>688.97483087714352</v>
      </c>
      <c r="N56" s="1140">
        <f t="shared" si="14"/>
        <v>1213</v>
      </c>
      <c r="O56" s="1141">
        <f t="shared" si="15"/>
        <v>1240</v>
      </c>
      <c r="P56" s="497">
        <f t="shared" si="16"/>
        <v>0.71120159698166929</v>
      </c>
      <c r="Q56" s="488">
        <f t="shared" si="8"/>
        <v>0.19202443118505069</v>
      </c>
      <c r="R56" s="651">
        <f>SUM(Q$55:Q56) + (O$54-AA$54)*P$54/100</f>
        <v>0.44663196393752358</v>
      </c>
      <c r="S56" s="500">
        <f t="shared" ref="S56:S61" si="21">R56/(O56-AA$54)*100</f>
        <v>0.69786244365238059</v>
      </c>
      <c r="T56" s="500"/>
      <c r="U56" s="500"/>
      <c r="V56" s="500"/>
      <c r="W56" s="500"/>
      <c r="X56" s="1145">
        <f t="shared" si="10"/>
        <v>0</v>
      </c>
      <c r="Y56" s="500">
        <f t="shared" si="12"/>
        <v>0.71120159698166929</v>
      </c>
      <c r="Z56" s="500"/>
      <c r="AA56" s="500"/>
      <c r="AB56" s="517"/>
      <c r="AC56" s="562" t="s">
        <v>143</v>
      </c>
      <c r="AD56" s="563">
        <f>MIN(AD12:AD51)</f>
        <v>425</v>
      </c>
      <c r="AE56" s="458"/>
    </row>
    <row r="57" spans="1:34" s="1102" customFormat="1">
      <c r="A57" s="1089">
        <v>360</v>
      </c>
      <c r="B57" s="1090">
        <v>0</v>
      </c>
      <c r="C57" s="720">
        <v>1259</v>
      </c>
      <c r="D57" s="1091">
        <v>19</v>
      </c>
      <c r="E57" s="1092"/>
      <c r="F57" s="1093"/>
      <c r="G57" s="1094">
        <f t="shared" si="7"/>
        <v>19</v>
      </c>
      <c r="H57" s="1092">
        <v>5.7</v>
      </c>
      <c r="I57" s="1092"/>
      <c r="J57" s="1092"/>
      <c r="K57" s="1092"/>
      <c r="L57" s="1193">
        <v>5.7</v>
      </c>
      <c r="M57" s="720">
        <f t="shared" si="11"/>
        <v>484.8341402468788</v>
      </c>
      <c r="N57" s="1095">
        <f t="shared" si="14"/>
        <v>1240</v>
      </c>
      <c r="O57" s="1096">
        <f t="shared" si="15"/>
        <v>1259</v>
      </c>
      <c r="P57" s="1097">
        <f t="shared" si="16"/>
        <v>0.74252196806249471</v>
      </c>
      <c r="Q57" s="1098">
        <f t="shared" si="8"/>
        <v>0.141079173931874</v>
      </c>
      <c r="R57" s="1099">
        <f>SUM(Q$55:Q57) + (O$54-AA$54)*P$54/100</f>
        <v>0.58771113786939755</v>
      </c>
      <c r="S57" s="1100">
        <f>R57/(O57-AA$54)*100</f>
        <v>0.70808570827638251</v>
      </c>
      <c r="T57" s="1100"/>
      <c r="U57" s="1100"/>
      <c r="V57" s="1100"/>
      <c r="W57" s="1100"/>
      <c r="X57" s="1100">
        <f t="shared" si="10"/>
        <v>0</v>
      </c>
      <c r="Y57" s="1100">
        <f t="shared" si="12"/>
        <v>0.74252196806249471</v>
      </c>
      <c r="Z57" s="1100"/>
      <c r="AA57" s="1100"/>
      <c r="AB57" s="1101"/>
    </row>
    <row r="58" spans="1:34">
      <c r="A58" s="504">
        <v>460</v>
      </c>
      <c r="B58" s="482">
        <v>0</v>
      </c>
      <c r="C58" s="483">
        <f t="shared" si="13"/>
        <v>1282</v>
      </c>
      <c r="D58" s="671">
        <v>23</v>
      </c>
      <c r="E58" s="672"/>
      <c r="F58" s="673"/>
      <c r="G58" s="674">
        <f t="shared" si="7"/>
        <v>23</v>
      </c>
      <c r="H58" s="672">
        <v>5.7</v>
      </c>
      <c r="I58" s="672"/>
      <c r="J58" s="672"/>
      <c r="K58" s="672"/>
      <c r="L58" s="675">
        <v>5.7</v>
      </c>
      <c r="M58" s="483">
        <f t="shared" si="11"/>
        <v>586.90448556201113</v>
      </c>
      <c r="N58" s="1140">
        <f t="shared" si="14"/>
        <v>1259</v>
      </c>
      <c r="O58" s="1141">
        <f t="shared" si="15"/>
        <v>1282</v>
      </c>
      <c r="P58" s="497">
        <f t="shared" si="16"/>
        <v>0.78377318851041111</v>
      </c>
      <c r="Q58" s="488">
        <f t="shared" si="8"/>
        <v>0.18026783335739455</v>
      </c>
      <c r="R58" s="651">
        <f>SUM(Q$55:Q58) + (O$54-AA$54)*P$54/100</f>
        <v>0.76797897122679215</v>
      </c>
      <c r="S58" s="500">
        <f t="shared" si="21"/>
        <v>0.7245084634215021</v>
      </c>
      <c r="T58" s="500"/>
      <c r="U58" s="500"/>
      <c r="V58" s="500"/>
      <c r="W58" s="500"/>
      <c r="X58" s="1145">
        <f t="shared" si="10"/>
        <v>0</v>
      </c>
      <c r="Y58" s="500">
        <f t="shared" si="12"/>
        <v>0.78377318851041111</v>
      </c>
      <c r="Z58" s="500"/>
      <c r="AA58" s="500"/>
      <c r="AB58" s="517"/>
    </row>
    <row r="59" spans="1:34">
      <c r="A59" s="504">
        <v>430</v>
      </c>
      <c r="B59" s="482">
        <v>0</v>
      </c>
      <c r="C59" s="483">
        <f t="shared" si="13"/>
        <v>1306</v>
      </c>
      <c r="D59" s="671">
        <v>24</v>
      </c>
      <c r="E59" s="672"/>
      <c r="F59" s="673"/>
      <c r="G59" s="674">
        <f t="shared" si="7"/>
        <v>24</v>
      </c>
      <c r="H59" s="672">
        <v>5.7</v>
      </c>
      <c r="I59" s="672"/>
      <c r="J59" s="672"/>
      <c r="K59" s="672"/>
      <c r="L59" s="675">
        <v>5.7</v>
      </c>
      <c r="M59" s="483">
        <f t="shared" si="11"/>
        <v>612.42207189079431</v>
      </c>
      <c r="N59" s="1140">
        <f t="shared" si="14"/>
        <v>1282</v>
      </c>
      <c r="O59" s="1141">
        <f t="shared" si="15"/>
        <v>1306</v>
      </c>
      <c r="P59" s="497">
        <f t="shared" si="16"/>
        <v>0.7021301480405765</v>
      </c>
      <c r="Q59" s="488">
        <f t="shared" si="8"/>
        <v>0.16851123552973835</v>
      </c>
      <c r="R59" s="651">
        <f>SUM(Q$55:Q59) + (O$54-AA$54)*P$54/100</f>
        <v>0.9364902067565305</v>
      </c>
      <c r="S59" s="500">
        <f t="shared" si="21"/>
        <v>0.72037708212040807</v>
      </c>
      <c r="T59" s="500"/>
      <c r="U59" s="500"/>
      <c r="V59" s="500"/>
      <c r="W59" s="500"/>
      <c r="X59" s="1145">
        <f t="shared" si="10"/>
        <v>0</v>
      </c>
      <c r="Y59" s="500">
        <f t="shared" si="12"/>
        <v>0.7021301480405765</v>
      </c>
      <c r="Z59" s="500"/>
      <c r="AA59" s="500"/>
      <c r="AB59" s="517"/>
    </row>
    <row r="60" spans="1:34" s="1102" customFormat="1">
      <c r="A60" s="1089">
        <v>530</v>
      </c>
      <c r="B60" s="1090">
        <v>0</v>
      </c>
      <c r="C60" s="720">
        <v>1335</v>
      </c>
      <c r="D60" s="1091">
        <v>29</v>
      </c>
      <c r="E60" s="1092"/>
      <c r="F60" s="1093"/>
      <c r="G60" s="1094">
        <f t="shared" si="7"/>
        <v>29</v>
      </c>
      <c r="H60" s="1092">
        <v>5.7</v>
      </c>
      <c r="I60" s="1092"/>
      <c r="J60" s="1092"/>
      <c r="K60" s="1092"/>
      <c r="L60" s="1193">
        <v>5.7</v>
      </c>
      <c r="M60" s="720">
        <f t="shared" si="11"/>
        <v>740.01000353470977</v>
      </c>
      <c r="N60" s="1095">
        <f t="shared" si="14"/>
        <v>1306</v>
      </c>
      <c r="O60" s="1096">
        <f t="shared" si="15"/>
        <v>1334.5</v>
      </c>
      <c r="P60" s="1097">
        <f t="shared" si="16"/>
        <v>0.71620653432847903</v>
      </c>
      <c r="Q60" s="1098">
        <f t="shared" si="8"/>
        <v>0.20411886228361653</v>
      </c>
      <c r="R60" s="1099">
        <f>SUM(Q$55:Q60) + (O$54-AA$54)*P$54/100</f>
        <v>1.1406090690401469</v>
      </c>
      <c r="S60" s="1100">
        <f t="shared" si="21"/>
        <v>0.71962717289599176</v>
      </c>
      <c r="T60" s="1100">
        <v>16</v>
      </c>
      <c r="U60" s="1100">
        <v>5</v>
      </c>
      <c r="V60" s="1100"/>
      <c r="W60" s="1100"/>
      <c r="X60" s="1100">
        <f t="shared" si="10"/>
        <v>127.58793164391548</v>
      </c>
      <c r="Y60" s="1100">
        <f t="shared" si="12"/>
        <v>0.67791622898024551</v>
      </c>
      <c r="Z60" s="1100"/>
      <c r="AA60" s="1100"/>
      <c r="AB60" s="1101"/>
    </row>
    <row r="61" spans="1:34">
      <c r="A61" s="504">
        <v>540</v>
      </c>
      <c r="B61" s="482">
        <v>0</v>
      </c>
      <c r="C61" s="483">
        <f t="shared" si="13"/>
        <v>1364</v>
      </c>
      <c r="D61" s="671">
        <v>30</v>
      </c>
      <c r="E61" s="672"/>
      <c r="F61" s="673"/>
      <c r="G61" s="674">
        <f t="shared" si="7"/>
        <v>30</v>
      </c>
      <c r="H61" s="672">
        <v>5.7</v>
      </c>
      <c r="I61" s="672"/>
      <c r="J61" s="672"/>
      <c r="K61" s="672"/>
      <c r="L61" s="675">
        <v>5.7</v>
      </c>
      <c r="M61" s="483">
        <f t="shared" si="11"/>
        <v>765.52758986349284</v>
      </c>
      <c r="N61" s="1140">
        <f t="shared" si="14"/>
        <v>1334.5</v>
      </c>
      <c r="O61" s="1141">
        <f t="shared" si="15"/>
        <v>1364</v>
      </c>
      <c r="P61" s="497">
        <f t="shared" si="16"/>
        <v>0.70539586965936996</v>
      </c>
      <c r="Q61" s="488">
        <f t="shared" si="8"/>
        <v>0.20809178154951413</v>
      </c>
      <c r="R61" s="651">
        <f>SUM(Q$55:Q61) + (O$54-AA$54)*P$54/100</f>
        <v>1.3487008505896609</v>
      </c>
      <c r="S61" s="500">
        <f t="shared" si="21"/>
        <v>0.71739406946258566</v>
      </c>
      <c r="T61" s="500">
        <v>3.5</v>
      </c>
      <c r="U61" s="500">
        <v>5</v>
      </c>
      <c r="V61" s="500"/>
      <c r="W61" s="500"/>
      <c r="X61" s="1145">
        <f t="shared" si="10"/>
        <v>127.58793164391548</v>
      </c>
      <c r="Y61" s="500">
        <f t="shared" si="12"/>
        <v>0.66647504359124388</v>
      </c>
      <c r="Z61" s="500"/>
      <c r="AA61" s="500"/>
      <c r="AB61" s="517"/>
    </row>
    <row r="62" spans="1:34" s="1102" customFormat="1">
      <c r="A62" s="1089">
        <v>665</v>
      </c>
      <c r="B62" s="1090">
        <v>0</v>
      </c>
      <c r="C62" s="720">
        <v>1401</v>
      </c>
      <c r="D62" s="1091">
        <v>37</v>
      </c>
      <c r="E62" s="1092"/>
      <c r="F62" s="1093"/>
      <c r="G62" s="1094">
        <f t="shared" si="7"/>
        <v>37</v>
      </c>
      <c r="H62" s="1092">
        <v>5.7</v>
      </c>
      <c r="I62" s="1092"/>
      <c r="J62" s="1092"/>
      <c r="K62" s="1092"/>
      <c r="L62" s="1193">
        <v>5.7</v>
      </c>
      <c r="M62" s="720">
        <f t="shared" si="11"/>
        <v>944.15069416497454</v>
      </c>
      <c r="N62" s="1095">
        <f t="shared" si="14"/>
        <v>1364</v>
      </c>
      <c r="O62" s="1096">
        <f t="shared" si="15"/>
        <v>1397.5</v>
      </c>
      <c r="P62" s="1097">
        <f t="shared" si="16"/>
        <v>0.70433671670192344</v>
      </c>
      <c r="Q62" s="1098">
        <f t="shared" si="8"/>
        <v>0.23595280009514435</v>
      </c>
      <c r="R62" s="1099">
        <f>SUM(Q$55:Q62) + (O$54-AA$54)*P$54/100</f>
        <v>1.5846536506848052</v>
      </c>
      <c r="S62" s="1100">
        <f>R62/(O62-AA$54)*100</f>
        <v>0.71541925538817397</v>
      </c>
      <c r="T62" s="1100">
        <v>0</v>
      </c>
      <c r="U62" s="1100">
        <v>3</v>
      </c>
      <c r="V62" s="1100">
        <v>32</v>
      </c>
      <c r="W62" s="1100">
        <v>1</v>
      </c>
      <c r="X62" s="1100">
        <f t="shared" si="10"/>
        <v>102.07034531513239</v>
      </c>
      <c r="Y62" s="1100">
        <f t="shared" si="12"/>
        <v>0.68061995509003537</v>
      </c>
      <c r="Z62" s="1100"/>
      <c r="AA62" s="1100"/>
      <c r="AB62" s="1101"/>
    </row>
    <row r="63" spans="1:34" s="1133" customFormat="1">
      <c r="A63" s="1114">
        <v>560</v>
      </c>
      <c r="B63" s="1115">
        <v>0</v>
      </c>
      <c r="C63" s="1116">
        <f t="shared" si="13"/>
        <v>1432</v>
      </c>
      <c r="D63" s="1117">
        <v>38</v>
      </c>
      <c r="E63" s="1118"/>
      <c r="F63" s="1119"/>
      <c r="G63" s="1120">
        <f t="shared" si="7"/>
        <v>38</v>
      </c>
      <c r="H63" s="1118">
        <v>5.7</v>
      </c>
      <c r="I63" s="1118"/>
      <c r="J63" s="1118"/>
      <c r="K63" s="1118"/>
      <c r="L63" s="1121">
        <v>5.7</v>
      </c>
      <c r="M63" s="1116">
        <f t="shared" si="11"/>
        <v>969.66828049375761</v>
      </c>
      <c r="N63" s="1122">
        <f t="shared" si="14"/>
        <v>1397.5</v>
      </c>
      <c r="O63" s="1123">
        <f t="shared" si="15"/>
        <v>1432</v>
      </c>
      <c r="P63" s="1124">
        <f t="shared" si="16"/>
        <v>0.57751708627082921</v>
      </c>
      <c r="Q63" s="1125">
        <f t="shared" si="8"/>
        <v>0.19924339476343608</v>
      </c>
      <c r="R63" s="1126">
        <f>SUM(Q$55:Q62) + (O$54-AA$54)*P$54/100 + (AA63-N63)*P63/100</f>
        <v>1.6568432864686589</v>
      </c>
      <c r="S63" s="1127">
        <f>R63/(AA63-AA$54)*100</f>
        <v>0.70805268652506781</v>
      </c>
      <c r="T63" s="1127"/>
      <c r="U63" s="1127"/>
      <c r="V63" s="1127"/>
      <c r="W63" s="1127"/>
      <c r="X63" s="1127">
        <f t="shared" si="10"/>
        <v>0</v>
      </c>
      <c r="Y63" s="1127">
        <f t="shared" si="12"/>
        <v>0.57751708627082921</v>
      </c>
      <c r="Z63" s="1127">
        <v>22</v>
      </c>
      <c r="AA63" s="1127">
        <f>C63-Z63</f>
        <v>1410</v>
      </c>
      <c r="AB63" s="1128" t="s">
        <v>239</v>
      </c>
    </row>
    <row r="64" spans="1:34" s="1102" customFormat="1">
      <c r="A64" s="1089">
        <v>650</v>
      </c>
      <c r="B64" s="1090">
        <v>0</v>
      </c>
      <c r="C64" s="720">
        <v>1464</v>
      </c>
      <c r="D64" s="1091">
        <v>32</v>
      </c>
      <c r="E64" s="1092"/>
      <c r="F64" s="1093"/>
      <c r="G64" s="1094">
        <f t="shared" si="7"/>
        <v>32</v>
      </c>
      <c r="H64" s="1092">
        <v>5.7</v>
      </c>
      <c r="I64" s="1092"/>
      <c r="J64" s="1092"/>
      <c r="K64" s="1092"/>
      <c r="L64" s="1193">
        <v>5.7</v>
      </c>
      <c r="M64" s="720">
        <f t="shared" si="11"/>
        <v>816.56276252105908</v>
      </c>
      <c r="N64" s="1095">
        <f t="shared" si="14"/>
        <v>1432</v>
      </c>
      <c r="O64" s="1096">
        <f t="shared" si="15"/>
        <v>1463</v>
      </c>
      <c r="P64" s="1097">
        <f t="shared" si="16"/>
        <v>0.79601964458088614</v>
      </c>
      <c r="Q64" s="1098">
        <f t="shared" si="8"/>
        <v>0.2467660898200747</v>
      </c>
      <c r="R64" s="1099">
        <f>SUM(Q$64:Q64) + (O$63-AA$63)*P$63/100</f>
        <v>0.37381984879965713</v>
      </c>
      <c r="S64" s="1100">
        <f>R64/(O64-AA$63)*100</f>
        <v>0.70532046943331528</v>
      </c>
      <c r="T64" s="1100">
        <v>6</v>
      </c>
      <c r="U64" s="1100">
        <v>1.5</v>
      </c>
      <c r="V64" s="1100">
        <v>15</v>
      </c>
      <c r="W64" s="1100">
        <v>1</v>
      </c>
      <c r="X64" s="1100">
        <f>(W64+U64)*    PI()* (L64/2)^2</f>
        <v>63.793965821957741</v>
      </c>
      <c r="Y64" s="1100">
        <f>(A64-(X64*0.9))/(M64-X64)</f>
        <v>0.78720775005384269</v>
      </c>
      <c r="Z64" s="1100"/>
      <c r="AA64" s="1100"/>
      <c r="AB64" s="1101"/>
    </row>
    <row r="65" spans="1:28">
      <c r="A65" s="504">
        <v>690</v>
      </c>
      <c r="B65" s="482">
        <v>0</v>
      </c>
      <c r="C65" s="483">
        <f t="shared" si="13"/>
        <v>1497</v>
      </c>
      <c r="D65" s="671">
        <v>35</v>
      </c>
      <c r="E65" s="672"/>
      <c r="F65" s="673"/>
      <c r="G65" s="674">
        <f t="shared" si="7"/>
        <v>35</v>
      </c>
      <c r="H65" s="672">
        <v>5.7</v>
      </c>
      <c r="I65" s="672"/>
      <c r="J65" s="672"/>
      <c r="K65" s="672"/>
      <c r="L65" s="675">
        <v>5.7</v>
      </c>
      <c r="M65" s="483">
        <f t="shared" si="11"/>
        <v>893.11552150740829</v>
      </c>
      <c r="N65" s="1140">
        <f t="shared" si="14"/>
        <v>1463</v>
      </c>
      <c r="O65" s="1141">
        <f t="shared" si="15"/>
        <v>1497</v>
      </c>
      <c r="P65" s="497">
        <f t="shared" si="16"/>
        <v>0.77257642867454801</v>
      </c>
      <c r="Q65" s="488">
        <f t="shared" si="8"/>
        <v>0.26267598574934631</v>
      </c>
      <c r="R65" s="651">
        <f>SUM(Q$64:Q65) + (O$63-AA$63)*P$63/100</f>
        <v>0.63649583454900349</v>
      </c>
      <c r="S65" s="500">
        <f t="shared" ref="S65:S69" si="22">R65/(O65-AA$63)*100</f>
        <v>0.73160440752759026</v>
      </c>
      <c r="T65" s="500"/>
      <c r="U65" s="500"/>
      <c r="V65" s="500"/>
      <c r="W65" s="500"/>
      <c r="X65" s="1145">
        <f t="shared" ref="X65:X71" si="23">(W65+U65)*    PI()* (L65/2)^2</f>
        <v>0</v>
      </c>
      <c r="Y65" s="500">
        <f t="shared" si="12"/>
        <v>0.77257642867454801</v>
      </c>
      <c r="Z65" s="500"/>
      <c r="AA65" s="500"/>
      <c r="AB65" s="517"/>
    </row>
    <row r="66" spans="1:28">
      <c r="A66" s="504">
        <v>380</v>
      </c>
      <c r="B66" s="482">
        <v>0</v>
      </c>
      <c r="C66" s="483">
        <f t="shared" si="13"/>
        <v>1519</v>
      </c>
      <c r="D66" s="671">
        <v>22</v>
      </c>
      <c r="E66" s="672"/>
      <c r="F66" s="673"/>
      <c r="G66" s="674">
        <f t="shared" si="7"/>
        <v>22</v>
      </c>
      <c r="H66" s="672">
        <v>5.7</v>
      </c>
      <c r="I66" s="672"/>
      <c r="J66" s="672"/>
      <c r="K66" s="672"/>
      <c r="L66" s="675">
        <v>5.7</v>
      </c>
      <c r="M66" s="483">
        <f t="shared" si="11"/>
        <v>561.38689923322806</v>
      </c>
      <c r="N66" s="1140">
        <f t="shared" si="14"/>
        <v>1497</v>
      </c>
      <c r="O66" s="1141">
        <f t="shared" si="15"/>
        <v>1519</v>
      </c>
      <c r="P66" s="497">
        <f t="shared" si="16"/>
        <v>0.67689502644080957</v>
      </c>
      <c r="Q66" s="488">
        <f t="shared" si="8"/>
        <v>0.14891690581697811</v>
      </c>
      <c r="R66" s="651">
        <f>SUM(Q$64:Q66) + (O$63-AA$63)*P$63/100</f>
        <v>0.78541274036598163</v>
      </c>
      <c r="S66" s="500">
        <f t="shared" si="22"/>
        <v>0.72056214712475386</v>
      </c>
      <c r="T66" s="500"/>
      <c r="U66" s="500"/>
      <c r="V66" s="500"/>
      <c r="W66" s="500"/>
      <c r="X66" s="1145">
        <f t="shared" si="23"/>
        <v>0</v>
      </c>
      <c r="Y66" s="500">
        <f t="shared" si="12"/>
        <v>0.67689502644080957</v>
      </c>
      <c r="Z66" s="500"/>
      <c r="AA66" s="500"/>
      <c r="AB66" s="517"/>
    </row>
    <row r="67" spans="1:28" s="1102" customFormat="1">
      <c r="A67" s="1089">
        <v>500</v>
      </c>
      <c r="B67" s="1090">
        <v>0</v>
      </c>
      <c r="C67" s="720">
        <v>1548</v>
      </c>
      <c r="D67" s="1091">
        <v>29</v>
      </c>
      <c r="E67" s="1092"/>
      <c r="F67" s="1093"/>
      <c r="G67" s="1094">
        <f t="shared" si="7"/>
        <v>29</v>
      </c>
      <c r="H67" s="1092">
        <v>5.7</v>
      </c>
      <c r="I67" s="1092"/>
      <c r="J67" s="1092"/>
      <c r="K67" s="1092"/>
      <c r="L67" s="1193">
        <v>5.7</v>
      </c>
      <c r="M67" s="720">
        <f t="shared" si="11"/>
        <v>740.01000353470977</v>
      </c>
      <c r="N67" s="1095">
        <f t="shared" si="14"/>
        <v>1519</v>
      </c>
      <c r="O67" s="1096">
        <f t="shared" si="15"/>
        <v>1548.5</v>
      </c>
      <c r="P67" s="1097">
        <f t="shared" si="16"/>
        <v>0.67566654181931984</v>
      </c>
      <c r="Q67" s="1098">
        <f t="shared" si="8"/>
        <v>0.19932162983669938</v>
      </c>
      <c r="R67" s="1099">
        <f>SUM(Q$64:Q67) + (O$63-AA$63)*P$63/100</f>
        <v>0.98473437020268095</v>
      </c>
      <c r="S67" s="1100">
        <f t="shared" si="22"/>
        <v>0.71099954527269382</v>
      </c>
      <c r="T67" s="1100"/>
      <c r="U67" s="1100"/>
      <c r="V67" s="1100"/>
      <c r="W67" s="1100"/>
      <c r="X67" s="1100">
        <f t="shared" si="23"/>
        <v>0</v>
      </c>
      <c r="Y67" s="1100">
        <f t="shared" si="12"/>
        <v>0.67566654181931984</v>
      </c>
      <c r="Z67" s="1100"/>
      <c r="AA67" s="1100"/>
      <c r="AB67" s="1101"/>
    </row>
    <row r="68" spans="1:28">
      <c r="A68" s="504">
        <v>430</v>
      </c>
      <c r="B68" s="482">
        <v>0</v>
      </c>
      <c r="C68" s="483">
        <f t="shared" si="13"/>
        <v>1573</v>
      </c>
      <c r="D68" s="671">
        <v>24</v>
      </c>
      <c r="E68" s="672"/>
      <c r="F68" s="673"/>
      <c r="G68" s="674">
        <f t="shared" si="7"/>
        <v>24</v>
      </c>
      <c r="H68" s="672">
        <v>5.7</v>
      </c>
      <c r="I68" s="672"/>
      <c r="J68" s="672"/>
      <c r="K68" s="672"/>
      <c r="L68" s="675">
        <v>5.7</v>
      </c>
      <c r="M68" s="483">
        <f t="shared" si="11"/>
        <v>612.42207189079431</v>
      </c>
      <c r="N68" s="1140">
        <f t="shared" si="14"/>
        <v>1548.5</v>
      </c>
      <c r="O68" s="1141">
        <f t="shared" si="15"/>
        <v>1573</v>
      </c>
      <c r="P68" s="497">
        <f t="shared" si="16"/>
        <v>0.7021301480405765</v>
      </c>
      <c r="Q68" s="488">
        <f t="shared" si="8"/>
        <v>0.17202188626994125</v>
      </c>
      <c r="R68" s="651">
        <f>SUM(Q$64:Q68) + (O$63-AA$63)*P$63/100</f>
        <v>1.1567562564726221</v>
      </c>
      <c r="S68" s="500">
        <f t="shared" si="22"/>
        <v>0.70966641501387862</v>
      </c>
      <c r="T68" s="500"/>
      <c r="U68" s="500"/>
      <c r="V68" s="500"/>
      <c r="W68" s="500"/>
      <c r="X68" s="1145">
        <f t="shared" si="23"/>
        <v>0</v>
      </c>
      <c r="Y68" s="500">
        <f t="shared" si="12"/>
        <v>0.7021301480405765</v>
      </c>
      <c r="Z68" s="500"/>
      <c r="AA68" s="500"/>
      <c r="AB68" s="517"/>
    </row>
    <row r="69" spans="1:28" s="1102" customFormat="1">
      <c r="A69" s="1089">
        <v>570</v>
      </c>
      <c r="B69" s="1090">
        <v>0</v>
      </c>
      <c r="C69" s="720">
        <v>1604</v>
      </c>
      <c r="D69" s="1091">
        <v>31</v>
      </c>
      <c r="E69" s="1092"/>
      <c r="F69" s="1093"/>
      <c r="G69" s="1094">
        <f t="shared" si="7"/>
        <v>31</v>
      </c>
      <c r="H69" s="1092">
        <v>5.7</v>
      </c>
      <c r="I69" s="1092"/>
      <c r="J69" s="1092"/>
      <c r="K69" s="1092"/>
      <c r="L69" s="1193">
        <v>5.7</v>
      </c>
      <c r="M69" s="720">
        <f t="shared" si="11"/>
        <v>791.0451761922759</v>
      </c>
      <c r="N69" s="1095">
        <f t="shared" si="14"/>
        <v>1573</v>
      </c>
      <c r="O69" s="1096">
        <f t="shared" si="15"/>
        <v>1605</v>
      </c>
      <c r="P69" s="1097">
        <f t="shared" si="16"/>
        <v>0.72056567330795851</v>
      </c>
      <c r="Q69" s="1098">
        <f t="shared" si="8"/>
        <v>0.23058101545854673</v>
      </c>
      <c r="R69" s="1099">
        <f>SUM(Q$64:Q69) + (O$63-AA$63)*P$63/100</f>
        <v>1.387337271931169</v>
      </c>
      <c r="S69" s="1100">
        <f t="shared" si="22"/>
        <v>0.71145501124675337</v>
      </c>
      <c r="T69" s="1100"/>
      <c r="U69" s="1100"/>
      <c r="V69" s="1100"/>
      <c r="W69" s="1100"/>
      <c r="X69" s="1100">
        <f t="shared" si="23"/>
        <v>0</v>
      </c>
      <c r="Y69" s="1100">
        <f t="shared" si="12"/>
        <v>0.72056567330795851</v>
      </c>
      <c r="Z69" s="1100"/>
      <c r="AA69" s="1100"/>
      <c r="AB69" s="1101"/>
    </row>
    <row r="70" spans="1:28" s="1133" customFormat="1">
      <c r="A70" s="1114">
        <v>950</v>
      </c>
      <c r="B70" s="1115">
        <v>0</v>
      </c>
      <c r="C70" s="1116">
        <f>C71-D71</f>
        <v>1651</v>
      </c>
      <c r="D70" s="1117">
        <v>45</v>
      </c>
      <c r="E70" s="1118"/>
      <c r="F70" s="1119"/>
      <c r="G70" s="1120">
        <f t="shared" si="7"/>
        <v>45</v>
      </c>
      <c r="H70" s="1118">
        <v>5.7</v>
      </c>
      <c r="I70" s="1118"/>
      <c r="J70" s="1118"/>
      <c r="K70" s="1118"/>
      <c r="L70" s="1121">
        <v>5.7</v>
      </c>
      <c r="M70" s="1116">
        <f t="shared" si="11"/>
        <v>1148.2913847952393</v>
      </c>
      <c r="N70" s="1122">
        <f t="shared" si="14"/>
        <v>1605</v>
      </c>
      <c r="O70" s="1123">
        <f t="shared" si="15"/>
        <v>1651</v>
      </c>
      <c r="P70" s="1124">
        <f t="shared" si="16"/>
        <v>0.82731614342765603</v>
      </c>
      <c r="Q70" s="1125">
        <f t="shared" si="8"/>
        <v>0.38056542597672177</v>
      </c>
      <c r="R70" s="1126">
        <f>SUM(Q$64:Q69) + (O$63-AA$63)*P$63/100 + (AA70-N70)*P70/100</f>
        <v>1.5610736620509766</v>
      </c>
      <c r="S70" s="1127">
        <f>R70/(AA70-AA$63)*100</f>
        <v>0.72271928798656326</v>
      </c>
      <c r="T70" s="1127"/>
      <c r="U70" s="1127"/>
      <c r="V70" s="1127"/>
      <c r="W70" s="1127"/>
      <c r="X70" s="1127">
        <f t="shared" si="23"/>
        <v>0</v>
      </c>
      <c r="Y70" s="1127">
        <f t="shared" si="12"/>
        <v>0.82731614342765603</v>
      </c>
      <c r="Z70" s="1127">
        <v>25</v>
      </c>
      <c r="AA70" s="1127">
        <f>C70-Z70</f>
        <v>1626</v>
      </c>
      <c r="AB70" s="1128" t="s">
        <v>238</v>
      </c>
    </row>
    <row r="71" spans="1:28" s="1102" customFormat="1">
      <c r="A71" s="1089">
        <v>530</v>
      </c>
      <c r="B71" s="1090">
        <v>0</v>
      </c>
      <c r="C71" s="720">
        <v>1677</v>
      </c>
      <c r="D71" s="1091">
        <v>26</v>
      </c>
      <c r="E71" s="1092"/>
      <c r="F71" s="1093"/>
      <c r="G71" s="1094">
        <f t="shared" si="7"/>
        <v>26</v>
      </c>
      <c r="H71" s="1092">
        <v>5.7</v>
      </c>
      <c r="I71" s="1092"/>
      <c r="J71" s="1092"/>
      <c r="K71" s="1092"/>
      <c r="L71" s="1193">
        <v>5.7</v>
      </c>
      <c r="M71" s="720">
        <f t="shared" si="11"/>
        <v>663.45724454836056</v>
      </c>
      <c r="N71" s="1095">
        <f t="shared" si="14"/>
        <v>1651</v>
      </c>
      <c r="O71" s="1096">
        <v>1677</v>
      </c>
      <c r="P71" s="1097">
        <f>(A71-B71)/M71</f>
        <v>0.79884574982791878</v>
      </c>
      <c r="Q71" s="1098">
        <f t="shared" si="8"/>
        <v>0.20769989495525887</v>
      </c>
      <c r="R71" s="1099">
        <f>SUM(Q$71:Q71) + (O$70-AA$70)*P$70/100</f>
        <v>0.41452893081217285</v>
      </c>
      <c r="S71" s="1100">
        <f>R71/(O71-AA$70)*100</f>
        <v>0.81280182512190757</v>
      </c>
      <c r="T71" s="1100"/>
      <c r="U71" s="1100"/>
      <c r="V71" s="1100"/>
      <c r="W71" s="1100"/>
      <c r="X71" s="1100">
        <f t="shared" si="23"/>
        <v>0</v>
      </c>
      <c r="Y71" s="1100">
        <f t="shared" si="12"/>
        <v>0.79884574982791878</v>
      </c>
      <c r="Z71" s="1100"/>
      <c r="AA71" s="1100"/>
      <c r="AB71" s="1101"/>
    </row>
    <row r="72" spans="1:28">
      <c r="A72" s="504"/>
      <c r="B72" s="482">
        <v>0</v>
      </c>
      <c r="C72" s="483"/>
      <c r="D72" s="671"/>
      <c r="E72" s="672"/>
      <c r="F72" s="673"/>
      <c r="G72" s="674" t="e">
        <f t="shared" si="7"/>
        <v>#DIV/0!</v>
      </c>
      <c r="H72" s="672"/>
      <c r="I72" s="672"/>
      <c r="J72" s="672"/>
      <c r="K72" s="672"/>
      <c r="L72" s="675" t="e">
        <f t="shared" ref="L72:L79" si="24">AVERAGE(H72:K72)</f>
        <v>#DIV/0!</v>
      </c>
      <c r="M72" s="483" t="e">
        <f t="shared" si="11"/>
        <v>#DIV/0!</v>
      </c>
      <c r="N72" s="1140" t="e">
        <f t="shared" si="14"/>
        <v>#DIV/0!</v>
      </c>
      <c r="O72" s="1141">
        <f t="shared" ref="O72:O79" si="25">(C72+C99-G99)/2</f>
        <v>0</v>
      </c>
      <c r="P72" s="497" t="e">
        <f t="shared" si="16"/>
        <v>#DIV/0!</v>
      </c>
      <c r="Q72" s="488" t="e">
        <f t="shared" si="8"/>
        <v>#DIV/0!</v>
      </c>
      <c r="R72" s="651" t="e">
        <f>SUM(Q$13:Q72)</f>
        <v>#DIV/0!</v>
      </c>
      <c r="S72" s="500" t="e">
        <f>R72/O72*100</f>
        <v>#DIV/0!</v>
      </c>
      <c r="T72" s="500"/>
      <c r="U72" s="500"/>
      <c r="V72" s="500"/>
      <c r="W72" s="500"/>
      <c r="X72" s="1145" t="e">
        <f t="shared" ref="X72:X79" si="26">U72*    PI()* (L72/2)^2</f>
        <v>#DIV/0!</v>
      </c>
      <c r="Y72" s="500" t="e">
        <f>(A73-(X72/0.9))/M72</f>
        <v>#DIV/0!</v>
      </c>
      <c r="Z72" s="500"/>
      <c r="AA72" s="500"/>
      <c r="AB72" s="517"/>
    </row>
    <row r="73" spans="1:28">
      <c r="A73" s="504"/>
      <c r="B73" s="482">
        <v>0</v>
      </c>
      <c r="C73" s="483"/>
      <c r="D73" s="671"/>
      <c r="E73" s="672"/>
      <c r="F73" s="673"/>
      <c r="G73" s="674" t="e">
        <f t="shared" si="7"/>
        <v>#DIV/0!</v>
      </c>
      <c r="H73" s="672"/>
      <c r="I73" s="672"/>
      <c r="J73" s="672"/>
      <c r="K73" s="672"/>
      <c r="L73" s="675" t="e">
        <f t="shared" si="24"/>
        <v>#DIV/0!</v>
      </c>
      <c r="M73" s="483" t="e">
        <f t="shared" si="11"/>
        <v>#DIV/0!</v>
      </c>
      <c r="N73" s="1140" t="e">
        <f t="shared" si="14"/>
        <v>#DIV/0!</v>
      </c>
      <c r="O73" s="1141">
        <f t="shared" si="25"/>
        <v>0</v>
      </c>
      <c r="P73" s="497" t="e">
        <f t="shared" si="16"/>
        <v>#DIV/0!</v>
      </c>
      <c r="Q73" s="488" t="e">
        <f t="shared" si="8"/>
        <v>#DIV/0!</v>
      </c>
      <c r="R73" s="651" t="e">
        <f>SUM(Q$13:Q73)</f>
        <v>#DIV/0!</v>
      </c>
      <c r="S73" s="500" t="e">
        <f t="shared" si="9"/>
        <v>#DIV/0!</v>
      </c>
      <c r="T73" s="500"/>
      <c r="U73" s="500"/>
      <c r="V73" s="500"/>
      <c r="W73" s="500"/>
      <c r="X73" s="1145" t="e">
        <f t="shared" si="26"/>
        <v>#DIV/0!</v>
      </c>
      <c r="Y73" s="500" t="e">
        <f>(A74-(X73/0.9))/M73</f>
        <v>#DIV/0!</v>
      </c>
      <c r="Z73" s="500"/>
      <c r="AA73" s="500"/>
      <c r="AB73" s="517"/>
    </row>
    <row r="74" spans="1:28">
      <c r="A74" s="504"/>
      <c r="B74" s="482">
        <v>0</v>
      </c>
      <c r="C74" s="483"/>
      <c r="D74" s="671"/>
      <c r="E74" s="672"/>
      <c r="F74" s="673"/>
      <c r="G74" s="674" t="e">
        <f t="shared" si="7"/>
        <v>#DIV/0!</v>
      </c>
      <c r="H74" s="672"/>
      <c r="I74" s="672"/>
      <c r="J74" s="672"/>
      <c r="K74" s="672"/>
      <c r="L74" s="675" t="e">
        <f t="shared" si="24"/>
        <v>#DIV/0!</v>
      </c>
      <c r="M74" s="483" t="e">
        <f t="shared" si="11"/>
        <v>#DIV/0!</v>
      </c>
      <c r="N74" s="1140" t="e">
        <f t="shared" si="14"/>
        <v>#DIV/0!</v>
      </c>
      <c r="O74" s="1141">
        <f t="shared" si="25"/>
        <v>0</v>
      </c>
      <c r="P74" s="497" t="e">
        <f t="shared" si="16"/>
        <v>#DIV/0!</v>
      </c>
      <c r="Q74" s="488" t="e">
        <f t="shared" si="8"/>
        <v>#DIV/0!</v>
      </c>
      <c r="R74" s="651" t="e">
        <f>SUM(Q$13:Q74)</f>
        <v>#DIV/0!</v>
      </c>
      <c r="S74" s="500" t="e">
        <f t="shared" si="9"/>
        <v>#DIV/0!</v>
      </c>
      <c r="T74" s="500"/>
      <c r="U74" s="500"/>
      <c r="V74" s="500"/>
      <c r="W74" s="500"/>
      <c r="X74" s="1145" t="e">
        <f t="shared" si="26"/>
        <v>#DIV/0!</v>
      </c>
      <c r="Y74" s="500" t="e">
        <f>(A75-(X74/0.9))/M74</f>
        <v>#DIV/0!</v>
      </c>
      <c r="Z74" s="500"/>
      <c r="AA74" s="500"/>
      <c r="AB74" s="517"/>
    </row>
    <row r="75" spans="1:28">
      <c r="A75" s="504"/>
      <c r="B75" s="482">
        <v>0</v>
      </c>
      <c r="C75" s="483"/>
      <c r="D75" s="671"/>
      <c r="E75" s="672"/>
      <c r="F75" s="673"/>
      <c r="G75" s="674" t="e">
        <f t="shared" si="7"/>
        <v>#DIV/0!</v>
      </c>
      <c r="H75" s="672"/>
      <c r="I75" s="672"/>
      <c r="J75" s="672"/>
      <c r="K75" s="672"/>
      <c r="L75" s="675" t="e">
        <f t="shared" si="24"/>
        <v>#DIV/0!</v>
      </c>
      <c r="M75" s="483" t="e">
        <f t="shared" si="11"/>
        <v>#DIV/0!</v>
      </c>
      <c r="N75" s="1140" t="e">
        <f t="shared" si="14"/>
        <v>#DIV/0!</v>
      </c>
      <c r="O75" s="1141">
        <f t="shared" si="25"/>
        <v>0</v>
      </c>
      <c r="P75" s="497" t="e">
        <f t="shared" si="16"/>
        <v>#DIV/0!</v>
      </c>
      <c r="Q75" s="488" t="e">
        <f t="shared" si="8"/>
        <v>#DIV/0!</v>
      </c>
      <c r="R75" s="651" t="e">
        <f>SUM(Q$13:Q75)</f>
        <v>#DIV/0!</v>
      </c>
      <c r="S75" s="500" t="e">
        <f t="shared" si="9"/>
        <v>#DIV/0!</v>
      </c>
      <c r="T75" s="500"/>
      <c r="U75" s="500"/>
      <c r="V75" s="500"/>
      <c r="W75" s="500"/>
      <c r="X75" s="1145" t="e">
        <f t="shared" si="26"/>
        <v>#DIV/0!</v>
      </c>
      <c r="Y75" s="500" t="e">
        <f>(A76-(X75/0.9))/M75</f>
        <v>#DIV/0!</v>
      </c>
      <c r="Z75" s="500"/>
      <c r="AA75" s="500"/>
      <c r="AB75" s="517"/>
    </row>
    <row r="76" spans="1:28">
      <c r="A76" s="504"/>
      <c r="B76" s="482">
        <v>0</v>
      </c>
      <c r="C76" s="483"/>
      <c r="D76" s="671"/>
      <c r="E76" s="672"/>
      <c r="F76" s="673"/>
      <c r="G76" s="674" t="e">
        <f t="shared" si="7"/>
        <v>#DIV/0!</v>
      </c>
      <c r="H76" s="672"/>
      <c r="I76" s="672"/>
      <c r="J76" s="672"/>
      <c r="K76" s="672"/>
      <c r="L76" s="675" t="e">
        <f t="shared" si="24"/>
        <v>#DIV/0!</v>
      </c>
      <c r="M76" s="483" t="e">
        <f t="shared" si="11"/>
        <v>#DIV/0!</v>
      </c>
      <c r="N76" s="1140" t="e">
        <f t="shared" si="14"/>
        <v>#DIV/0!</v>
      </c>
      <c r="O76" s="1141">
        <f t="shared" si="25"/>
        <v>0</v>
      </c>
      <c r="P76" s="497" t="e">
        <f t="shared" si="16"/>
        <v>#DIV/0!</v>
      </c>
      <c r="Q76" s="488" t="e">
        <f t="shared" si="8"/>
        <v>#DIV/0!</v>
      </c>
      <c r="R76" s="651" t="e">
        <f>SUM(Q$13:Q76)</f>
        <v>#DIV/0!</v>
      </c>
      <c r="S76" s="500" t="e">
        <f t="shared" si="9"/>
        <v>#DIV/0!</v>
      </c>
      <c r="T76" s="500"/>
      <c r="U76" s="500"/>
      <c r="V76" s="500"/>
      <c r="W76" s="500"/>
      <c r="X76" s="1145" t="e">
        <f t="shared" si="26"/>
        <v>#DIV/0!</v>
      </c>
      <c r="Y76" s="500" t="e">
        <f>(A77-(X76/0.9))/M76</f>
        <v>#DIV/0!</v>
      </c>
      <c r="Z76" s="500"/>
      <c r="AA76" s="500"/>
      <c r="AB76" s="517"/>
    </row>
    <row r="77" spans="1:28">
      <c r="A77" s="504"/>
      <c r="B77" s="482">
        <v>0</v>
      </c>
      <c r="C77" s="483"/>
      <c r="D77" s="671"/>
      <c r="E77" s="672"/>
      <c r="F77" s="673"/>
      <c r="G77" s="674" t="e">
        <f t="shared" si="7"/>
        <v>#DIV/0!</v>
      </c>
      <c r="H77" s="672"/>
      <c r="I77" s="672"/>
      <c r="J77" s="672"/>
      <c r="K77" s="672"/>
      <c r="L77" s="675" t="e">
        <f t="shared" si="24"/>
        <v>#DIV/0!</v>
      </c>
      <c r="M77" s="483" t="e">
        <f t="shared" si="11"/>
        <v>#DIV/0!</v>
      </c>
      <c r="N77" s="1140" t="e">
        <f t="shared" si="14"/>
        <v>#DIV/0!</v>
      </c>
      <c r="O77" s="1141">
        <f t="shared" si="25"/>
        <v>0</v>
      </c>
      <c r="P77" s="497" t="e">
        <f t="shared" si="16"/>
        <v>#DIV/0!</v>
      </c>
      <c r="Q77" s="488" t="e">
        <f t="shared" si="8"/>
        <v>#DIV/0!</v>
      </c>
      <c r="R77" s="651" t="e">
        <f>SUM(Q$13:Q77)</f>
        <v>#DIV/0!</v>
      </c>
      <c r="S77" s="500" t="e">
        <f t="shared" si="9"/>
        <v>#DIV/0!</v>
      </c>
      <c r="T77" s="500"/>
      <c r="U77" s="500"/>
      <c r="V77" s="500"/>
      <c r="W77" s="500"/>
      <c r="X77" s="1145" t="e">
        <f t="shared" si="26"/>
        <v>#DIV/0!</v>
      </c>
      <c r="Y77" s="500" t="e">
        <f t="shared" ref="Y77:Y79" si="27">(A78-(X77/0.9))/M77</f>
        <v>#DIV/0!</v>
      </c>
      <c r="Z77" s="500"/>
      <c r="AA77" s="500"/>
      <c r="AB77" s="517"/>
    </row>
    <row r="78" spans="1:28">
      <c r="A78" s="504"/>
      <c r="B78" s="482">
        <v>0</v>
      </c>
      <c r="C78" s="483"/>
      <c r="D78" s="671"/>
      <c r="E78" s="672"/>
      <c r="F78" s="673"/>
      <c r="G78" s="674" t="e">
        <f t="shared" si="7"/>
        <v>#DIV/0!</v>
      </c>
      <c r="H78" s="672"/>
      <c r="I78" s="672"/>
      <c r="J78" s="672"/>
      <c r="K78" s="672"/>
      <c r="L78" s="675" t="e">
        <f t="shared" si="24"/>
        <v>#DIV/0!</v>
      </c>
      <c r="M78" s="483" t="e">
        <f t="shared" si="11"/>
        <v>#DIV/0!</v>
      </c>
      <c r="N78" s="1140" t="e">
        <f t="shared" si="14"/>
        <v>#DIV/0!</v>
      </c>
      <c r="O78" s="1141">
        <f t="shared" si="25"/>
        <v>0</v>
      </c>
      <c r="P78" s="497" t="e">
        <f t="shared" si="16"/>
        <v>#DIV/0!</v>
      </c>
      <c r="Q78" s="488" t="e">
        <f t="shared" si="8"/>
        <v>#DIV/0!</v>
      </c>
      <c r="R78" s="651" t="e">
        <f>SUM(Q$13:Q78)</f>
        <v>#DIV/0!</v>
      </c>
      <c r="S78" s="500" t="e">
        <f t="shared" si="9"/>
        <v>#DIV/0!</v>
      </c>
      <c r="T78" s="500"/>
      <c r="U78" s="500"/>
      <c r="V78" s="500"/>
      <c r="W78" s="500"/>
      <c r="X78" s="1145" t="e">
        <f t="shared" si="26"/>
        <v>#DIV/0!</v>
      </c>
      <c r="Y78" s="500" t="e">
        <f t="shared" si="27"/>
        <v>#DIV/0!</v>
      </c>
      <c r="Z78" s="500"/>
      <c r="AA78" s="500"/>
      <c r="AB78" s="517"/>
    </row>
    <row r="79" spans="1:28">
      <c r="A79" s="504"/>
      <c r="B79" s="482">
        <v>0</v>
      </c>
      <c r="C79" s="483"/>
      <c r="D79" s="671"/>
      <c r="E79" s="672"/>
      <c r="F79" s="673"/>
      <c r="G79" s="674" t="e">
        <f t="shared" si="7"/>
        <v>#DIV/0!</v>
      </c>
      <c r="H79" s="672"/>
      <c r="I79" s="672"/>
      <c r="J79" s="672"/>
      <c r="K79" s="672"/>
      <c r="L79" s="675" t="e">
        <f t="shared" si="24"/>
        <v>#DIV/0!</v>
      </c>
      <c r="M79" s="483" t="e">
        <f t="shared" si="11"/>
        <v>#DIV/0!</v>
      </c>
      <c r="N79" s="1140" t="e">
        <f t="shared" si="14"/>
        <v>#DIV/0!</v>
      </c>
      <c r="O79" s="1141">
        <f t="shared" si="25"/>
        <v>0</v>
      </c>
      <c r="P79" s="497" t="e">
        <f t="shared" si="16"/>
        <v>#DIV/0!</v>
      </c>
      <c r="Q79" s="488" t="e">
        <f t="shared" si="8"/>
        <v>#DIV/0!</v>
      </c>
      <c r="R79" s="651" t="e">
        <f>SUM(Q$13:Q79)</f>
        <v>#DIV/0!</v>
      </c>
      <c r="S79" s="500" t="e">
        <f t="shared" si="9"/>
        <v>#DIV/0!</v>
      </c>
      <c r="T79" s="500"/>
      <c r="U79" s="500"/>
      <c r="V79" s="500"/>
      <c r="W79" s="500"/>
      <c r="X79" s="1145" t="e">
        <f t="shared" si="26"/>
        <v>#DIV/0!</v>
      </c>
      <c r="Y79" s="500" t="e">
        <f t="shared" si="27"/>
        <v>#VALUE!</v>
      </c>
      <c r="Z79" s="500"/>
      <c r="AA79" s="500"/>
      <c r="AB79" s="517"/>
    </row>
    <row r="80" spans="1:28">
      <c r="A80" s="529" t="s">
        <v>140</v>
      </c>
      <c r="B80" s="530"/>
      <c r="C80" s="531"/>
      <c r="D80" s="531"/>
      <c r="E80" s="531"/>
      <c r="F80" s="531"/>
      <c r="G80" s="676"/>
      <c r="H80" s="531"/>
      <c r="I80" s="531"/>
      <c r="J80" s="531"/>
      <c r="K80" s="531"/>
      <c r="L80" s="677"/>
      <c r="M80" s="531"/>
      <c r="N80" s="1140"/>
      <c r="O80" s="1141"/>
      <c r="P80" s="535"/>
      <c r="Q80" s="680"/>
      <c r="R80" s="681"/>
      <c r="S80" s="538"/>
      <c r="T80" s="538"/>
      <c r="U80" s="538"/>
      <c r="V80" s="538"/>
      <c r="W80" s="538"/>
      <c r="X80" s="1145"/>
      <c r="Y80" s="538"/>
      <c r="Z80" s="538"/>
      <c r="AA80" s="538"/>
      <c r="AB80" s="539"/>
    </row>
    <row r="81" spans="1:28">
      <c r="A81" s="540"/>
      <c r="B81" s="541"/>
      <c r="C81" s="542"/>
      <c r="D81" s="542"/>
      <c r="E81" s="542"/>
      <c r="F81" s="542"/>
      <c r="G81" s="682"/>
      <c r="H81" s="542"/>
      <c r="I81" s="542"/>
      <c r="J81" s="542"/>
      <c r="K81" s="542"/>
      <c r="L81" s="683"/>
      <c r="M81" s="542"/>
      <c r="N81" s="1170"/>
      <c r="O81" s="1171"/>
      <c r="P81" s="686"/>
      <c r="Q81" s="547"/>
      <c r="R81" s="687"/>
      <c r="S81" s="688"/>
      <c r="T81" s="688"/>
      <c r="U81" s="688"/>
      <c r="V81" s="688"/>
      <c r="W81" s="688"/>
      <c r="X81" s="1185"/>
      <c r="Y81" s="688"/>
      <c r="Z81" s="688"/>
      <c r="AA81" s="688"/>
      <c r="AB81" s="550"/>
    </row>
    <row r="82" spans="1:28" ht="10.8" thickBot="1">
      <c r="A82" s="551"/>
      <c r="B82" s="552"/>
      <c r="C82" s="553"/>
      <c r="D82" s="553"/>
      <c r="E82" s="553"/>
      <c r="F82" s="553"/>
      <c r="G82" s="689"/>
      <c r="H82" s="553"/>
      <c r="I82" s="553"/>
      <c r="J82" s="553"/>
      <c r="K82" s="553"/>
      <c r="L82" s="690"/>
      <c r="M82" s="553"/>
      <c r="N82" s="1172"/>
      <c r="O82" s="1173"/>
      <c r="P82" s="693"/>
      <c r="Q82" s="558"/>
      <c r="R82" s="694"/>
      <c r="S82" s="695"/>
      <c r="T82" s="695"/>
      <c r="U82" s="695"/>
      <c r="V82" s="695"/>
      <c r="W82" s="695"/>
      <c r="X82" s="1186"/>
      <c r="Y82" s="695"/>
      <c r="Z82" s="695"/>
      <c r="AA82" s="695"/>
      <c r="AB82" s="561"/>
    </row>
    <row r="83" spans="1:28">
      <c r="A83" s="564"/>
      <c r="B83" s="564"/>
      <c r="C83" s="565"/>
      <c r="D83" s="566"/>
      <c r="E83" s="566"/>
      <c r="F83" s="566"/>
      <c r="G83" s="567"/>
      <c r="H83" s="568"/>
      <c r="I83" s="569"/>
      <c r="J83" s="570"/>
      <c r="K83" s="571"/>
      <c r="L83" s="572"/>
      <c r="M83" s="458"/>
      <c r="O83" s="520"/>
      <c r="P83" s="578"/>
    </row>
    <row r="84" spans="1:28">
      <c r="A84" s="458"/>
      <c r="B84" s="458"/>
      <c r="C84" s="573"/>
      <c r="D84" s="573"/>
      <c r="E84" s="573"/>
      <c r="F84" s="573"/>
      <c r="G84" s="569"/>
      <c r="H84" s="568"/>
      <c r="I84" s="569"/>
      <c r="J84" s="570"/>
      <c r="K84" s="574"/>
      <c r="L84" s="572"/>
      <c r="M84" s="458"/>
      <c r="O84" s="520"/>
      <c r="P84" s="578"/>
    </row>
    <row r="85" spans="1:28">
      <c r="A85" s="575"/>
      <c r="B85" s="575"/>
      <c r="C85" s="575"/>
      <c r="D85" s="575"/>
      <c r="E85" s="570"/>
      <c r="F85" s="576"/>
      <c r="G85" s="458"/>
      <c r="H85" s="516"/>
      <c r="I85" s="458"/>
      <c r="J85" s="516"/>
      <c r="K85" s="516"/>
      <c r="L85" s="458"/>
      <c r="M85" s="458"/>
      <c r="O85" s="520"/>
      <c r="P85" s="578"/>
    </row>
    <row r="86" spans="1:28">
      <c r="A86" s="577"/>
      <c r="B86" s="577"/>
      <c r="C86" s="575"/>
      <c r="D86" s="575"/>
      <c r="E86" s="570"/>
      <c r="F86" s="576"/>
      <c r="G86" s="516"/>
      <c r="H86" s="516"/>
      <c r="I86" s="458"/>
      <c r="J86" s="516"/>
      <c r="K86" s="516"/>
      <c r="L86" s="458"/>
      <c r="M86" s="458"/>
      <c r="O86" s="520"/>
      <c r="P86" s="578"/>
    </row>
    <row r="87" spans="1:28">
      <c r="A87" s="451"/>
      <c r="B87" s="451"/>
      <c r="C87" s="575"/>
      <c r="D87" s="575"/>
      <c r="E87" s="570"/>
      <c r="F87" s="576"/>
      <c r="G87" s="516"/>
      <c r="H87" s="516"/>
      <c r="I87" s="458"/>
      <c r="J87" s="516"/>
      <c r="K87" s="516"/>
      <c r="L87" s="458"/>
      <c r="M87" s="458"/>
      <c r="O87" s="520"/>
      <c r="P87" s="578"/>
    </row>
    <row r="88" spans="1:28">
      <c r="A88" s="575"/>
      <c r="B88" s="575"/>
      <c r="C88" s="575"/>
      <c r="D88" s="575"/>
      <c r="E88" s="570"/>
      <c r="F88" s="576"/>
      <c r="G88" s="516"/>
      <c r="H88" s="516"/>
      <c r="I88" s="458"/>
      <c r="J88" s="516"/>
      <c r="K88" s="516"/>
      <c r="L88" s="458"/>
      <c r="M88" s="458"/>
      <c r="O88" s="520"/>
      <c r="P88" s="578"/>
    </row>
    <row r="89" spans="1:28" s="575" customFormat="1">
      <c r="E89" s="570"/>
      <c r="F89" s="576"/>
      <c r="G89" s="516"/>
      <c r="H89" s="516"/>
      <c r="I89" s="458"/>
      <c r="J89" s="569"/>
      <c r="K89" s="516"/>
      <c r="L89" s="458"/>
      <c r="M89" s="458"/>
      <c r="N89" s="520"/>
      <c r="O89" s="520"/>
      <c r="P89" s="578"/>
      <c r="Q89" s="578"/>
      <c r="R89" s="578"/>
      <c r="S89" s="578"/>
      <c r="T89" s="578"/>
      <c r="U89" s="578"/>
      <c r="V89" s="578"/>
      <c r="W89" s="578"/>
      <c r="X89" s="1187"/>
      <c r="Y89" s="578"/>
      <c r="Z89" s="578"/>
      <c r="AA89" s="578"/>
      <c r="AB89" s="516"/>
    </row>
    <row r="90" spans="1:28" s="575" customFormat="1">
      <c r="E90" s="570"/>
      <c r="F90" s="576"/>
      <c r="G90" s="516"/>
      <c r="H90" s="516"/>
      <c r="I90" s="458"/>
      <c r="J90" s="569"/>
      <c r="K90" s="516"/>
      <c r="L90" s="458"/>
      <c r="M90" s="458"/>
      <c r="N90" s="520"/>
      <c r="O90" s="520"/>
      <c r="P90" s="578"/>
      <c r="Q90" s="578"/>
      <c r="R90" s="578"/>
      <c r="S90" s="578"/>
      <c r="T90" s="578"/>
      <c r="U90" s="578"/>
      <c r="V90" s="578"/>
      <c r="W90" s="578"/>
      <c r="X90" s="1187"/>
      <c r="Y90" s="578"/>
      <c r="Z90" s="578"/>
      <c r="AA90" s="578"/>
      <c r="AB90" s="516"/>
    </row>
    <row r="91" spans="1:28" s="575" customFormat="1">
      <c r="E91" s="570"/>
      <c r="F91" s="576"/>
      <c r="G91" s="516"/>
      <c r="H91" s="516"/>
      <c r="I91" s="458"/>
      <c r="J91" s="516"/>
      <c r="K91" s="516"/>
      <c r="L91" s="458"/>
      <c r="M91" s="458"/>
      <c r="N91" s="520"/>
      <c r="O91" s="520"/>
      <c r="P91" s="578"/>
      <c r="Q91" s="578"/>
      <c r="R91" s="578"/>
      <c r="S91" s="578"/>
      <c r="T91" s="578"/>
      <c r="U91" s="578"/>
      <c r="V91" s="578"/>
      <c r="W91" s="578"/>
      <c r="X91" s="1187"/>
      <c r="Y91" s="578"/>
      <c r="Z91" s="578"/>
      <c r="AA91" s="578"/>
      <c r="AB91" s="516"/>
    </row>
    <row r="92" spans="1:28" s="575" customFormat="1">
      <c r="E92" s="570"/>
      <c r="F92" s="576"/>
      <c r="G92" s="516"/>
      <c r="H92" s="516"/>
      <c r="I92" s="458"/>
      <c r="J92" s="516"/>
      <c r="K92" s="516"/>
      <c r="L92" s="458"/>
      <c r="M92" s="458"/>
      <c r="N92" s="520"/>
      <c r="O92" s="520"/>
      <c r="P92" s="578"/>
      <c r="Q92" s="578"/>
      <c r="R92" s="578"/>
      <c r="S92" s="578"/>
      <c r="T92" s="578"/>
      <c r="U92" s="578"/>
      <c r="V92" s="578"/>
      <c r="W92" s="578"/>
      <c r="X92" s="1187"/>
      <c r="Y92" s="578"/>
      <c r="Z92" s="578"/>
      <c r="AA92" s="578"/>
      <c r="AB92" s="516"/>
    </row>
    <row r="93" spans="1:28" s="575" customFormat="1">
      <c r="E93" s="570"/>
      <c r="F93" s="576"/>
      <c r="G93" s="516"/>
      <c r="H93" s="516"/>
      <c r="I93" s="458"/>
      <c r="J93" s="516"/>
      <c r="K93" s="516"/>
      <c r="L93" s="458"/>
      <c r="M93" s="458"/>
      <c r="N93" s="520"/>
      <c r="O93" s="520"/>
      <c r="P93" s="578"/>
      <c r="Q93" s="578"/>
      <c r="R93" s="578"/>
      <c r="S93" s="578"/>
      <c r="T93" s="578"/>
      <c r="U93" s="578"/>
      <c r="V93" s="578"/>
      <c r="W93" s="578"/>
      <c r="X93" s="1187"/>
      <c r="Y93" s="578"/>
      <c r="Z93" s="578"/>
      <c r="AA93" s="578"/>
      <c r="AB93" s="516"/>
    </row>
    <row r="94" spans="1:28" s="575" customFormat="1">
      <c r="E94" s="570"/>
      <c r="F94" s="576"/>
      <c r="G94" s="516"/>
      <c r="H94" s="516"/>
      <c r="I94" s="458"/>
      <c r="J94" s="516"/>
      <c r="K94" s="516"/>
      <c r="L94" s="458"/>
      <c r="M94" s="458"/>
      <c r="N94" s="520"/>
      <c r="O94" s="520"/>
      <c r="P94" s="578"/>
      <c r="Q94" s="578"/>
      <c r="R94" s="578"/>
      <c r="S94" s="578"/>
      <c r="T94" s="578"/>
      <c r="U94" s="578"/>
      <c r="V94" s="578"/>
      <c r="W94" s="578"/>
      <c r="X94" s="1187"/>
      <c r="Y94" s="578"/>
      <c r="Z94" s="578"/>
      <c r="AA94" s="578"/>
      <c r="AB94" s="516"/>
    </row>
    <row r="95" spans="1:28" s="575" customFormat="1">
      <c r="E95" s="570"/>
      <c r="F95" s="576"/>
      <c r="G95" s="516"/>
      <c r="H95" s="516"/>
      <c r="I95" s="458"/>
      <c r="J95" s="516"/>
      <c r="K95" s="516"/>
      <c r="L95" s="458"/>
      <c r="M95" s="458"/>
      <c r="N95" s="520"/>
      <c r="O95" s="520"/>
      <c r="P95" s="578"/>
      <c r="Q95" s="578"/>
      <c r="R95" s="578"/>
      <c r="S95" s="578"/>
      <c r="T95" s="578"/>
      <c r="U95" s="578"/>
      <c r="V95" s="578"/>
      <c r="W95" s="578"/>
      <c r="X95" s="1187"/>
      <c r="Y95" s="578"/>
      <c r="Z95" s="578"/>
      <c r="AA95" s="578"/>
      <c r="AB95" s="516"/>
    </row>
    <row r="96" spans="1:28" s="575" customFormat="1">
      <c r="E96" s="570"/>
      <c r="F96" s="576"/>
      <c r="G96" s="516"/>
      <c r="H96" s="516"/>
      <c r="I96" s="458"/>
      <c r="J96" s="516"/>
      <c r="K96" s="516"/>
      <c r="L96" s="458"/>
      <c r="M96" s="516"/>
      <c r="N96" s="520"/>
      <c r="O96" s="520"/>
      <c r="P96" s="578"/>
      <c r="Q96" s="578"/>
      <c r="R96" s="578"/>
      <c r="S96" s="578"/>
      <c r="T96" s="578"/>
      <c r="U96" s="578"/>
      <c r="V96" s="578"/>
      <c r="W96" s="578"/>
      <c r="X96" s="1187"/>
      <c r="Y96" s="578"/>
      <c r="Z96" s="578"/>
      <c r="AA96" s="578"/>
      <c r="AB96" s="516"/>
    </row>
    <row r="97" spans="5:28" s="575" customFormat="1">
      <c r="E97" s="570"/>
      <c r="F97" s="576"/>
      <c r="G97" s="516"/>
      <c r="H97" s="516"/>
      <c r="I97" s="458"/>
      <c r="J97" s="516"/>
      <c r="K97" s="516"/>
      <c r="L97" s="458"/>
      <c r="M97" s="516"/>
      <c r="N97" s="520"/>
      <c r="O97" s="520"/>
      <c r="P97" s="578"/>
      <c r="Q97" s="578"/>
      <c r="R97" s="578"/>
      <c r="S97" s="578"/>
      <c r="T97" s="578"/>
      <c r="U97" s="578"/>
      <c r="V97" s="578"/>
      <c r="W97" s="578"/>
      <c r="X97" s="1187"/>
      <c r="Y97" s="578"/>
      <c r="Z97" s="578"/>
      <c r="AA97" s="578"/>
      <c r="AB97" s="516"/>
    </row>
    <row r="98" spans="5:28" s="575" customFormat="1">
      <c r="E98" s="570"/>
      <c r="F98" s="576"/>
      <c r="G98" s="516"/>
      <c r="H98" s="516"/>
      <c r="I98" s="458"/>
      <c r="J98" s="516"/>
      <c r="K98" s="516"/>
      <c r="L98" s="516"/>
      <c r="M98" s="516"/>
      <c r="N98" s="520"/>
      <c r="O98" s="520"/>
      <c r="P98" s="578"/>
      <c r="Q98" s="578"/>
      <c r="R98" s="578"/>
      <c r="S98" s="578"/>
      <c r="T98" s="578"/>
      <c r="U98" s="578"/>
      <c r="V98" s="578"/>
      <c r="W98" s="578"/>
      <c r="X98" s="1187"/>
      <c r="Y98" s="578"/>
      <c r="Z98" s="578"/>
      <c r="AA98" s="578"/>
      <c r="AB98" s="516"/>
    </row>
    <row r="99" spans="5:28" s="575" customFormat="1">
      <c r="E99" s="570"/>
      <c r="F99" s="576"/>
      <c r="G99" s="516"/>
      <c r="H99" s="516"/>
      <c r="I99" s="458"/>
      <c r="J99" s="516"/>
      <c r="K99" s="516"/>
      <c r="L99" s="516"/>
      <c r="M99" s="516"/>
      <c r="N99" s="520"/>
      <c r="O99" s="520"/>
      <c r="P99" s="578"/>
      <c r="Q99" s="578"/>
      <c r="R99" s="578"/>
      <c r="S99" s="578"/>
      <c r="T99" s="578"/>
      <c r="U99" s="578"/>
      <c r="V99" s="578"/>
      <c r="W99" s="578"/>
      <c r="X99" s="1187"/>
      <c r="Y99" s="578"/>
      <c r="Z99" s="578"/>
      <c r="AA99" s="578"/>
      <c r="AB99" s="516"/>
    </row>
    <row r="100" spans="5:28" s="575" customFormat="1">
      <c r="E100" s="570"/>
      <c r="F100" s="576"/>
      <c r="G100" s="516"/>
      <c r="H100" s="516"/>
      <c r="I100" s="458"/>
      <c r="J100" s="516"/>
      <c r="K100" s="516"/>
      <c r="L100" s="516"/>
      <c r="M100" s="516"/>
      <c r="N100" s="520"/>
      <c r="O100" s="520"/>
      <c r="P100" s="578"/>
      <c r="Q100" s="578"/>
      <c r="R100" s="578"/>
      <c r="S100" s="578"/>
      <c r="T100" s="578"/>
      <c r="U100" s="578"/>
      <c r="V100" s="578"/>
      <c r="W100" s="578"/>
      <c r="X100" s="1187"/>
      <c r="Y100" s="578"/>
      <c r="Z100" s="578"/>
      <c r="AA100" s="578"/>
      <c r="AB100" s="516"/>
    </row>
    <row r="101" spans="5:28" s="575" customFormat="1">
      <c r="E101" s="570"/>
      <c r="F101" s="576"/>
      <c r="G101" s="516"/>
      <c r="H101" s="516"/>
      <c r="I101" s="458"/>
      <c r="J101" s="516"/>
      <c r="K101" s="516"/>
      <c r="L101" s="516"/>
      <c r="M101" s="516"/>
      <c r="N101" s="520"/>
      <c r="O101" s="520"/>
      <c r="P101" s="578"/>
      <c r="Q101" s="578"/>
      <c r="R101" s="578"/>
      <c r="S101" s="578"/>
      <c r="T101" s="578"/>
      <c r="U101" s="578"/>
      <c r="V101" s="578"/>
      <c r="W101" s="578"/>
      <c r="X101" s="1187"/>
      <c r="Y101" s="578"/>
      <c r="Z101" s="578"/>
      <c r="AA101" s="578"/>
      <c r="AB101" s="516"/>
    </row>
    <row r="102" spans="5:28" s="575" customFormat="1">
      <c r="E102" s="570"/>
      <c r="F102" s="576"/>
      <c r="G102" s="516"/>
      <c r="H102" s="516"/>
      <c r="I102" s="458"/>
      <c r="J102" s="516"/>
      <c r="K102" s="516"/>
      <c r="L102" s="516"/>
      <c r="M102" s="516"/>
      <c r="N102" s="520"/>
      <c r="O102" s="520"/>
      <c r="P102" s="578"/>
      <c r="Q102" s="578"/>
      <c r="R102" s="578"/>
      <c r="S102" s="578"/>
      <c r="T102" s="578"/>
      <c r="U102" s="578"/>
      <c r="V102" s="578"/>
      <c r="W102" s="578"/>
      <c r="X102" s="1187"/>
      <c r="Y102" s="578"/>
      <c r="Z102" s="578"/>
      <c r="AA102" s="578"/>
      <c r="AB102" s="516"/>
    </row>
    <row r="103" spans="5:28" s="575" customFormat="1">
      <c r="E103" s="570"/>
      <c r="F103" s="576"/>
      <c r="G103" s="516"/>
      <c r="H103" s="516"/>
      <c r="I103" s="458"/>
      <c r="J103" s="516"/>
      <c r="K103" s="516"/>
      <c r="L103" s="516"/>
      <c r="M103" s="516"/>
      <c r="N103" s="520"/>
      <c r="O103" s="520"/>
      <c r="P103" s="578"/>
      <c r="Q103" s="578"/>
      <c r="R103" s="578"/>
      <c r="S103" s="578"/>
      <c r="T103" s="578"/>
      <c r="U103" s="578"/>
      <c r="V103" s="578"/>
      <c r="W103" s="578"/>
      <c r="X103" s="1187"/>
      <c r="Y103" s="578"/>
      <c r="Z103" s="578"/>
      <c r="AA103" s="578"/>
      <c r="AB103" s="516"/>
    </row>
    <row r="104" spans="5:28" s="575" customFormat="1">
      <c r="E104" s="570"/>
      <c r="F104" s="576"/>
      <c r="G104" s="516"/>
      <c r="H104" s="516"/>
      <c r="I104" s="458"/>
      <c r="J104" s="516"/>
      <c r="K104" s="516"/>
      <c r="L104" s="516"/>
      <c r="M104" s="516"/>
      <c r="N104" s="520"/>
      <c r="O104" s="520"/>
      <c r="P104" s="578"/>
      <c r="Q104" s="578"/>
      <c r="R104" s="578"/>
      <c r="S104" s="578"/>
      <c r="T104" s="578"/>
      <c r="U104" s="578"/>
      <c r="V104" s="578"/>
      <c r="W104" s="578"/>
      <c r="X104" s="1187"/>
      <c r="Y104" s="578"/>
      <c r="Z104" s="578"/>
      <c r="AA104" s="578"/>
      <c r="AB104" s="516"/>
    </row>
    <row r="105" spans="5:28" s="575" customFormat="1">
      <c r="E105" s="570"/>
      <c r="F105" s="576"/>
      <c r="G105" s="516"/>
      <c r="H105" s="516"/>
      <c r="I105" s="458"/>
      <c r="J105" s="516"/>
      <c r="K105" s="516"/>
      <c r="L105" s="516"/>
      <c r="M105" s="516"/>
      <c r="N105" s="520"/>
      <c r="O105" s="520"/>
      <c r="P105" s="578"/>
      <c r="Q105" s="578"/>
      <c r="R105" s="578"/>
      <c r="S105" s="578"/>
      <c r="T105" s="578"/>
      <c r="U105" s="578"/>
      <c r="V105" s="578"/>
      <c r="W105" s="578"/>
      <c r="X105" s="1187"/>
      <c r="Y105" s="578"/>
      <c r="Z105" s="578"/>
      <c r="AA105" s="578"/>
      <c r="AB105" s="516"/>
    </row>
    <row r="106" spans="5:28" s="575" customFormat="1">
      <c r="E106" s="570"/>
      <c r="F106" s="576"/>
      <c r="G106" s="516"/>
      <c r="H106" s="516"/>
      <c r="I106" s="458"/>
      <c r="J106" s="516"/>
      <c r="K106" s="516"/>
      <c r="L106" s="516"/>
      <c r="M106" s="516"/>
      <c r="N106" s="520"/>
      <c r="O106" s="520"/>
      <c r="P106" s="578"/>
      <c r="Q106" s="578"/>
      <c r="R106" s="578"/>
      <c r="S106" s="578"/>
      <c r="T106" s="578"/>
      <c r="U106" s="578"/>
      <c r="V106" s="578"/>
      <c r="W106" s="578"/>
      <c r="X106" s="1187"/>
      <c r="Y106" s="578"/>
      <c r="Z106" s="578"/>
      <c r="AA106" s="578"/>
      <c r="AB106" s="516"/>
    </row>
    <row r="107" spans="5:28" s="575" customFormat="1">
      <c r="E107" s="570"/>
      <c r="F107" s="576"/>
      <c r="G107" s="516"/>
      <c r="H107" s="516"/>
      <c r="I107" s="458"/>
      <c r="J107" s="516"/>
      <c r="K107" s="516"/>
      <c r="L107" s="516"/>
      <c r="M107" s="516"/>
      <c r="N107" s="520"/>
      <c r="O107" s="520"/>
      <c r="P107" s="578"/>
      <c r="Q107" s="578"/>
      <c r="R107" s="578"/>
      <c r="S107" s="578"/>
      <c r="T107" s="578"/>
      <c r="U107" s="578"/>
      <c r="V107" s="578"/>
      <c r="W107" s="578"/>
      <c r="X107" s="1187"/>
      <c r="Y107" s="578"/>
      <c r="Z107" s="578"/>
      <c r="AA107" s="578"/>
      <c r="AB107" s="516"/>
    </row>
    <row r="108" spans="5:28" s="575" customFormat="1">
      <c r="E108" s="570"/>
      <c r="F108" s="576"/>
      <c r="G108" s="516"/>
      <c r="H108" s="516"/>
      <c r="I108" s="458"/>
      <c r="J108" s="516"/>
      <c r="K108" s="516"/>
      <c r="L108" s="516"/>
      <c r="M108" s="516"/>
      <c r="N108" s="520"/>
      <c r="O108" s="520"/>
      <c r="P108" s="578"/>
      <c r="Q108" s="578"/>
      <c r="R108" s="578"/>
      <c r="S108" s="578"/>
      <c r="T108" s="578"/>
      <c r="U108" s="578"/>
      <c r="V108" s="578"/>
      <c r="W108" s="578"/>
      <c r="X108" s="1187"/>
      <c r="Y108" s="578"/>
      <c r="Z108" s="578"/>
      <c r="AA108" s="578"/>
      <c r="AB108" s="516"/>
    </row>
    <row r="109" spans="5:28" s="575" customFormat="1">
      <c r="E109" s="570"/>
      <c r="F109" s="576"/>
      <c r="G109" s="578"/>
      <c r="H109" s="516"/>
      <c r="I109" s="458"/>
      <c r="J109" s="516"/>
      <c r="K109" s="516"/>
      <c r="L109" s="516"/>
      <c r="M109" s="516"/>
      <c r="N109" s="520"/>
      <c r="O109" s="520"/>
      <c r="P109" s="578"/>
      <c r="Q109" s="578"/>
      <c r="R109" s="578"/>
      <c r="S109" s="578"/>
      <c r="T109" s="578"/>
      <c r="U109" s="578"/>
      <c r="V109" s="578"/>
      <c r="W109" s="578"/>
      <c r="X109" s="1187"/>
      <c r="Y109" s="578"/>
      <c r="Z109" s="578"/>
      <c r="AA109" s="578"/>
      <c r="AB109" s="516"/>
    </row>
    <row r="110" spans="5:28" s="575" customFormat="1">
      <c r="E110" s="570"/>
      <c r="F110" s="576"/>
      <c r="G110" s="578"/>
      <c r="H110" s="516"/>
      <c r="I110" s="458"/>
      <c r="J110" s="516"/>
      <c r="K110" s="516"/>
      <c r="L110" s="516"/>
      <c r="M110" s="516"/>
      <c r="N110" s="520"/>
      <c r="O110" s="520"/>
      <c r="P110" s="578"/>
      <c r="Q110" s="578"/>
      <c r="R110" s="578"/>
      <c r="S110" s="578"/>
      <c r="T110" s="578"/>
      <c r="U110" s="578"/>
      <c r="V110" s="578"/>
      <c r="W110" s="578"/>
      <c r="X110" s="1187"/>
      <c r="Y110" s="578"/>
      <c r="Z110" s="578"/>
      <c r="AA110" s="578"/>
      <c r="AB110" s="516"/>
    </row>
    <row r="111" spans="5:28" s="575" customFormat="1">
      <c r="E111" s="570"/>
      <c r="F111" s="576"/>
      <c r="G111" s="578"/>
      <c r="H111" s="516"/>
      <c r="I111" s="458"/>
      <c r="J111" s="516"/>
      <c r="K111" s="516"/>
      <c r="L111" s="516"/>
      <c r="M111" s="516"/>
      <c r="N111" s="520"/>
      <c r="O111" s="520"/>
      <c r="P111" s="578"/>
      <c r="Q111" s="578"/>
      <c r="R111" s="578"/>
      <c r="S111" s="578"/>
      <c r="T111" s="578"/>
      <c r="U111" s="578"/>
      <c r="V111" s="578"/>
      <c r="W111" s="578"/>
      <c r="X111" s="1187"/>
      <c r="Y111" s="578"/>
      <c r="Z111" s="578"/>
      <c r="AA111" s="578"/>
      <c r="AB111" s="516"/>
    </row>
    <row r="112" spans="5:28" s="575" customFormat="1">
      <c r="E112" s="570"/>
      <c r="F112" s="576"/>
      <c r="G112" s="578"/>
      <c r="H112" s="516"/>
      <c r="I112" s="458"/>
      <c r="J112" s="516"/>
      <c r="K112" s="516"/>
      <c r="L112" s="516"/>
      <c r="M112" s="516"/>
      <c r="N112" s="520"/>
      <c r="O112" s="520"/>
      <c r="P112" s="578"/>
      <c r="Q112" s="578"/>
      <c r="R112" s="578"/>
      <c r="S112" s="578"/>
      <c r="T112" s="578"/>
      <c r="U112" s="578"/>
      <c r="V112" s="578"/>
      <c r="W112" s="578"/>
      <c r="X112" s="1187"/>
      <c r="Y112" s="578"/>
      <c r="Z112" s="578"/>
      <c r="AA112" s="578"/>
      <c r="AB112" s="516"/>
    </row>
    <row r="113" spans="5:28" s="575" customFormat="1">
      <c r="E113" s="570"/>
      <c r="F113" s="576"/>
      <c r="G113" s="516"/>
      <c r="H113" s="516"/>
      <c r="I113" s="458"/>
      <c r="J113" s="516"/>
      <c r="K113" s="516"/>
      <c r="L113" s="516"/>
      <c r="M113" s="516"/>
      <c r="N113" s="520"/>
      <c r="O113" s="520"/>
      <c r="P113" s="578"/>
      <c r="Q113" s="578"/>
      <c r="R113" s="578"/>
      <c r="S113" s="578"/>
      <c r="T113" s="578"/>
      <c r="U113" s="578"/>
      <c r="V113" s="578"/>
      <c r="W113" s="578"/>
      <c r="X113" s="1187"/>
      <c r="Y113" s="578"/>
      <c r="Z113" s="578"/>
      <c r="AA113" s="578"/>
      <c r="AB113" s="516"/>
    </row>
    <row r="114" spans="5:28" s="575" customFormat="1">
      <c r="E114" s="570"/>
      <c r="F114" s="576"/>
      <c r="G114" s="516"/>
      <c r="H114" s="516"/>
      <c r="I114" s="458"/>
      <c r="J114" s="516"/>
      <c r="K114" s="516"/>
      <c r="L114" s="516"/>
      <c r="M114" s="516"/>
      <c r="N114" s="520"/>
      <c r="O114" s="520"/>
      <c r="P114" s="578"/>
      <c r="Q114" s="578"/>
      <c r="R114" s="578"/>
      <c r="S114" s="578"/>
      <c r="T114" s="578"/>
      <c r="U114" s="578"/>
      <c r="V114" s="578"/>
      <c r="W114" s="578"/>
      <c r="X114" s="1187"/>
      <c r="Y114" s="578"/>
      <c r="Z114" s="578"/>
      <c r="AA114" s="578"/>
      <c r="AB114" s="516"/>
    </row>
    <row r="115" spans="5:28" s="575" customFormat="1">
      <c r="E115" s="570"/>
      <c r="F115" s="576"/>
      <c r="G115" s="516"/>
      <c r="H115" s="516"/>
      <c r="I115" s="458"/>
      <c r="J115" s="516"/>
      <c r="K115" s="516"/>
      <c r="L115" s="516"/>
      <c r="M115" s="516"/>
      <c r="N115" s="520"/>
      <c r="O115" s="520"/>
      <c r="P115" s="578"/>
      <c r="Q115" s="578"/>
      <c r="R115" s="580"/>
      <c r="S115" s="580"/>
      <c r="T115" s="580"/>
      <c r="U115" s="580"/>
      <c r="V115" s="580"/>
      <c r="W115" s="580"/>
      <c r="X115" s="1188"/>
      <c r="Y115" s="580"/>
      <c r="Z115" s="580"/>
      <c r="AA115" s="580"/>
    </row>
    <row r="116" spans="5:28" s="575" customFormat="1">
      <c r="E116" s="570"/>
      <c r="F116" s="576"/>
      <c r="G116" s="516"/>
      <c r="H116" s="516"/>
      <c r="I116" s="458"/>
      <c r="J116" s="516"/>
      <c r="K116" s="516"/>
      <c r="L116" s="516"/>
      <c r="M116" s="516"/>
      <c r="N116" s="520"/>
      <c r="O116" s="520"/>
      <c r="P116" s="578"/>
      <c r="Q116" s="578"/>
      <c r="R116" s="580"/>
      <c r="S116" s="580"/>
      <c r="T116" s="580"/>
      <c r="U116" s="580"/>
      <c r="V116" s="580"/>
      <c r="W116" s="580"/>
      <c r="X116" s="1188"/>
      <c r="Y116" s="580"/>
      <c r="Z116" s="580"/>
      <c r="AA116" s="580"/>
    </row>
    <row r="117" spans="5:28" s="575" customFormat="1">
      <c r="E117" s="570"/>
      <c r="F117" s="576"/>
      <c r="G117" s="516"/>
      <c r="H117" s="516"/>
      <c r="I117" s="458"/>
      <c r="J117" s="516"/>
      <c r="K117" s="516"/>
      <c r="L117" s="516"/>
      <c r="M117" s="516"/>
      <c r="N117" s="520"/>
      <c r="O117" s="520"/>
      <c r="P117" s="578"/>
      <c r="Q117" s="578"/>
      <c r="R117" s="580"/>
      <c r="S117" s="580"/>
      <c r="T117" s="580"/>
      <c r="U117" s="580"/>
      <c r="V117" s="580"/>
      <c r="W117" s="580"/>
      <c r="X117" s="1188"/>
      <c r="Y117" s="580"/>
      <c r="Z117" s="580"/>
      <c r="AA117" s="580"/>
    </row>
    <row r="118" spans="5:28" s="575" customFormat="1">
      <c r="E118" s="570"/>
      <c r="F118" s="576"/>
      <c r="G118" s="516"/>
      <c r="H118" s="516"/>
      <c r="I118" s="458"/>
      <c r="J118" s="516"/>
      <c r="K118" s="516"/>
      <c r="L118" s="516"/>
      <c r="M118" s="516"/>
      <c r="N118" s="520"/>
      <c r="O118" s="520"/>
      <c r="P118" s="578"/>
      <c r="Q118" s="578"/>
      <c r="R118" s="580"/>
      <c r="S118" s="580"/>
      <c r="T118" s="580"/>
      <c r="U118" s="580"/>
      <c r="V118" s="580"/>
      <c r="W118" s="580"/>
      <c r="X118" s="1188"/>
      <c r="Y118" s="580"/>
      <c r="Z118" s="580"/>
      <c r="AA118" s="580"/>
    </row>
    <row r="119" spans="5:28" s="575" customFormat="1">
      <c r="E119" s="570"/>
      <c r="F119" s="576"/>
      <c r="G119" s="516"/>
      <c r="H119" s="516"/>
      <c r="I119" s="458"/>
      <c r="J119" s="516"/>
      <c r="K119" s="516"/>
      <c r="L119" s="516"/>
      <c r="M119" s="516"/>
      <c r="N119" s="520"/>
      <c r="O119" s="520"/>
      <c r="P119" s="578"/>
      <c r="Q119" s="578"/>
      <c r="R119" s="580"/>
      <c r="S119" s="580"/>
      <c r="T119" s="580"/>
      <c r="U119" s="580"/>
      <c r="V119" s="580"/>
      <c r="W119" s="580"/>
      <c r="X119" s="1188"/>
      <c r="Y119" s="580"/>
      <c r="Z119" s="580"/>
      <c r="AA119" s="580"/>
    </row>
    <row r="120" spans="5:28" s="575" customFormat="1">
      <c r="E120" s="570"/>
      <c r="F120" s="576"/>
      <c r="G120" s="516"/>
      <c r="H120" s="516"/>
      <c r="I120" s="458"/>
      <c r="J120" s="516"/>
      <c r="K120" s="516"/>
      <c r="L120" s="516"/>
      <c r="M120" s="516"/>
      <c r="N120" s="1174"/>
      <c r="O120" s="1174"/>
      <c r="P120" s="580"/>
      <c r="Q120" s="580"/>
      <c r="R120" s="580"/>
      <c r="S120" s="580"/>
      <c r="T120" s="580"/>
      <c r="U120" s="580"/>
      <c r="V120" s="580"/>
      <c r="W120" s="580"/>
      <c r="X120" s="1188"/>
      <c r="Y120" s="580"/>
      <c r="Z120" s="580"/>
      <c r="AA120" s="580"/>
    </row>
    <row r="121" spans="5:28" s="575" customFormat="1">
      <c r="E121" s="570"/>
      <c r="F121" s="576"/>
      <c r="G121" s="516"/>
      <c r="H121" s="516"/>
      <c r="I121" s="458"/>
      <c r="J121" s="516"/>
      <c r="K121" s="516"/>
      <c r="L121" s="516"/>
      <c r="M121" s="516"/>
      <c r="N121" s="1174"/>
      <c r="O121" s="1174"/>
      <c r="P121" s="580"/>
      <c r="Q121" s="580"/>
      <c r="R121" s="580"/>
      <c r="S121" s="580"/>
      <c r="T121" s="580"/>
      <c r="U121" s="580"/>
      <c r="V121" s="580"/>
      <c r="W121" s="580"/>
      <c r="X121" s="1188"/>
      <c r="Y121" s="580"/>
      <c r="Z121" s="580"/>
      <c r="AA121" s="580"/>
    </row>
    <row r="122" spans="5:28" s="575" customFormat="1">
      <c r="E122" s="570"/>
      <c r="F122" s="576"/>
      <c r="G122" s="516"/>
      <c r="H122" s="516"/>
      <c r="I122" s="458"/>
      <c r="J122" s="516"/>
      <c r="K122" s="516"/>
      <c r="L122" s="516"/>
      <c r="M122" s="516"/>
      <c r="N122" s="1174"/>
      <c r="O122" s="1174"/>
      <c r="P122" s="580"/>
      <c r="Q122" s="580"/>
      <c r="R122" s="580"/>
      <c r="S122" s="580"/>
      <c r="T122" s="580"/>
      <c r="U122" s="580"/>
      <c r="V122" s="580"/>
      <c r="W122" s="580"/>
      <c r="X122" s="1188"/>
      <c r="Y122" s="580"/>
      <c r="Z122" s="580"/>
      <c r="AA122" s="580"/>
    </row>
    <row r="123" spans="5:28" s="575" customFormat="1">
      <c r="E123" s="570"/>
      <c r="F123" s="576"/>
      <c r="G123" s="516"/>
      <c r="H123" s="516"/>
      <c r="I123" s="458"/>
      <c r="J123" s="516"/>
      <c r="K123" s="516"/>
      <c r="L123" s="516"/>
      <c r="M123" s="516"/>
      <c r="N123" s="1174"/>
      <c r="O123" s="1174"/>
      <c r="P123" s="580"/>
      <c r="Q123" s="580"/>
      <c r="R123" s="580"/>
      <c r="S123" s="580"/>
      <c r="T123" s="580"/>
      <c r="U123" s="580"/>
      <c r="V123" s="580"/>
      <c r="W123" s="580"/>
      <c r="X123" s="1188"/>
      <c r="Y123" s="580"/>
      <c r="Z123" s="580"/>
      <c r="AA123" s="580"/>
    </row>
    <row r="124" spans="5:28" s="575" customFormat="1">
      <c r="E124" s="570"/>
      <c r="F124" s="576"/>
      <c r="G124" s="516"/>
      <c r="H124" s="516"/>
      <c r="I124" s="458"/>
      <c r="J124" s="516"/>
      <c r="K124" s="516"/>
      <c r="L124" s="516"/>
      <c r="M124" s="516"/>
      <c r="N124" s="1174"/>
      <c r="O124" s="1174"/>
      <c r="P124" s="580"/>
      <c r="Q124" s="580"/>
      <c r="R124" s="580"/>
      <c r="S124" s="580"/>
      <c r="T124" s="580"/>
      <c r="U124" s="580"/>
      <c r="V124" s="580"/>
      <c r="W124" s="580"/>
      <c r="X124" s="1188"/>
      <c r="Y124" s="580"/>
      <c r="Z124" s="580"/>
      <c r="AA124" s="580"/>
    </row>
    <row r="125" spans="5:28" s="575" customFormat="1">
      <c r="E125" s="570"/>
      <c r="F125" s="576"/>
      <c r="G125" s="516"/>
      <c r="H125" s="516"/>
      <c r="I125" s="458"/>
      <c r="J125" s="516"/>
      <c r="K125" s="516"/>
      <c r="L125" s="516"/>
      <c r="M125" s="516"/>
      <c r="N125" s="1174"/>
      <c r="O125" s="1174"/>
      <c r="P125" s="580"/>
      <c r="Q125" s="580"/>
      <c r="R125" s="580"/>
      <c r="S125" s="580"/>
      <c r="T125" s="580"/>
      <c r="U125" s="580"/>
      <c r="V125" s="580"/>
      <c r="W125" s="580"/>
      <c r="X125" s="1188"/>
      <c r="Y125" s="580"/>
      <c r="Z125" s="580"/>
      <c r="AA125" s="580"/>
    </row>
    <row r="126" spans="5:28" s="575" customFormat="1">
      <c r="E126" s="570"/>
      <c r="F126" s="576"/>
      <c r="G126" s="516"/>
      <c r="H126" s="516"/>
      <c r="I126" s="458"/>
      <c r="J126" s="516"/>
      <c r="K126" s="516"/>
      <c r="L126" s="516"/>
      <c r="M126" s="516"/>
      <c r="N126" s="1174"/>
      <c r="O126" s="1174"/>
      <c r="P126" s="580"/>
      <c r="Q126" s="580"/>
      <c r="R126" s="580"/>
      <c r="S126" s="580"/>
      <c r="T126" s="580"/>
      <c r="U126" s="580"/>
      <c r="V126" s="580"/>
      <c r="W126" s="580"/>
      <c r="X126" s="1188"/>
      <c r="Y126" s="580"/>
      <c r="Z126" s="580"/>
      <c r="AA126" s="580"/>
    </row>
    <row r="127" spans="5:28" s="575" customFormat="1">
      <c r="E127" s="570"/>
      <c r="F127" s="576"/>
      <c r="G127" s="516"/>
      <c r="H127" s="516"/>
      <c r="I127" s="458"/>
      <c r="J127" s="516"/>
      <c r="K127" s="516"/>
      <c r="L127" s="516"/>
      <c r="M127" s="516"/>
      <c r="N127" s="1174"/>
      <c r="O127" s="1174"/>
      <c r="P127" s="580"/>
      <c r="Q127" s="580"/>
      <c r="R127" s="580"/>
      <c r="S127" s="580"/>
      <c r="T127" s="580"/>
      <c r="U127" s="580"/>
      <c r="V127" s="580"/>
      <c r="W127" s="580"/>
      <c r="X127" s="1188"/>
      <c r="Y127" s="580"/>
      <c r="Z127" s="580"/>
      <c r="AA127" s="580"/>
    </row>
    <row r="128" spans="5:28" s="575" customFormat="1">
      <c r="E128" s="570"/>
      <c r="F128" s="576"/>
      <c r="G128" s="516"/>
      <c r="H128" s="516"/>
      <c r="I128" s="458"/>
      <c r="J128" s="516"/>
      <c r="K128" s="516"/>
      <c r="L128" s="516"/>
      <c r="M128" s="516"/>
      <c r="N128" s="1174"/>
      <c r="O128" s="1174"/>
      <c r="P128" s="580"/>
      <c r="Q128" s="580"/>
      <c r="R128" s="580"/>
      <c r="S128" s="580"/>
      <c r="T128" s="580"/>
      <c r="U128" s="580"/>
      <c r="V128" s="580"/>
      <c r="W128" s="580"/>
      <c r="X128" s="1188"/>
      <c r="Y128" s="580"/>
      <c r="Z128" s="580"/>
      <c r="AA128" s="580"/>
    </row>
    <row r="129" spans="5:27" s="575" customFormat="1">
      <c r="E129" s="570"/>
      <c r="F129" s="576"/>
      <c r="G129" s="516"/>
      <c r="H129" s="516"/>
      <c r="I129" s="458"/>
      <c r="J129" s="516"/>
      <c r="K129" s="516"/>
      <c r="L129" s="516"/>
      <c r="M129" s="516"/>
      <c r="N129" s="1174"/>
      <c r="O129" s="1174"/>
      <c r="P129" s="580"/>
      <c r="Q129" s="580"/>
      <c r="R129" s="580"/>
      <c r="S129" s="580"/>
      <c r="T129" s="580"/>
      <c r="U129" s="580"/>
      <c r="V129" s="580"/>
      <c r="W129" s="580"/>
      <c r="X129" s="1188"/>
      <c r="Y129" s="580"/>
      <c r="Z129" s="580"/>
      <c r="AA129" s="580"/>
    </row>
    <row r="130" spans="5:27" s="575" customFormat="1">
      <c r="E130" s="570"/>
      <c r="F130" s="576"/>
      <c r="G130" s="516"/>
      <c r="H130" s="516"/>
      <c r="I130" s="458"/>
      <c r="J130" s="516"/>
      <c r="K130" s="516"/>
      <c r="L130" s="516"/>
      <c r="M130" s="516"/>
      <c r="N130" s="1174"/>
      <c r="O130" s="1174"/>
      <c r="P130" s="580"/>
      <c r="Q130" s="580"/>
      <c r="R130" s="580"/>
      <c r="S130" s="580"/>
      <c r="T130" s="580"/>
      <c r="U130" s="580"/>
      <c r="V130" s="580"/>
      <c r="W130" s="580"/>
      <c r="X130" s="1188"/>
      <c r="Y130" s="580"/>
      <c r="Z130" s="580"/>
      <c r="AA130" s="580"/>
    </row>
    <row r="131" spans="5:27" s="575" customFormat="1">
      <c r="E131" s="570"/>
      <c r="F131" s="576"/>
      <c r="G131" s="516"/>
      <c r="H131" s="516"/>
      <c r="I131" s="458"/>
      <c r="J131" s="516"/>
      <c r="K131" s="516"/>
      <c r="L131" s="516"/>
      <c r="M131" s="516"/>
      <c r="N131" s="1174"/>
      <c r="O131" s="1174"/>
      <c r="P131" s="580"/>
      <c r="Q131" s="580"/>
      <c r="R131" s="580"/>
      <c r="S131" s="580"/>
      <c r="T131" s="580"/>
      <c r="U131" s="580"/>
      <c r="V131" s="580"/>
      <c r="W131" s="580"/>
      <c r="X131" s="1188"/>
      <c r="Y131" s="580"/>
      <c r="Z131" s="580"/>
      <c r="AA131" s="580"/>
    </row>
    <row r="132" spans="5:27" s="575" customFormat="1">
      <c r="E132" s="570"/>
      <c r="F132" s="576"/>
      <c r="G132" s="516"/>
      <c r="H132" s="516"/>
      <c r="I132" s="458"/>
      <c r="J132" s="516"/>
      <c r="K132" s="516"/>
      <c r="L132" s="516"/>
      <c r="M132" s="516"/>
      <c r="N132" s="1174"/>
      <c r="O132" s="1174"/>
      <c r="P132" s="580"/>
      <c r="Q132" s="580"/>
      <c r="R132" s="580"/>
      <c r="S132" s="580"/>
      <c r="T132" s="580"/>
      <c r="U132" s="580"/>
      <c r="V132" s="580"/>
      <c r="W132" s="580"/>
      <c r="X132" s="1188"/>
      <c r="Y132" s="580"/>
      <c r="Z132" s="580"/>
      <c r="AA132" s="580"/>
    </row>
    <row r="133" spans="5:27" s="575" customFormat="1">
      <c r="E133" s="570"/>
      <c r="F133" s="576"/>
      <c r="G133" s="516"/>
      <c r="H133" s="516"/>
      <c r="I133" s="458"/>
      <c r="J133" s="516"/>
      <c r="K133" s="516"/>
      <c r="L133" s="516"/>
      <c r="M133" s="516"/>
      <c r="N133" s="1174"/>
      <c r="O133" s="1174"/>
      <c r="P133" s="580"/>
      <c r="Q133" s="580"/>
      <c r="R133" s="580"/>
      <c r="S133" s="580"/>
      <c r="T133" s="580"/>
      <c r="U133" s="580"/>
      <c r="V133" s="580"/>
      <c r="W133" s="580"/>
      <c r="X133" s="1188"/>
      <c r="Y133" s="580"/>
      <c r="Z133" s="580"/>
      <c r="AA133" s="580"/>
    </row>
    <row r="134" spans="5:27" s="575" customFormat="1">
      <c r="E134" s="570"/>
      <c r="F134" s="576"/>
      <c r="G134" s="516"/>
      <c r="H134" s="516"/>
      <c r="I134" s="458"/>
      <c r="J134" s="516"/>
      <c r="K134" s="516"/>
      <c r="L134" s="516"/>
      <c r="M134" s="516"/>
      <c r="N134" s="1174"/>
      <c r="O134" s="1174"/>
      <c r="P134" s="580"/>
      <c r="Q134" s="580"/>
      <c r="R134" s="580"/>
      <c r="S134" s="580"/>
      <c r="T134" s="580"/>
      <c r="U134" s="580"/>
      <c r="V134" s="580"/>
      <c r="W134" s="580"/>
      <c r="X134" s="1188"/>
      <c r="Y134" s="580"/>
      <c r="Z134" s="580"/>
      <c r="AA134" s="580"/>
    </row>
    <row r="135" spans="5:27" s="575" customFormat="1">
      <c r="E135" s="570"/>
      <c r="F135" s="576"/>
      <c r="G135" s="516"/>
      <c r="H135" s="516"/>
      <c r="I135" s="458"/>
      <c r="J135" s="516"/>
      <c r="K135" s="516"/>
      <c r="L135" s="516"/>
      <c r="N135" s="1174"/>
      <c r="O135" s="1174"/>
      <c r="P135" s="580"/>
      <c r="Q135" s="580"/>
      <c r="R135" s="580"/>
      <c r="S135" s="580"/>
      <c r="T135" s="580"/>
      <c r="U135" s="580"/>
      <c r="V135" s="580"/>
      <c r="W135" s="580"/>
      <c r="X135" s="1188"/>
      <c r="Y135" s="580"/>
      <c r="Z135" s="580"/>
      <c r="AA135" s="580"/>
    </row>
    <row r="136" spans="5:27" s="575" customFormat="1">
      <c r="E136" s="570"/>
      <c r="F136" s="576"/>
      <c r="G136" s="516"/>
      <c r="H136" s="516"/>
      <c r="I136" s="458"/>
      <c r="J136" s="516"/>
      <c r="K136" s="516"/>
      <c r="L136" s="516"/>
      <c r="N136" s="1174"/>
      <c r="O136" s="1174"/>
      <c r="P136" s="580"/>
      <c r="Q136" s="580"/>
      <c r="R136" s="580"/>
      <c r="S136" s="580"/>
      <c r="T136" s="580"/>
      <c r="U136" s="580"/>
      <c r="V136" s="580"/>
      <c r="W136" s="580"/>
      <c r="X136" s="1188"/>
      <c r="Y136" s="580"/>
      <c r="Z136" s="580"/>
      <c r="AA136" s="580"/>
    </row>
    <row r="137" spans="5:27" s="575" customFormat="1">
      <c r="E137" s="570"/>
      <c r="F137" s="576"/>
      <c r="G137" s="516"/>
      <c r="H137" s="516"/>
      <c r="I137" s="458"/>
      <c r="J137" s="516"/>
      <c r="K137" s="516"/>
      <c r="L137" s="516"/>
      <c r="N137" s="1174"/>
      <c r="O137" s="1174"/>
      <c r="P137" s="580"/>
      <c r="Q137" s="580"/>
      <c r="R137" s="580"/>
      <c r="S137" s="580"/>
      <c r="T137" s="580"/>
      <c r="U137" s="580"/>
      <c r="V137" s="580"/>
      <c r="W137" s="580"/>
      <c r="X137" s="1188"/>
      <c r="Y137" s="580"/>
      <c r="Z137" s="580"/>
      <c r="AA137" s="580"/>
    </row>
    <row r="138" spans="5:27" s="575" customFormat="1">
      <c r="E138" s="570"/>
      <c r="F138" s="576"/>
      <c r="G138" s="516"/>
      <c r="H138" s="516"/>
      <c r="I138" s="458"/>
      <c r="J138" s="516"/>
      <c r="K138" s="516"/>
      <c r="L138" s="516"/>
      <c r="N138" s="1174"/>
      <c r="O138" s="1174"/>
      <c r="P138" s="580"/>
      <c r="Q138" s="580"/>
      <c r="R138" s="580"/>
      <c r="S138" s="580"/>
      <c r="T138" s="580"/>
      <c r="U138" s="580"/>
      <c r="V138" s="580"/>
      <c r="W138" s="580"/>
      <c r="X138" s="1188"/>
      <c r="Y138" s="580"/>
      <c r="Z138" s="580"/>
      <c r="AA138" s="580"/>
    </row>
    <row r="139" spans="5:27" s="575" customFormat="1">
      <c r="E139" s="570"/>
      <c r="F139" s="576"/>
      <c r="G139" s="516"/>
      <c r="H139" s="516"/>
      <c r="I139" s="458"/>
      <c r="J139" s="516"/>
      <c r="K139" s="516"/>
      <c r="L139" s="516"/>
      <c r="N139" s="1174"/>
      <c r="O139" s="1174"/>
      <c r="P139" s="580"/>
      <c r="Q139" s="580"/>
      <c r="R139" s="580"/>
      <c r="S139" s="580"/>
      <c r="T139" s="580"/>
      <c r="U139" s="580"/>
      <c r="V139" s="580"/>
      <c r="W139" s="580"/>
      <c r="X139" s="1188"/>
      <c r="Y139" s="580"/>
      <c r="Z139" s="580"/>
      <c r="AA139" s="580"/>
    </row>
    <row r="140" spans="5:27" s="575" customFormat="1">
      <c r="E140" s="570"/>
      <c r="F140" s="576"/>
      <c r="G140" s="516"/>
      <c r="H140" s="516"/>
      <c r="I140" s="458"/>
      <c r="J140" s="516"/>
      <c r="K140" s="516"/>
      <c r="L140" s="516"/>
      <c r="N140" s="1174"/>
      <c r="O140" s="1174"/>
      <c r="P140" s="580"/>
      <c r="Q140" s="580"/>
      <c r="R140" s="580"/>
      <c r="S140" s="580"/>
      <c r="T140" s="580"/>
      <c r="U140" s="580"/>
      <c r="V140" s="580"/>
      <c r="W140" s="580"/>
      <c r="X140" s="1188"/>
      <c r="Y140" s="580"/>
      <c r="Z140" s="580"/>
      <c r="AA140" s="580"/>
    </row>
    <row r="141" spans="5:27" s="575" customFormat="1">
      <c r="E141" s="570"/>
      <c r="F141" s="576"/>
      <c r="G141" s="516"/>
      <c r="H141" s="516"/>
      <c r="I141" s="458"/>
      <c r="J141" s="516"/>
      <c r="K141" s="516"/>
      <c r="L141" s="516"/>
      <c r="N141" s="1174"/>
      <c r="O141" s="1174"/>
      <c r="P141" s="580"/>
      <c r="Q141" s="580"/>
      <c r="R141" s="580"/>
      <c r="S141" s="580"/>
      <c r="T141" s="580"/>
      <c r="U141" s="580"/>
      <c r="V141" s="580"/>
      <c r="W141" s="580"/>
      <c r="X141" s="1188"/>
      <c r="Y141" s="580"/>
      <c r="Z141" s="580"/>
      <c r="AA141" s="580"/>
    </row>
    <row r="142" spans="5:27" s="575" customFormat="1">
      <c r="E142" s="570"/>
      <c r="F142" s="576"/>
      <c r="G142" s="516"/>
      <c r="H142" s="516"/>
      <c r="I142" s="458"/>
      <c r="J142" s="516"/>
      <c r="K142" s="516"/>
      <c r="L142" s="516"/>
      <c r="N142" s="1174"/>
      <c r="O142" s="1174"/>
      <c r="P142" s="580"/>
      <c r="Q142" s="580"/>
      <c r="R142" s="580"/>
      <c r="S142" s="580"/>
      <c r="T142" s="580"/>
      <c r="U142" s="580"/>
      <c r="V142" s="580"/>
      <c r="W142" s="580"/>
      <c r="X142" s="1188"/>
      <c r="Y142" s="580"/>
      <c r="Z142" s="580"/>
      <c r="AA142" s="580"/>
    </row>
    <row r="143" spans="5:27" s="575" customFormat="1">
      <c r="E143" s="570"/>
      <c r="F143" s="576"/>
      <c r="G143" s="516"/>
      <c r="H143" s="516"/>
      <c r="I143" s="458"/>
      <c r="J143" s="516"/>
      <c r="K143" s="516"/>
      <c r="L143" s="516"/>
      <c r="N143" s="1174"/>
      <c r="O143" s="1174"/>
      <c r="P143" s="580"/>
      <c r="Q143" s="580"/>
      <c r="R143" s="580"/>
      <c r="S143" s="580"/>
      <c r="T143" s="580"/>
      <c r="U143" s="580"/>
      <c r="V143" s="580"/>
      <c r="W143" s="580"/>
      <c r="X143" s="1188"/>
      <c r="Y143" s="580"/>
      <c r="Z143" s="580"/>
      <c r="AA143" s="580"/>
    </row>
    <row r="144" spans="5:27" s="575" customFormat="1">
      <c r="E144" s="570"/>
      <c r="F144" s="576"/>
      <c r="G144" s="516"/>
      <c r="H144" s="516"/>
      <c r="I144" s="458"/>
      <c r="J144" s="516"/>
      <c r="K144" s="516"/>
      <c r="L144" s="516"/>
      <c r="N144" s="1174"/>
      <c r="O144" s="1174"/>
      <c r="P144" s="580"/>
      <c r="Q144" s="580"/>
      <c r="R144" s="580"/>
      <c r="S144" s="580"/>
      <c r="T144" s="580"/>
      <c r="U144" s="580"/>
      <c r="V144" s="580"/>
      <c r="W144" s="580"/>
      <c r="X144" s="1188"/>
      <c r="Y144" s="580"/>
      <c r="Z144" s="580"/>
      <c r="AA144" s="580"/>
    </row>
    <row r="145" spans="1:28" s="575" customFormat="1">
      <c r="E145" s="570"/>
      <c r="F145" s="576"/>
      <c r="G145" s="516"/>
      <c r="H145" s="516"/>
      <c r="I145" s="458"/>
      <c r="J145" s="516"/>
      <c r="K145" s="516"/>
      <c r="L145" s="516"/>
      <c r="N145" s="1174"/>
      <c r="O145" s="1174"/>
      <c r="P145" s="580"/>
      <c r="Q145" s="580"/>
      <c r="R145" s="580"/>
      <c r="S145" s="580"/>
      <c r="T145" s="580"/>
      <c r="U145" s="580"/>
      <c r="V145" s="580"/>
      <c r="W145" s="580"/>
      <c r="X145" s="1188"/>
      <c r="Y145" s="580"/>
      <c r="Z145" s="580"/>
      <c r="AA145" s="580"/>
    </row>
    <row r="146" spans="1:28">
      <c r="A146" s="575"/>
      <c r="B146" s="575"/>
      <c r="C146" s="575"/>
      <c r="D146" s="575"/>
      <c r="E146" s="570"/>
      <c r="F146" s="576"/>
      <c r="G146" s="516"/>
      <c r="H146" s="516"/>
      <c r="I146" s="458"/>
      <c r="J146" s="516"/>
      <c r="K146" s="516"/>
      <c r="L146" s="516"/>
      <c r="M146" s="575"/>
      <c r="N146" s="1174"/>
      <c r="O146" s="1174"/>
      <c r="P146" s="580"/>
      <c r="Q146" s="580"/>
      <c r="R146" s="580"/>
      <c r="S146" s="580"/>
      <c r="T146" s="580"/>
      <c r="U146" s="580"/>
      <c r="V146" s="580"/>
      <c r="W146" s="580"/>
      <c r="X146" s="1188"/>
      <c r="Y146" s="580"/>
      <c r="Z146" s="580"/>
      <c r="AA146" s="580"/>
      <c r="AB146" s="575"/>
    </row>
    <row r="147" spans="1:28">
      <c r="A147" s="575"/>
      <c r="B147" s="575"/>
      <c r="C147" s="575"/>
      <c r="D147" s="575"/>
      <c r="E147" s="570"/>
      <c r="F147" s="576"/>
      <c r="G147" s="516"/>
      <c r="H147" s="516"/>
      <c r="I147" s="458"/>
      <c r="J147" s="516"/>
      <c r="K147" s="516"/>
      <c r="L147" s="516"/>
      <c r="M147" s="575"/>
      <c r="N147" s="1174"/>
      <c r="O147" s="1174"/>
      <c r="P147" s="580"/>
      <c r="Q147" s="580"/>
      <c r="R147" s="580"/>
      <c r="S147" s="580"/>
      <c r="T147" s="580"/>
      <c r="U147" s="580"/>
      <c r="V147" s="580"/>
      <c r="W147" s="580"/>
      <c r="X147" s="1188"/>
      <c r="Y147" s="580"/>
      <c r="Z147" s="580"/>
      <c r="AA147" s="580"/>
      <c r="AB147" s="575"/>
    </row>
    <row r="148" spans="1:28">
      <c r="A148" s="575"/>
      <c r="B148" s="575"/>
      <c r="C148" s="575"/>
      <c r="D148" s="575"/>
      <c r="E148" s="570"/>
      <c r="F148" s="576"/>
      <c r="G148" s="516"/>
      <c r="H148" s="516"/>
      <c r="I148" s="458"/>
      <c r="J148" s="516"/>
      <c r="K148" s="516"/>
      <c r="L148" s="516"/>
      <c r="M148" s="575"/>
      <c r="N148" s="1174"/>
      <c r="O148" s="1174"/>
      <c r="P148" s="580"/>
      <c r="Q148" s="580"/>
      <c r="R148" s="580"/>
      <c r="S148" s="580"/>
      <c r="T148" s="580"/>
      <c r="U148" s="580"/>
      <c r="V148" s="580"/>
      <c r="W148" s="580"/>
      <c r="X148" s="1188"/>
      <c r="Y148" s="580"/>
      <c r="Z148" s="580"/>
      <c r="AA148" s="580"/>
      <c r="AB148" s="575"/>
    </row>
    <row r="149" spans="1:28">
      <c r="A149" s="575"/>
      <c r="B149" s="575"/>
      <c r="C149" s="575"/>
      <c r="D149" s="575"/>
      <c r="E149" s="570"/>
      <c r="F149" s="576"/>
      <c r="G149" s="516"/>
      <c r="H149" s="516"/>
      <c r="I149" s="458"/>
      <c r="J149" s="516"/>
      <c r="K149" s="516"/>
      <c r="L149" s="516"/>
      <c r="M149" s="575"/>
      <c r="N149" s="1174"/>
      <c r="O149" s="1174"/>
      <c r="P149" s="580"/>
      <c r="Q149" s="580"/>
      <c r="R149" s="580"/>
      <c r="S149" s="580"/>
      <c r="T149" s="580"/>
      <c r="U149" s="580"/>
      <c r="V149" s="580"/>
      <c r="W149" s="580"/>
      <c r="X149" s="1188"/>
      <c r="Y149" s="580"/>
      <c r="Z149" s="580"/>
      <c r="AA149" s="580"/>
      <c r="AB149" s="575"/>
    </row>
    <row r="150" spans="1:28">
      <c r="A150" s="575"/>
      <c r="B150" s="575"/>
      <c r="C150" s="575"/>
      <c r="D150" s="575"/>
      <c r="E150" s="570"/>
      <c r="F150" s="576"/>
      <c r="G150" s="516"/>
      <c r="H150" s="516"/>
      <c r="I150" s="458"/>
      <c r="J150" s="516"/>
      <c r="K150" s="516"/>
      <c r="L150" s="516"/>
      <c r="M150" s="575"/>
      <c r="N150" s="1174"/>
      <c r="O150" s="1174"/>
      <c r="P150" s="580"/>
      <c r="Q150" s="580"/>
      <c r="R150" s="580"/>
      <c r="S150" s="580"/>
      <c r="T150" s="580"/>
      <c r="U150" s="580"/>
      <c r="V150" s="580"/>
      <c r="W150" s="580"/>
      <c r="X150" s="1188"/>
      <c r="Y150" s="580"/>
      <c r="Z150" s="580"/>
      <c r="AA150" s="580"/>
      <c r="AB150" s="575"/>
    </row>
    <row r="151" spans="1:28">
      <c r="A151" s="575"/>
      <c r="B151" s="575"/>
      <c r="C151" s="575"/>
      <c r="D151" s="575"/>
      <c r="E151" s="570"/>
      <c r="F151" s="576"/>
      <c r="G151" s="516"/>
      <c r="H151" s="516"/>
      <c r="I151" s="458"/>
      <c r="J151" s="516"/>
      <c r="K151" s="516"/>
      <c r="L151" s="516"/>
      <c r="M151" s="575"/>
      <c r="N151" s="1174"/>
      <c r="O151" s="1174"/>
      <c r="P151" s="580"/>
      <c r="Q151" s="580"/>
      <c r="R151" s="580"/>
      <c r="S151" s="580"/>
      <c r="T151" s="580"/>
      <c r="U151" s="580"/>
      <c r="V151" s="580"/>
      <c r="W151" s="580"/>
      <c r="X151" s="1188"/>
      <c r="Y151" s="580"/>
      <c r="Z151" s="580"/>
      <c r="AA151" s="580"/>
      <c r="AB151" s="575"/>
    </row>
    <row r="152" spans="1:28">
      <c r="A152" s="575"/>
      <c r="B152" s="575"/>
      <c r="C152" s="575"/>
      <c r="D152" s="575"/>
      <c r="E152" s="570"/>
      <c r="F152" s="576"/>
      <c r="G152" s="516"/>
      <c r="H152" s="516"/>
      <c r="I152" s="458"/>
      <c r="J152" s="516"/>
      <c r="K152" s="516"/>
      <c r="L152" s="516"/>
      <c r="M152" s="575"/>
      <c r="N152" s="1174"/>
      <c r="O152" s="1174"/>
      <c r="P152" s="580"/>
      <c r="Q152" s="580"/>
      <c r="R152" s="580"/>
      <c r="S152" s="580"/>
      <c r="T152" s="580"/>
      <c r="U152" s="580"/>
      <c r="V152" s="580"/>
      <c r="W152" s="580"/>
      <c r="X152" s="1188"/>
      <c r="Y152" s="580"/>
      <c r="Z152" s="580"/>
      <c r="AA152" s="580"/>
      <c r="AB152" s="575"/>
    </row>
    <row r="153" spans="1:28">
      <c r="A153" s="575"/>
      <c r="B153" s="575"/>
      <c r="C153" s="575"/>
      <c r="D153" s="575"/>
      <c r="E153" s="570"/>
      <c r="F153" s="576"/>
      <c r="G153" s="516"/>
      <c r="H153" s="516"/>
      <c r="I153" s="458"/>
      <c r="J153" s="516"/>
      <c r="K153" s="516"/>
      <c r="L153" s="516"/>
      <c r="M153" s="575"/>
      <c r="N153" s="1174"/>
      <c r="O153" s="1174"/>
      <c r="P153" s="580"/>
      <c r="Q153" s="580"/>
      <c r="R153" s="580"/>
      <c r="S153" s="580"/>
      <c r="T153" s="580"/>
      <c r="U153" s="580"/>
      <c r="V153" s="580"/>
      <c r="W153" s="580"/>
      <c r="X153" s="1188"/>
      <c r="Y153" s="580"/>
      <c r="Z153" s="580"/>
      <c r="AA153" s="580"/>
      <c r="AB153" s="575"/>
    </row>
    <row r="154" spans="1:28">
      <c r="A154" s="575"/>
      <c r="B154" s="575"/>
      <c r="C154" s="575"/>
      <c r="D154" s="575"/>
      <c r="E154" s="570"/>
      <c r="F154" s="576"/>
      <c r="G154" s="516"/>
      <c r="H154" s="516"/>
      <c r="I154" s="458"/>
      <c r="J154" s="516"/>
      <c r="K154" s="516"/>
      <c r="L154" s="516"/>
      <c r="M154" s="575"/>
      <c r="N154" s="1174"/>
      <c r="O154" s="1174"/>
      <c r="P154" s="580"/>
      <c r="Q154" s="580"/>
      <c r="R154" s="580"/>
      <c r="S154" s="580"/>
      <c r="T154" s="580"/>
      <c r="U154" s="580"/>
      <c r="V154" s="580"/>
      <c r="W154" s="580"/>
      <c r="X154" s="1188"/>
      <c r="Y154" s="580"/>
      <c r="Z154" s="580"/>
      <c r="AA154" s="580"/>
      <c r="AB154" s="575"/>
    </row>
    <row r="155" spans="1:28">
      <c r="A155" s="575"/>
      <c r="B155" s="575"/>
      <c r="C155" s="575"/>
      <c r="D155" s="575"/>
      <c r="E155" s="570"/>
      <c r="F155" s="576"/>
      <c r="G155" s="516"/>
      <c r="H155" s="516"/>
      <c r="I155" s="458"/>
      <c r="J155" s="516"/>
      <c r="K155" s="516"/>
      <c r="L155" s="516"/>
      <c r="M155" s="575"/>
      <c r="N155" s="1174"/>
      <c r="O155" s="1174"/>
      <c r="P155" s="580"/>
      <c r="Q155" s="580"/>
      <c r="R155" s="580"/>
      <c r="S155" s="580"/>
      <c r="T155" s="580"/>
      <c r="U155" s="580"/>
      <c r="V155" s="580"/>
      <c r="W155" s="580"/>
      <c r="X155" s="1188"/>
      <c r="Y155" s="580"/>
      <c r="Z155" s="580"/>
      <c r="AA155" s="580"/>
      <c r="AB155" s="575"/>
    </row>
    <row r="156" spans="1:28">
      <c r="A156" s="575"/>
      <c r="B156" s="575"/>
      <c r="C156" s="575"/>
      <c r="D156" s="575"/>
      <c r="E156" s="570"/>
      <c r="F156" s="576"/>
      <c r="G156" s="516"/>
      <c r="H156" s="516"/>
      <c r="I156" s="458"/>
      <c r="J156" s="516"/>
      <c r="K156" s="516"/>
      <c r="L156" s="516"/>
      <c r="M156" s="575"/>
      <c r="N156" s="1174"/>
      <c r="O156" s="1174"/>
      <c r="P156" s="580"/>
      <c r="Q156" s="580"/>
      <c r="R156" s="580"/>
      <c r="S156" s="580"/>
      <c r="T156" s="580"/>
      <c r="U156" s="580"/>
      <c r="V156" s="580"/>
      <c r="W156" s="580"/>
      <c r="X156" s="1188"/>
      <c r="Y156" s="580"/>
      <c r="Z156" s="580"/>
      <c r="AA156" s="580"/>
      <c r="AB156" s="575"/>
    </row>
    <row r="157" spans="1:28">
      <c r="A157" s="575"/>
      <c r="B157" s="575"/>
      <c r="C157" s="575"/>
      <c r="D157" s="575"/>
      <c r="E157" s="570"/>
      <c r="F157" s="576"/>
      <c r="G157" s="516"/>
      <c r="H157" s="516"/>
      <c r="I157" s="458"/>
      <c r="J157" s="516"/>
      <c r="K157" s="516"/>
      <c r="L157" s="516"/>
      <c r="M157" s="575"/>
      <c r="N157" s="1174"/>
      <c r="O157" s="1174"/>
      <c r="P157" s="580"/>
      <c r="Q157" s="580"/>
      <c r="R157" s="580"/>
      <c r="S157" s="580"/>
      <c r="T157" s="580"/>
      <c r="U157" s="580"/>
      <c r="V157" s="580"/>
      <c r="W157" s="580"/>
      <c r="X157" s="1188"/>
      <c r="Y157" s="580"/>
      <c r="Z157" s="580"/>
      <c r="AA157" s="580"/>
      <c r="AB157" s="575"/>
    </row>
    <row r="158" spans="1:28">
      <c r="A158" s="575"/>
      <c r="B158" s="575"/>
      <c r="C158" s="575"/>
      <c r="D158" s="575"/>
      <c r="E158" s="570"/>
      <c r="F158" s="576"/>
      <c r="G158" s="516"/>
      <c r="H158" s="516"/>
      <c r="I158" s="458"/>
      <c r="J158" s="516"/>
      <c r="K158" s="516"/>
      <c r="L158" s="516"/>
      <c r="M158" s="575"/>
      <c r="N158" s="1174"/>
      <c r="O158" s="1174"/>
      <c r="P158" s="580"/>
      <c r="Q158" s="580"/>
      <c r="R158" s="580"/>
      <c r="S158" s="580"/>
      <c r="T158" s="580"/>
      <c r="U158" s="580"/>
      <c r="V158" s="580"/>
      <c r="W158" s="580"/>
      <c r="X158" s="1188"/>
      <c r="Y158" s="580"/>
      <c r="Z158" s="580"/>
      <c r="AA158" s="580"/>
      <c r="AB158" s="575"/>
    </row>
    <row r="159" spans="1:28">
      <c r="A159" s="575"/>
      <c r="B159" s="575"/>
      <c r="C159" s="575"/>
      <c r="D159" s="575"/>
      <c r="E159" s="570"/>
      <c r="F159" s="576"/>
      <c r="G159" s="516"/>
      <c r="H159" s="516"/>
      <c r="I159" s="458"/>
      <c r="J159" s="516"/>
      <c r="K159" s="516"/>
      <c r="L159" s="516"/>
      <c r="M159" s="575"/>
      <c r="N159" s="1174"/>
      <c r="O159" s="1174"/>
      <c r="P159" s="580"/>
      <c r="Q159" s="580"/>
      <c r="R159" s="580"/>
      <c r="S159" s="580"/>
      <c r="T159" s="580"/>
      <c r="U159" s="580"/>
      <c r="V159" s="580"/>
      <c r="W159" s="580"/>
      <c r="X159" s="1188"/>
      <c r="Y159" s="580"/>
      <c r="Z159" s="580"/>
      <c r="AA159" s="580"/>
      <c r="AB159" s="575"/>
    </row>
    <row r="160" spans="1:28">
      <c r="A160" s="575"/>
      <c r="B160" s="575"/>
      <c r="C160" s="575"/>
      <c r="D160" s="575"/>
      <c r="E160" s="570"/>
      <c r="F160" s="576"/>
      <c r="G160" s="516"/>
      <c r="H160" s="516"/>
      <c r="I160" s="458"/>
      <c r="J160" s="516"/>
      <c r="K160" s="516"/>
      <c r="L160" s="516"/>
      <c r="M160" s="575"/>
      <c r="N160" s="1174"/>
      <c r="O160" s="1174"/>
      <c r="P160" s="580"/>
      <c r="Q160" s="580"/>
      <c r="R160" s="580"/>
      <c r="S160" s="580"/>
      <c r="T160" s="580"/>
      <c r="U160" s="580"/>
      <c r="V160" s="580"/>
      <c r="W160" s="580"/>
      <c r="X160" s="1188"/>
      <c r="Y160" s="580"/>
      <c r="Z160" s="580"/>
      <c r="AA160" s="580"/>
      <c r="AB160" s="575"/>
    </row>
    <row r="161" spans="1:36">
      <c r="A161" s="575"/>
      <c r="B161" s="575"/>
      <c r="C161" s="575"/>
      <c r="D161" s="575"/>
      <c r="E161" s="570"/>
      <c r="F161" s="576"/>
      <c r="G161" s="516"/>
      <c r="H161" s="516"/>
      <c r="I161" s="458"/>
      <c r="J161" s="516"/>
      <c r="K161" s="516"/>
      <c r="L161" s="516"/>
      <c r="M161" s="575"/>
      <c r="N161" s="1174"/>
      <c r="O161" s="1174"/>
      <c r="P161" s="580"/>
      <c r="Q161" s="580"/>
      <c r="R161" s="580"/>
      <c r="S161" s="580"/>
      <c r="T161" s="580"/>
      <c r="U161" s="580"/>
      <c r="V161" s="580"/>
      <c r="W161" s="580"/>
      <c r="X161" s="1188"/>
      <c r="Y161" s="580"/>
      <c r="Z161" s="580"/>
      <c r="AA161" s="580"/>
      <c r="AB161" s="575"/>
    </row>
    <row r="162" spans="1:36">
      <c r="A162" s="575"/>
      <c r="B162" s="575"/>
      <c r="C162" s="575"/>
      <c r="D162" s="575"/>
      <c r="E162" s="570"/>
      <c r="F162" s="576"/>
      <c r="G162" s="516"/>
      <c r="H162" s="516"/>
      <c r="I162" s="458"/>
      <c r="J162" s="516"/>
      <c r="K162" s="516"/>
      <c r="L162" s="516"/>
      <c r="M162" s="575"/>
      <c r="N162" s="1174"/>
      <c r="O162" s="1174"/>
      <c r="P162" s="580"/>
      <c r="Q162" s="580"/>
      <c r="R162" s="580"/>
      <c r="S162" s="580"/>
      <c r="T162" s="580"/>
      <c r="U162" s="580"/>
      <c r="V162" s="580"/>
      <c r="W162" s="580"/>
      <c r="X162" s="1188"/>
      <c r="Y162" s="580"/>
      <c r="Z162" s="580"/>
      <c r="AA162" s="580"/>
      <c r="AB162" s="575"/>
    </row>
    <row r="163" spans="1:36">
      <c r="A163" s="575"/>
      <c r="B163" s="575"/>
      <c r="C163" s="575"/>
      <c r="D163" s="575"/>
      <c r="E163" s="570"/>
      <c r="F163" s="576"/>
      <c r="G163" s="516"/>
      <c r="H163" s="516"/>
      <c r="I163" s="458"/>
      <c r="J163" s="516"/>
      <c r="K163" s="516"/>
      <c r="L163" s="516"/>
      <c r="M163" s="575"/>
      <c r="N163" s="1174"/>
      <c r="O163" s="1174"/>
      <c r="P163" s="580"/>
      <c r="Q163" s="580"/>
      <c r="R163" s="580"/>
      <c r="S163" s="580"/>
      <c r="T163" s="580"/>
      <c r="U163" s="580"/>
      <c r="V163" s="580"/>
      <c r="W163" s="580"/>
      <c r="X163" s="1188"/>
      <c r="Y163" s="580"/>
      <c r="Z163" s="580"/>
      <c r="AA163" s="580"/>
      <c r="AB163" s="575"/>
    </row>
    <row r="164" spans="1:36">
      <c r="A164" s="575"/>
      <c r="B164" s="575"/>
      <c r="C164" s="575"/>
      <c r="D164" s="575"/>
      <c r="E164" s="570"/>
      <c r="F164" s="576"/>
      <c r="G164" s="516"/>
      <c r="H164" s="516"/>
      <c r="I164" s="458"/>
      <c r="J164" s="516"/>
      <c r="K164" s="516"/>
      <c r="L164" s="516"/>
      <c r="M164" s="575"/>
      <c r="N164" s="1174"/>
      <c r="O164" s="1174"/>
      <c r="P164" s="580"/>
      <c r="Q164" s="580"/>
      <c r="R164" s="580"/>
      <c r="S164" s="580"/>
      <c r="T164" s="580"/>
      <c r="U164" s="580"/>
      <c r="V164" s="580"/>
      <c r="W164" s="580"/>
      <c r="X164" s="1188"/>
      <c r="Y164" s="580"/>
      <c r="Z164" s="580"/>
      <c r="AA164" s="580"/>
      <c r="AB164" s="575"/>
    </row>
    <row r="165" spans="1:36">
      <c r="A165" s="575"/>
      <c r="B165" s="575"/>
      <c r="C165" s="575"/>
      <c r="D165" s="575"/>
      <c r="E165" s="570"/>
      <c r="F165" s="576"/>
      <c r="G165" s="516"/>
      <c r="H165" s="516"/>
      <c r="I165" s="458"/>
      <c r="J165" s="516"/>
      <c r="K165" s="516"/>
      <c r="L165" s="516"/>
      <c r="M165" s="575"/>
      <c r="N165" s="1174"/>
      <c r="O165" s="1174"/>
      <c r="P165" s="580"/>
      <c r="Q165" s="580"/>
      <c r="R165" s="580"/>
      <c r="S165" s="580"/>
      <c r="T165" s="580"/>
      <c r="U165" s="580"/>
      <c r="V165" s="580"/>
      <c r="W165" s="580"/>
      <c r="X165" s="1188"/>
      <c r="Y165" s="580"/>
      <c r="Z165" s="580"/>
      <c r="AA165" s="580"/>
      <c r="AB165" s="575"/>
    </row>
    <row r="166" spans="1:36">
      <c r="A166" s="575"/>
      <c r="B166" s="575"/>
      <c r="C166" s="575"/>
      <c r="D166" s="575"/>
      <c r="E166" s="570"/>
      <c r="F166" s="576"/>
      <c r="G166" s="516"/>
      <c r="H166" s="516"/>
      <c r="I166" s="458"/>
      <c r="J166" s="516"/>
      <c r="K166" s="516"/>
      <c r="L166" s="516"/>
      <c r="M166" s="575"/>
      <c r="N166" s="1174"/>
      <c r="O166" s="1174"/>
      <c r="P166" s="580"/>
      <c r="Q166" s="580"/>
      <c r="R166" s="580"/>
      <c r="S166" s="580"/>
      <c r="T166" s="580"/>
      <c r="U166" s="580"/>
      <c r="V166" s="580"/>
      <c r="W166" s="580"/>
      <c r="X166" s="1188"/>
      <c r="Y166" s="580"/>
      <c r="Z166" s="580"/>
      <c r="AA166" s="580"/>
      <c r="AB166" s="575"/>
    </row>
    <row r="167" spans="1:36">
      <c r="A167" s="575"/>
      <c r="B167" s="575"/>
      <c r="C167" s="575"/>
      <c r="D167" s="575"/>
      <c r="E167" s="570"/>
      <c r="F167" s="576"/>
      <c r="G167" s="516"/>
      <c r="H167" s="516"/>
      <c r="I167" s="458"/>
      <c r="J167" s="516"/>
      <c r="K167" s="516"/>
      <c r="L167" s="516"/>
      <c r="M167" s="575"/>
      <c r="N167" s="1174"/>
      <c r="O167" s="1174"/>
      <c r="P167" s="580"/>
      <c r="Q167" s="580"/>
      <c r="R167" s="580"/>
      <c r="S167" s="580"/>
      <c r="T167" s="580"/>
      <c r="U167" s="580"/>
      <c r="V167" s="580"/>
      <c r="W167" s="580"/>
      <c r="X167" s="1188"/>
      <c r="Y167" s="580"/>
      <c r="Z167" s="580"/>
      <c r="AA167" s="580"/>
      <c r="AB167" s="575"/>
    </row>
    <row r="168" spans="1:36">
      <c r="A168" s="575"/>
      <c r="B168" s="575"/>
      <c r="C168" s="575"/>
      <c r="D168" s="575"/>
      <c r="E168" s="570"/>
      <c r="F168" s="576"/>
      <c r="G168" s="516"/>
      <c r="H168" s="516"/>
      <c r="I168" s="458"/>
      <c r="J168" s="516"/>
      <c r="K168" s="516"/>
      <c r="L168" s="516"/>
      <c r="M168" s="575"/>
      <c r="N168" s="1174"/>
      <c r="O168" s="1174"/>
      <c r="P168" s="580"/>
      <c r="Q168" s="580"/>
      <c r="R168" s="580"/>
      <c r="S168" s="580"/>
      <c r="T168" s="580"/>
      <c r="U168" s="580"/>
      <c r="V168" s="580"/>
      <c r="W168" s="580"/>
      <c r="X168" s="1188"/>
      <c r="Y168" s="580"/>
      <c r="Z168" s="580"/>
      <c r="AA168" s="580"/>
      <c r="AB168" s="575"/>
    </row>
    <row r="169" spans="1:36">
      <c r="A169" s="575"/>
      <c r="B169" s="575"/>
      <c r="C169" s="575"/>
      <c r="D169" s="575"/>
      <c r="E169" s="570"/>
      <c r="F169" s="576"/>
      <c r="G169" s="516"/>
      <c r="H169" s="516"/>
      <c r="I169" s="458"/>
      <c r="J169" s="516"/>
      <c r="K169" s="516"/>
      <c r="L169" s="516"/>
      <c r="M169" s="575"/>
      <c r="N169" s="1174"/>
      <c r="O169" s="1174"/>
      <c r="P169" s="580"/>
      <c r="Q169" s="580"/>
      <c r="R169" s="580"/>
      <c r="S169" s="580"/>
      <c r="T169" s="580"/>
      <c r="U169" s="580"/>
      <c r="V169" s="580"/>
      <c r="W169" s="580"/>
      <c r="X169" s="1188"/>
      <c r="Y169" s="580"/>
      <c r="Z169" s="580"/>
      <c r="AA169" s="580"/>
      <c r="AB169" s="575"/>
    </row>
    <row r="170" spans="1:36">
      <c r="A170" s="575"/>
      <c r="B170" s="575"/>
      <c r="C170" s="575"/>
      <c r="D170" s="575"/>
      <c r="E170" s="570"/>
      <c r="F170" s="576"/>
      <c r="G170" s="516"/>
      <c r="H170" s="516"/>
      <c r="I170" s="458"/>
      <c r="J170" s="516"/>
      <c r="K170" s="516"/>
      <c r="L170" s="516"/>
      <c r="M170" s="575"/>
      <c r="N170" s="1174"/>
      <c r="O170" s="1174"/>
      <c r="P170" s="580"/>
      <c r="Q170" s="580"/>
      <c r="R170" s="580"/>
      <c r="S170" s="580"/>
      <c r="T170" s="580"/>
      <c r="U170" s="580"/>
      <c r="V170" s="580"/>
      <c r="W170" s="580"/>
      <c r="X170" s="1188"/>
      <c r="Y170" s="580"/>
      <c r="Z170" s="580"/>
      <c r="AA170" s="580"/>
      <c r="AB170" s="575"/>
    </row>
    <row r="171" spans="1:36">
      <c r="A171" s="575"/>
      <c r="B171" s="575"/>
      <c r="C171" s="575"/>
      <c r="D171" s="575"/>
      <c r="E171" s="570"/>
      <c r="F171" s="576"/>
      <c r="G171" s="516"/>
      <c r="H171" s="516"/>
      <c r="I171" s="458"/>
      <c r="J171" s="516"/>
      <c r="K171" s="516"/>
      <c r="L171" s="516"/>
      <c r="M171" s="575"/>
      <c r="N171" s="1174"/>
      <c r="O171" s="1174"/>
      <c r="P171" s="580"/>
      <c r="Q171" s="580"/>
      <c r="R171" s="580"/>
      <c r="S171" s="580"/>
      <c r="T171" s="580"/>
      <c r="U171" s="580"/>
      <c r="V171" s="580"/>
      <c r="W171" s="580"/>
      <c r="X171" s="1188"/>
      <c r="Y171" s="580"/>
      <c r="Z171" s="580"/>
      <c r="AA171" s="580"/>
      <c r="AB171" s="575"/>
    </row>
    <row r="172" spans="1:36">
      <c r="A172" s="575"/>
      <c r="B172" s="575"/>
      <c r="C172" s="575"/>
      <c r="D172" s="575"/>
      <c r="E172" s="570"/>
      <c r="F172" s="576"/>
      <c r="G172" s="516"/>
      <c r="H172" s="516"/>
      <c r="I172" s="458"/>
      <c r="J172" s="516"/>
      <c r="K172" s="516"/>
      <c r="L172" s="516"/>
      <c r="M172" s="575"/>
      <c r="N172" s="1174"/>
      <c r="O172" s="1174"/>
      <c r="P172" s="580"/>
      <c r="Q172" s="580"/>
    </row>
    <row r="173" spans="1:36">
      <c r="A173" s="575"/>
      <c r="B173" s="575"/>
      <c r="C173" s="575"/>
      <c r="D173" s="575"/>
      <c r="E173" s="570"/>
      <c r="F173" s="576"/>
      <c r="G173" s="516"/>
      <c r="H173" s="516"/>
      <c r="I173" s="458"/>
      <c r="J173" s="516"/>
      <c r="K173" s="516"/>
      <c r="L173" s="516"/>
      <c r="M173" s="575"/>
      <c r="N173" s="1174"/>
      <c r="O173" s="1174"/>
      <c r="P173" s="580"/>
      <c r="Q173" s="580"/>
    </row>
    <row r="174" spans="1:36">
      <c r="A174" s="575"/>
      <c r="B174" s="575"/>
      <c r="C174" s="575"/>
      <c r="D174" s="575"/>
      <c r="E174" s="570"/>
      <c r="F174" s="576"/>
      <c r="G174" s="516"/>
      <c r="H174" s="516"/>
      <c r="I174" s="458"/>
      <c r="J174" s="516"/>
      <c r="K174" s="516"/>
      <c r="L174" s="516"/>
      <c r="M174" s="575"/>
      <c r="N174" s="1174"/>
      <c r="O174" s="1174"/>
      <c r="P174" s="580"/>
      <c r="Q174" s="580"/>
    </row>
    <row r="175" spans="1:36">
      <c r="A175" s="575"/>
      <c r="B175" s="575"/>
      <c r="C175" s="575"/>
      <c r="D175" s="575"/>
      <c r="E175" s="570"/>
      <c r="F175" s="576"/>
      <c r="G175" s="516"/>
      <c r="H175" s="516"/>
      <c r="I175" s="458"/>
      <c r="J175" s="516"/>
      <c r="K175" s="516"/>
      <c r="L175" s="516"/>
      <c r="M175" s="575"/>
      <c r="N175" s="1174"/>
      <c r="O175" s="1174"/>
      <c r="P175" s="580"/>
      <c r="Q175" s="580"/>
    </row>
    <row r="176" spans="1:36" s="578" customFormat="1">
      <c r="A176" s="575"/>
      <c r="B176" s="575"/>
      <c r="C176" s="575"/>
      <c r="D176" s="575"/>
      <c r="E176" s="570"/>
      <c r="F176" s="576"/>
      <c r="G176" s="516"/>
      <c r="H176" s="516"/>
      <c r="I176" s="458"/>
      <c r="J176" s="516"/>
      <c r="K176" s="516"/>
      <c r="L176" s="516"/>
      <c r="M176" s="575"/>
      <c r="N176" s="1174"/>
      <c r="O176" s="1174"/>
      <c r="P176" s="580"/>
      <c r="Q176" s="580"/>
      <c r="X176" s="1187"/>
      <c r="AB176" s="516"/>
      <c r="AC176" s="516"/>
      <c r="AD176" s="516"/>
      <c r="AE176" s="516"/>
      <c r="AF176" s="516"/>
      <c r="AG176" s="516"/>
      <c r="AH176" s="516"/>
      <c r="AI176" s="516"/>
      <c r="AJ176" s="516"/>
    </row>
    <row r="177" spans="1:36" s="578" customFormat="1">
      <c r="A177" s="575"/>
      <c r="B177" s="575"/>
      <c r="C177" s="575"/>
      <c r="D177" s="575"/>
      <c r="E177" s="570"/>
      <c r="F177" s="576"/>
      <c r="G177" s="516"/>
      <c r="H177" s="516"/>
      <c r="I177" s="458"/>
      <c r="J177" s="516"/>
      <c r="K177" s="516"/>
      <c r="L177" s="516"/>
      <c r="M177" s="575"/>
      <c r="N177" s="520"/>
      <c r="O177" s="1175"/>
      <c r="P177" s="615"/>
      <c r="X177" s="1187"/>
      <c r="AB177" s="516"/>
      <c r="AC177" s="516"/>
      <c r="AD177" s="516"/>
      <c r="AE177" s="516"/>
      <c r="AF177" s="516"/>
      <c r="AG177" s="516"/>
      <c r="AH177" s="516"/>
      <c r="AI177" s="516"/>
      <c r="AJ177" s="516"/>
    </row>
    <row r="178" spans="1:36" s="578" customFormat="1">
      <c r="A178" s="575"/>
      <c r="B178" s="575"/>
      <c r="C178" s="575"/>
      <c r="D178" s="575"/>
      <c r="E178" s="570"/>
      <c r="F178" s="576"/>
      <c r="G178" s="516"/>
      <c r="H178" s="516"/>
      <c r="I178" s="458"/>
      <c r="J178" s="516"/>
      <c r="K178" s="516"/>
      <c r="L178" s="516"/>
      <c r="M178" s="575"/>
      <c r="N178" s="520"/>
      <c r="O178" s="1175"/>
      <c r="P178" s="615"/>
      <c r="X178" s="1187"/>
      <c r="AB178" s="516"/>
      <c r="AC178" s="516"/>
      <c r="AD178" s="516"/>
      <c r="AE178" s="516"/>
      <c r="AF178" s="516"/>
      <c r="AG178" s="516"/>
      <c r="AH178" s="516"/>
      <c r="AI178" s="516"/>
      <c r="AJ178" s="516"/>
    </row>
    <row r="179" spans="1:36" s="578" customFormat="1">
      <c r="A179" s="575"/>
      <c r="B179" s="575"/>
      <c r="C179" s="575"/>
      <c r="D179" s="575"/>
      <c r="E179" s="570"/>
      <c r="F179" s="576"/>
      <c r="G179" s="516"/>
      <c r="H179" s="516"/>
      <c r="I179" s="458"/>
      <c r="J179" s="516"/>
      <c r="K179" s="516"/>
      <c r="L179" s="516"/>
      <c r="M179" s="575"/>
      <c r="N179" s="520"/>
      <c r="O179" s="1175"/>
      <c r="P179" s="615"/>
      <c r="X179" s="1187"/>
      <c r="AB179" s="516"/>
      <c r="AC179" s="516"/>
      <c r="AD179" s="516"/>
      <c r="AE179" s="516"/>
      <c r="AF179" s="516"/>
      <c r="AG179" s="516"/>
      <c r="AH179" s="516"/>
      <c r="AI179" s="516"/>
      <c r="AJ179" s="516"/>
    </row>
    <row r="180" spans="1:36" s="578" customFormat="1">
      <c r="A180" s="575"/>
      <c r="B180" s="575"/>
      <c r="C180" s="575"/>
      <c r="D180" s="575"/>
      <c r="E180" s="570"/>
      <c r="F180" s="576"/>
      <c r="G180" s="516"/>
      <c r="H180" s="516"/>
      <c r="I180" s="458"/>
      <c r="J180" s="516"/>
      <c r="K180" s="516"/>
      <c r="L180" s="516"/>
      <c r="M180" s="575"/>
      <c r="N180" s="520"/>
      <c r="O180" s="1175"/>
      <c r="P180" s="615"/>
      <c r="X180" s="1187"/>
      <c r="AB180" s="516"/>
      <c r="AC180" s="516"/>
      <c r="AD180" s="516"/>
      <c r="AE180" s="516"/>
      <c r="AF180" s="516"/>
      <c r="AG180" s="516"/>
      <c r="AH180" s="516"/>
      <c r="AI180" s="516"/>
      <c r="AJ180" s="516"/>
    </row>
    <row r="181" spans="1:36" s="578" customFormat="1">
      <c r="A181" s="516"/>
      <c r="B181" s="516"/>
      <c r="C181" s="579"/>
      <c r="D181" s="579"/>
      <c r="E181" s="579"/>
      <c r="F181" s="579"/>
      <c r="G181" s="575"/>
      <c r="H181" s="580"/>
      <c r="I181" s="575"/>
      <c r="J181" s="516"/>
      <c r="K181" s="516"/>
      <c r="L181" s="516"/>
      <c r="M181" s="575"/>
      <c r="N181" s="520"/>
      <c r="O181" s="1175"/>
      <c r="P181" s="615"/>
      <c r="X181" s="1187"/>
      <c r="AB181" s="516"/>
      <c r="AC181" s="516"/>
      <c r="AD181" s="516"/>
      <c r="AE181" s="516"/>
      <c r="AF181" s="516"/>
      <c r="AG181" s="516"/>
      <c r="AH181" s="516"/>
      <c r="AI181" s="516"/>
      <c r="AJ181" s="516"/>
    </row>
    <row r="182" spans="1:36" s="578" customFormat="1">
      <c r="A182" s="516"/>
      <c r="B182" s="516"/>
      <c r="C182" s="579"/>
      <c r="D182" s="579"/>
      <c r="E182" s="579"/>
      <c r="F182" s="579"/>
      <c r="G182" s="575"/>
      <c r="H182" s="580"/>
      <c r="I182" s="575"/>
      <c r="J182" s="516"/>
      <c r="K182" s="516"/>
      <c r="L182" s="516"/>
      <c r="M182" s="575"/>
      <c r="N182" s="520"/>
      <c r="O182" s="1175"/>
      <c r="P182" s="615"/>
      <c r="X182" s="1187"/>
      <c r="AB182" s="516"/>
      <c r="AC182" s="516"/>
      <c r="AD182" s="516"/>
      <c r="AE182" s="516"/>
      <c r="AF182" s="516"/>
      <c r="AG182" s="516"/>
      <c r="AH182" s="516"/>
      <c r="AI182" s="516"/>
      <c r="AJ182" s="516"/>
    </row>
    <row r="183" spans="1:36" s="578" customFormat="1">
      <c r="A183" s="516"/>
      <c r="B183" s="516"/>
      <c r="C183" s="579"/>
      <c r="D183" s="579"/>
      <c r="E183" s="579"/>
      <c r="F183" s="579"/>
      <c r="G183" s="575"/>
      <c r="H183" s="580"/>
      <c r="I183" s="575"/>
      <c r="J183" s="516"/>
      <c r="K183" s="516"/>
      <c r="L183" s="516"/>
      <c r="M183" s="575"/>
      <c r="N183" s="520"/>
      <c r="O183" s="1175"/>
      <c r="P183" s="615"/>
      <c r="X183" s="1187"/>
      <c r="AB183" s="516"/>
      <c r="AC183" s="516"/>
      <c r="AD183" s="516"/>
      <c r="AE183" s="516"/>
      <c r="AF183" s="516"/>
      <c r="AG183" s="516"/>
      <c r="AH183" s="516"/>
      <c r="AI183" s="516"/>
      <c r="AJ183" s="516"/>
    </row>
    <row r="184" spans="1:36" s="578" customFormat="1">
      <c r="A184" s="516"/>
      <c r="B184" s="516"/>
      <c r="C184" s="579"/>
      <c r="D184" s="579"/>
      <c r="E184" s="579"/>
      <c r="F184" s="579"/>
      <c r="G184" s="575"/>
      <c r="H184" s="580"/>
      <c r="I184" s="575"/>
      <c r="J184" s="516"/>
      <c r="K184" s="516"/>
      <c r="L184" s="516"/>
      <c r="M184" s="575"/>
      <c r="N184" s="520"/>
      <c r="O184" s="1175"/>
      <c r="P184" s="615"/>
      <c r="X184" s="1187"/>
      <c r="AB184" s="516"/>
      <c r="AC184" s="516"/>
      <c r="AD184" s="516"/>
      <c r="AE184" s="516"/>
      <c r="AF184" s="516"/>
      <c r="AG184" s="516"/>
      <c r="AH184" s="516"/>
      <c r="AI184" s="516"/>
      <c r="AJ184" s="516"/>
    </row>
    <row r="185" spans="1:36" s="578" customFormat="1">
      <c r="A185" s="516"/>
      <c r="B185" s="516"/>
      <c r="C185" s="579"/>
      <c r="D185" s="579"/>
      <c r="E185" s="579"/>
      <c r="F185" s="579"/>
      <c r="G185" s="575"/>
      <c r="H185" s="580"/>
      <c r="I185" s="575"/>
      <c r="J185" s="516"/>
      <c r="K185" s="516"/>
      <c r="L185" s="516"/>
      <c r="M185" s="575"/>
      <c r="N185" s="520"/>
      <c r="O185" s="1175"/>
      <c r="P185" s="615"/>
      <c r="X185" s="1187"/>
      <c r="AB185" s="516"/>
      <c r="AC185" s="516"/>
      <c r="AD185" s="516"/>
      <c r="AE185" s="516"/>
      <c r="AF185" s="516"/>
      <c r="AG185" s="516"/>
      <c r="AH185" s="516"/>
      <c r="AI185" s="516"/>
      <c r="AJ185" s="516"/>
    </row>
    <row r="186" spans="1:36" s="578" customFormat="1">
      <c r="A186" s="516"/>
      <c r="B186" s="516"/>
      <c r="C186" s="579"/>
      <c r="D186" s="579"/>
      <c r="E186" s="579"/>
      <c r="F186" s="579"/>
      <c r="G186" s="575"/>
      <c r="H186" s="580"/>
      <c r="I186" s="575"/>
      <c r="J186" s="516"/>
      <c r="K186" s="516"/>
      <c r="L186" s="516"/>
      <c r="M186" s="575"/>
      <c r="N186" s="520"/>
      <c r="O186" s="1175"/>
      <c r="P186" s="615"/>
      <c r="X186" s="1187"/>
      <c r="AB186" s="516"/>
      <c r="AC186" s="516"/>
      <c r="AD186" s="516"/>
      <c r="AE186" s="516"/>
      <c r="AF186" s="516"/>
      <c r="AG186" s="516"/>
      <c r="AH186" s="516"/>
      <c r="AI186" s="516"/>
      <c r="AJ186" s="516"/>
    </row>
    <row r="187" spans="1:36" s="578" customFormat="1">
      <c r="A187" s="516"/>
      <c r="B187" s="516"/>
      <c r="C187" s="579"/>
      <c r="D187" s="579"/>
      <c r="E187" s="579"/>
      <c r="F187" s="579"/>
      <c r="G187" s="575"/>
      <c r="H187" s="580"/>
      <c r="I187" s="575"/>
      <c r="J187" s="575"/>
      <c r="K187" s="516"/>
      <c r="L187" s="516"/>
      <c r="M187" s="575"/>
      <c r="N187" s="520"/>
      <c r="O187" s="1175"/>
      <c r="P187" s="615"/>
      <c r="X187" s="1187"/>
      <c r="AB187" s="516"/>
      <c r="AC187" s="516"/>
      <c r="AD187" s="516"/>
      <c r="AE187" s="516"/>
      <c r="AF187" s="516"/>
      <c r="AG187" s="516"/>
      <c r="AH187" s="516"/>
      <c r="AI187" s="516"/>
      <c r="AJ187" s="516"/>
    </row>
    <row r="188" spans="1:36" s="578" customFormat="1">
      <c r="A188" s="516"/>
      <c r="B188" s="516"/>
      <c r="C188" s="579"/>
      <c r="D188" s="579"/>
      <c r="E188" s="579"/>
      <c r="F188" s="579"/>
      <c r="G188" s="575"/>
      <c r="H188" s="580"/>
      <c r="I188" s="575"/>
      <c r="J188" s="575"/>
      <c r="K188" s="516"/>
      <c r="L188" s="516"/>
      <c r="M188" s="575"/>
      <c r="N188" s="520"/>
      <c r="O188" s="1175"/>
      <c r="P188" s="615"/>
      <c r="X188" s="1187"/>
      <c r="AB188" s="516"/>
      <c r="AC188" s="516"/>
      <c r="AD188" s="516"/>
      <c r="AE188" s="516"/>
      <c r="AF188" s="516"/>
      <c r="AG188" s="516"/>
      <c r="AH188" s="516"/>
      <c r="AI188" s="516"/>
      <c r="AJ188" s="516"/>
    </row>
    <row r="189" spans="1:36" s="578" customFormat="1">
      <c r="A189" s="516"/>
      <c r="B189" s="516"/>
      <c r="C189" s="579"/>
      <c r="D189" s="579"/>
      <c r="E189" s="579"/>
      <c r="F189" s="579"/>
      <c r="G189" s="575"/>
      <c r="H189" s="580"/>
      <c r="I189" s="575"/>
      <c r="J189" s="575"/>
      <c r="K189" s="516"/>
      <c r="L189" s="516"/>
      <c r="M189" s="575"/>
      <c r="N189" s="520"/>
      <c r="O189" s="1175"/>
      <c r="P189" s="615"/>
      <c r="X189" s="1187"/>
      <c r="AB189" s="516"/>
      <c r="AC189" s="516"/>
      <c r="AD189" s="516"/>
      <c r="AE189" s="516"/>
      <c r="AF189" s="516"/>
      <c r="AG189" s="516"/>
      <c r="AH189" s="516"/>
      <c r="AI189" s="516"/>
      <c r="AJ189" s="516"/>
    </row>
    <row r="190" spans="1:36" s="578" customFormat="1">
      <c r="A190" s="516"/>
      <c r="B190" s="516"/>
      <c r="C190" s="579"/>
      <c r="D190" s="579"/>
      <c r="E190" s="579"/>
      <c r="F190" s="579"/>
      <c r="G190" s="575"/>
      <c r="H190" s="580"/>
      <c r="I190" s="575"/>
      <c r="J190" s="575"/>
      <c r="K190" s="570"/>
      <c r="L190" s="516"/>
      <c r="M190" s="575"/>
      <c r="N190" s="520"/>
      <c r="O190" s="1175"/>
      <c r="P190" s="615"/>
      <c r="X190" s="1187"/>
      <c r="AB190" s="516"/>
      <c r="AC190" s="516"/>
      <c r="AD190" s="516"/>
      <c r="AE190" s="516"/>
      <c r="AF190" s="516"/>
      <c r="AG190" s="516"/>
      <c r="AH190" s="516"/>
      <c r="AI190" s="516"/>
      <c r="AJ190" s="516"/>
    </row>
    <row r="191" spans="1:36" s="578" customFormat="1">
      <c r="A191" s="516"/>
      <c r="B191" s="516"/>
      <c r="C191" s="579"/>
      <c r="D191" s="579"/>
      <c r="E191" s="579"/>
      <c r="F191" s="579"/>
      <c r="G191" s="575"/>
      <c r="H191" s="580"/>
      <c r="I191" s="575"/>
      <c r="J191" s="575"/>
      <c r="K191" s="570"/>
      <c r="L191" s="516"/>
      <c r="M191" s="575"/>
      <c r="N191" s="520"/>
      <c r="O191" s="1175"/>
      <c r="P191" s="615"/>
      <c r="X191" s="1187"/>
      <c r="AB191" s="516"/>
      <c r="AC191" s="516"/>
      <c r="AD191" s="516"/>
      <c r="AE191" s="516"/>
      <c r="AF191" s="516"/>
      <c r="AG191" s="516"/>
      <c r="AH191" s="516"/>
      <c r="AI191" s="516"/>
      <c r="AJ191" s="516"/>
    </row>
    <row r="192" spans="1:36">
      <c r="L192" s="516"/>
    </row>
    <row r="193" spans="12:12">
      <c r="L193" s="516"/>
    </row>
    <row r="194" spans="12:12">
      <c r="L194" s="516"/>
    </row>
  </sheetData>
  <mergeCells count="7">
    <mergeCell ref="Z7:AA7"/>
    <mergeCell ref="AC7:AD7"/>
    <mergeCell ref="D9:F9"/>
    <mergeCell ref="H9:K9"/>
    <mergeCell ref="A7:L7"/>
    <mergeCell ref="R7:S7"/>
    <mergeCell ref="T7:Y7"/>
  </mergeCells>
  <conditionalFormatting sqref="P83:P99 AH9:AH56">
    <cfRule type="aboveAverage" dxfId="1" priority="1" aboveAverage="0" stdDev="1"/>
    <cfRule type="aboveAverage" dxfId="0" priority="2" stdDev="1"/>
  </conditionalFormatting>
  <dataValidations count="1">
    <dataValidation type="list" allowBlank="1" showInputMessage="1" showErrorMessage="1" sqref="B5" xr:uid="{44137F84-4929-4119-9ACB-BF7A0A3C7174}">
      <formula1>$AJ$5:$AJ$8</formula1>
    </dataValidation>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C8F90-0EB4-4494-9586-81214DD36800}">
  <dimension ref="A1:Q151"/>
  <sheetViews>
    <sheetView workbookViewId="0">
      <selection activeCell="I5" sqref="I5"/>
    </sheetView>
  </sheetViews>
  <sheetFormatPr defaultColWidth="7.88671875" defaultRowHeight="10.199999999999999"/>
  <cols>
    <col min="1" max="1" width="15.6640625" style="516" bestFit="1" customWidth="1"/>
    <col min="2" max="2" width="9.5546875" style="516" bestFit="1" customWidth="1"/>
    <col min="3" max="3" width="5.109375" style="579" customWidth="1"/>
    <col min="4" max="6" width="7.6640625" style="579" customWidth="1"/>
    <col min="7" max="7" width="6.33203125" style="575" customWidth="1"/>
    <col min="8" max="8" width="6.88671875" style="580" customWidth="1"/>
    <col min="9" max="9" width="9.6640625" style="575" customWidth="1"/>
    <col min="10" max="10" width="8.6640625" style="575" bestFit="1" customWidth="1"/>
    <col min="11" max="11" width="12.5546875" style="570" customWidth="1"/>
    <col min="12" max="12" width="17.33203125" style="576" bestFit="1" customWidth="1"/>
    <col min="13" max="13" width="12.88671875" style="578" customWidth="1"/>
    <col min="14" max="14" width="11.33203125" style="516" customWidth="1"/>
    <col min="15" max="15" width="14.5546875" style="458" customWidth="1"/>
    <col min="16" max="16" width="2.44140625" style="458" customWidth="1"/>
    <col min="17" max="17" width="14" style="516" bestFit="1" customWidth="1"/>
    <col min="18" max="18" width="5.44140625" style="516" customWidth="1"/>
    <col min="19" max="27" width="5.33203125" style="516" customWidth="1"/>
    <col min="28" max="28" width="17" style="516" customWidth="1"/>
    <col min="29" max="16384" width="7.88671875" style="516"/>
  </cols>
  <sheetData>
    <row r="1" spans="1:15" s="405" customFormat="1" ht="13.2">
      <c r="A1" s="395" t="s">
        <v>103</v>
      </c>
      <c r="B1" s="396" t="s">
        <v>147</v>
      </c>
      <c r="C1" s="397"/>
      <c r="D1" s="396"/>
      <c r="E1" s="398"/>
      <c r="F1" s="398"/>
      <c r="G1" s="399"/>
      <c r="H1" s="400" t="s">
        <v>104</v>
      </c>
      <c r="I1" s="401">
        <v>35</v>
      </c>
      <c r="J1" s="402"/>
      <c r="K1" s="396"/>
      <c r="L1" s="396"/>
      <c r="M1" s="1026"/>
      <c r="N1" s="404"/>
    </row>
    <row r="2" spans="1:15" s="405" customFormat="1" ht="13.2">
      <c r="A2" s="406" t="s">
        <v>105</v>
      </c>
      <c r="B2" s="407" t="s">
        <v>8</v>
      </c>
      <c r="C2" s="408"/>
      <c r="D2" s="407"/>
      <c r="E2" s="409"/>
      <c r="F2" s="409"/>
      <c r="G2" s="410"/>
      <c r="H2" s="411" t="s">
        <v>106</v>
      </c>
      <c r="I2" s="412">
        <v>34</v>
      </c>
      <c r="J2" s="413"/>
      <c r="K2" s="407"/>
      <c r="L2" s="407"/>
      <c r="M2" s="1027"/>
      <c r="N2" s="415"/>
    </row>
    <row r="3" spans="1:15" s="421" customFormat="1" ht="11.25" customHeight="1">
      <c r="A3" s="416" t="s">
        <v>107</v>
      </c>
      <c r="B3" s="581">
        <v>45891</v>
      </c>
      <c r="C3" s="408"/>
      <c r="D3" s="409"/>
      <c r="E3" s="409"/>
      <c r="F3" s="409"/>
      <c r="G3" s="410"/>
      <c r="H3" s="417" t="s">
        <v>108</v>
      </c>
      <c r="I3" s="418">
        <f>M28/100</f>
        <v>0.32909090909090905</v>
      </c>
      <c r="J3" s="413"/>
      <c r="K3" s="407"/>
      <c r="L3" s="407"/>
      <c r="M3" s="1028"/>
      <c r="N3" s="420"/>
    </row>
    <row r="4" spans="1:15" s="405" customFormat="1" ht="13.2">
      <c r="A4" s="416" t="s">
        <v>109</v>
      </c>
      <c r="B4" s="407" t="s">
        <v>266</v>
      </c>
      <c r="C4" s="408"/>
      <c r="D4" s="409"/>
      <c r="E4" s="409"/>
      <c r="F4" s="409"/>
      <c r="G4" s="410"/>
      <c r="H4" s="417" t="s">
        <v>110</v>
      </c>
      <c r="I4" s="418">
        <f>J15</f>
        <v>0.52124999999999999</v>
      </c>
      <c r="J4" s="413"/>
      <c r="K4" s="407"/>
      <c r="L4" s="407"/>
      <c r="M4" s="1027"/>
      <c r="N4" s="404"/>
    </row>
    <row r="5" spans="1:15" s="425" customFormat="1" ht="13.2">
      <c r="A5" s="406" t="s">
        <v>111</v>
      </c>
      <c r="B5" s="422" t="s">
        <v>112</v>
      </c>
      <c r="C5" s="408"/>
      <c r="D5" s="409"/>
      <c r="E5" s="409"/>
      <c r="F5" s="409"/>
      <c r="G5" s="410"/>
      <c r="H5" s="417" t="s">
        <v>261</v>
      </c>
      <c r="I5" s="1224">
        <f>(I2*I4)/100</f>
        <v>0.17722499999999999</v>
      </c>
      <c r="J5" s="413"/>
      <c r="K5" s="407"/>
      <c r="L5" s="407"/>
      <c r="M5" s="1029"/>
      <c r="N5" s="424"/>
    </row>
    <row r="6" spans="1:15" s="424" customFormat="1" ht="13.8" thickBot="1">
      <c r="A6" s="426"/>
      <c r="B6" s="427"/>
      <c r="C6" s="428"/>
      <c r="D6" s="429"/>
      <c r="E6" s="429"/>
      <c r="F6" s="429"/>
      <c r="G6" s="430"/>
      <c r="H6" s="431"/>
      <c r="I6" s="432"/>
      <c r="J6" s="430"/>
      <c r="K6" s="433"/>
      <c r="L6" s="427"/>
      <c r="M6" s="1030"/>
    </row>
    <row r="7" spans="1:15" s="425" customFormat="1" ht="13.2" customHeight="1">
      <c r="A7" s="435" t="s">
        <v>113</v>
      </c>
      <c r="B7" s="436"/>
      <c r="C7" s="437"/>
      <c r="D7" s="438"/>
      <c r="E7" s="439" t="s">
        <v>114</v>
      </c>
      <c r="F7" s="436"/>
      <c r="G7" s="440" t="s">
        <v>115</v>
      </c>
      <c r="H7" s="441"/>
      <c r="I7" s="442" t="s">
        <v>116</v>
      </c>
      <c r="J7" s="442"/>
      <c r="K7" s="443"/>
      <c r="L7" s="1412" t="s">
        <v>117</v>
      </c>
      <c r="M7" s="1413"/>
      <c r="N7" s="424"/>
      <c r="O7" s="424"/>
    </row>
    <row r="8" spans="1:15" s="454" customFormat="1" ht="11.25" customHeight="1">
      <c r="A8" s="444"/>
      <c r="B8" s="445"/>
      <c r="C8" s="446"/>
      <c r="D8" s="447"/>
      <c r="E8" s="448"/>
      <c r="F8" s="447"/>
      <c r="G8" s="449"/>
      <c r="H8" s="450"/>
      <c r="I8" s="451"/>
      <c r="J8" s="451"/>
      <c r="K8" s="452"/>
      <c r="L8" s="423"/>
      <c r="M8" s="1029"/>
      <c r="N8" s="453"/>
    </row>
    <row r="9" spans="1:15" s="455" customFormat="1">
      <c r="C9" s="456"/>
      <c r="D9" s="457"/>
      <c r="E9" s="448" t="s">
        <v>118</v>
      </c>
      <c r="F9" s="447"/>
      <c r="G9" s="449"/>
      <c r="H9" s="450"/>
      <c r="I9" s="458"/>
      <c r="J9" s="458"/>
      <c r="K9" s="452"/>
      <c r="L9" s="459"/>
      <c r="M9" s="1031"/>
      <c r="N9" s="461"/>
      <c r="O9" s="462"/>
    </row>
    <row r="10" spans="1:15" s="455" customFormat="1">
      <c r="A10" s="463" t="s">
        <v>119</v>
      </c>
      <c r="B10" s="464" t="s">
        <v>120</v>
      </c>
      <c r="C10" s="465" t="s">
        <v>121</v>
      </c>
      <c r="D10" s="466" t="s">
        <v>122</v>
      </c>
      <c r="E10" s="467" t="s">
        <v>123</v>
      </c>
      <c r="F10" s="466" t="s">
        <v>124</v>
      </c>
      <c r="G10" s="449" t="s">
        <v>125</v>
      </c>
      <c r="H10" s="450" t="s">
        <v>126</v>
      </c>
      <c r="I10" s="451" t="s">
        <v>126</v>
      </c>
      <c r="J10" s="451" t="s">
        <v>125</v>
      </c>
      <c r="K10" s="468" t="s">
        <v>127</v>
      </c>
      <c r="L10" s="459" t="s">
        <v>128</v>
      </c>
      <c r="M10" s="1032" t="s">
        <v>129</v>
      </c>
      <c r="N10" s="469"/>
    </row>
    <row r="11" spans="1:15" s="455" customFormat="1" ht="12" thickBot="1">
      <c r="A11" s="470" t="s">
        <v>130</v>
      </c>
      <c r="B11" s="471" t="s">
        <v>130</v>
      </c>
      <c r="C11" s="472" t="s">
        <v>131</v>
      </c>
      <c r="D11" s="473" t="s">
        <v>132</v>
      </c>
      <c r="E11" s="474" t="s">
        <v>131</v>
      </c>
      <c r="F11" s="473" t="s">
        <v>131</v>
      </c>
      <c r="G11" s="475" t="s">
        <v>133</v>
      </c>
      <c r="H11" s="476" t="s">
        <v>134</v>
      </c>
      <c r="I11" s="477" t="s">
        <v>134</v>
      </c>
      <c r="J11" s="1048" t="s">
        <v>133</v>
      </c>
      <c r="K11" s="478"/>
      <c r="L11" s="479"/>
      <c r="M11" s="1033" t="s">
        <v>131</v>
      </c>
      <c r="N11" s="469"/>
    </row>
    <row r="12" spans="1:15" s="455" customFormat="1">
      <c r="A12" s="481">
        <v>485</v>
      </c>
      <c r="B12" s="482"/>
      <c r="C12" s="483">
        <v>10</v>
      </c>
      <c r="D12" s="484">
        <v>1000</v>
      </c>
      <c r="E12" s="485">
        <v>0</v>
      </c>
      <c r="F12" s="486">
        <f>(C12+C13-10)/2</f>
        <v>10</v>
      </c>
      <c r="G12" s="487">
        <f>A12/D12</f>
        <v>0.48499999999999999</v>
      </c>
      <c r="H12" s="488">
        <f>(F12-E12)*0.01*G12</f>
        <v>4.8500000000000001E-2</v>
      </c>
      <c r="I12" s="489">
        <f>H12</f>
        <v>4.8500000000000001E-2</v>
      </c>
      <c r="J12" s="490">
        <f>I12/(F12*0.01)</f>
        <v>0.48499999999999999</v>
      </c>
      <c r="K12" s="491"/>
      <c r="L12" s="492" t="s">
        <v>135</v>
      </c>
      <c r="M12" s="1034">
        <v>34</v>
      </c>
      <c r="N12" s="494"/>
    </row>
    <row r="13" spans="1:15" s="455" customFormat="1">
      <c r="A13" s="481">
        <v>535</v>
      </c>
      <c r="B13" s="482"/>
      <c r="C13" s="483">
        <v>20</v>
      </c>
      <c r="D13" s="484">
        <v>1000</v>
      </c>
      <c r="E13" s="495">
        <f>(C12+C13-10)/2</f>
        <v>10</v>
      </c>
      <c r="F13" s="486">
        <f t="shared" ref="F13:F14" si="0">(C13+C14-10)/2</f>
        <v>20</v>
      </c>
      <c r="G13" s="487">
        <f t="shared" ref="G13:G15" si="1">A13/D13</f>
        <v>0.53500000000000003</v>
      </c>
      <c r="H13" s="488">
        <f t="shared" ref="H13:H15" si="2">(F13-E13)*0.01*G13</f>
        <v>5.3500000000000006E-2</v>
      </c>
      <c r="I13" s="499">
        <f>H13+I12</f>
        <v>0.10200000000000001</v>
      </c>
      <c r="J13" s="1049">
        <f t="shared" ref="J13:J15" si="3">I13/(F13*0.01)</f>
        <v>0.51</v>
      </c>
      <c r="K13" s="491"/>
      <c r="L13" s="501" t="s">
        <v>136</v>
      </c>
      <c r="M13" s="1035"/>
      <c r="N13" s="469"/>
    </row>
    <row r="14" spans="1:15" s="455" customFormat="1">
      <c r="A14" s="481">
        <v>525</v>
      </c>
      <c r="B14" s="482"/>
      <c r="C14" s="483">
        <v>30</v>
      </c>
      <c r="D14" s="484">
        <v>1000</v>
      </c>
      <c r="E14" s="495">
        <f t="shared" ref="E14:E15" si="4">(C13+C14-10)/2</f>
        <v>20</v>
      </c>
      <c r="F14" s="486">
        <f t="shared" si="0"/>
        <v>30</v>
      </c>
      <c r="G14" s="487">
        <f t="shared" si="1"/>
        <v>0.52500000000000002</v>
      </c>
      <c r="H14" s="488">
        <f t="shared" si="2"/>
        <v>5.2500000000000005E-2</v>
      </c>
      <c r="I14" s="499">
        <f t="shared" ref="I14:I15" si="5">H14+I13</f>
        <v>0.15450000000000003</v>
      </c>
      <c r="J14" s="1049">
        <f t="shared" si="3"/>
        <v>0.51500000000000012</v>
      </c>
      <c r="K14" s="491"/>
      <c r="L14" s="501" t="s">
        <v>214</v>
      </c>
      <c r="M14" s="502">
        <v>33</v>
      </c>
      <c r="N14" s="469"/>
    </row>
    <row r="15" spans="1:15" s="455" customFormat="1" ht="30.6">
      <c r="A15" s="481">
        <v>540</v>
      </c>
      <c r="B15" s="482"/>
      <c r="C15" s="483">
        <v>40</v>
      </c>
      <c r="D15" s="484">
        <v>1000</v>
      </c>
      <c r="E15" s="495">
        <f t="shared" si="4"/>
        <v>30</v>
      </c>
      <c r="F15" s="486">
        <v>40</v>
      </c>
      <c r="G15" s="487">
        <f t="shared" si="1"/>
        <v>0.54</v>
      </c>
      <c r="H15" s="488">
        <f t="shared" si="2"/>
        <v>5.4000000000000006E-2</v>
      </c>
      <c r="I15" s="499">
        <f t="shared" si="5"/>
        <v>0.20850000000000002</v>
      </c>
      <c r="J15" s="1049">
        <f t="shared" si="3"/>
        <v>0.52124999999999999</v>
      </c>
      <c r="K15" s="491" t="s">
        <v>267</v>
      </c>
      <c r="L15" s="501" t="s">
        <v>215</v>
      </c>
      <c r="M15" s="502">
        <v>25</v>
      </c>
      <c r="N15" s="469"/>
    </row>
    <row r="16" spans="1:15" s="455" customFormat="1">
      <c r="A16" s="504"/>
      <c r="B16" s="482"/>
      <c r="C16" s="483"/>
      <c r="D16" s="484"/>
      <c r="E16" s="495"/>
      <c r="F16" s="486"/>
      <c r="G16" s="487"/>
      <c r="H16" s="488"/>
      <c r="I16" s="499"/>
      <c r="J16" s="1049"/>
      <c r="K16" s="491"/>
      <c r="L16" s="501" t="s">
        <v>216</v>
      </c>
      <c r="M16" s="503">
        <v>36</v>
      </c>
      <c r="N16" s="469"/>
    </row>
    <row r="17" spans="1:16" s="455" customFormat="1">
      <c r="A17" s="504"/>
      <c r="B17" s="482"/>
      <c r="C17" s="483"/>
      <c r="D17" s="484"/>
      <c r="E17" s="495"/>
      <c r="F17" s="486"/>
      <c r="G17" s="487"/>
      <c r="H17" s="488"/>
      <c r="I17" s="499"/>
      <c r="J17" s="1049"/>
      <c r="K17" s="505" t="s">
        <v>137</v>
      </c>
      <c r="L17" s="501" t="s">
        <v>217</v>
      </c>
      <c r="M17" s="502">
        <v>40</v>
      </c>
      <c r="N17" s="508"/>
    </row>
    <row r="18" spans="1:16" s="455" customFormat="1">
      <c r="A18" s="504"/>
      <c r="B18" s="482"/>
      <c r="C18" s="483"/>
      <c r="D18" s="484"/>
      <c r="E18" s="495"/>
      <c r="F18" s="486"/>
      <c r="G18" s="487"/>
      <c r="H18" s="488"/>
      <c r="I18" s="499"/>
      <c r="J18" s="1049"/>
      <c r="K18" s="506"/>
      <c r="L18" s="501" t="s">
        <v>218</v>
      </c>
      <c r="M18" s="502">
        <v>30</v>
      </c>
      <c r="N18" s="461"/>
    </row>
    <row r="19" spans="1:16" s="455" customFormat="1" ht="10.199999999999999" customHeight="1">
      <c r="A19" s="504"/>
      <c r="B19" s="482"/>
      <c r="C19" s="483"/>
      <c r="D19" s="484"/>
      <c r="E19" s="495"/>
      <c r="F19" s="486"/>
      <c r="G19" s="487"/>
      <c r="H19" s="488"/>
      <c r="I19" s="499"/>
      <c r="J19" s="1049"/>
      <c r="K19" s="506"/>
      <c r="L19" s="501" t="s">
        <v>219</v>
      </c>
      <c r="M19" s="502">
        <v>30</v>
      </c>
      <c r="N19" s="507"/>
    </row>
    <row r="20" spans="1:16" s="455" customFormat="1">
      <c r="A20" s="504"/>
      <c r="B20" s="482"/>
      <c r="C20" s="483"/>
      <c r="D20" s="484"/>
      <c r="E20" s="495"/>
      <c r="F20" s="486"/>
      <c r="G20" s="487"/>
      <c r="H20" s="488"/>
      <c r="I20" s="499"/>
      <c r="J20" s="1049"/>
      <c r="K20" s="491"/>
      <c r="L20" s="501" t="s">
        <v>221</v>
      </c>
      <c r="M20" s="502">
        <v>32</v>
      </c>
      <c r="N20" s="508"/>
    </row>
    <row r="21" spans="1:16" s="510" customFormat="1">
      <c r="A21" s="504"/>
      <c r="B21" s="482"/>
      <c r="C21" s="483"/>
      <c r="D21" s="484"/>
      <c r="E21" s="495"/>
      <c r="F21" s="486"/>
      <c r="G21" s="487"/>
      <c r="H21" s="488"/>
      <c r="I21" s="499"/>
      <c r="J21" s="1049"/>
      <c r="K21" s="509"/>
      <c r="L21" s="501" t="s">
        <v>220</v>
      </c>
      <c r="M21" s="502">
        <v>33</v>
      </c>
      <c r="N21" s="508"/>
    </row>
    <row r="22" spans="1:16" s="510" customFormat="1">
      <c r="A22" s="504"/>
      <c r="B22" s="482"/>
      <c r="C22" s="483"/>
      <c r="D22" s="484"/>
      <c r="E22" s="495"/>
      <c r="F22" s="486"/>
      <c r="G22" s="487"/>
      <c r="H22" s="488"/>
      <c r="I22" s="499"/>
      <c r="J22" s="1049"/>
      <c r="K22" s="491"/>
      <c r="L22" s="501" t="s">
        <v>222</v>
      </c>
      <c r="M22" s="502">
        <v>34</v>
      </c>
      <c r="N22" s="508"/>
    </row>
    <row r="23" spans="1:16" s="510" customFormat="1">
      <c r="A23" s="504"/>
      <c r="B23" s="482"/>
      <c r="C23" s="483"/>
      <c r="D23" s="484"/>
      <c r="E23" s="495"/>
      <c r="F23" s="486"/>
      <c r="G23" s="487"/>
      <c r="H23" s="488"/>
      <c r="I23" s="499"/>
      <c r="J23" s="1049"/>
      <c r="K23" s="512"/>
      <c r="L23" s="501" t="s">
        <v>223</v>
      </c>
      <c r="M23" s="511">
        <v>35</v>
      </c>
      <c r="N23" s="514"/>
    </row>
    <row r="24" spans="1:16" s="510" customFormat="1">
      <c r="A24" s="504"/>
      <c r="B24" s="482"/>
      <c r="C24" s="483"/>
      <c r="D24" s="484"/>
      <c r="E24" s="495"/>
      <c r="F24" s="486"/>
      <c r="G24" s="487"/>
      <c r="H24" s="488"/>
      <c r="I24" s="499"/>
      <c r="J24" s="1049"/>
      <c r="K24" s="515"/>
      <c r="L24" s="501"/>
      <c r="M24" s="1037"/>
      <c r="N24" s="514"/>
    </row>
    <row r="25" spans="1:16" s="510" customFormat="1">
      <c r="A25" s="504"/>
      <c r="B25" s="482"/>
      <c r="C25" s="483"/>
      <c r="D25" s="484"/>
      <c r="E25" s="495"/>
      <c r="F25" s="486"/>
      <c r="G25" s="487"/>
      <c r="H25" s="488"/>
      <c r="I25" s="499"/>
      <c r="J25" s="1049"/>
      <c r="K25" s="515"/>
      <c r="L25" s="501"/>
      <c r="M25" s="1037"/>
      <c r="N25" s="514"/>
    </row>
    <row r="26" spans="1:16" s="510" customFormat="1">
      <c r="A26" s="504"/>
      <c r="B26" s="482"/>
      <c r="C26" s="483"/>
      <c r="D26" s="484"/>
      <c r="E26" s="495"/>
      <c r="F26" s="486"/>
      <c r="G26" s="487"/>
      <c r="H26" s="488"/>
      <c r="I26" s="499"/>
      <c r="J26" s="1049"/>
      <c r="K26" s="515"/>
      <c r="L26" s="501"/>
      <c r="M26" s="1035"/>
      <c r="N26" s="514"/>
    </row>
    <row r="27" spans="1:16" s="510" customFormat="1" ht="10.8" thickBot="1">
      <c r="A27" s="504"/>
      <c r="B27" s="482"/>
      <c r="C27" s="483"/>
      <c r="D27" s="484"/>
      <c r="E27" s="495"/>
      <c r="F27" s="496"/>
      <c r="G27" s="487"/>
      <c r="H27" s="488"/>
      <c r="I27" s="499"/>
      <c r="J27" s="1049"/>
      <c r="K27" s="515"/>
      <c r="L27" s="501"/>
      <c r="M27" s="1035"/>
      <c r="N27" s="514"/>
    </row>
    <row r="28" spans="1:16" s="510" customFormat="1">
      <c r="A28" s="504"/>
      <c r="B28" s="482"/>
      <c r="C28" s="483"/>
      <c r="D28" s="484"/>
      <c r="E28" s="495"/>
      <c r="F28" s="496"/>
      <c r="G28" s="497"/>
      <c r="H28" s="498"/>
      <c r="I28" s="499"/>
      <c r="J28" s="500"/>
      <c r="K28" s="517"/>
      <c r="L28" s="527" t="s">
        <v>138</v>
      </c>
      <c r="M28" s="1038">
        <f>AVERAGE(M12:M27)</f>
        <v>32.909090909090907</v>
      </c>
      <c r="N28" s="514"/>
    </row>
    <row r="29" spans="1:16">
      <c r="A29" s="504"/>
      <c r="B29" s="482"/>
      <c r="C29" s="483"/>
      <c r="D29" s="484"/>
      <c r="E29" s="495"/>
      <c r="F29" s="496"/>
      <c r="G29" s="497"/>
      <c r="H29" s="498"/>
      <c r="I29" s="499"/>
      <c r="J29" s="500"/>
      <c r="K29" s="517"/>
      <c r="L29" s="404" t="s">
        <v>139</v>
      </c>
      <c r="M29" s="1039">
        <f>STDEV(M12:M27)</f>
        <v>3.8328721725240209</v>
      </c>
      <c r="N29" s="514"/>
      <c r="O29" s="510"/>
      <c r="P29" s="510"/>
    </row>
    <row r="30" spans="1:16">
      <c r="A30" s="529" t="s">
        <v>140</v>
      </c>
      <c r="B30" s="530"/>
      <c r="C30" s="531"/>
      <c r="D30" s="532"/>
      <c r="E30" s="533"/>
      <c r="F30" s="534"/>
      <c r="G30" s="535"/>
      <c r="H30" s="536"/>
      <c r="I30" s="537"/>
      <c r="J30" s="538"/>
      <c r="K30" s="539"/>
      <c r="L30" s="404" t="s">
        <v>141</v>
      </c>
      <c r="M30" s="1039">
        <f>M29/SQRT(COUNT(M12:M27))</f>
        <v>1.1556544423324115</v>
      </c>
      <c r="N30" s="514"/>
      <c r="O30" s="510"/>
      <c r="P30" s="510"/>
    </row>
    <row r="31" spans="1:16">
      <c r="A31" s="540"/>
      <c r="B31" s="541"/>
      <c r="C31" s="542"/>
      <c r="D31" s="543"/>
      <c r="E31" s="544"/>
      <c r="F31" s="545"/>
      <c r="G31" s="546"/>
      <c r="H31" s="547"/>
      <c r="I31" s="548"/>
      <c r="J31" s="549"/>
      <c r="K31" s="550"/>
      <c r="L31" s="404" t="s">
        <v>142</v>
      </c>
      <c r="M31" s="1039">
        <f>MAX(M12:M27)</f>
        <v>40</v>
      </c>
      <c r="N31" s="514"/>
      <c r="O31" s="510"/>
      <c r="P31" s="510"/>
    </row>
    <row r="32" spans="1:16" ht="10.8" thickBot="1">
      <c r="A32" s="551"/>
      <c r="B32" s="552"/>
      <c r="C32" s="553"/>
      <c r="D32" s="554"/>
      <c r="E32" s="555"/>
      <c r="F32" s="556"/>
      <c r="G32" s="557"/>
      <c r="H32" s="558"/>
      <c r="I32" s="559"/>
      <c r="J32" s="560"/>
      <c r="K32" s="561"/>
      <c r="L32" s="562" t="s">
        <v>143</v>
      </c>
      <c r="M32" s="1040">
        <f>MIN(M12:M27)</f>
        <v>25</v>
      </c>
      <c r="N32" s="514"/>
      <c r="O32" s="510"/>
      <c r="P32" s="510"/>
    </row>
    <row r="33" spans="1:17">
      <c r="A33" s="564"/>
      <c r="B33" s="564"/>
      <c r="C33" s="565"/>
      <c r="D33" s="566"/>
      <c r="E33" s="566"/>
      <c r="F33" s="566"/>
      <c r="G33" s="567"/>
      <c r="H33" s="568"/>
      <c r="I33" s="569"/>
      <c r="J33" s="570"/>
      <c r="K33" s="571"/>
      <c r="L33" s="572"/>
      <c r="M33" s="615"/>
      <c r="N33" s="514"/>
      <c r="O33" s="510"/>
      <c r="P33" s="510"/>
    </row>
    <row r="34" spans="1:17">
      <c r="A34" s="458"/>
      <c r="B34" s="458"/>
      <c r="C34" s="573"/>
      <c r="D34" s="573"/>
      <c r="E34" s="573"/>
      <c r="F34" s="573"/>
      <c r="G34" s="569"/>
      <c r="H34" s="568"/>
      <c r="I34" s="569"/>
      <c r="J34" s="570"/>
      <c r="K34" s="574"/>
      <c r="L34" s="572"/>
      <c r="M34" s="615"/>
      <c r="N34" s="518"/>
      <c r="O34" s="516"/>
      <c r="P34" s="516"/>
    </row>
    <row r="35" spans="1:17">
      <c r="A35" s="575"/>
      <c r="B35" s="575"/>
      <c r="C35" s="575"/>
      <c r="D35" s="575"/>
      <c r="E35" s="570"/>
      <c r="F35" s="576"/>
      <c r="G35" s="458"/>
      <c r="H35" s="516"/>
      <c r="I35" s="458"/>
      <c r="J35" s="516"/>
      <c r="K35" s="516"/>
      <c r="L35" s="458"/>
      <c r="M35" s="615"/>
      <c r="N35" s="519"/>
      <c r="O35" s="520"/>
      <c r="P35" s="521"/>
      <c r="Q35" s="520"/>
    </row>
    <row r="36" spans="1:17">
      <c r="A36" s="577"/>
      <c r="B36" s="577"/>
      <c r="C36" s="575"/>
      <c r="D36" s="575"/>
      <c r="E36" s="570"/>
      <c r="F36" s="576"/>
      <c r="G36" s="516"/>
      <c r="H36" s="516"/>
      <c r="I36" s="458"/>
      <c r="J36" s="516"/>
      <c r="K36" s="516"/>
      <c r="L36" s="458"/>
      <c r="M36" s="615"/>
      <c r="N36" s="519"/>
      <c r="O36" s="520"/>
      <c r="P36" s="522"/>
      <c r="Q36" s="520"/>
    </row>
    <row r="37" spans="1:17">
      <c r="A37" s="451"/>
      <c r="B37" s="451"/>
      <c r="C37" s="575"/>
      <c r="D37" s="575"/>
      <c r="E37" s="570"/>
      <c r="F37" s="576"/>
      <c r="G37" s="516"/>
      <c r="H37" s="516"/>
      <c r="I37" s="458"/>
      <c r="J37" s="516"/>
      <c r="K37" s="516"/>
      <c r="L37" s="458"/>
      <c r="M37" s="615"/>
      <c r="N37" s="523"/>
      <c r="O37" s="520"/>
      <c r="P37" s="520"/>
      <c r="Q37" s="520"/>
    </row>
    <row r="38" spans="1:17">
      <c r="A38" s="575"/>
      <c r="B38" s="575"/>
      <c r="C38" s="575"/>
      <c r="D38" s="575"/>
      <c r="E38" s="570"/>
      <c r="F38" s="576"/>
      <c r="G38" s="516"/>
      <c r="H38" s="516"/>
      <c r="I38" s="458"/>
      <c r="J38" s="516"/>
      <c r="K38" s="516"/>
      <c r="L38" s="458"/>
      <c r="M38" s="615"/>
      <c r="N38" s="524"/>
      <c r="O38" s="525"/>
      <c r="P38" s="516"/>
    </row>
    <row r="39" spans="1:17">
      <c r="A39" s="575"/>
      <c r="B39" s="575"/>
      <c r="C39" s="575"/>
      <c r="D39" s="575"/>
      <c r="E39" s="570"/>
      <c r="F39" s="576"/>
      <c r="G39" s="516"/>
      <c r="H39" s="516"/>
      <c r="I39" s="458"/>
      <c r="J39" s="569"/>
      <c r="K39" s="516"/>
      <c r="L39" s="458"/>
      <c r="M39" s="615"/>
      <c r="N39" s="525"/>
      <c r="O39" s="525"/>
      <c r="P39" s="516"/>
    </row>
    <row r="40" spans="1:17">
      <c r="A40" s="575"/>
      <c r="B40" s="575"/>
      <c r="C40" s="575"/>
      <c r="D40" s="575"/>
      <c r="E40" s="570"/>
      <c r="F40" s="576"/>
      <c r="G40" s="516"/>
      <c r="H40" s="516"/>
      <c r="I40" s="458"/>
      <c r="J40" s="569"/>
      <c r="K40" s="516"/>
      <c r="L40" s="458"/>
      <c r="M40" s="615"/>
      <c r="O40" s="516"/>
      <c r="P40" s="516"/>
    </row>
    <row r="41" spans="1:17">
      <c r="A41" s="575"/>
      <c r="B41" s="575"/>
      <c r="C41" s="575"/>
      <c r="D41" s="575"/>
      <c r="E41" s="570"/>
      <c r="F41" s="576"/>
      <c r="G41" s="516"/>
      <c r="H41" s="516"/>
      <c r="I41" s="458"/>
      <c r="J41" s="516"/>
      <c r="K41" s="516"/>
      <c r="L41" s="458"/>
      <c r="M41" s="615"/>
      <c r="O41" s="516"/>
      <c r="P41" s="516"/>
    </row>
    <row r="42" spans="1:17">
      <c r="A42" s="575"/>
      <c r="B42" s="575"/>
      <c r="C42" s="575"/>
      <c r="D42" s="575"/>
      <c r="E42" s="570"/>
      <c r="F42" s="576"/>
      <c r="G42" s="516"/>
      <c r="H42" s="516"/>
      <c r="I42" s="458"/>
      <c r="J42" s="516"/>
      <c r="K42" s="516"/>
      <c r="L42" s="458"/>
      <c r="M42" s="615"/>
      <c r="O42" s="516"/>
      <c r="P42" s="516"/>
    </row>
    <row r="43" spans="1:17">
      <c r="A43" s="575"/>
      <c r="B43" s="575"/>
      <c r="C43" s="575"/>
      <c r="D43" s="575"/>
      <c r="E43" s="570"/>
      <c r="F43" s="576"/>
      <c r="G43" s="516"/>
      <c r="H43" s="516"/>
      <c r="I43" s="458"/>
      <c r="J43" s="516"/>
      <c r="K43" s="516"/>
      <c r="L43" s="458"/>
      <c r="M43" s="615"/>
      <c r="O43" s="516"/>
      <c r="P43" s="516"/>
    </row>
    <row r="44" spans="1:17">
      <c r="A44" s="575"/>
      <c r="B44" s="575"/>
      <c r="C44" s="575"/>
      <c r="D44" s="575"/>
      <c r="E44" s="570"/>
      <c r="F44" s="576"/>
      <c r="G44" s="516"/>
      <c r="H44" s="516"/>
      <c r="I44" s="458"/>
      <c r="J44" s="516"/>
      <c r="K44" s="516"/>
      <c r="L44" s="458"/>
      <c r="M44" s="615"/>
      <c r="O44" s="516"/>
      <c r="P44" s="516"/>
    </row>
    <row r="45" spans="1:17">
      <c r="A45" s="575"/>
      <c r="B45" s="575"/>
      <c r="C45" s="575"/>
      <c r="D45" s="575"/>
      <c r="E45" s="570"/>
      <c r="F45" s="576"/>
      <c r="G45" s="516"/>
      <c r="H45" s="516"/>
      <c r="I45" s="458"/>
      <c r="J45" s="516"/>
      <c r="K45" s="516"/>
      <c r="L45" s="458"/>
      <c r="M45" s="615"/>
      <c r="O45" s="516"/>
      <c r="P45" s="516"/>
    </row>
    <row r="46" spans="1:17">
      <c r="A46" s="575"/>
      <c r="B46" s="575"/>
      <c r="C46" s="575"/>
      <c r="D46" s="575"/>
      <c r="E46" s="570"/>
      <c r="F46" s="576"/>
      <c r="G46" s="516"/>
      <c r="H46" s="516"/>
      <c r="I46" s="458"/>
      <c r="J46" s="516"/>
      <c r="K46" s="516"/>
      <c r="L46" s="458"/>
      <c r="O46" s="516"/>
      <c r="P46" s="516"/>
    </row>
    <row r="47" spans="1:17">
      <c r="A47" s="575"/>
      <c r="B47" s="575"/>
      <c r="C47" s="575"/>
      <c r="D47" s="575"/>
      <c r="E47" s="570"/>
      <c r="F47" s="576"/>
      <c r="G47" s="516"/>
      <c r="H47" s="516"/>
      <c r="I47" s="458"/>
      <c r="J47" s="516"/>
      <c r="K47" s="516"/>
      <c r="L47" s="458"/>
      <c r="O47" s="516"/>
      <c r="P47" s="516"/>
    </row>
    <row r="48" spans="1:17">
      <c r="A48" s="575"/>
      <c r="B48" s="575"/>
      <c r="C48" s="575"/>
      <c r="D48" s="575"/>
      <c r="E48" s="570"/>
      <c r="F48" s="576"/>
      <c r="G48" s="516"/>
      <c r="H48" s="516"/>
      <c r="I48" s="458"/>
      <c r="J48" s="516"/>
      <c r="K48" s="516"/>
      <c r="L48" s="516"/>
      <c r="O48" s="516"/>
      <c r="P48" s="516"/>
    </row>
    <row r="49" spans="1:17">
      <c r="A49" s="575"/>
      <c r="B49" s="575"/>
      <c r="C49" s="575"/>
      <c r="D49" s="575"/>
      <c r="E49" s="570"/>
      <c r="F49" s="576"/>
      <c r="G49" s="516"/>
      <c r="H49" s="516"/>
      <c r="I49" s="458"/>
      <c r="J49" s="516"/>
      <c r="K49" s="516"/>
      <c r="L49" s="516"/>
      <c r="O49" s="516"/>
      <c r="P49" s="516"/>
    </row>
    <row r="50" spans="1:17">
      <c r="A50" s="575"/>
      <c r="B50" s="575"/>
      <c r="C50" s="575"/>
      <c r="D50" s="575"/>
      <c r="E50" s="570"/>
      <c r="F50" s="576"/>
      <c r="G50" s="516"/>
      <c r="H50" s="516"/>
      <c r="I50" s="458"/>
      <c r="J50" s="516"/>
      <c r="K50" s="516"/>
      <c r="L50" s="516"/>
      <c r="O50" s="516"/>
      <c r="P50" s="516"/>
    </row>
    <row r="51" spans="1:17">
      <c r="A51" s="575"/>
      <c r="B51" s="575"/>
      <c r="C51" s="575"/>
      <c r="D51" s="575"/>
      <c r="E51" s="570"/>
      <c r="F51" s="576"/>
      <c r="G51" s="516"/>
      <c r="H51" s="516"/>
      <c r="I51" s="458"/>
      <c r="J51" s="516"/>
      <c r="K51" s="516"/>
      <c r="L51" s="516"/>
      <c r="O51" s="516"/>
      <c r="P51" s="516"/>
    </row>
    <row r="52" spans="1:17">
      <c r="A52" s="575"/>
      <c r="B52" s="575"/>
      <c r="C52" s="575"/>
      <c r="D52" s="575"/>
      <c r="E52" s="570"/>
      <c r="F52" s="576"/>
      <c r="G52" s="516"/>
      <c r="H52" s="516"/>
      <c r="I52" s="458"/>
      <c r="J52" s="516"/>
      <c r="K52" s="516"/>
      <c r="L52" s="516"/>
      <c r="O52" s="516"/>
      <c r="P52" s="516"/>
    </row>
    <row r="53" spans="1:17">
      <c r="A53" s="575"/>
      <c r="B53" s="575"/>
      <c r="C53" s="575"/>
      <c r="D53" s="575"/>
      <c r="E53" s="570"/>
      <c r="F53" s="576"/>
      <c r="G53" s="516"/>
      <c r="H53" s="516"/>
      <c r="I53" s="458"/>
      <c r="J53" s="516"/>
      <c r="K53" s="516"/>
      <c r="L53" s="516"/>
      <c r="O53" s="516"/>
      <c r="P53" s="516"/>
    </row>
    <row r="54" spans="1:17">
      <c r="A54" s="575"/>
      <c r="B54" s="575"/>
      <c r="C54" s="575"/>
      <c r="D54" s="575"/>
      <c r="E54" s="570"/>
      <c r="F54" s="576"/>
      <c r="G54" s="516"/>
      <c r="H54" s="516"/>
      <c r="I54" s="458"/>
      <c r="J54" s="516"/>
      <c r="K54" s="516"/>
      <c r="L54" s="516"/>
      <c r="N54" s="458"/>
      <c r="P54" s="516"/>
    </row>
    <row r="55" spans="1:17">
      <c r="A55" s="575"/>
      <c r="B55" s="575"/>
      <c r="C55" s="575"/>
      <c r="D55" s="575"/>
      <c r="E55" s="570"/>
      <c r="F55" s="576"/>
      <c r="G55" s="516"/>
      <c r="H55" s="516"/>
      <c r="I55" s="458"/>
      <c r="J55" s="516"/>
      <c r="K55" s="516"/>
      <c r="L55" s="516"/>
      <c r="N55" s="524"/>
      <c r="Q55" s="458"/>
    </row>
    <row r="56" spans="1:17">
      <c r="A56" s="575"/>
      <c r="B56" s="575"/>
      <c r="C56" s="575"/>
      <c r="D56" s="575"/>
      <c r="E56" s="570"/>
      <c r="F56" s="576"/>
      <c r="G56" s="516"/>
      <c r="H56" s="516"/>
      <c r="I56" s="458"/>
      <c r="J56" s="516"/>
      <c r="K56" s="516"/>
      <c r="L56" s="516"/>
      <c r="N56" s="524"/>
      <c r="O56" s="516"/>
      <c r="P56" s="516"/>
    </row>
    <row r="57" spans="1:17">
      <c r="A57" s="575"/>
      <c r="B57" s="575"/>
      <c r="C57" s="575"/>
      <c r="D57" s="575"/>
      <c r="E57" s="570"/>
      <c r="F57" s="576"/>
      <c r="G57" s="516"/>
      <c r="H57" s="516"/>
      <c r="I57" s="458"/>
      <c r="J57" s="516"/>
      <c r="K57" s="516"/>
      <c r="L57" s="516"/>
      <c r="N57" s="458"/>
      <c r="O57" s="516"/>
      <c r="P57" s="516"/>
    </row>
    <row r="58" spans="1:17">
      <c r="A58" s="575"/>
      <c r="B58" s="575"/>
      <c r="C58" s="575"/>
      <c r="D58" s="575"/>
      <c r="E58" s="570"/>
      <c r="F58" s="576"/>
      <c r="G58" s="516"/>
      <c r="H58" s="516"/>
      <c r="I58" s="458"/>
      <c r="J58" s="516"/>
      <c r="K58" s="516"/>
      <c r="L58" s="516"/>
      <c r="O58" s="516"/>
      <c r="P58" s="516"/>
    </row>
    <row r="59" spans="1:17">
      <c r="A59" s="575"/>
      <c r="B59" s="575"/>
      <c r="C59" s="575"/>
      <c r="D59" s="575"/>
      <c r="E59" s="570"/>
      <c r="F59" s="576"/>
      <c r="G59" s="578"/>
      <c r="H59" s="516"/>
      <c r="I59" s="458"/>
      <c r="J59" s="516"/>
      <c r="K59" s="516"/>
      <c r="L59" s="516"/>
      <c r="O59" s="516"/>
      <c r="P59" s="516"/>
    </row>
    <row r="60" spans="1:17">
      <c r="A60" s="575"/>
      <c r="B60" s="575"/>
      <c r="C60" s="575"/>
      <c r="D60" s="575"/>
      <c r="E60" s="570"/>
      <c r="F60" s="576"/>
      <c r="G60" s="578"/>
      <c r="H60" s="516"/>
      <c r="I60" s="458"/>
      <c r="J60" s="516"/>
      <c r="K60" s="516"/>
      <c r="L60" s="516"/>
      <c r="O60" s="516"/>
      <c r="P60" s="516"/>
    </row>
    <row r="61" spans="1:17">
      <c r="A61" s="575"/>
      <c r="B61" s="575"/>
      <c r="C61" s="575"/>
      <c r="D61" s="575"/>
      <c r="E61" s="570"/>
      <c r="F61" s="576"/>
      <c r="G61" s="578"/>
      <c r="H61" s="516"/>
      <c r="I61" s="458"/>
      <c r="J61" s="516"/>
      <c r="K61" s="516"/>
      <c r="L61" s="516"/>
      <c r="O61" s="516"/>
      <c r="P61" s="516"/>
    </row>
    <row r="62" spans="1:17">
      <c r="A62" s="575"/>
      <c r="B62" s="575"/>
      <c r="C62" s="575"/>
      <c r="D62" s="575"/>
      <c r="E62" s="570"/>
      <c r="F62" s="576"/>
      <c r="G62" s="578"/>
      <c r="H62" s="516"/>
      <c r="I62" s="458"/>
      <c r="J62" s="516"/>
      <c r="K62" s="516"/>
      <c r="L62" s="516"/>
      <c r="O62" s="516"/>
      <c r="P62" s="516"/>
    </row>
    <row r="63" spans="1:17">
      <c r="A63" s="575"/>
      <c r="B63" s="575"/>
      <c r="C63" s="575"/>
      <c r="D63" s="575"/>
      <c r="E63" s="570"/>
      <c r="F63" s="576"/>
      <c r="G63" s="516"/>
      <c r="H63" s="516"/>
      <c r="I63" s="458"/>
      <c r="J63" s="516"/>
      <c r="K63" s="516"/>
      <c r="L63" s="516"/>
      <c r="O63" s="516"/>
      <c r="P63" s="516"/>
    </row>
    <row r="64" spans="1:17">
      <c r="A64" s="575"/>
      <c r="B64" s="575"/>
      <c r="C64" s="575"/>
      <c r="D64" s="575"/>
      <c r="E64" s="570"/>
      <c r="F64" s="576"/>
      <c r="G64" s="516"/>
      <c r="H64" s="516"/>
      <c r="I64" s="458"/>
      <c r="J64" s="516"/>
      <c r="K64" s="516"/>
      <c r="L64" s="516"/>
      <c r="O64" s="516"/>
      <c r="P64" s="516"/>
    </row>
    <row r="65" spans="1:16">
      <c r="A65" s="575"/>
      <c r="B65" s="575"/>
      <c r="C65" s="575"/>
      <c r="D65" s="575"/>
      <c r="E65" s="570"/>
      <c r="F65" s="576"/>
      <c r="G65" s="516"/>
      <c r="H65" s="516"/>
      <c r="I65" s="458"/>
      <c r="J65" s="516"/>
      <c r="K65" s="516"/>
      <c r="L65" s="516"/>
      <c r="O65" s="516"/>
      <c r="P65" s="516"/>
    </row>
    <row r="66" spans="1:16">
      <c r="A66" s="575"/>
      <c r="B66" s="575"/>
      <c r="C66" s="575"/>
      <c r="D66" s="575"/>
      <c r="E66" s="570"/>
      <c r="F66" s="576"/>
      <c r="G66" s="516"/>
      <c r="H66" s="516"/>
      <c r="I66" s="458"/>
      <c r="J66" s="516"/>
      <c r="K66" s="516"/>
      <c r="L66" s="516"/>
      <c r="O66" s="516"/>
      <c r="P66" s="516"/>
    </row>
    <row r="67" spans="1:16">
      <c r="A67" s="575"/>
      <c r="B67" s="575"/>
      <c r="C67" s="575"/>
      <c r="D67" s="575"/>
      <c r="E67" s="570"/>
      <c r="F67" s="576"/>
      <c r="G67" s="516"/>
      <c r="H67" s="516"/>
      <c r="I67" s="458"/>
      <c r="J67" s="516"/>
      <c r="K67" s="516"/>
      <c r="L67" s="516"/>
      <c r="O67" s="516"/>
      <c r="P67" s="516"/>
    </row>
    <row r="68" spans="1:16">
      <c r="A68" s="575"/>
      <c r="B68" s="575"/>
      <c r="C68" s="575"/>
      <c r="D68" s="575"/>
      <c r="E68" s="570"/>
      <c r="F68" s="576"/>
      <c r="G68" s="516"/>
      <c r="H68" s="516"/>
      <c r="I68" s="458"/>
      <c r="J68" s="516"/>
      <c r="K68" s="516"/>
      <c r="L68" s="516"/>
      <c r="O68" s="516"/>
      <c r="P68" s="516"/>
    </row>
    <row r="69" spans="1:16">
      <c r="A69" s="575"/>
      <c r="B69" s="575"/>
      <c r="C69" s="575"/>
      <c r="D69" s="575"/>
      <c r="E69" s="570"/>
      <c r="F69" s="576"/>
      <c r="G69" s="516"/>
      <c r="H69" s="516"/>
      <c r="I69" s="458"/>
      <c r="J69" s="516"/>
      <c r="K69" s="516"/>
      <c r="L69" s="516"/>
      <c r="O69" s="516"/>
      <c r="P69" s="516"/>
    </row>
    <row r="70" spans="1:16">
      <c r="A70" s="575"/>
      <c r="B70" s="575"/>
      <c r="C70" s="575"/>
      <c r="D70" s="575"/>
      <c r="E70" s="570"/>
      <c r="F70" s="576"/>
      <c r="G70" s="516"/>
      <c r="H70" s="516"/>
      <c r="I70" s="458"/>
      <c r="J70" s="516"/>
      <c r="K70" s="516"/>
      <c r="L70" s="516"/>
      <c r="O70" s="516"/>
      <c r="P70" s="516"/>
    </row>
    <row r="71" spans="1:16">
      <c r="A71" s="575"/>
      <c r="B71" s="575"/>
      <c r="C71" s="575"/>
      <c r="D71" s="575"/>
      <c r="E71" s="570"/>
      <c r="F71" s="576"/>
      <c r="G71" s="516"/>
      <c r="H71" s="516"/>
      <c r="I71" s="458"/>
      <c r="J71" s="516"/>
      <c r="K71" s="516"/>
      <c r="L71" s="516"/>
      <c r="O71" s="516"/>
      <c r="P71" s="516"/>
    </row>
    <row r="72" spans="1:16">
      <c r="A72" s="575"/>
      <c r="B72" s="575"/>
      <c r="C72" s="575"/>
      <c r="D72" s="575"/>
      <c r="E72" s="570"/>
      <c r="F72" s="576"/>
      <c r="G72" s="516"/>
      <c r="H72" s="516"/>
      <c r="I72" s="458"/>
      <c r="J72" s="516"/>
      <c r="K72" s="516"/>
      <c r="L72" s="516"/>
      <c r="O72" s="516"/>
      <c r="P72" s="516"/>
    </row>
    <row r="73" spans="1:16">
      <c r="A73" s="575"/>
      <c r="B73" s="575"/>
      <c r="C73" s="575"/>
      <c r="D73" s="575"/>
      <c r="E73" s="570"/>
      <c r="F73" s="576"/>
      <c r="G73" s="516"/>
      <c r="H73" s="516"/>
      <c r="I73" s="458"/>
      <c r="J73" s="516"/>
      <c r="K73" s="516"/>
      <c r="L73" s="516"/>
      <c r="O73" s="516"/>
      <c r="P73" s="516"/>
    </row>
    <row r="74" spans="1:16">
      <c r="A74" s="575"/>
      <c r="B74" s="575"/>
      <c r="C74" s="575"/>
      <c r="D74" s="575"/>
      <c r="E74" s="570"/>
      <c r="F74" s="576"/>
      <c r="G74" s="516"/>
      <c r="H74" s="516"/>
      <c r="I74" s="458"/>
      <c r="J74" s="516"/>
      <c r="K74" s="516"/>
      <c r="L74" s="516"/>
      <c r="O74" s="516"/>
      <c r="P74" s="516"/>
    </row>
    <row r="75" spans="1:16">
      <c r="A75" s="575"/>
      <c r="B75" s="575"/>
      <c r="C75" s="575"/>
      <c r="D75" s="575"/>
      <c r="E75" s="570"/>
      <c r="F75" s="576"/>
      <c r="G75" s="516"/>
      <c r="H75" s="516"/>
      <c r="I75" s="458"/>
      <c r="J75" s="516"/>
      <c r="K75" s="516"/>
      <c r="L75" s="516"/>
      <c r="O75" s="516"/>
      <c r="P75" s="516"/>
    </row>
    <row r="76" spans="1:16">
      <c r="A76" s="575"/>
      <c r="B76" s="575"/>
      <c r="C76" s="575"/>
      <c r="D76" s="575"/>
      <c r="E76" s="570"/>
      <c r="F76" s="576"/>
      <c r="G76" s="516"/>
      <c r="H76" s="516"/>
      <c r="I76" s="458"/>
      <c r="J76" s="516"/>
      <c r="K76" s="516"/>
      <c r="L76" s="516"/>
      <c r="O76" s="516"/>
      <c r="P76" s="516"/>
    </row>
    <row r="77" spans="1:16">
      <c r="A77" s="575"/>
      <c r="B77" s="575"/>
      <c r="C77" s="575"/>
      <c r="D77" s="575"/>
      <c r="E77" s="570"/>
      <c r="F77" s="576"/>
      <c r="G77" s="516"/>
      <c r="H77" s="516"/>
      <c r="I77" s="458"/>
      <c r="J77" s="516"/>
      <c r="K77" s="516"/>
      <c r="L77" s="516"/>
      <c r="O77" s="516"/>
      <c r="P77" s="516"/>
    </row>
    <row r="78" spans="1:16">
      <c r="A78" s="575"/>
      <c r="B78" s="575"/>
      <c r="C78" s="575"/>
      <c r="D78" s="575"/>
      <c r="E78" s="570"/>
      <c r="F78" s="576"/>
      <c r="G78" s="516"/>
      <c r="H78" s="516"/>
      <c r="I78" s="458"/>
      <c r="J78" s="516"/>
      <c r="K78" s="516"/>
      <c r="L78" s="516"/>
      <c r="O78" s="516"/>
      <c r="P78" s="516"/>
    </row>
    <row r="79" spans="1:16">
      <c r="A79" s="575"/>
      <c r="B79" s="575"/>
      <c r="C79" s="575"/>
      <c r="D79" s="575"/>
      <c r="E79" s="570"/>
      <c r="F79" s="576"/>
      <c r="G79" s="516"/>
      <c r="H79" s="516"/>
      <c r="I79" s="458"/>
      <c r="J79" s="516"/>
      <c r="K79" s="516"/>
      <c r="L79" s="516"/>
      <c r="O79" s="516"/>
      <c r="P79" s="516"/>
    </row>
    <row r="80" spans="1:16">
      <c r="A80" s="575"/>
      <c r="B80" s="575"/>
      <c r="C80" s="575"/>
      <c r="D80" s="575"/>
      <c r="E80" s="570"/>
      <c r="F80" s="576"/>
      <c r="G80" s="516"/>
      <c r="H80" s="516"/>
      <c r="I80" s="458"/>
      <c r="J80" s="516"/>
      <c r="K80" s="516"/>
      <c r="L80" s="516"/>
      <c r="O80" s="516"/>
      <c r="P80" s="516"/>
    </row>
    <row r="81" spans="1:17">
      <c r="A81" s="575"/>
      <c r="B81" s="575"/>
      <c r="C81" s="575"/>
      <c r="D81" s="575"/>
      <c r="E81" s="570"/>
      <c r="F81" s="576"/>
      <c r="G81" s="516"/>
      <c r="H81" s="516"/>
      <c r="I81" s="458"/>
      <c r="J81" s="516"/>
      <c r="K81" s="516"/>
      <c r="L81" s="516"/>
      <c r="O81" s="516"/>
      <c r="P81" s="516"/>
    </row>
    <row r="82" spans="1:17">
      <c r="A82" s="575"/>
      <c r="B82" s="575"/>
      <c r="C82" s="575"/>
      <c r="D82" s="575"/>
      <c r="E82" s="570"/>
      <c r="F82" s="576"/>
      <c r="G82" s="516"/>
      <c r="H82" s="516"/>
      <c r="I82" s="458"/>
      <c r="J82" s="516"/>
      <c r="K82" s="516"/>
      <c r="L82" s="516"/>
      <c r="O82" s="516"/>
      <c r="P82" s="516"/>
    </row>
    <row r="83" spans="1:17">
      <c r="A83" s="575"/>
      <c r="B83" s="575"/>
      <c r="C83" s="575"/>
      <c r="D83" s="575"/>
      <c r="E83" s="570"/>
      <c r="F83" s="576"/>
      <c r="G83" s="516"/>
      <c r="H83" s="516"/>
      <c r="I83" s="458"/>
      <c r="J83" s="516"/>
      <c r="K83" s="516"/>
      <c r="L83" s="516"/>
      <c r="O83" s="516"/>
      <c r="P83" s="516"/>
    </row>
    <row r="84" spans="1:17">
      <c r="A84" s="575"/>
      <c r="B84" s="575"/>
      <c r="C84" s="575"/>
      <c r="D84" s="575"/>
      <c r="E84" s="570"/>
      <c r="F84" s="576"/>
      <c r="G84" s="516"/>
      <c r="H84" s="516"/>
      <c r="I84" s="458"/>
      <c r="J84" s="516"/>
      <c r="K84" s="516"/>
      <c r="L84" s="516"/>
      <c r="O84" s="516"/>
      <c r="P84" s="516"/>
    </row>
    <row r="85" spans="1:17">
      <c r="A85" s="575"/>
      <c r="B85" s="575"/>
      <c r="C85" s="575"/>
      <c r="D85" s="575"/>
      <c r="E85" s="570"/>
      <c r="F85" s="576"/>
      <c r="G85" s="516"/>
      <c r="H85" s="516"/>
      <c r="I85" s="458"/>
      <c r="J85" s="516"/>
      <c r="K85" s="516"/>
      <c r="L85" s="516"/>
      <c r="M85" s="580"/>
      <c r="O85" s="516"/>
      <c r="P85" s="516"/>
    </row>
    <row r="86" spans="1:17">
      <c r="A86" s="575"/>
      <c r="B86" s="575"/>
      <c r="C86" s="575"/>
      <c r="D86" s="575"/>
      <c r="E86" s="570"/>
      <c r="F86" s="576"/>
      <c r="G86" s="516"/>
      <c r="H86" s="516"/>
      <c r="I86" s="458"/>
      <c r="J86" s="516"/>
      <c r="K86" s="516"/>
      <c r="L86" s="516"/>
      <c r="M86" s="580"/>
      <c r="O86" s="516"/>
      <c r="P86" s="516"/>
    </row>
    <row r="87" spans="1:17">
      <c r="A87" s="575"/>
      <c r="B87" s="575"/>
      <c r="C87" s="575"/>
      <c r="D87" s="575"/>
      <c r="E87" s="570"/>
      <c r="F87" s="576"/>
      <c r="G87" s="516"/>
      <c r="H87" s="516"/>
      <c r="I87" s="458"/>
      <c r="J87" s="516"/>
      <c r="K87" s="516"/>
      <c r="L87" s="516"/>
      <c r="M87" s="580"/>
      <c r="O87" s="516"/>
      <c r="P87" s="516"/>
    </row>
    <row r="88" spans="1:17">
      <c r="A88" s="575"/>
      <c r="B88" s="575"/>
      <c r="C88" s="575"/>
      <c r="D88" s="575"/>
      <c r="E88" s="570"/>
      <c r="F88" s="576"/>
      <c r="G88" s="516"/>
      <c r="H88" s="516"/>
      <c r="I88" s="458"/>
      <c r="J88" s="516"/>
      <c r="K88" s="516"/>
      <c r="L88" s="516"/>
      <c r="M88" s="580"/>
      <c r="O88" s="516"/>
      <c r="P88" s="516"/>
    </row>
    <row r="89" spans="1:17">
      <c r="A89" s="575"/>
      <c r="B89" s="575"/>
      <c r="C89" s="575"/>
      <c r="D89" s="575"/>
      <c r="E89" s="570"/>
      <c r="F89" s="576"/>
      <c r="G89" s="516"/>
      <c r="H89" s="516"/>
      <c r="I89" s="458"/>
      <c r="J89" s="516"/>
      <c r="K89" s="516"/>
      <c r="L89" s="516"/>
      <c r="M89" s="580"/>
      <c r="O89" s="516"/>
      <c r="P89" s="516"/>
    </row>
    <row r="90" spans="1:17" s="575" customFormat="1">
      <c r="E90" s="570"/>
      <c r="F90" s="576"/>
      <c r="G90" s="516"/>
      <c r="H90" s="516"/>
      <c r="I90" s="458"/>
      <c r="J90" s="516"/>
      <c r="K90" s="516"/>
      <c r="L90" s="516"/>
      <c r="M90" s="580"/>
      <c r="N90" s="516"/>
      <c r="O90" s="516"/>
      <c r="P90" s="516"/>
      <c r="Q90" s="516"/>
    </row>
    <row r="91" spans="1:17" s="575" customFormat="1">
      <c r="E91" s="570"/>
      <c r="F91" s="576"/>
      <c r="G91" s="516"/>
      <c r="H91" s="516"/>
      <c r="I91" s="458"/>
      <c r="J91" s="516"/>
      <c r="K91" s="516"/>
      <c r="L91" s="516"/>
      <c r="M91" s="580"/>
      <c r="N91" s="516"/>
      <c r="O91" s="516"/>
      <c r="P91" s="516"/>
      <c r="Q91" s="516"/>
    </row>
    <row r="92" spans="1:17" s="575" customFormat="1">
      <c r="E92" s="570"/>
      <c r="F92" s="576"/>
      <c r="G92" s="516"/>
      <c r="H92" s="516"/>
      <c r="I92" s="458"/>
      <c r="J92" s="516"/>
      <c r="K92" s="516"/>
      <c r="L92" s="516"/>
      <c r="M92" s="580"/>
      <c r="N92" s="516"/>
      <c r="O92" s="516"/>
      <c r="P92" s="516"/>
      <c r="Q92" s="516"/>
    </row>
    <row r="93" spans="1:17" s="575" customFormat="1">
      <c r="E93" s="570"/>
      <c r="F93" s="576"/>
      <c r="G93" s="516"/>
      <c r="H93" s="516"/>
      <c r="I93" s="458"/>
      <c r="J93" s="516"/>
      <c r="K93" s="516"/>
      <c r="L93" s="516"/>
      <c r="M93" s="580"/>
      <c r="N93" s="516"/>
      <c r="O93" s="516"/>
      <c r="P93" s="516"/>
      <c r="Q93" s="516"/>
    </row>
    <row r="94" spans="1:17" s="575" customFormat="1">
      <c r="E94" s="570"/>
      <c r="F94" s="576"/>
      <c r="G94" s="516"/>
      <c r="H94" s="516"/>
      <c r="I94" s="458"/>
      <c r="J94" s="516"/>
      <c r="K94" s="516"/>
      <c r="L94" s="516"/>
      <c r="M94" s="580"/>
      <c r="N94" s="516"/>
      <c r="O94" s="516"/>
      <c r="P94" s="516"/>
      <c r="Q94" s="516"/>
    </row>
    <row r="95" spans="1:17" s="575" customFormat="1">
      <c r="E95" s="570"/>
      <c r="F95" s="576"/>
      <c r="G95" s="516"/>
      <c r="H95" s="516"/>
      <c r="I95" s="458"/>
      <c r="J95" s="516"/>
      <c r="K95" s="516"/>
      <c r="L95" s="516"/>
      <c r="M95" s="580"/>
    </row>
    <row r="96" spans="1:17" s="575" customFormat="1">
      <c r="E96" s="570"/>
      <c r="F96" s="576"/>
      <c r="G96" s="516"/>
      <c r="H96" s="516"/>
      <c r="I96" s="458"/>
      <c r="J96" s="516"/>
      <c r="K96" s="516"/>
      <c r="L96" s="516"/>
      <c r="M96" s="580"/>
    </row>
    <row r="97" spans="5:13" s="575" customFormat="1">
      <c r="E97" s="570"/>
      <c r="F97" s="576"/>
      <c r="G97" s="516"/>
      <c r="H97" s="516"/>
      <c r="I97" s="458"/>
      <c r="J97" s="516"/>
      <c r="K97" s="516"/>
      <c r="L97" s="516"/>
      <c r="M97" s="580"/>
    </row>
    <row r="98" spans="5:13" s="575" customFormat="1">
      <c r="E98" s="570"/>
      <c r="F98" s="576"/>
      <c r="G98" s="516"/>
      <c r="H98" s="516"/>
      <c r="I98" s="458"/>
      <c r="J98" s="516"/>
      <c r="K98" s="516"/>
      <c r="L98" s="516"/>
      <c r="M98" s="580"/>
    </row>
    <row r="99" spans="5:13" s="575" customFormat="1">
      <c r="E99" s="570"/>
      <c r="F99" s="576"/>
      <c r="G99" s="516"/>
      <c r="H99" s="516"/>
      <c r="I99" s="458"/>
      <c r="J99" s="516"/>
      <c r="K99" s="516"/>
      <c r="L99" s="516"/>
      <c r="M99" s="580"/>
    </row>
    <row r="100" spans="5:13" s="575" customFormat="1">
      <c r="E100" s="570"/>
      <c r="F100" s="576"/>
      <c r="G100" s="516"/>
      <c r="H100" s="516"/>
      <c r="I100" s="458"/>
      <c r="J100" s="516"/>
      <c r="K100" s="516"/>
      <c r="L100" s="516"/>
      <c r="M100" s="580"/>
    </row>
    <row r="101" spans="5:13" s="575" customFormat="1">
      <c r="E101" s="570"/>
      <c r="F101" s="576"/>
      <c r="G101" s="516"/>
      <c r="H101" s="516"/>
      <c r="I101" s="458"/>
      <c r="J101" s="516"/>
      <c r="K101" s="516"/>
      <c r="L101" s="516"/>
      <c r="M101" s="580"/>
    </row>
    <row r="102" spans="5:13" s="575" customFormat="1">
      <c r="E102" s="570"/>
      <c r="F102" s="576"/>
      <c r="G102" s="516"/>
      <c r="H102" s="516"/>
      <c r="I102" s="458"/>
      <c r="J102" s="516"/>
      <c r="K102" s="516"/>
      <c r="L102" s="516"/>
      <c r="M102" s="580"/>
    </row>
    <row r="103" spans="5:13" s="575" customFormat="1">
      <c r="E103" s="570"/>
      <c r="F103" s="576"/>
      <c r="G103" s="516"/>
      <c r="H103" s="516"/>
      <c r="I103" s="458"/>
      <c r="J103" s="516"/>
      <c r="K103" s="516"/>
      <c r="L103" s="516"/>
      <c r="M103" s="580"/>
    </row>
    <row r="104" spans="5:13" s="575" customFormat="1">
      <c r="E104" s="570"/>
      <c r="F104" s="576"/>
      <c r="G104" s="516"/>
      <c r="H104" s="516"/>
      <c r="I104" s="458"/>
      <c r="J104" s="516"/>
      <c r="K104" s="516"/>
      <c r="L104" s="516"/>
      <c r="M104" s="580"/>
    </row>
    <row r="105" spans="5:13" s="575" customFormat="1">
      <c r="E105" s="570"/>
      <c r="F105" s="576"/>
      <c r="G105" s="516"/>
      <c r="H105" s="516"/>
      <c r="I105" s="458"/>
      <c r="J105" s="516"/>
      <c r="K105" s="516"/>
      <c r="L105" s="516"/>
      <c r="M105" s="580"/>
    </row>
    <row r="106" spans="5:13" s="575" customFormat="1">
      <c r="E106" s="570"/>
      <c r="F106" s="576"/>
      <c r="G106" s="516"/>
      <c r="H106" s="516"/>
      <c r="I106" s="458"/>
      <c r="J106" s="516"/>
      <c r="K106" s="516"/>
      <c r="L106" s="516"/>
      <c r="M106" s="580"/>
    </row>
    <row r="107" spans="5:13" s="575" customFormat="1">
      <c r="E107" s="570"/>
      <c r="F107" s="576"/>
      <c r="G107" s="516"/>
      <c r="H107" s="516"/>
      <c r="I107" s="458"/>
      <c r="J107" s="516"/>
      <c r="K107" s="516"/>
      <c r="L107" s="516"/>
      <c r="M107" s="580"/>
    </row>
    <row r="108" spans="5:13" s="575" customFormat="1">
      <c r="E108" s="570"/>
      <c r="F108" s="576"/>
      <c r="G108" s="516"/>
      <c r="H108" s="516"/>
      <c r="I108" s="458"/>
      <c r="J108" s="516"/>
      <c r="K108" s="516"/>
      <c r="L108" s="516"/>
      <c r="M108" s="580"/>
    </row>
    <row r="109" spans="5:13" s="575" customFormat="1">
      <c r="E109" s="570"/>
      <c r="F109" s="576"/>
      <c r="G109" s="516"/>
      <c r="H109" s="516"/>
      <c r="I109" s="458"/>
      <c r="J109" s="516"/>
      <c r="K109" s="516"/>
      <c r="L109" s="516"/>
      <c r="M109" s="580"/>
    </row>
    <row r="110" spans="5:13" s="575" customFormat="1">
      <c r="E110" s="570"/>
      <c r="F110" s="576"/>
      <c r="G110" s="516"/>
      <c r="H110" s="516"/>
      <c r="I110" s="458"/>
      <c r="J110" s="516"/>
      <c r="K110" s="516"/>
      <c r="L110" s="516"/>
      <c r="M110" s="580"/>
    </row>
    <row r="111" spans="5:13" s="575" customFormat="1">
      <c r="E111" s="570"/>
      <c r="F111" s="576"/>
      <c r="G111" s="516"/>
      <c r="H111" s="516"/>
      <c r="I111" s="458"/>
      <c r="J111" s="516"/>
      <c r="K111" s="516"/>
      <c r="L111" s="516"/>
      <c r="M111" s="580"/>
    </row>
    <row r="112" spans="5:13" s="575" customFormat="1">
      <c r="E112" s="570"/>
      <c r="F112" s="576"/>
      <c r="G112" s="516"/>
      <c r="H112" s="516"/>
      <c r="I112" s="458"/>
      <c r="J112" s="516"/>
      <c r="K112" s="516"/>
      <c r="L112" s="516"/>
      <c r="M112" s="580"/>
    </row>
    <row r="113" spans="5:13" s="575" customFormat="1">
      <c r="E113" s="570"/>
      <c r="F113" s="576"/>
      <c r="G113" s="516"/>
      <c r="H113" s="516"/>
      <c r="I113" s="458"/>
      <c r="J113" s="516"/>
      <c r="K113" s="516"/>
      <c r="L113" s="516"/>
      <c r="M113" s="580"/>
    </row>
    <row r="114" spans="5:13" s="575" customFormat="1">
      <c r="E114" s="570"/>
      <c r="F114" s="576"/>
      <c r="G114" s="516"/>
      <c r="H114" s="516"/>
      <c r="I114" s="458"/>
      <c r="J114" s="516"/>
      <c r="K114" s="516"/>
      <c r="L114" s="516"/>
      <c r="M114" s="580"/>
    </row>
    <row r="115" spans="5:13" s="575" customFormat="1">
      <c r="E115" s="570"/>
      <c r="F115" s="576"/>
      <c r="G115" s="516"/>
      <c r="H115" s="516"/>
      <c r="I115" s="458"/>
      <c r="J115" s="516"/>
      <c r="K115" s="516"/>
      <c r="L115" s="516"/>
      <c r="M115" s="580"/>
    </row>
    <row r="116" spans="5:13" s="575" customFormat="1">
      <c r="E116" s="570"/>
      <c r="F116" s="576"/>
      <c r="G116" s="516"/>
      <c r="H116" s="516"/>
      <c r="I116" s="458"/>
      <c r="J116" s="516"/>
      <c r="K116" s="516"/>
      <c r="L116" s="516"/>
      <c r="M116" s="580"/>
    </row>
    <row r="117" spans="5:13" s="575" customFormat="1">
      <c r="E117" s="570"/>
      <c r="F117" s="576"/>
      <c r="G117" s="516"/>
      <c r="H117" s="516"/>
      <c r="I117" s="458"/>
      <c r="J117" s="516"/>
      <c r="K117" s="516"/>
      <c r="L117" s="516"/>
      <c r="M117" s="580"/>
    </row>
    <row r="118" spans="5:13" s="575" customFormat="1">
      <c r="E118" s="570"/>
      <c r="F118" s="576"/>
      <c r="G118" s="516"/>
      <c r="H118" s="516"/>
      <c r="I118" s="458"/>
      <c r="J118" s="516"/>
      <c r="K118" s="516"/>
      <c r="L118" s="516"/>
      <c r="M118" s="580"/>
    </row>
    <row r="119" spans="5:13" s="575" customFormat="1">
      <c r="E119" s="570"/>
      <c r="F119" s="576"/>
      <c r="G119" s="516"/>
      <c r="H119" s="516"/>
      <c r="I119" s="458"/>
      <c r="J119" s="516"/>
      <c r="K119" s="516"/>
      <c r="L119" s="516"/>
      <c r="M119" s="580"/>
    </row>
    <row r="120" spans="5:13" s="575" customFormat="1">
      <c r="E120" s="570"/>
      <c r="F120" s="576"/>
      <c r="G120" s="516"/>
      <c r="H120" s="516"/>
      <c r="I120" s="458"/>
      <c r="J120" s="516"/>
      <c r="K120" s="516"/>
      <c r="L120" s="516"/>
      <c r="M120" s="580"/>
    </row>
    <row r="121" spans="5:13" s="575" customFormat="1">
      <c r="E121" s="570"/>
      <c r="F121" s="576"/>
      <c r="G121" s="516"/>
      <c r="H121" s="516"/>
      <c r="I121" s="458"/>
      <c r="J121" s="516"/>
      <c r="K121" s="516"/>
      <c r="L121" s="516"/>
      <c r="M121" s="580"/>
    </row>
    <row r="122" spans="5:13" s="575" customFormat="1">
      <c r="E122" s="570"/>
      <c r="F122" s="576"/>
      <c r="G122" s="516"/>
      <c r="H122" s="516"/>
      <c r="I122" s="458"/>
      <c r="J122" s="516"/>
      <c r="K122" s="516"/>
      <c r="L122" s="516"/>
      <c r="M122" s="580"/>
    </row>
    <row r="123" spans="5:13" s="575" customFormat="1">
      <c r="E123" s="570"/>
      <c r="F123" s="576"/>
      <c r="G123" s="516"/>
      <c r="H123" s="516"/>
      <c r="I123" s="458"/>
      <c r="J123" s="516"/>
      <c r="K123" s="516"/>
      <c r="L123" s="516"/>
      <c r="M123" s="580"/>
    </row>
    <row r="124" spans="5:13" s="575" customFormat="1">
      <c r="E124" s="570"/>
      <c r="F124" s="576"/>
      <c r="G124" s="516"/>
      <c r="H124" s="516"/>
      <c r="I124" s="458"/>
      <c r="J124" s="516"/>
      <c r="K124" s="516"/>
      <c r="L124" s="516"/>
      <c r="M124" s="580"/>
    </row>
    <row r="125" spans="5:13" s="575" customFormat="1">
      <c r="E125" s="570"/>
      <c r="F125" s="576"/>
      <c r="G125" s="516"/>
      <c r="H125" s="516"/>
      <c r="I125" s="458"/>
      <c r="J125" s="516"/>
      <c r="K125" s="516"/>
      <c r="L125" s="516"/>
      <c r="M125" s="580"/>
    </row>
    <row r="126" spans="5:13" s="575" customFormat="1">
      <c r="E126" s="570"/>
      <c r="F126" s="576"/>
      <c r="G126" s="516"/>
      <c r="H126" s="516"/>
      <c r="I126" s="458"/>
      <c r="J126" s="516"/>
      <c r="K126" s="516"/>
      <c r="L126" s="516"/>
      <c r="M126" s="580"/>
    </row>
    <row r="127" spans="5:13" s="575" customFormat="1">
      <c r="E127" s="570"/>
      <c r="F127" s="576"/>
      <c r="G127" s="516"/>
      <c r="H127" s="516"/>
      <c r="I127" s="458"/>
      <c r="J127" s="516"/>
      <c r="K127" s="516"/>
      <c r="L127" s="516"/>
      <c r="M127" s="580"/>
    </row>
    <row r="128" spans="5:13" s="575" customFormat="1">
      <c r="E128" s="570"/>
      <c r="F128" s="576"/>
      <c r="G128" s="516"/>
      <c r="H128" s="516"/>
      <c r="I128" s="458"/>
      <c r="J128" s="516"/>
      <c r="K128" s="516"/>
      <c r="L128" s="516"/>
      <c r="M128" s="580"/>
    </row>
    <row r="129" spans="1:13" s="575" customFormat="1">
      <c r="E129" s="570"/>
      <c r="F129" s="576"/>
      <c r="G129" s="516"/>
      <c r="H129" s="516"/>
      <c r="I129" s="458"/>
      <c r="J129" s="516"/>
      <c r="K129" s="516"/>
      <c r="L129" s="516"/>
      <c r="M129" s="580"/>
    </row>
    <row r="130" spans="1:13" s="575" customFormat="1">
      <c r="E130" s="570"/>
      <c r="F130" s="576"/>
      <c r="G130" s="516"/>
      <c r="H130" s="516"/>
      <c r="I130" s="458"/>
      <c r="J130" s="516"/>
      <c r="K130" s="516"/>
      <c r="L130" s="516"/>
      <c r="M130" s="580"/>
    </row>
    <row r="131" spans="1:13" s="575" customFormat="1">
      <c r="A131" s="516"/>
      <c r="B131" s="516"/>
      <c r="C131" s="579"/>
      <c r="D131" s="579"/>
      <c r="E131" s="579"/>
      <c r="F131" s="579"/>
      <c r="H131" s="580"/>
      <c r="J131" s="516"/>
      <c r="K131" s="516"/>
      <c r="L131" s="516"/>
      <c r="M131" s="580"/>
    </row>
    <row r="132" spans="1:13" s="575" customFormat="1">
      <c r="A132" s="516"/>
      <c r="B132" s="516"/>
      <c r="C132" s="579"/>
      <c r="D132" s="579"/>
      <c r="E132" s="579"/>
      <c r="F132" s="579"/>
      <c r="H132" s="580"/>
      <c r="J132" s="516"/>
      <c r="K132" s="516"/>
      <c r="L132" s="516"/>
      <c r="M132" s="580"/>
    </row>
    <row r="133" spans="1:13" s="575" customFormat="1">
      <c r="A133" s="516"/>
      <c r="B133" s="516"/>
      <c r="C133" s="579"/>
      <c r="D133" s="579"/>
      <c r="E133" s="579"/>
      <c r="F133" s="579"/>
      <c r="H133" s="580"/>
      <c r="J133" s="516"/>
      <c r="K133" s="516"/>
      <c r="L133" s="516"/>
      <c r="M133" s="580"/>
    </row>
    <row r="134" spans="1:13" s="575" customFormat="1">
      <c r="A134" s="516"/>
      <c r="B134" s="516"/>
      <c r="C134" s="579"/>
      <c r="D134" s="579"/>
      <c r="E134" s="579"/>
      <c r="F134" s="579"/>
      <c r="H134" s="580"/>
      <c r="J134" s="516"/>
      <c r="K134" s="516"/>
      <c r="L134" s="516"/>
      <c r="M134" s="580"/>
    </row>
    <row r="135" spans="1:13" s="575" customFormat="1">
      <c r="A135" s="516"/>
      <c r="B135" s="516"/>
      <c r="C135" s="579"/>
      <c r="D135" s="579"/>
      <c r="E135" s="579"/>
      <c r="F135" s="579"/>
      <c r="H135" s="580"/>
      <c r="J135" s="516"/>
      <c r="K135" s="516"/>
      <c r="L135" s="516"/>
      <c r="M135" s="580"/>
    </row>
    <row r="136" spans="1:13" s="575" customFormat="1">
      <c r="A136" s="516"/>
      <c r="B136" s="516"/>
      <c r="C136" s="579"/>
      <c r="D136" s="579"/>
      <c r="E136" s="579"/>
      <c r="F136" s="579"/>
      <c r="H136" s="580"/>
      <c r="J136" s="516"/>
      <c r="K136" s="516"/>
      <c r="L136" s="516"/>
      <c r="M136" s="580"/>
    </row>
    <row r="137" spans="1:13" s="575" customFormat="1">
      <c r="A137" s="516"/>
      <c r="B137" s="516"/>
      <c r="C137" s="579"/>
      <c r="D137" s="579"/>
      <c r="E137" s="579"/>
      <c r="F137" s="579"/>
      <c r="H137" s="580"/>
      <c r="K137" s="516"/>
      <c r="L137" s="516"/>
      <c r="M137" s="580"/>
    </row>
    <row r="138" spans="1:13" s="575" customFormat="1">
      <c r="A138" s="516"/>
      <c r="B138" s="516"/>
      <c r="C138" s="579"/>
      <c r="D138" s="579"/>
      <c r="E138" s="579"/>
      <c r="F138" s="579"/>
      <c r="H138" s="580"/>
      <c r="K138" s="516"/>
      <c r="L138" s="516"/>
      <c r="M138" s="580"/>
    </row>
    <row r="139" spans="1:13" s="575" customFormat="1">
      <c r="A139" s="516"/>
      <c r="B139" s="516"/>
      <c r="C139" s="579"/>
      <c r="D139" s="579"/>
      <c r="E139" s="579"/>
      <c r="F139" s="579"/>
      <c r="H139" s="580"/>
      <c r="K139" s="516"/>
      <c r="L139" s="516"/>
      <c r="M139" s="580"/>
    </row>
    <row r="140" spans="1:13" s="575" customFormat="1">
      <c r="A140" s="516"/>
      <c r="B140" s="516"/>
      <c r="C140" s="579"/>
      <c r="D140" s="579"/>
      <c r="E140" s="579"/>
      <c r="F140" s="579"/>
      <c r="H140" s="580"/>
      <c r="K140" s="570"/>
      <c r="L140" s="516"/>
      <c r="M140" s="580"/>
    </row>
    <row r="141" spans="1:13" s="575" customFormat="1">
      <c r="A141" s="516"/>
      <c r="B141" s="516"/>
      <c r="C141" s="579"/>
      <c r="D141" s="579"/>
      <c r="E141" s="579"/>
      <c r="F141" s="579"/>
      <c r="H141" s="580"/>
      <c r="K141" s="570"/>
      <c r="L141" s="516"/>
      <c r="M141" s="580"/>
    </row>
    <row r="142" spans="1:13" s="575" customFormat="1">
      <c r="A142" s="516"/>
      <c r="B142" s="516"/>
      <c r="C142" s="579"/>
      <c r="D142" s="579"/>
      <c r="E142" s="579"/>
      <c r="F142" s="579"/>
      <c r="H142" s="580"/>
      <c r="K142" s="570"/>
      <c r="L142" s="516"/>
      <c r="M142" s="578"/>
    </row>
    <row r="143" spans="1:13" s="575" customFormat="1">
      <c r="A143" s="516"/>
      <c r="B143" s="516"/>
      <c r="C143" s="579"/>
      <c r="D143" s="579"/>
      <c r="E143" s="579"/>
      <c r="F143" s="579"/>
      <c r="H143" s="580"/>
      <c r="K143" s="570"/>
      <c r="L143" s="516"/>
      <c r="M143" s="578"/>
    </row>
    <row r="144" spans="1:13" s="575" customFormat="1">
      <c r="A144" s="516"/>
      <c r="B144" s="516"/>
      <c r="C144" s="579"/>
      <c r="D144" s="579"/>
      <c r="E144" s="579"/>
      <c r="F144" s="579"/>
      <c r="H144" s="580"/>
      <c r="K144" s="570"/>
      <c r="L144" s="516"/>
      <c r="M144" s="578"/>
    </row>
    <row r="145" spans="1:17" s="575" customFormat="1">
      <c r="A145" s="516"/>
      <c r="B145" s="516"/>
      <c r="C145" s="579"/>
      <c r="D145" s="579"/>
      <c r="E145" s="579"/>
      <c r="F145" s="579"/>
      <c r="H145" s="580"/>
      <c r="K145" s="570"/>
      <c r="L145" s="576"/>
      <c r="M145" s="578"/>
    </row>
    <row r="146" spans="1:17" s="575" customFormat="1">
      <c r="A146" s="516"/>
      <c r="B146" s="516"/>
      <c r="C146" s="579"/>
      <c r="D146" s="579"/>
      <c r="E146" s="579"/>
      <c r="F146" s="579"/>
      <c r="H146" s="580"/>
      <c r="K146" s="570"/>
      <c r="L146" s="576"/>
      <c r="M146" s="578"/>
    </row>
    <row r="147" spans="1:17">
      <c r="N147" s="575"/>
      <c r="O147" s="575"/>
      <c r="P147" s="575"/>
      <c r="Q147" s="575"/>
    </row>
    <row r="148" spans="1:17">
      <c r="N148" s="575"/>
      <c r="O148" s="575"/>
      <c r="P148" s="575"/>
      <c r="Q148" s="575"/>
    </row>
    <row r="149" spans="1:17">
      <c r="N149" s="575"/>
      <c r="O149" s="575"/>
      <c r="P149" s="575"/>
      <c r="Q149" s="575"/>
    </row>
    <row r="150" spans="1:17">
      <c r="N150" s="575"/>
      <c r="O150" s="575"/>
      <c r="P150" s="575"/>
      <c r="Q150" s="575"/>
    </row>
    <row r="151" spans="1:17">
      <c r="N151" s="575"/>
      <c r="O151" s="575"/>
      <c r="P151" s="575"/>
      <c r="Q151" s="575"/>
    </row>
  </sheetData>
  <mergeCells count="1">
    <mergeCell ref="L7:M7"/>
  </mergeCells>
  <dataValidations count="1">
    <dataValidation type="list" allowBlank="1" showInputMessage="1" showErrorMessage="1" sqref="B5" xr:uid="{94C88588-13BC-42AD-8783-D5C1EF0831B0}">
      <formula1>$AB$5:$AB$8</formula1>
    </dataValidation>
  </dataValidation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B0C53-3F31-448C-A45A-08ED90F75388}">
  <dimension ref="A1:W151"/>
  <sheetViews>
    <sheetView tabSelected="1" workbookViewId="0">
      <selection activeCell="F26" sqref="F26"/>
    </sheetView>
  </sheetViews>
  <sheetFormatPr defaultColWidth="7.88671875" defaultRowHeight="10.199999999999999"/>
  <cols>
    <col min="1" max="1" width="15.6640625" style="516" bestFit="1" customWidth="1"/>
    <col min="2" max="2" width="9.5546875" style="516" bestFit="1" customWidth="1"/>
    <col min="3" max="3" width="5.109375" style="579" customWidth="1"/>
    <col min="4" max="6" width="7.6640625" style="579" customWidth="1"/>
    <col min="7" max="7" width="6.33203125" style="575" customWidth="1"/>
    <col min="8" max="8" width="6.88671875" style="580" customWidth="1"/>
    <col min="9" max="9" width="9.6640625" style="575" customWidth="1"/>
    <col min="10" max="10" width="8.6640625" style="575" bestFit="1" customWidth="1"/>
    <col min="11" max="11" width="12.5546875" style="570" customWidth="1"/>
    <col min="12" max="12" width="17.33203125" style="576" bestFit="1" customWidth="1"/>
    <col min="13" max="13" width="12.88671875" style="578" customWidth="1"/>
    <col min="14" max="14" width="11.33203125" style="516" customWidth="1"/>
    <col min="15" max="15" width="14.5546875" style="458" customWidth="1"/>
    <col min="16" max="16" width="2.44140625" style="458" customWidth="1"/>
    <col min="17" max="17" width="14" style="516" bestFit="1" customWidth="1"/>
    <col min="18" max="18" width="5.44140625" style="516" customWidth="1"/>
    <col min="19" max="27" width="5.33203125" style="516" customWidth="1"/>
    <col min="28" max="28" width="17" style="516" customWidth="1"/>
    <col min="29" max="16384" width="7.88671875" style="516"/>
  </cols>
  <sheetData>
    <row r="1" spans="1:23" s="405" customFormat="1" ht="13.2">
      <c r="A1" s="395" t="s">
        <v>103</v>
      </c>
      <c r="B1" s="396" t="s">
        <v>147</v>
      </c>
      <c r="C1" s="397"/>
      <c r="D1" s="396"/>
      <c r="E1" s="398"/>
      <c r="F1" s="398"/>
      <c r="G1" s="399"/>
      <c r="H1" s="400" t="s">
        <v>104</v>
      </c>
      <c r="I1" s="401">
        <v>140</v>
      </c>
      <c r="J1" s="402"/>
      <c r="K1" s="396"/>
      <c r="L1" s="396"/>
      <c r="M1" s="1026"/>
      <c r="N1" s="404"/>
    </row>
    <row r="2" spans="1:23" s="405" customFormat="1" ht="13.2">
      <c r="A2" s="406" t="s">
        <v>105</v>
      </c>
      <c r="B2" s="407" t="s">
        <v>9</v>
      </c>
      <c r="C2" s="408"/>
      <c r="D2" s="407"/>
      <c r="E2" s="409"/>
      <c r="F2" s="409"/>
      <c r="G2" s="410"/>
      <c r="H2" s="411" t="s">
        <v>106</v>
      </c>
      <c r="I2" s="412">
        <v>127</v>
      </c>
      <c r="J2" s="413"/>
      <c r="K2" s="407"/>
      <c r="L2" s="407"/>
      <c r="M2" s="1027"/>
      <c r="N2" s="415"/>
    </row>
    <row r="3" spans="1:23" s="421" customFormat="1" ht="11.25" customHeight="1">
      <c r="A3" s="416" t="s">
        <v>107</v>
      </c>
      <c r="B3" s="581">
        <v>45892</v>
      </c>
      <c r="C3" s="408"/>
      <c r="D3" s="409"/>
      <c r="E3" s="409"/>
      <c r="F3" s="409"/>
      <c r="G3" s="410"/>
      <c r="H3" s="417" t="s">
        <v>108</v>
      </c>
      <c r="I3" s="418">
        <v>1.27</v>
      </c>
      <c r="J3" s="413"/>
      <c r="K3" s="407"/>
      <c r="L3" s="407"/>
      <c r="M3" s="1028"/>
      <c r="N3" s="420"/>
    </row>
    <row r="4" spans="1:23" s="405" customFormat="1" ht="13.2">
      <c r="A4" s="416" t="s">
        <v>109</v>
      </c>
      <c r="B4" s="407" t="s">
        <v>207</v>
      </c>
      <c r="C4" s="408"/>
      <c r="D4" s="409"/>
      <c r="E4" s="409"/>
      <c r="F4" s="409"/>
      <c r="G4" s="410"/>
      <c r="H4" s="417" t="s">
        <v>110</v>
      </c>
      <c r="I4" s="418">
        <f>J24</f>
        <v>0.52807692307692311</v>
      </c>
      <c r="J4" s="413"/>
      <c r="K4" s="407"/>
      <c r="L4" s="407"/>
      <c r="M4" s="1027"/>
      <c r="N4" s="404"/>
      <c r="W4" s="405" t="s">
        <v>137</v>
      </c>
    </row>
    <row r="5" spans="1:23" s="425" customFormat="1" ht="13.2">
      <c r="A5" s="406" t="s">
        <v>111</v>
      </c>
      <c r="B5" s="422" t="s">
        <v>112</v>
      </c>
      <c r="C5" s="408"/>
      <c r="D5" s="409"/>
      <c r="E5" s="409"/>
      <c r="F5" s="409"/>
      <c r="G5" s="410"/>
      <c r="H5" s="417" t="s">
        <v>261</v>
      </c>
      <c r="I5" s="1224">
        <f>(I2*I4)/100</f>
        <v>0.67065769230769234</v>
      </c>
      <c r="J5" s="413"/>
      <c r="K5" s="407"/>
      <c r="L5" s="407"/>
      <c r="M5" s="1029"/>
      <c r="N5" s="424"/>
    </row>
    <row r="6" spans="1:23" s="424" customFormat="1" ht="13.8" thickBot="1">
      <c r="A6" s="426"/>
      <c r="B6" s="427"/>
      <c r="C6" s="428"/>
      <c r="D6" s="429"/>
      <c r="E6" s="429"/>
      <c r="F6" s="429"/>
      <c r="G6" s="430"/>
      <c r="H6" s="431"/>
      <c r="I6" s="432"/>
      <c r="J6" s="430"/>
      <c r="K6" s="433"/>
      <c r="L6" s="427"/>
      <c r="M6" s="1030"/>
    </row>
    <row r="7" spans="1:23" s="425" customFormat="1" ht="13.2" customHeight="1">
      <c r="A7" s="435" t="s">
        <v>113</v>
      </c>
      <c r="B7" s="436"/>
      <c r="C7" s="437"/>
      <c r="D7" s="438"/>
      <c r="E7" s="439" t="s">
        <v>114</v>
      </c>
      <c r="F7" s="436"/>
      <c r="G7" s="440" t="s">
        <v>115</v>
      </c>
      <c r="H7" s="441"/>
      <c r="I7" s="442" t="s">
        <v>116</v>
      </c>
      <c r="J7" s="442"/>
      <c r="K7" s="443"/>
      <c r="L7" s="1412" t="s">
        <v>117</v>
      </c>
      <c r="M7" s="1413"/>
      <c r="N7" s="424"/>
      <c r="O7" s="424"/>
    </row>
    <row r="8" spans="1:23" s="454" customFormat="1" ht="11.25" customHeight="1">
      <c r="A8" s="444"/>
      <c r="B8" s="445"/>
      <c r="C8" s="446"/>
      <c r="D8" s="447"/>
      <c r="E8" s="448"/>
      <c r="F8" s="447"/>
      <c r="G8" s="449"/>
      <c r="H8" s="450"/>
      <c r="I8" s="451"/>
      <c r="J8" s="451"/>
      <c r="K8" s="452"/>
      <c r="L8" s="423"/>
      <c r="M8" s="1029"/>
      <c r="N8" s="453"/>
    </row>
    <row r="9" spans="1:23" s="455" customFormat="1">
      <c r="C9" s="456"/>
      <c r="D9" s="457"/>
      <c r="E9" s="448" t="s">
        <v>118</v>
      </c>
      <c r="F9" s="447"/>
      <c r="G9" s="449"/>
      <c r="H9" s="450"/>
      <c r="I9" s="458"/>
      <c r="J9" s="458"/>
      <c r="K9" s="452"/>
      <c r="L9" s="459"/>
      <c r="M9" s="1031"/>
      <c r="N9" s="461"/>
      <c r="O9" s="462"/>
    </row>
    <row r="10" spans="1:23" s="455" customFormat="1">
      <c r="A10" s="463" t="s">
        <v>119</v>
      </c>
      <c r="B10" s="464" t="s">
        <v>120</v>
      </c>
      <c r="C10" s="465" t="s">
        <v>121</v>
      </c>
      <c r="D10" s="466" t="s">
        <v>122</v>
      </c>
      <c r="E10" s="467" t="s">
        <v>123</v>
      </c>
      <c r="F10" s="466" t="s">
        <v>124</v>
      </c>
      <c r="G10" s="449" t="s">
        <v>125</v>
      </c>
      <c r="H10" s="450" t="s">
        <v>126</v>
      </c>
      <c r="I10" s="451" t="s">
        <v>126</v>
      </c>
      <c r="J10" s="451" t="s">
        <v>125</v>
      </c>
      <c r="K10" s="468" t="s">
        <v>127</v>
      </c>
      <c r="L10" s="459" t="s">
        <v>128</v>
      </c>
      <c r="M10" s="1032" t="s">
        <v>129</v>
      </c>
      <c r="N10" s="469"/>
    </row>
    <row r="11" spans="1:23" s="455" customFormat="1" ht="12" thickBot="1">
      <c r="A11" s="470" t="s">
        <v>130</v>
      </c>
      <c r="B11" s="471" t="s">
        <v>130</v>
      </c>
      <c r="C11" s="472" t="s">
        <v>131</v>
      </c>
      <c r="D11" s="473" t="s">
        <v>132</v>
      </c>
      <c r="E11" s="474" t="s">
        <v>131</v>
      </c>
      <c r="F11" s="473" t="s">
        <v>131</v>
      </c>
      <c r="G11" s="475" t="s">
        <v>133</v>
      </c>
      <c r="H11" s="476" t="s">
        <v>134</v>
      </c>
      <c r="I11" s="477" t="s">
        <v>134</v>
      </c>
      <c r="J11" s="1048" t="s">
        <v>133</v>
      </c>
      <c r="K11" s="478"/>
      <c r="L11" s="479"/>
      <c r="M11" s="1033" t="s">
        <v>131</v>
      </c>
      <c r="N11" s="469"/>
    </row>
    <row r="12" spans="1:23" s="455" customFormat="1">
      <c r="A12" s="481">
        <v>545</v>
      </c>
      <c r="B12" s="482"/>
      <c r="C12" s="483">
        <v>10</v>
      </c>
      <c r="D12" s="484">
        <v>1000</v>
      </c>
      <c r="E12" s="485">
        <v>0</v>
      </c>
      <c r="F12" s="486">
        <f>(C12+C13-10)/2</f>
        <v>10</v>
      </c>
      <c r="G12" s="487">
        <f>A12/D12</f>
        <v>0.54500000000000004</v>
      </c>
      <c r="H12" s="488">
        <f>(F12-E12)*0.01*G12</f>
        <v>5.4500000000000007E-2</v>
      </c>
      <c r="I12" s="489">
        <f>H12</f>
        <v>5.4500000000000007E-2</v>
      </c>
      <c r="J12" s="490">
        <f>I12/(F12*0.01)</f>
        <v>0.54500000000000004</v>
      </c>
      <c r="K12" s="491"/>
      <c r="L12" s="492" t="s">
        <v>135</v>
      </c>
      <c r="M12" s="1034">
        <v>127</v>
      </c>
      <c r="N12" s="494"/>
    </row>
    <row r="13" spans="1:23" s="455" customFormat="1">
      <c r="A13" s="481">
        <v>495</v>
      </c>
      <c r="B13" s="482"/>
      <c r="C13" s="483">
        <v>20</v>
      </c>
      <c r="D13" s="484">
        <v>1000</v>
      </c>
      <c r="E13" s="495">
        <f>(C12+C13-10)/2</f>
        <v>10</v>
      </c>
      <c r="F13" s="486">
        <f t="shared" ref="F13:F23" si="0">(C13+C14-10)/2</f>
        <v>20</v>
      </c>
      <c r="G13" s="487">
        <f t="shared" ref="G13:G24" si="1">A13/D13</f>
        <v>0.495</v>
      </c>
      <c r="H13" s="488">
        <f t="shared" ref="H13:H24" si="2">(F13-E13)*0.01*G13</f>
        <v>4.9500000000000002E-2</v>
      </c>
      <c r="I13" s="499">
        <f>H13+I12</f>
        <v>0.10400000000000001</v>
      </c>
      <c r="J13" s="1049">
        <f t="shared" ref="J13:J24" si="3">I13/(F13*0.01)</f>
        <v>0.52</v>
      </c>
      <c r="K13" s="491"/>
      <c r="L13" s="501"/>
      <c r="M13" s="1035"/>
      <c r="N13" s="469"/>
    </row>
    <row r="14" spans="1:23" s="455" customFormat="1">
      <c r="A14" s="481">
        <v>545</v>
      </c>
      <c r="B14" s="482"/>
      <c r="C14" s="483">
        <v>30</v>
      </c>
      <c r="D14" s="484">
        <v>1000</v>
      </c>
      <c r="E14" s="495">
        <f t="shared" ref="E14:E24" si="4">(C13+C14-10)/2</f>
        <v>20</v>
      </c>
      <c r="F14" s="486">
        <f t="shared" si="0"/>
        <v>30</v>
      </c>
      <c r="G14" s="487">
        <f t="shared" si="1"/>
        <v>0.54500000000000004</v>
      </c>
      <c r="H14" s="488">
        <f t="shared" si="2"/>
        <v>5.4500000000000007E-2</v>
      </c>
      <c r="I14" s="499">
        <f t="shared" ref="I14:I24" si="5">H14+I13</f>
        <v>0.15850000000000003</v>
      </c>
      <c r="J14" s="1049">
        <f t="shared" si="3"/>
        <v>0.52833333333333343</v>
      </c>
      <c r="K14" s="491"/>
      <c r="L14" s="501"/>
      <c r="M14" s="502"/>
      <c r="N14" s="469"/>
    </row>
    <row r="15" spans="1:23" s="455" customFormat="1">
      <c r="A15" s="481">
        <v>535</v>
      </c>
      <c r="B15" s="482"/>
      <c r="C15" s="483">
        <v>40</v>
      </c>
      <c r="D15" s="484">
        <v>1000</v>
      </c>
      <c r="E15" s="495">
        <f t="shared" si="4"/>
        <v>30</v>
      </c>
      <c r="F15" s="486">
        <f t="shared" si="0"/>
        <v>40</v>
      </c>
      <c r="G15" s="487">
        <f t="shared" si="1"/>
        <v>0.53500000000000003</v>
      </c>
      <c r="H15" s="488">
        <f t="shared" si="2"/>
        <v>5.3500000000000006E-2</v>
      </c>
      <c r="I15" s="499">
        <f t="shared" si="5"/>
        <v>0.21200000000000002</v>
      </c>
      <c r="J15" s="1049">
        <f t="shared" si="3"/>
        <v>0.53</v>
      </c>
      <c r="K15" s="491"/>
      <c r="L15" s="501"/>
      <c r="M15" s="502"/>
      <c r="N15" s="469"/>
    </row>
    <row r="16" spans="1:23" s="455" customFormat="1">
      <c r="A16" s="504">
        <v>540</v>
      </c>
      <c r="B16" s="482"/>
      <c r="C16" s="483">
        <v>50</v>
      </c>
      <c r="D16" s="484">
        <v>1000</v>
      </c>
      <c r="E16" s="495">
        <f t="shared" si="4"/>
        <v>40</v>
      </c>
      <c r="F16" s="486">
        <f t="shared" si="0"/>
        <v>50</v>
      </c>
      <c r="G16" s="487">
        <f t="shared" si="1"/>
        <v>0.54</v>
      </c>
      <c r="H16" s="488">
        <f t="shared" si="2"/>
        <v>5.4000000000000006E-2</v>
      </c>
      <c r="I16" s="499">
        <f t="shared" si="5"/>
        <v>0.26600000000000001</v>
      </c>
      <c r="J16" s="1049">
        <f t="shared" si="3"/>
        <v>0.53200000000000003</v>
      </c>
      <c r="K16" s="491"/>
      <c r="L16" s="501"/>
      <c r="M16" s="503"/>
      <c r="N16" s="469"/>
    </row>
    <row r="17" spans="1:16" s="455" customFormat="1">
      <c r="A17" s="504">
        <v>535</v>
      </c>
      <c r="B17" s="482"/>
      <c r="C17" s="483">
        <v>60</v>
      </c>
      <c r="D17" s="484">
        <v>1000</v>
      </c>
      <c r="E17" s="495">
        <f t="shared" si="4"/>
        <v>50</v>
      </c>
      <c r="F17" s="486">
        <f t="shared" si="0"/>
        <v>60</v>
      </c>
      <c r="G17" s="487">
        <f t="shared" si="1"/>
        <v>0.53500000000000003</v>
      </c>
      <c r="H17" s="488">
        <f t="shared" si="2"/>
        <v>5.3500000000000006E-2</v>
      </c>
      <c r="I17" s="499">
        <f t="shared" si="5"/>
        <v>0.31950000000000001</v>
      </c>
      <c r="J17" s="1049">
        <f t="shared" si="3"/>
        <v>0.53250000000000008</v>
      </c>
      <c r="K17" s="505" t="s">
        <v>137</v>
      </c>
      <c r="L17" s="501"/>
      <c r="M17" s="502"/>
      <c r="N17" s="508"/>
    </row>
    <row r="18" spans="1:16" s="455" customFormat="1">
      <c r="A18" s="504">
        <v>530</v>
      </c>
      <c r="B18" s="482"/>
      <c r="C18" s="483">
        <v>70</v>
      </c>
      <c r="D18" s="484">
        <v>1000</v>
      </c>
      <c r="E18" s="495">
        <f t="shared" si="4"/>
        <v>60</v>
      </c>
      <c r="F18" s="486">
        <f t="shared" si="0"/>
        <v>70</v>
      </c>
      <c r="G18" s="487">
        <f t="shared" si="1"/>
        <v>0.53</v>
      </c>
      <c r="H18" s="488">
        <f t="shared" si="2"/>
        <v>5.3000000000000005E-2</v>
      </c>
      <c r="I18" s="499">
        <f t="shared" si="5"/>
        <v>0.3725</v>
      </c>
      <c r="J18" s="1049">
        <f t="shared" si="3"/>
        <v>0.53214285714285714</v>
      </c>
      <c r="K18" s="506"/>
      <c r="L18" s="501"/>
      <c r="M18" s="502"/>
      <c r="N18" s="461"/>
    </row>
    <row r="19" spans="1:16" s="455" customFormat="1" ht="10.199999999999999" customHeight="1">
      <c r="A19" s="504">
        <v>475</v>
      </c>
      <c r="B19" s="482"/>
      <c r="C19" s="483">
        <v>80</v>
      </c>
      <c r="D19" s="484">
        <v>1000</v>
      </c>
      <c r="E19" s="495">
        <f t="shared" si="4"/>
        <v>70</v>
      </c>
      <c r="F19" s="486">
        <f t="shared" si="0"/>
        <v>80</v>
      </c>
      <c r="G19" s="487">
        <f t="shared" si="1"/>
        <v>0.47499999999999998</v>
      </c>
      <c r="H19" s="488">
        <f t="shared" si="2"/>
        <v>4.7500000000000001E-2</v>
      </c>
      <c r="I19" s="499">
        <f t="shared" si="5"/>
        <v>0.42</v>
      </c>
      <c r="J19" s="1049">
        <f t="shared" si="3"/>
        <v>0.52499999999999991</v>
      </c>
      <c r="K19" s="506"/>
      <c r="L19" s="501"/>
      <c r="M19" s="502"/>
      <c r="N19" s="507"/>
    </row>
    <row r="20" spans="1:16" s="455" customFormat="1">
      <c r="A20" s="504">
        <v>510</v>
      </c>
      <c r="B20" s="482"/>
      <c r="C20" s="483">
        <v>90</v>
      </c>
      <c r="D20" s="484">
        <v>1000</v>
      </c>
      <c r="E20" s="495">
        <f t="shared" si="4"/>
        <v>80</v>
      </c>
      <c r="F20" s="486">
        <f t="shared" si="0"/>
        <v>90</v>
      </c>
      <c r="G20" s="487">
        <f t="shared" si="1"/>
        <v>0.51</v>
      </c>
      <c r="H20" s="488">
        <f t="shared" si="2"/>
        <v>5.1000000000000004E-2</v>
      </c>
      <c r="I20" s="499">
        <f t="shared" si="5"/>
        <v>0.47099999999999997</v>
      </c>
      <c r="J20" s="1049">
        <f t="shared" si="3"/>
        <v>0.52333333333333332</v>
      </c>
      <c r="K20" s="491"/>
      <c r="L20" s="501"/>
      <c r="M20" s="502"/>
      <c r="N20" s="508"/>
    </row>
    <row r="21" spans="1:16" s="510" customFormat="1">
      <c r="A21" s="504">
        <v>520</v>
      </c>
      <c r="B21" s="482"/>
      <c r="C21" s="483">
        <v>100</v>
      </c>
      <c r="D21" s="484">
        <v>1000</v>
      </c>
      <c r="E21" s="495">
        <f t="shared" si="4"/>
        <v>90</v>
      </c>
      <c r="F21" s="486">
        <f t="shared" si="0"/>
        <v>100</v>
      </c>
      <c r="G21" s="487">
        <f t="shared" si="1"/>
        <v>0.52</v>
      </c>
      <c r="H21" s="488">
        <f t="shared" si="2"/>
        <v>5.2000000000000005E-2</v>
      </c>
      <c r="I21" s="499">
        <f t="shared" si="5"/>
        <v>0.52300000000000002</v>
      </c>
      <c r="J21" s="1049">
        <f t="shared" si="3"/>
        <v>0.52300000000000002</v>
      </c>
      <c r="K21" s="509"/>
      <c r="L21" s="501"/>
      <c r="M21" s="502"/>
      <c r="N21" s="508"/>
    </row>
    <row r="22" spans="1:16" s="510" customFormat="1">
      <c r="A22" s="504">
        <v>570</v>
      </c>
      <c r="B22" s="482"/>
      <c r="C22" s="483">
        <v>110</v>
      </c>
      <c r="D22" s="484">
        <v>1000</v>
      </c>
      <c r="E22" s="495">
        <f t="shared" si="4"/>
        <v>100</v>
      </c>
      <c r="F22" s="486">
        <f t="shared" si="0"/>
        <v>110</v>
      </c>
      <c r="G22" s="487">
        <f t="shared" si="1"/>
        <v>0.56999999999999995</v>
      </c>
      <c r="H22" s="488">
        <f t="shared" si="2"/>
        <v>5.6999999999999995E-2</v>
      </c>
      <c r="I22" s="499">
        <f t="shared" si="5"/>
        <v>0.58000000000000007</v>
      </c>
      <c r="J22" s="1049">
        <f t="shared" si="3"/>
        <v>0.52727272727272734</v>
      </c>
      <c r="K22" s="491"/>
      <c r="L22" s="501"/>
      <c r="M22" s="502"/>
      <c r="N22" s="508"/>
    </row>
    <row r="23" spans="1:16" s="510" customFormat="1">
      <c r="A23" s="504">
        <v>535</v>
      </c>
      <c r="B23" s="482"/>
      <c r="C23" s="483">
        <v>120</v>
      </c>
      <c r="D23" s="484">
        <v>1000</v>
      </c>
      <c r="E23" s="495">
        <f t="shared" si="4"/>
        <v>110</v>
      </c>
      <c r="F23" s="486">
        <f t="shared" si="0"/>
        <v>120</v>
      </c>
      <c r="G23" s="487">
        <f t="shared" si="1"/>
        <v>0.53500000000000003</v>
      </c>
      <c r="H23" s="488">
        <f t="shared" si="2"/>
        <v>5.3500000000000006E-2</v>
      </c>
      <c r="I23" s="499">
        <f t="shared" si="5"/>
        <v>0.63350000000000006</v>
      </c>
      <c r="J23" s="1049">
        <f t="shared" si="3"/>
        <v>0.5279166666666667</v>
      </c>
      <c r="K23" s="512"/>
      <c r="L23" s="501"/>
      <c r="M23" s="511"/>
      <c r="N23" s="514"/>
    </row>
    <row r="24" spans="1:16" s="510" customFormat="1">
      <c r="A24" s="504">
        <v>530</v>
      </c>
      <c r="B24" s="482"/>
      <c r="C24" s="483">
        <v>130</v>
      </c>
      <c r="D24" s="484">
        <v>1000</v>
      </c>
      <c r="E24" s="495">
        <f t="shared" si="4"/>
        <v>120</v>
      </c>
      <c r="F24" s="486">
        <v>130</v>
      </c>
      <c r="G24" s="487">
        <f t="shared" si="1"/>
        <v>0.53</v>
      </c>
      <c r="H24" s="488">
        <f t="shared" si="2"/>
        <v>5.3000000000000005E-2</v>
      </c>
      <c r="I24" s="499">
        <f t="shared" si="5"/>
        <v>0.68650000000000011</v>
      </c>
      <c r="J24" s="1049">
        <f t="shared" si="3"/>
        <v>0.52807692307692311</v>
      </c>
      <c r="K24" s="515" t="s">
        <v>275</v>
      </c>
      <c r="L24" s="501"/>
      <c r="M24" s="1037"/>
      <c r="N24" s="514"/>
    </row>
    <row r="25" spans="1:16" s="510" customFormat="1">
      <c r="A25" s="504"/>
      <c r="B25" s="482"/>
      <c r="C25" s="483"/>
      <c r="D25" s="484"/>
      <c r="E25" s="495"/>
      <c r="F25" s="486"/>
      <c r="G25" s="487"/>
      <c r="H25" s="488"/>
      <c r="I25" s="499"/>
      <c r="J25" s="1049"/>
      <c r="K25" s="515"/>
      <c r="L25" s="501"/>
      <c r="M25" s="1037"/>
      <c r="N25" s="514"/>
    </row>
    <row r="26" spans="1:16" s="510" customFormat="1">
      <c r="A26" s="504"/>
      <c r="B26" s="482"/>
      <c r="C26" s="483"/>
      <c r="D26" s="484"/>
      <c r="E26" s="495"/>
      <c r="F26" s="486"/>
      <c r="G26" s="487"/>
      <c r="H26" s="488"/>
      <c r="I26" s="499"/>
      <c r="J26" s="1049"/>
      <c r="K26" s="515"/>
      <c r="L26" s="501"/>
      <c r="M26" s="1035"/>
      <c r="N26" s="514"/>
    </row>
    <row r="27" spans="1:16" s="510" customFormat="1" ht="10.8" thickBot="1">
      <c r="A27" s="504"/>
      <c r="B27" s="482"/>
      <c r="C27" s="483"/>
      <c r="D27" s="484"/>
      <c r="E27" s="495"/>
      <c r="F27" s="496"/>
      <c r="G27" s="487"/>
      <c r="H27" s="488"/>
      <c r="I27" s="499"/>
      <c r="J27" s="1049"/>
      <c r="K27" s="515"/>
      <c r="L27" s="501"/>
      <c r="M27" s="1035"/>
      <c r="N27" s="514"/>
    </row>
    <row r="28" spans="1:16" s="510" customFormat="1">
      <c r="A28" s="504"/>
      <c r="B28" s="482"/>
      <c r="C28" s="483"/>
      <c r="D28" s="484"/>
      <c r="E28" s="495"/>
      <c r="F28" s="496"/>
      <c r="G28" s="497"/>
      <c r="H28" s="498"/>
      <c r="I28" s="499"/>
      <c r="J28" s="500"/>
      <c r="K28" s="517"/>
      <c r="L28" s="527" t="s">
        <v>138</v>
      </c>
      <c r="M28" s="1038">
        <f>AVERAGE(M12:M27)</f>
        <v>127</v>
      </c>
      <c r="N28" s="514"/>
    </row>
    <row r="29" spans="1:16">
      <c r="A29" s="504"/>
      <c r="B29" s="482"/>
      <c r="C29" s="483"/>
      <c r="D29" s="484"/>
      <c r="E29" s="495"/>
      <c r="F29" s="496"/>
      <c r="G29" s="497"/>
      <c r="H29" s="498"/>
      <c r="I29" s="499"/>
      <c r="J29" s="500"/>
      <c r="K29" s="517"/>
      <c r="L29" s="404" t="s">
        <v>139</v>
      </c>
      <c r="M29" s="1039" t="e">
        <f>STDEV(M12:M27)</f>
        <v>#DIV/0!</v>
      </c>
      <c r="N29" s="514"/>
      <c r="O29" s="510"/>
      <c r="P29" s="510"/>
    </row>
    <row r="30" spans="1:16">
      <c r="A30" s="529" t="s">
        <v>140</v>
      </c>
      <c r="B30" s="530"/>
      <c r="C30" s="531"/>
      <c r="D30" s="532"/>
      <c r="E30" s="533"/>
      <c r="F30" s="534"/>
      <c r="G30" s="535"/>
      <c r="H30" s="536"/>
      <c r="I30" s="537"/>
      <c r="J30" s="538"/>
      <c r="K30" s="539"/>
      <c r="L30" s="404" t="s">
        <v>141</v>
      </c>
      <c r="M30" s="1039" t="e">
        <f>M29/SQRT(COUNT(M12:M27))</f>
        <v>#DIV/0!</v>
      </c>
      <c r="N30" s="514"/>
      <c r="O30" s="510"/>
      <c r="P30" s="510"/>
    </row>
    <row r="31" spans="1:16">
      <c r="A31" s="540"/>
      <c r="B31" s="541"/>
      <c r="C31" s="542"/>
      <c r="D31" s="543"/>
      <c r="E31" s="544"/>
      <c r="F31" s="545"/>
      <c r="G31" s="546"/>
      <c r="H31" s="547"/>
      <c r="I31" s="548"/>
      <c r="J31" s="549"/>
      <c r="K31" s="550"/>
      <c r="L31" s="404" t="s">
        <v>142</v>
      </c>
      <c r="M31" s="1039">
        <f>MAX(M12:M27)</f>
        <v>127</v>
      </c>
      <c r="N31" s="514"/>
      <c r="O31" s="510"/>
      <c r="P31" s="510"/>
    </row>
    <row r="32" spans="1:16" ht="10.8" thickBot="1">
      <c r="A32" s="551"/>
      <c r="B32" s="552"/>
      <c r="C32" s="553"/>
      <c r="D32" s="554"/>
      <c r="E32" s="555"/>
      <c r="F32" s="556"/>
      <c r="G32" s="557"/>
      <c r="H32" s="558"/>
      <c r="I32" s="559"/>
      <c r="J32" s="560"/>
      <c r="K32" s="561"/>
      <c r="L32" s="562" t="s">
        <v>143</v>
      </c>
      <c r="M32" s="1040">
        <f>MIN(M12:M27)</f>
        <v>127</v>
      </c>
      <c r="N32" s="514"/>
      <c r="O32" s="510"/>
      <c r="P32" s="510"/>
    </row>
    <row r="33" spans="1:17">
      <c r="A33" s="564"/>
      <c r="B33" s="564"/>
      <c r="C33" s="565"/>
      <c r="D33" s="566"/>
      <c r="E33" s="566"/>
      <c r="F33" s="566"/>
      <c r="G33" s="567"/>
      <c r="H33" s="568"/>
      <c r="I33" s="569"/>
      <c r="J33" s="570"/>
      <c r="K33" s="571"/>
      <c r="L33" s="572"/>
      <c r="M33" s="615"/>
      <c r="N33" s="514"/>
      <c r="O33" s="510"/>
      <c r="P33" s="510"/>
    </row>
    <row r="34" spans="1:17">
      <c r="A34" s="458"/>
      <c r="B34" s="458"/>
      <c r="C34" s="573"/>
      <c r="D34" s="573"/>
      <c r="E34" s="573"/>
      <c r="F34" s="573"/>
      <c r="G34" s="569"/>
      <c r="H34" s="568"/>
      <c r="I34" s="569"/>
      <c r="J34" s="570"/>
      <c r="K34" s="574"/>
      <c r="L34" s="572"/>
      <c r="M34" s="615"/>
      <c r="N34" s="518"/>
      <c r="O34" s="516"/>
      <c r="P34" s="516"/>
    </row>
    <row r="35" spans="1:17">
      <c r="A35" s="575"/>
      <c r="B35" s="575"/>
      <c r="C35" s="575"/>
      <c r="D35" s="575"/>
      <c r="E35" s="570"/>
      <c r="F35" s="576"/>
      <c r="G35" s="458"/>
      <c r="H35" s="516"/>
      <c r="I35" s="458"/>
      <c r="J35" s="516"/>
      <c r="K35" s="516"/>
      <c r="L35" s="458"/>
      <c r="M35" s="615"/>
      <c r="N35" s="519"/>
      <c r="O35" s="520"/>
      <c r="P35" s="521"/>
      <c r="Q35" s="520"/>
    </row>
    <row r="36" spans="1:17">
      <c r="A36" s="577"/>
      <c r="B36" s="577"/>
      <c r="C36" s="575"/>
      <c r="D36" s="575"/>
      <c r="E36" s="570"/>
      <c r="F36" s="576"/>
      <c r="G36" s="516"/>
      <c r="H36" s="516"/>
      <c r="I36" s="458"/>
      <c r="J36" s="516"/>
      <c r="K36" s="516"/>
      <c r="L36" s="458"/>
      <c r="M36" s="615"/>
      <c r="N36" s="519"/>
      <c r="O36" s="520"/>
      <c r="P36" s="522"/>
      <c r="Q36" s="520"/>
    </row>
    <row r="37" spans="1:17">
      <c r="A37" s="451"/>
      <c r="B37" s="451"/>
      <c r="C37" s="575"/>
      <c r="D37" s="575"/>
      <c r="E37" s="570"/>
      <c r="F37" s="576"/>
      <c r="G37" s="516"/>
      <c r="H37" s="516"/>
      <c r="I37" s="458"/>
      <c r="J37" s="516"/>
      <c r="K37" s="516"/>
      <c r="L37" s="458"/>
      <c r="M37" s="615"/>
      <c r="N37" s="523"/>
      <c r="O37" s="520"/>
      <c r="P37" s="520"/>
      <c r="Q37" s="520"/>
    </row>
    <row r="38" spans="1:17">
      <c r="A38" s="575"/>
      <c r="B38" s="575"/>
      <c r="C38" s="575"/>
      <c r="D38" s="575"/>
      <c r="E38" s="570"/>
      <c r="F38" s="576"/>
      <c r="G38" s="516"/>
      <c r="H38" s="516"/>
      <c r="I38" s="458"/>
      <c r="J38" s="516"/>
      <c r="K38" s="516"/>
      <c r="L38" s="458"/>
      <c r="M38" s="615"/>
      <c r="N38" s="524"/>
      <c r="O38" s="525"/>
      <c r="P38" s="516"/>
    </row>
    <row r="39" spans="1:17">
      <c r="A39" s="575"/>
      <c r="B39" s="575"/>
      <c r="C39" s="575"/>
      <c r="D39" s="575"/>
      <c r="E39" s="570"/>
      <c r="F39" s="576"/>
      <c r="G39" s="516"/>
      <c r="H39" s="516"/>
      <c r="I39" s="458"/>
      <c r="J39" s="569"/>
      <c r="K39" s="516"/>
      <c r="L39" s="458"/>
      <c r="M39" s="615"/>
      <c r="N39" s="525"/>
      <c r="O39" s="525"/>
      <c r="P39" s="516"/>
    </row>
    <row r="40" spans="1:17">
      <c r="A40" s="575"/>
      <c r="B40" s="575"/>
      <c r="C40" s="575"/>
      <c r="D40" s="575"/>
      <c r="E40" s="570"/>
      <c r="F40" s="576"/>
      <c r="G40" s="516"/>
      <c r="H40" s="516"/>
      <c r="I40" s="458"/>
      <c r="J40" s="569"/>
      <c r="K40" s="516"/>
      <c r="L40" s="458"/>
      <c r="M40" s="615"/>
      <c r="O40" s="516"/>
      <c r="P40" s="516"/>
    </row>
    <row r="41" spans="1:17">
      <c r="A41" s="575"/>
      <c r="B41" s="575"/>
      <c r="C41" s="575"/>
      <c r="D41" s="575"/>
      <c r="E41" s="570"/>
      <c r="F41" s="576"/>
      <c r="G41" s="516"/>
      <c r="H41" s="516"/>
      <c r="I41" s="458"/>
      <c r="J41" s="516"/>
      <c r="K41" s="516"/>
      <c r="L41" s="458"/>
      <c r="M41" s="615"/>
      <c r="O41" s="516"/>
      <c r="P41" s="516"/>
    </row>
    <row r="42" spans="1:17">
      <c r="A42" s="575"/>
      <c r="B42" s="575"/>
      <c r="C42" s="575"/>
      <c r="D42" s="575"/>
      <c r="E42" s="570"/>
      <c r="F42" s="576"/>
      <c r="G42" s="516"/>
      <c r="H42" s="516"/>
      <c r="I42" s="458"/>
      <c r="J42" s="516"/>
      <c r="K42" s="516"/>
      <c r="L42" s="458"/>
      <c r="M42" s="615"/>
      <c r="O42" s="516"/>
      <c r="P42" s="516"/>
    </row>
    <row r="43" spans="1:17">
      <c r="A43" s="575"/>
      <c r="B43" s="575"/>
      <c r="C43" s="575"/>
      <c r="D43" s="575"/>
      <c r="E43" s="570"/>
      <c r="F43" s="576"/>
      <c r="G43" s="516"/>
      <c r="H43" s="516"/>
      <c r="I43" s="458"/>
      <c r="J43" s="516"/>
      <c r="K43" s="516"/>
      <c r="L43" s="458"/>
      <c r="M43" s="615"/>
      <c r="O43" s="516"/>
      <c r="P43" s="516"/>
    </row>
    <row r="44" spans="1:17">
      <c r="A44" s="575"/>
      <c r="B44" s="575"/>
      <c r="C44" s="575"/>
      <c r="D44" s="575"/>
      <c r="E44" s="570"/>
      <c r="F44" s="576"/>
      <c r="G44" s="516"/>
      <c r="H44" s="516"/>
      <c r="I44" s="458"/>
      <c r="J44" s="516"/>
      <c r="K44" s="516"/>
      <c r="L44" s="458"/>
      <c r="M44" s="615"/>
      <c r="O44" s="516"/>
      <c r="P44" s="516"/>
    </row>
    <row r="45" spans="1:17">
      <c r="A45" s="575"/>
      <c r="B45" s="575"/>
      <c r="C45" s="575"/>
      <c r="D45" s="575"/>
      <c r="E45" s="570"/>
      <c r="F45" s="576"/>
      <c r="G45" s="516"/>
      <c r="H45" s="516"/>
      <c r="I45" s="458"/>
      <c r="J45" s="516"/>
      <c r="K45" s="516"/>
      <c r="L45" s="458"/>
      <c r="M45" s="615"/>
      <c r="O45" s="516"/>
      <c r="P45" s="516"/>
    </row>
    <row r="46" spans="1:17">
      <c r="A46" s="575"/>
      <c r="B46" s="575"/>
      <c r="C46" s="575"/>
      <c r="D46" s="575"/>
      <c r="E46" s="570"/>
      <c r="F46" s="576"/>
      <c r="G46" s="516"/>
      <c r="H46" s="516"/>
      <c r="I46" s="458"/>
      <c r="J46" s="516"/>
      <c r="K46" s="516"/>
      <c r="L46" s="458"/>
      <c r="O46" s="516"/>
      <c r="P46" s="516"/>
    </row>
    <row r="47" spans="1:17">
      <c r="A47" s="575"/>
      <c r="B47" s="575"/>
      <c r="C47" s="575"/>
      <c r="D47" s="575"/>
      <c r="E47" s="570"/>
      <c r="F47" s="576"/>
      <c r="G47" s="516"/>
      <c r="H47" s="516"/>
      <c r="I47" s="458"/>
      <c r="J47" s="516"/>
      <c r="K47" s="516"/>
      <c r="L47" s="458"/>
      <c r="O47" s="516"/>
      <c r="P47" s="516"/>
    </row>
    <row r="48" spans="1:17">
      <c r="A48" s="575"/>
      <c r="B48" s="575"/>
      <c r="C48" s="575"/>
      <c r="D48" s="575"/>
      <c r="E48" s="570"/>
      <c r="F48" s="576"/>
      <c r="G48" s="516"/>
      <c r="H48" s="516"/>
      <c r="I48" s="458"/>
      <c r="J48" s="516"/>
      <c r="K48" s="516"/>
      <c r="L48" s="516"/>
      <c r="O48" s="516"/>
      <c r="P48" s="516"/>
    </row>
    <row r="49" spans="1:17">
      <c r="A49" s="575"/>
      <c r="B49" s="575"/>
      <c r="C49" s="575"/>
      <c r="D49" s="575"/>
      <c r="E49" s="570"/>
      <c r="F49" s="576"/>
      <c r="G49" s="516"/>
      <c r="H49" s="516"/>
      <c r="I49" s="458"/>
      <c r="J49" s="516"/>
      <c r="K49" s="516"/>
      <c r="L49" s="516"/>
      <c r="O49" s="516"/>
      <c r="P49" s="516"/>
    </row>
    <row r="50" spans="1:17">
      <c r="A50" s="575"/>
      <c r="B50" s="575"/>
      <c r="C50" s="575"/>
      <c r="D50" s="575"/>
      <c r="E50" s="570"/>
      <c r="F50" s="576"/>
      <c r="G50" s="516"/>
      <c r="H50" s="516"/>
      <c r="I50" s="458"/>
      <c r="J50" s="516"/>
      <c r="K50" s="516"/>
      <c r="L50" s="516"/>
      <c r="O50" s="516"/>
      <c r="P50" s="516"/>
    </row>
    <row r="51" spans="1:17">
      <c r="A51" s="575"/>
      <c r="B51" s="575"/>
      <c r="C51" s="575"/>
      <c r="D51" s="575"/>
      <c r="E51" s="570"/>
      <c r="F51" s="576"/>
      <c r="G51" s="516"/>
      <c r="H51" s="516"/>
      <c r="I51" s="458"/>
      <c r="J51" s="516"/>
      <c r="K51" s="516"/>
      <c r="L51" s="516"/>
      <c r="O51" s="516"/>
      <c r="P51" s="516"/>
    </row>
    <row r="52" spans="1:17">
      <c r="A52" s="575"/>
      <c r="B52" s="575"/>
      <c r="C52" s="575"/>
      <c r="D52" s="575"/>
      <c r="E52" s="570"/>
      <c r="F52" s="576"/>
      <c r="G52" s="516"/>
      <c r="H52" s="516"/>
      <c r="I52" s="458"/>
      <c r="J52" s="516"/>
      <c r="K52" s="516"/>
      <c r="L52" s="516"/>
      <c r="O52" s="516"/>
      <c r="P52" s="516"/>
    </row>
    <row r="53" spans="1:17">
      <c r="A53" s="575"/>
      <c r="B53" s="575"/>
      <c r="C53" s="575"/>
      <c r="D53" s="575"/>
      <c r="E53" s="570"/>
      <c r="F53" s="576"/>
      <c r="G53" s="516"/>
      <c r="H53" s="516"/>
      <c r="I53" s="458"/>
      <c r="J53" s="516"/>
      <c r="K53" s="516"/>
      <c r="L53" s="516"/>
      <c r="O53" s="516"/>
      <c r="P53" s="516"/>
    </row>
    <row r="54" spans="1:17">
      <c r="A54" s="575"/>
      <c r="B54" s="575"/>
      <c r="C54" s="575"/>
      <c r="D54" s="575"/>
      <c r="E54" s="570"/>
      <c r="F54" s="576"/>
      <c r="G54" s="516"/>
      <c r="H54" s="516"/>
      <c r="I54" s="458"/>
      <c r="J54" s="516"/>
      <c r="K54" s="516"/>
      <c r="L54" s="516"/>
      <c r="N54" s="458"/>
      <c r="P54" s="516"/>
    </row>
    <row r="55" spans="1:17">
      <c r="A55" s="575"/>
      <c r="B55" s="575"/>
      <c r="C55" s="575"/>
      <c r="D55" s="575"/>
      <c r="E55" s="570"/>
      <c r="F55" s="576"/>
      <c r="G55" s="516"/>
      <c r="H55" s="516"/>
      <c r="I55" s="458"/>
      <c r="J55" s="516"/>
      <c r="K55" s="516"/>
      <c r="L55" s="516"/>
      <c r="N55" s="524"/>
      <c r="Q55" s="458"/>
    </row>
    <row r="56" spans="1:17">
      <c r="A56" s="575"/>
      <c r="B56" s="575"/>
      <c r="C56" s="575"/>
      <c r="D56" s="575"/>
      <c r="E56" s="570"/>
      <c r="F56" s="576"/>
      <c r="G56" s="516"/>
      <c r="H56" s="516"/>
      <c r="I56" s="458"/>
      <c r="J56" s="516"/>
      <c r="K56" s="516"/>
      <c r="L56" s="516"/>
      <c r="N56" s="524"/>
      <c r="O56" s="516"/>
      <c r="P56" s="516"/>
    </row>
    <row r="57" spans="1:17">
      <c r="A57" s="575"/>
      <c r="B57" s="575"/>
      <c r="C57" s="575"/>
      <c r="D57" s="575"/>
      <c r="E57" s="570"/>
      <c r="F57" s="576"/>
      <c r="G57" s="516"/>
      <c r="H57" s="516"/>
      <c r="I57" s="458"/>
      <c r="J57" s="516"/>
      <c r="K57" s="516"/>
      <c r="L57" s="516"/>
      <c r="N57" s="458"/>
      <c r="O57" s="516"/>
      <c r="P57" s="516"/>
    </row>
    <row r="58" spans="1:17">
      <c r="A58" s="575"/>
      <c r="B58" s="575"/>
      <c r="C58" s="575"/>
      <c r="D58" s="575"/>
      <c r="E58" s="570"/>
      <c r="F58" s="576"/>
      <c r="G58" s="516"/>
      <c r="H58" s="516"/>
      <c r="I58" s="458"/>
      <c r="J58" s="516"/>
      <c r="K58" s="516"/>
      <c r="L58" s="516"/>
      <c r="O58" s="516"/>
      <c r="P58" s="516"/>
    </row>
    <row r="59" spans="1:17">
      <c r="A59" s="575"/>
      <c r="B59" s="575"/>
      <c r="C59" s="575"/>
      <c r="D59" s="575"/>
      <c r="E59" s="570"/>
      <c r="F59" s="576"/>
      <c r="G59" s="578"/>
      <c r="H59" s="516"/>
      <c r="I59" s="458"/>
      <c r="J59" s="516"/>
      <c r="K59" s="516"/>
      <c r="L59" s="516"/>
      <c r="O59" s="516"/>
      <c r="P59" s="516"/>
    </row>
    <row r="60" spans="1:17">
      <c r="A60" s="575"/>
      <c r="B60" s="575"/>
      <c r="C60" s="575"/>
      <c r="D60" s="575"/>
      <c r="E60" s="570"/>
      <c r="F60" s="576"/>
      <c r="G60" s="578"/>
      <c r="H60" s="516"/>
      <c r="I60" s="458"/>
      <c r="J60" s="516"/>
      <c r="K60" s="516"/>
      <c r="L60" s="516"/>
      <c r="O60" s="516"/>
      <c r="P60" s="516"/>
    </row>
    <row r="61" spans="1:17">
      <c r="A61" s="575"/>
      <c r="B61" s="575"/>
      <c r="C61" s="575"/>
      <c r="D61" s="575"/>
      <c r="E61" s="570"/>
      <c r="F61" s="576"/>
      <c r="G61" s="578"/>
      <c r="H61" s="516"/>
      <c r="I61" s="458"/>
      <c r="J61" s="516"/>
      <c r="K61" s="516"/>
      <c r="L61" s="516"/>
      <c r="O61" s="516"/>
      <c r="P61" s="516"/>
    </row>
    <row r="62" spans="1:17">
      <c r="A62" s="575"/>
      <c r="B62" s="575"/>
      <c r="C62" s="575"/>
      <c r="D62" s="575"/>
      <c r="E62" s="570"/>
      <c r="F62" s="576"/>
      <c r="G62" s="578"/>
      <c r="H62" s="516"/>
      <c r="I62" s="458"/>
      <c r="J62" s="516"/>
      <c r="K62" s="516"/>
      <c r="L62" s="516"/>
      <c r="O62" s="516"/>
      <c r="P62" s="516"/>
    </row>
    <row r="63" spans="1:17">
      <c r="A63" s="575"/>
      <c r="B63" s="575"/>
      <c r="C63" s="575"/>
      <c r="D63" s="575"/>
      <c r="E63" s="570"/>
      <c r="F63" s="576"/>
      <c r="G63" s="516"/>
      <c r="H63" s="516"/>
      <c r="I63" s="458"/>
      <c r="J63" s="516"/>
      <c r="K63" s="516"/>
      <c r="L63" s="516"/>
      <c r="O63" s="516"/>
      <c r="P63" s="516"/>
    </row>
    <row r="64" spans="1:17">
      <c r="A64" s="575"/>
      <c r="B64" s="575"/>
      <c r="C64" s="575"/>
      <c r="D64" s="575"/>
      <c r="E64" s="570"/>
      <c r="F64" s="576"/>
      <c r="G64" s="516"/>
      <c r="H64" s="516"/>
      <c r="I64" s="458"/>
      <c r="J64" s="516"/>
      <c r="K64" s="516"/>
      <c r="L64" s="516"/>
      <c r="O64" s="516"/>
      <c r="P64" s="516"/>
    </row>
    <row r="65" spans="1:16">
      <c r="A65" s="575"/>
      <c r="B65" s="575"/>
      <c r="C65" s="575"/>
      <c r="D65" s="575"/>
      <c r="E65" s="570"/>
      <c r="F65" s="576"/>
      <c r="G65" s="516"/>
      <c r="H65" s="516"/>
      <c r="I65" s="458"/>
      <c r="J65" s="516"/>
      <c r="K65" s="516"/>
      <c r="L65" s="516"/>
      <c r="O65" s="516"/>
      <c r="P65" s="516"/>
    </row>
    <row r="66" spans="1:16">
      <c r="A66" s="575"/>
      <c r="B66" s="575"/>
      <c r="C66" s="575"/>
      <c r="D66" s="575"/>
      <c r="E66" s="570"/>
      <c r="F66" s="576"/>
      <c r="G66" s="516"/>
      <c r="H66" s="516"/>
      <c r="I66" s="458"/>
      <c r="J66" s="516"/>
      <c r="K66" s="516"/>
      <c r="L66" s="516"/>
      <c r="O66" s="516"/>
      <c r="P66" s="516"/>
    </row>
    <row r="67" spans="1:16">
      <c r="A67" s="575"/>
      <c r="B67" s="575"/>
      <c r="C67" s="575"/>
      <c r="D67" s="575"/>
      <c r="E67" s="570"/>
      <c r="F67" s="576"/>
      <c r="G67" s="516"/>
      <c r="H67" s="516"/>
      <c r="I67" s="458"/>
      <c r="J67" s="516"/>
      <c r="K67" s="516"/>
      <c r="L67" s="516"/>
      <c r="O67" s="516"/>
      <c r="P67" s="516"/>
    </row>
    <row r="68" spans="1:16">
      <c r="A68" s="575"/>
      <c r="B68" s="575"/>
      <c r="C68" s="575"/>
      <c r="D68" s="575"/>
      <c r="E68" s="570"/>
      <c r="F68" s="576"/>
      <c r="G68" s="516"/>
      <c r="H68" s="516"/>
      <c r="I68" s="458"/>
      <c r="J68" s="516"/>
      <c r="K68" s="516"/>
      <c r="L68" s="516"/>
      <c r="O68" s="516"/>
      <c r="P68" s="516"/>
    </row>
    <row r="69" spans="1:16">
      <c r="A69" s="575"/>
      <c r="B69" s="575"/>
      <c r="C69" s="575"/>
      <c r="D69" s="575"/>
      <c r="E69" s="570"/>
      <c r="F69" s="576"/>
      <c r="G69" s="516"/>
      <c r="H69" s="516"/>
      <c r="I69" s="458"/>
      <c r="J69" s="516"/>
      <c r="K69" s="516"/>
      <c r="L69" s="516"/>
      <c r="O69" s="516"/>
      <c r="P69" s="516"/>
    </row>
    <row r="70" spans="1:16">
      <c r="A70" s="575"/>
      <c r="B70" s="575"/>
      <c r="C70" s="575"/>
      <c r="D70" s="575"/>
      <c r="E70" s="570"/>
      <c r="F70" s="576"/>
      <c r="G70" s="516"/>
      <c r="H70" s="516"/>
      <c r="I70" s="458"/>
      <c r="J70" s="516"/>
      <c r="K70" s="516"/>
      <c r="L70" s="516"/>
      <c r="O70" s="516"/>
      <c r="P70" s="516"/>
    </row>
    <row r="71" spans="1:16">
      <c r="A71" s="575"/>
      <c r="B71" s="575"/>
      <c r="C71" s="575"/>
      <c r="D71" s="575"/>
      <c r="E71" s="570"/>
      <c r="F71" s="576"/>
      <c r="G71" s="516"/>
      <c r="H71" s="516"/>
      <c r="I71" s="458"/>
      <c r="J71" s="516"/>
      <c r="K71" s="516"/>
      <c r="L71" s="516"/>
      <c r="O71" s="516"/>
      <c r="P71" s="516"/>
    </row>
    <row r="72" spans="1:16">
      <c r="A72" s="575"/>
      <c r="B72" s="575"/>
      <c r="C72" s="575"/>
      <c r="D72" s="575"/>
      <c r="E72" s="570"/>
      <c r="F72" s="576"/>
      <c r="G72" s="516"/>
      <c r="H72" s="516"/>
      <c r="I72" s="458"/>
      <c r="J72" s="516"/>
      <c r="K72" s="516"/>
      <c r="L72" s="516"/>
      <c r="O72" s="516"/>
      <c r="P72" s="516"/>
    </row>
    <row r="73" spans="1:16">
      <c r="A73" s="575"/>
      <c r="B73" s="575"/>
      <c r="C73" s="575"/>
      <c r="D73" s="575"/>
      <c r="E73" s="570"/>
      <c r="F73" s="576"/>
      <c r="G73" s="516"/>
      <c r="H73" s="516"/>
      <c r="I73" s="458"/>
      <c r="J73" s="516"/>
      <c r="K73" s="516"/>
      <c r="L73" s="516"/>
      <c r="O73" s="516"/>
      <c r="P73" s="516"/>
    </row>
    <row r="74" spans="1:16">
      <c r="A74" s="575"/>
      <c r="B74" s="575"/>
      <c r="C74" s="575"/>
      <c r="D74" s="575"/>
      <c r="E74" s="570"/>
      <c r="F74" s="576"/>
      <c r="G74" s="516"/>
      <c r="H74" s="516"/>
      <c r="I74" s="458"/>
      <c r="J74" s="516"/>
      <c r="K74" s="516"/>
      <c r="L74" s="516"/>
      <c r="O74" s="516"/>
      <c r="P74" s="516"/>
    </row>
    <row r="75" spans="1:16">
      <c r="A75" s="575"/>
      <c r="B75" s="575"/>
      <c r="C75" s="575"/>
      <c r="D75" s="575"/>
      <c r="E75" s="570"/>
      <c r="F75" s="576"/>
      <c r="G75" s="516"/>
      <c r="H75" s="516"/>
      <c r="I75" s="458"/>
      <c r="J75" s="516"/>
      <c r="K75" s="516"/>
      <c r="L75" s="516"/>
      <c r="O75" s="516"/>
      <c r="P75" s="516"/>
    </row>
    <row r="76" spans="1:16">
      <c r="A76" s="575"/>
      <c r="B76" s="575"/>
      <c r="C76" s="575"/>
      <c r="D76" s="575"/>
      <c r="E76" s="570"/>
      <c r="F76" s="576"/>
      <c r="G76" s="516"/>
      <c r="H76" s="516"/>
      <c r="I76" s="458"/>
      <c r="J76" s="516"/>
      <c r="K76" s="516"/>
      <c r="L76" s="516"/>
      <c r="O76" s="516"/>
      <c r="P76" s="516"/>
    </row>
    <row r="77" spans="1:16">
      <c r="A77" s="575"/>
      <c r="B77" s="575"/>
      <c r="C77" s="575"/>
      <c r="D77" s="575"/>
      <c r="E77" s="570"/>
      <c r="F77" s="576"/>
      <c r="G77" s="516"/>
      <c r="H77" s="516"/>
      <c r="I77" s="458"/>
      <c r="J77" s="516"/>
      <c r="K77" s="516"/>
      <c r="L77" s="516"/>
      <c r="O77" s="516"/>
      <c r="P77" s="516"/>
    </row>
    <row r="78" spans="1:16">
      <c r="A78" s="575"/>
      <c r="B78" s="575"/>
      <c r="C78" s="575"/>
      <c r="D78" s="575"/>
      <c r="E78" s="570"/>
      <c r="F78" s="576"/>
      <c r="G78" s="516"/>
      <c r="H78" s="516"/>
      <c r="I78" s="458"/>
      <c r="J78" s="516"/>
      <c r="K78" s="516"/>
      <c r="L78" s="516"/>
      <c r="O78" s="516"/>
      <c r="P78" s="516"/>
    </row>
    <row r="79" spans="1:16">
      <c r="A79" s="575"/>
      <c r="B79" s="575"/>
      <c r="C79" s="575"/>
      <c r="D79" s="575"/>
      <c r="E79" s="570"/>
      <c r="F79" s="576"/>
      <c r="G79" s="516"/>
      <c r="H79" s="516"/>
      <c r="I79" s="458"/>
      <c r="J79" s="516"/>
      <c r="K79" s="516"/>
      <c r="L79" s="516"/>
      <c r="O79" s="516"/>
      <c r="P79" s="516"/>
    </row>
    <row r="80" spans="1:16">
      <c r="A80" s="575"/>
      <c r="B80" s="575"/>
      <c r="C80" s="575"/>
      <c r="D80" s="575"/>
      <c r="E80" s="570"/>
      <c r="F80" s="576"/>
      <c r="G80" s="516"/>
      <c r="H80" s="516"/>
      <c r="I80" s="458"/>
      <c r="J80" s="516"/>
      <c r="K80" s="516"/>
      <c r="L80" s="516"/>
      <c r="O80" s="516"/>
      <c r="P80" s="516"/>
    </row>
    <row r="81" spans="1:17">
      <c r="A81" s="575"/>
      <c r="B81" s="575"/>
      <c r="C81" s="575"/>
      <c r="D81" s="575"/>
      <c r="E81" s="570"/>
      <c r="F81" s="576"/>
      <c r="G81" s="516"/>
      <c r="H81" s="516"/>
      <c r="I81" s="458"/>
      <c r="J81" s="516"/>
      <c r="K81" s="516"/>
      <c r="L81" s="516"/>
      <c r="O81" s="516"/>
      <c r="P81" s="516"/>
    </row>
    <row r="82" spans="1:17">
      <c r="A82" s="575"/>
      <c r="B82" s="575"/>
      <c r="C82" s="575"/>
      <c r="D82" s="575"/>
      <c r="E82" s="570"/>
      <c r="F82" s="576"/>
      <c r="G82" s="516"/>
      <c r="H82" s="516"/>
      <c r="I82" s="458"/>
      <c r="J82" s="516"/>
      <c r="K82" s="516"/>
      <c r="L82" s="516"/>
      <c r="O82" s="516"/>
      <c r="P82" s="516"/>
    </row>
    <row r="83" spans="1:17">
      <c r="A83" s="575"/>
      <c r="B83" s="575"/>
      <c r="C83" s="575"/>
      <c r="D83" s="575"/>
      <c r="E83" s="570"/>
      <c r="F83" s="576"/>
      <c r="G83" s="516"/>
      <c r="H83" s="516"/>
      <c r="I83" s="458"/>
      <c r="J83" s="516"/>
      <c r="K83" s="516"/>
      <c r="L83" s="516"/>
      <c r="O83" s="516"/>
      <c r="P83" s="516"/>
    </row>
    <row r="84" spans="1:17">
      <c r="A84" s="575"/>
      <c r="B84" s="575"/>
      <c r="C84" s="575"/>
      <c r="D84" s="575"/>
      <c r="E84" s="570"/>
      <c r="F84" s="576"/>
      <c r="G84" s="516"/>
      <c r="H84" s="516"/>
      <c r="I84" s="458"/>
      <c r="J84" s="516"/>
      <c r="K84" s="516"/>
      <c r="L84" s="516"/>
      <c r="O84" s="516"/>
      <c r="P84" s="516"/>
    </row>
    <row r="85" spans="1:17">
      <c r="A85" s="575"/>
      <c r="B85" s="575"/>
      <c r="C85" s="575"/>
      <c r="D85" s="575"/>
      <c r="E85" s="570"/>
      <c r="F85" s="576"/>
      <c r="G85" s="516"/>
      <c r="H85" s="516"/>
      <c r="I85" s="458"/>
      <c r="J85" s="516"/>
      <c r="K85" s="516"/>
      <c r="L85" s="516"/>
      <c r="M85" s="580"/>
      <c r="O85" s="516"/>
      <c r="P85" s="516"/>
    </row>
    <row r="86" spans="1:17">
      <c r="A86" s="575"/>
      <c r="B86" s="575"/>
      <c r="C86" s="575"/>
      <c r="D86" s="575"/>
      <c r="E86" s="570"/>
      <c r="F86" s="576"/>
      <c r="G86" s="516"/>
      <c r="H86" s="516"/>
      <c r="I86" s="458"/>
      <c r="J86" s="516"/>
      <c r="K86" s="516"/>
      <c r="L86" s="516"/>
      <c r="M86" s="580"/>
      <c r="O86" s="516"/>
      <c r="P86" s="516"/>
    </row>
    <row r="87" spans="1:17">
      <c r="A87" s="575"/>
      <c r="B87" s="575"/>
      <c r="C87" s="575"/>
      <c r="D87" s="575"/>
      <c r="E87" s="570"/>
      <c r="F87" s="576"/>
      <c r="G87" s="516"/>
      <c r="H87" s="516"/>
      <c r="I87" s="458"/>
      <c r="J87" s="516"/>
      <c r="K87" s="516"/>
      <c r="L87" s="516"/>
      <c r="M87" s="580"/>
      <c r="O87" s="516"/>
      <c r="P87" s="516"/>
    </row>
    <row r="88" spans="1:17">
      <c r="A88" s="575"/>
      <c r="B88" s="575"/>
      <c r="C88" s="575"/>
      <c r="D88" s="575"/>
      <c r="E88" s="570"/>
      <c r="F88" s="576"/>
      <c r="G88" s="516"/>
      <c r="H88" s="516"/>
      <c r="I88" s="458"/>
      <c r="J88" s="516"/>
      <c r="K88" s="516"/>
      <c r="L88" s="516"/>
      <c r="M88" s="580"/>
      <c r="O88" s="516"/>
      <c r="P88" s="516"/>
    </row>
    <row r="89" spans="1:17">
      <c r="A89" s="575"/>
      <c r="B89" s="575"/>
      <c r="C89" s="575"/>
      <c r="D89" s="575"/>
      <c r="E89" s="570"/>
      <c r="F89" s="576"/>
      <c r="G89" s="516"/>
      <c r="H89" s="516"/>
      <c r="I89" s="458"/>
      <c r="J89" s="516"/>
      <c r="K89" s="516"/>
      <c r="L89" s="516"/>
      <c r="M89" s="580"/>
      <c r="O89" s="516"/>
      <c r="P89" s="516"/>
    </row>
    <row r="90" spans="1:17" s="575" customFormat="1">
      <c r="E90" s="570"/>
      <c r="F90" s="576"/>
      <c r="G90" s="516"/>
      <c r="H90" s="516"/>
      <c r="I90" s="458"/>
      <c r="J90" s="516"/>
      <c r="K90" s="516"/>
      <c r="L90" s="516"/>
      <c r="M90" s="580"/>
      <c r="N90" s="516"/>
      <c r="O90" s="516"/>
      <c r="P90" s="516"/>
      <c r="Q90" s="516"/>
    </row>
    <row r="91" spans="1:17" s="575" customFormat="1">
      <c r="E91" s="570"/>
      <c r="F91" s="576"/>
      <c r="G91" s="516"/>
      <c r="H91" s="516"/>
      <c r="I91" s="458"/>
      <c r="J91" s="516"/>
      <c r="K91" s="516"/>
      <c r="L91" s="516"/>
      <c r="M91" s="580"/>
      <c r="N91" s="516"/>
      <c r="O91" s="516"/>
      <c r="P91" s="516"/>
      <c r="Q91" s="516"/>
    </row>
    <row r="92" spans="1:17" s="575" customFormat="1">
      <c r="E92" s="570"/>
      <c r="F92" s="576"/>
      <c r="G92" s="516"/>
      <c r="H92" s="516"/>
      <c r="I92" s="458"/>
      <c r="J92" s="516"/>
      <c r="K92" s="516"/>
      <c r="L92" s="516"/>
      <c r="M92" s="580"/>
      <c r="N92" s="516"/>
      <c r="O92" s="516"/>
      <c r="P92" s="516"/>
      <c r="Q92" s="516"/>
    </row>
    <row r="93" spans="1:17" s="575" customFormat="1">
      <c r="E93" s="570"/>
      <c r="F93" s="576"/>
      <c r="G93" s="516"/>
      <c r="H93" s="516"/>
      <c r="I93" s="458"/>
      <c r="J93" s="516"/>
      <c r="K93" s="516"/>
      <c r="L93" s="516"/>
      <c r="M93" s="580"/>
      <c r="N93" s="516"/>
      <c r="O93" s="516"/>
      <c r="P93" s="516"/>
      <c r="Q93" s="516"/>
    </row>
    <row r="94" spans="1:17" s="575" customFormat="1">
      <c r="E94" s="570"/>
      <c r="F94" s="576"/>
      <c r="G94" s="516"/>
      <c r="H94" s="516"/>
      <c r="I94" s="458"/>
      <c r="J94" s="516"/>
      <c r="K94" s="516"/>
      <c r="L94" s="516"/>
      <c r="M94" s="580"/>
      <c r="N94" s="516"/>
      <c r="O94" s="516"/>
      <c r="P94" s="516"/>
      <c r="Q94" s="516"/>
    </row>
    <row r="95" spans="1:17" s="575" customFormat="1">
      <c r="E95" s="570"/>
      <c r="F95" s="576"/>
      <c r="G95" s="516"/>
      <c r="H95" s="516"/>
      <c r="I95" s="458"/>
      <c r="J95" s="516"/>
      <c r="K95" s="516"/>
      <c r="L95" s="516"/>
      <c r="M95" s="580"/>
    </row>
    <row r="96" spans="1:17" s="575" customFormat="1">
      <c r="E96" s="570"/>
      <c r="F96" s="576"/>
      <c r="G96" s="516"/>
      <c r="H96" s="516"/>
      <c r="I96" s="458"/>
      <c r="J96" s="516"/>
      <c r="K96" s="516"/>
      <c r="L96" s="516"/>
      <c r="M96" s="580"/>
    </row>
    <row r="97" spans="5:13" s="575" customFormat="1">
      <c r="E97" s="570"/>
      <c r="F97" s="576"/>
      <c r="G97" s="516"/>
      <c r="H97" s="516"/>
      <c r="I97" s="458"/>
      <c r="J97" s="516"/>
      <c r="K97" s="516"/>
      <c r="L97" s="516"/>
      <c r="M97" s="580"/>
    </row>
    <row r="98" spans="5:13" s="575" customFormat="1">
      <c r="E98" s="570"/>
      <c r="F98" s="576"/>
      <c r="G98" s="516"/>
      <c r="H98" s="516"/>
      <c r="I98" s="458"/>
      <c r="J98" s="516"/>
      <c r="K98" s="516"/>
      <c r="L98" s="516"/>
      <c r="M98" s="580"/>
    </row>
    <row r="99" spans="5:13" s="575" customFormat="1">
      <c r="E99" s="570"/>
      <c r="F99" s="576"/>
      <c r="G99" s="516"/>
      <c r="H99" s="516"/>
      <c r="I99" s="458"/>
      <c r="J99" s="516"/>
      <c r="K99" s="516"/>
      <c r="L99" s="516"/>
      <c r="M99" s="580"/>
    </row>
    <row r="100" spans="5:13" s="575" customFormat="1">
      <c r="E100" s="570"/>
      <c r="F100" s="576"/>
      <c r="G100" s="516"/>
      <c r="H100" s="516"/>
      <c r="I100" s="458"/>
      <c r="J100" s="516"/>
      <c r="K100" s="516"/>
      <c r="L100" s="516"/>
      <c r="M100" s="580"/>
    </row>
    <row r="101" spans="5:13" s="575" customFormat="1">
      <c r="E101" s="570"/>
      <c r="F101" s="576"/>
      <c r="G101" s="516"/>
      <c r="H101" s="516"/>
      <c r="I101" s="458"/>
      <c r="J101" s="516"/>
      <c r="K101" s="516"/>
      <c r="L101" s="516"/>
      <c r="M101" s="580"/>
    </row>
    <row r="102" spans="5:13" s="575" customFormat="1">
      <c r="E102" s="570"/>
      <c r="F102" s="576"/>
      <c r="G102" s="516"/>
      <c r="H102" s="516"/>
      <c r="I102" s="458"/>
      <c r="J102" s="516"/>
      <c r="K102" s="516"/>
      <c r="L102" s="516"/>
      <c r="M102" s="580"/>
    </row>
    <row r="103" spans="5:13" s="575" customFormat="1">
      <c r="E103" s="570"/>
      <c r="F103" s="576"/>
      <c r="G103" s="516"/>
      <c r="H103" s="516"/>
      <c r="I103" s="458"/>
      <c r="J103" s="516"/>
      <c r="K103" s="516"/>
      <c r="L103" s="516"/>
      <c r="M103" s="580"/>
    </row>
    <row r="104" spans="5:13" s="575" customFormat="1">
      <c r="E104" s="570"/>
      <c r="F104" s="576"/>
      <c r="G104" s="516"/>
      <c r="H104" s="516"/>
      <c r="I104" s="458"/>
      <c r="J104" s="516"/>
      <c r="K104" s="516"/>
      <c r="L104" s="516"/>
      <c r="M104" s="580"/>
    </row>
    <row r="105" spans="5:13" s="575" customFormat="1">
      <c r="E105" s="570"/>
      <c r="F105" s="576"/>
      <c r="G105" s="516"/>
      <c r="H105" s="516"/>
      <c r="I105" s="458"/>
      <c r="J105" s="516"/>
      <c r="K105" s="516"/>
      <c r="L105" s="516"/>
      <c r="M105" s="580"/>
    </row>
    <row r="106" spans="5:13" s="575" customFormat="1">
      <c r="E106" s="570"/>
      <c r="F106" s="576"/>
      <c r="G106" s="516"/>
      <c r="H106" s="516"/>
      <c r="I106" s="458"/>
      <c r="J106" s="516"/>
      <c r="K106" s="516"/>
      <c r="L106" s="516"/>
      <c r="M106" s="580"/>
    </row>
    <row r="107" spans="5:13" s="575" customFormat="1">
      <c r="E107" s="570"/>
      <c r="F107" s="576"/>
      <c r="G107" s="516"/>
      <c r="H107" s="516"/>
      <c r="I107" s="458"/>
      <c r="J107" s="516"/>
      <c r="K107" s="516"/>
      <c r="L107" s="516"/>
      <c r="M107" s="580"/>
    </row>
    <row r="108" spans="5:13" s="575" customFormat="1">
      <c r="E108" s="570"/>
      <c r="F108" s="576"/>
      <c r="G108" s="516"/>
      <c r="H108" s="516"/>
      <c r="I108" s="458"/>
      <c r="J108" s="516"/>
      <c r="K108" s="516"/>
      <c r="L108" s="516"/>
      <c r="M108" s="580"/>
    </row>
    <row r="109" spans="5:13" s="575" customFormat="1">
      <c r="E109" s="570"/>
      <c r="F109" s="576"/>
      <c r="G109" s="516"/>
      <c r="H109" s="516"/>
      <c r="I109" s="458"/>
      <c r="J109" s="516"/>
      <c r="K109" s="516"/>
      <c r="L109" s="516"/>
      <c r="M109" s="580"/>
    </row>
    <row r="110" spans="5:13" s="575" customFormat="1">
      <c r="E110" s="570"/>
      <c r="F110" s="576"/>
      <c r="G110" s="516"/>
      <c r="H110" s="516"/>
      <c r="I110" s="458"/>
      <c r="J110" s="516"/>
      <c r="K110" s="516"/>
      <c r="L110" s="516"/>
      <c r="M110" s="580"/>
    </row>
    <row r="111" spans="5:13" s="575" customFormat="1">
      <c r="E111" s="570"/>
      <c r="F111" s="576"/>
      <c r="G111" s="516"/>
      <c r="H111" s="516"/>
      <c r="I111" s="458"/>
      <c r="J111" s="516"/>
      <c r="K111" s="516"/>
      <c r="L111" s="516"/>
      <c r="M111" s="580"/>
    </row>
    <row r="112" spans="5:13" s="575" customFormat="1">
      <c r="E112" s="570"/>
      <c r="F112" s="576"/>
      <c r="G112" s="516"/>
      <c r="H112" s="516"/>
      <c r="I112" s="458"/>
      <c r="J112" s="516"/>
      <c r="K112" s="516"/>
      <c r="L112" s="516"/>
      <c r="M112" s="580"/>
    </row>
    <row r="113" spans="5:13" s="575" customFormat="1">
      <c r="E113" s="570"/>
      <c r="F113" s="576"/>
      <c r="G113" s="516"/>
      <c r="H113" s="516"/>
      <c r="I113" s="458"/>
      <c r="J113" s="516"/>
      <c r="K113" s="516"/>
      <c r="L113" s="516"/>
      <c r="M113" s="580"/>
    </row>
    <row r="114" spans="5:13" s="575" customFormat="1">
      <c r="E114" s="570"/>
      <c r="F114" s="576"/>
      <c r="G114" s="516"/>
      <c r="H114" s="516"/>
      <c r="I114" s="458"/>
      <c r="J114" s="516"/>
      <c r="K114" s="516"/>
      <c r="L114" s="516"/>
      <c r="M114" s="580"/>
    </row>
    <row r="115" spans="5:13" s="575" customFormat="1">
      <c r="E115" s="570"/>
      <c r="F115" s="576"/>
      <c r="G115" s="516"/>
      <c r="H115" s="516"/>
      <c r="I115" s="458"/>
      <c r="J115" s="516"/>
      <c r="K115" s="516"/>
      <c r="L115" s="516"/>
      <c r="M115" s="580"/>
    </row>
    <row r="116" spans="5:13" s="575" customFormat="1">
      <c r="E116" s="570"/>
      <c r="F116" s="576"/>
      <c r="G116" s="516"/>
      <c r="H116" s="516"/>
      <c r="I116" s="458"/>
      <c r="J116" s="516"/>
      <c r="K116" s="516"/>
      <c r="L116" s="516"/>
      <c r="M116" s="580"/>
    </row>
    <row r="117" spans="5:13" s="575" customFormat="1">
      <c r="E117" s="570"/>
      <c r="F117" s="576"/>
      <c r="G117" s="516"/>
      <c r="H117" s="516"/>
      <c r="I117" s="458"/>
      <c r="J117" s="516"/>
      <c r="K117" s="516"/>
      <c r="L117" s="516"/>
      <c r="M117" s="580"/>
    </row>
    <row r="118" spans="5:13" s="575" customFormat="1">
      <c r="E118" s="570"/>
      <c r="F118" s="576"/>
      <c r="G118" s="516"/>
      <c r="H118" s="516"/>
      <c r="I118" s="458"/>
      <c r="J118" s="516"/>
      <c r="K118" s="516"/>
      <c r="L118" s="516"/>
      <c r="M118" s="580"/>
    </row>
    <row r="119" spans="5:13" s="575" customFormat="1">
      <c r="E119" s="570"/>
      <c r="F119" s="576"/>
      <c r="G119" s="516"/>
      <c r="H119" s="516"/>
      <c r="I119" s="458"/>
      <c r="J119" s="516"/>
      <c r="K119" s="516"/>
      <c r="L119" s="516"/>
      <c r="M119" s="580"/>
    </row>
    <row r="120" spans="5:13" s="575" customFormat="1">
      <c r="E120" s="570"/>
      <c r="F120" s="576"/>
      <c r="G120" s="516"/>
      <c r="H120" s="516"/>
      <c r="I120" s="458"/>
      <c r="J120" s="516"/>
      <c r="K120" s="516"/>
      <c r="L120" s="516"/>
      <c r="M120" s="580"/>
    </row>
    <row r="121" spans="5:13" s="575" customFormat="1">
      <c r="E121" s="570"/>
      <c r="F121" s="576"/>
      <c r="G121" s="516"/>
      <c r="H121" s="516"/>
      <c r="I121" s="458"/>
      <c r="J121" s="516"/>
      <c r="K121" s="516"/>
      <c r="L121" s="516"/>
      <c r="M121" s="580"/>
    </row>
    <row r="122" spans="5:13" s="575" customFormat="1">
      <c r="E122" s="570"/>
      <c r="F122" s="576"/>
      <c r="G122" s="516"/>
      <c r="H122" s="516"/>
      <c r="I122" s="458"/>
      <c r="J122" s="516"/>
      <c r="K122" s="516"/>
      <c r="L122" s="516"/>
      <c r="M122" s="580"/>
    </row>
    <row r="123" spans="5:13" s="575" customFormat="1">
      <c r="E123" s="570"/>
      <c r="F123" s="576"/>
      <c r="G123" s="516"/>
      <c r="H123" s="516"/>
      <c r="I123" s="458"/>
      <c r="J123" s="516"/>
      <c r="K123" s="516"/>
      <c r="L123" s="516"/>
      <c r="M123" s="580"/>
    </row>
    <row r="124" spans="5:13" s="575" customFormat="1">
      <c r="E124" s="570"/>
      <c r="F124" s="576"/>
      <c r="G124" s="516"/>
      <c r="H124" s="516"/>
      <c r="I124" s="458"/>
      <c r="J124" s="516"/>
      <c r="K124" s="516"/>
      <c r="L124" s="516"/>
      <c r="M124" s="580"/>
    </row>
    <row r="125" spans="5:13" s="575" customFormat="1">
      <c r="E125" s="570"/>
      <c r="F125" s="576"/>
      <c r="G125" s="516"/>
      <c r="H125" s="516"/>
      <c r="I125" s="458"/>
      <c r="J125" s="516"/>
      <c r="K125" s="516"/>
      <c r="L125" s="516"/>
      <c r="M125" s="580"/>
    </row>
    <row r="126" spans="5:13" s="575" customFormat="1">
      <c r="E126" s="570"/>
      <c r="F126" s="576"/>
      <c r="G126" s="516"/>
      <c r="H126" s="516"/>
      <c r="I126" s="458"/>
      <c r="J126" s="516"/>
      <c r="K126" s="516"/>
      <c r="L126" s="516"/>
      <c r="M126" s="580"/>
    </row>
    <row r="127" spans="5:13" s="575" customFormat="1">
      <c r="E127" s="570"/>
      <c r="F127" s="576"/>
      <c r="G127" s="516"/>
      <c r="H127" s="516"/>
      <c r="I127" s="458"/>
      <c r="J127" s="516"/>
      <c r="K127" s="516"/>
      <c r="L127" s="516"/>
      <c r="M127" s="580"/>
    </row>
    <row r="128" spans="5:13" s="575" customFormat="1">
      <c r="E128" s="570"/>
      <c r="F128" s="576"/>
      <c r="G128" s="516"/>
      <c r="H128" s="516"/>
      <c r="I128" s="458"/>
      <c r="J128" s="516"/>
      <c r="K128" s="516"/>
      <c r="L128" s="516"/>
      <c r="M128" s="580"/>
    </row>
    <row r="129" spans="1:13" s="575" customFormat="1">
      <c r="E129" s="570"/>
      <c r="F129" s="576"/>
      <c r="G129" s="516"/>
      <c r="H129" s="516"/>
      <c r="I129" s="458"/>
      <c r="J129" s="516"/>
      <c r="K129" s="516"/>
      <c r="L129" s="516"/>
      <c r="M129" s="580"/>
    </row>
    <row r="130" spans="1:13" s="575" customFormat="1">
      <c r="E130" s="570"/>
      <c r="F130" s="576"/>
      <c r="G130" s="516"/>
      <c r="H130" s="516"/>
      <c r="I130" s="458"/>
      <c r="J130" s="516"/>
      <c r="K130" s="516"/>
      <c r="L130" s="516"/>
      <c r="M130" s="580"/>
    </row>
    <row r="131" spans="1:13" s="575" customFormat="1">
      <c r="A131" s="516"/>
      <c r="B131" s="516"/>
      <c r="C131" s="579"/>
      <c r="D131" s="579"/>
      <c r="E131" s="579"/>
      <c r="F131" s="579"/>
      <c r="H131" s="580"/>
      <c r="J131" s="516"/>
      <c r="K131" s="516"/>
      <c r="L131" s="516"/>
      <c r="M131" s="580"/>
    </row>
    <row r="132" spans="1:13" s="575" customFormat="1">
      <c r="A132" s="516"/>
      <c r="B132" s="516"/>
      <c r="C132" s="579"/>
      <c r="D132" s="579"/>
      <c r="E132" s="579"/>
      <c r="F132" s="579"/>
      <c r="H132" s="580"/>
      <c r="J132" s="516"/>
      <c r="K132" s="516"/>
      <c r="L132" s="516"/>
      <c r="M132" s="580"/>
    </row>
    <row r="133" spans="1:13" s="575" customFormat="1">
      <c r="A133" s="516"/>
      <c r="B133" s="516"/>
      <c r="C133" s="579"/>
      <c r="D133" s="579"/>
      <c r="E133" s="579"/>
      <c r="F133" s="579"/>
      <c r="H133" s="580"/>
      <c r="J133" s="516"/>
      <c r="K133" s="516"/>
      <c r="L133" s="516"/>
      <c r="M133" s="580"/>
    </row>
    <row r="134" spans="1:13" s="575" customFormat="1">
      <c r="A134" s="516"/>
      <c r="B134" s="516"/>
      <c r="C134" s="579"/>
      <c r="D134" s="579"/>
      <c r="E134" s="579"/>
      <c r="F134" s="579"/>
      <c r="H134" s="580"/>
      <c r="J134" s="516"/>
      <c r="K134" s="516"/>
      <c r="L134" s="516"/>
      <c r="M134" s="580"/>
    </row>
    <row r="135" spans="1:13" s="575" customFormat="1">
      <c r="A135" s="516"/>
      <c r="B135" s="516"/>
      <c r="C135" s="579"/>
      <c r="D135" s="579"/>
      <c r="E135" s="579"/>
      <c r="F135" s="579"/>
      <c r="H135" s="580"/>
      <c r="J135" s="516"/>
      <c r="K135" s="516"/>
      <c r="L135" s="516"/>
      <c r="M135" s="580"/>
    </row>
    <row r="136" spans="1:13" s="575" customFormat="1">
      <c r="A136" s="516"/>
      <c r="B136" s="516"/>
      <c r="C136" s="579"/>
      <c r="D136" s="579"/>
      <c r="E136" s="579"/>
      <c r="F136" s="579"/>
      <c r="H136" s="580"/>
      <c r="J136" s="516"/>
      <c r="K136" s="516"/>
      <c r="L136" s="516"/>
      <c r="M136" s="580"/>
    </row>
    <row r="137" spans="1:13" s="575" customFormat="1">
      <c r="A137" s="516"/>
      <c r="B137" s="516"/>
      <c r="C137" s="579"/>
      <c r="D137" s="579"/>
      <c r="E137" s="579"/>
      <c r="F137" s="579"/>
      <c r="H137" s="580"/>
      <c r="K137" s="516"/>
      <c r="L137" s="516"/>
      <c r="M137" s="580"/>
    </row>
    <row r="138" spans="1:13" s="575" customFormat="1">
      <c r="A138" s="516"/>
      <c r="B138" s="516"/>
      <c r="C138" s="579"/>
      <c r="D138" s="579"/>
      <c r="E138" s="579"/>
      <c r="F138" s="579"/>
      <c r="H138" s="580"/>
      <c r="K138" s="516"/>
      <c r="L138" s="516"/>
      <c r="M138" s="580"/>
    </row>
    <row r="139" spans="1:13" s="575" customFormat="1">
      <c r="A139" s="516"/>
      <c r="B139" s="516"/>
      <c r="C139" s="579"/>
      <c r="D139" s="579"/>
      <c r="E139" s="579"/>
      <c r="F139" s="579"/>
      <c r="H139" s="580"/>
      <c r="K139" s="516"/>
      <c r="L139" s="516"/>
      <c r="M139" s="580"/>
    </row>
    <row r="140" spans="1:13" s="575" customFormat="1">
      <c r="A140" s="516"/>
      <c r="B140" s="516"/>
      <c r="C140" s="579"/>
      <c r="D140" s="579"/>
      <c r="E140" s="579"/>
      <c r="F140" s="579"/>
      <c r="H140" s="580"/>
      <c r="K140" s="570"/>
      <c r="L140" s="516"/>
      <c r="M140" s="580"/>
    </row>
    <row r="141" spans="1:13" s="575" customFormat="1">
      <c r="A141" s="516"/>
      <c r="B141" s="516"/>
      <c r="C141" s="579"/>
      <c r="D141" s="579"/>
      <c r="E141" s="579"/>
      <c r="F141" s="579"/>
      <c r="H141" s="580"/>
      <c r="K141" s="570"/>
      <c r="L141" s="516"/>
      <c r="M141" s="580"/>
    </row>
    <row r="142" spans="1:13" s="575" customFormat="1">
      <c r="A142" s="516"/>
      <c r="B142" s="516"/>
      <c r="C142" s="579"/>
      <c r="D142" s="579"/>
      <c r="E142" s="579"/>
      <c r="F142" s="579"/>
      <c r="H142" s="580"/>
      <c r="K142" s="570"/>
      <c r="L142" s="516"/>
      <c r="M142" s="578"/>
    </row>
    <row r="143" spans="1:13" s="575" customFormat="1">
      <c r="A143" s="516"/>
      <c r="B143" s="516"/>
      <c r="C143" s="579"/>
      <c r="D143" s="579"/>
      <c r="E143" s="579"/>
      <c r="F143" s="579"/>
      <c r="H143" s="580"/>
      <c r="K143" s="570"/>
      <c r="L143" s="516"/>
      <c r="M143" s="578"/>
    </row>
    <row r="144" spans="1:13" s="575" customFormat="1">
      <c r="A144" s="516"/>
      <c r="B144" s="516"/>
      <c r="C144" s="579"/>
      <c r="D144" s="579"/>
      <c r="E144" s="579"/>
      <c r="F144" s="579"/>
      <c r="H144" s="580"/>
      <c r="K144" s="570"/>
      <c r="L144" s="516"/>
      <c r="M144" s="578"/>
    </row>
    <row r="145" spans="1:17" s="575" customFormat="1">
      <c r="A145" s="516"/>
      <c r="B145" s="516"/>
      <c r="C145" s="579"/>
      <c r="D145" s="579"/>
      <c r="E145" s="579"/>
      <c r="F145" s="579"/>
      <c r="H145" s="580"/>
      <c r="K145" s="570"/>
      <c r="L145" s="576"/>
      <c r="M145" s="578"/>
    </row>
    <row r="146" spans="1:17" s="575" customFormat="1">
      <c r="A146" s="516"/>
      <c r="B146" s="516"/>
      <c r="C146" s="579"/>
      <c r="D146" s="579"/>
      <c r="E146" s="579"/>
      <c r="F146" s="579"/>
      <c r="H146" s="580"/>
      <c r="K146" s="570"/>
      <c r="L146" s="576"/>
      <c r="M146" s="578"/>
    </row>
    <row r="147" spans="1:17">
      <c r="N147" s="575"/>
      <c r="O147" s="575"/>
      <c r="P147" s="575"/>
      <c r="Q147" s="575"/>
    </row>
    <row r="148" spans="1:17">
      <c r="N148" s="575"/>
      <c r="O148" s="575"/>
      <c r="P148" s="575"/>
      <c r="Q148" s="575"/>
    </row>
    <row r="149" spans="1:17">
      <c r="N149" s="575"/>
      <c r="O149" s="575"/>
      <c r="P149" s="575"/>
      <c r="Q149" s="575"/>
    </row>
    <row r="150" spans="1:17">
      <c r="N150" s="575"/>
      <c r="O150" s="575"/>
      <c r="P150" s="575"/>
      <c r="Q150" s="575"/>
    </row>
    <row r="151" spans="1:17">
      <c r="N151" s="575"/>
      <c r="O151" s="575"/>
      <c r="P151" s="575"/>
      <c r="Q151" s="575"/>
    </row>
  </sheetData>
  <mergeCells count="1">
    <mergeCell ref="L7:M7"/>
  </mergeCells>
  <dataValidations count="1">
    <dataValidation type="list" allowBlank="1" showInputMessage="1" showErrorMessage="1" sqref="B5" xr:uid="{D1CAC03B-DF3D-4060-9061-E0AAFB9608B6}">
      <formula1>$AB$5:$AB$8</formula1>
    </dataValidation>
  </dataValidation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101E2-8492-4CFB-8643-7B5876CA0B7D}">
  <dimension ref="A1:Q155"/>
  <sheetViews>
    <sheetView workbookViewId="0">
      <selection activeCell="I5" sqref="I5"/>
    </sheetView>
  </sheetViews>
  <sheetFormatPr defaultColWidth="7.88671875" defaultRowHeight="10.199999999999999"/>
  <cols>
    <col min="1" max="1" width="15.6640625" style="516" bestFit="1" customWidth="1"/>
    <col min="2" max="2" width="9.5546875" style="516" bestFit="1" customWidth="1"/>
    <col min="3" max="3" width="5.109375" style="579" customWidth="1"/>
    <col min="4" max="6" width="7.6640625" style="579" customWidth="1"/>
    <col min="7" max="7" width="6.33203125" style="575" customWidth="1"/>
    <col min="8" max="8" width="6.88671875" style="580" customWidth="1"/>
    <col min="9" max="9" width="9.6640625" style="575" customWidth="1"/>
    <col min="10" max="10" width="8.6640625" style="575" bestFit="1" customWidth="1"/>
    <col min="11" max="11" width="12.5546875" style="570" customWidth="1"/>
    <col min="12" max="12" width="17.33203125" style="576" bestFit="1" customWidth="1"/>
    <col min="13" max="13" width="12.88671875" style="516" customWidth="1"/>
    <col min="14" max="14" width="11.33203125" style="516" customWidth="1"/>
    <col min="15" max="15" width="14.5546875" style="458" customWidth="1"/>
    <col min="16" max="16" width="2.44140625" style="458" customWidth="1"/>
    <col min="17" max="17" width="14" style="516" bestFit="1" customWidth="1"/>
    <col min="18" max="18" width="5.44140625" style="516" customWidth="1"/>
    <col min="19" max="27" width="5.33203125" style="516" customWidth="1"/>
    <col min="28" max="28" width="17" style="516" customWidth="1"/>
    <col min="29" max="16384" width="7.88671875" style="516"/>
  </cols>
  <sheetData>
    <row r="1" spans="1:15" s="405" customFormat="1" ht="13.2">
      <c r="A1" s="395" t="s">
        <v>103</v>
      </c>
      <c r="B1" s="396" t="s">
        <v>147</v>
      </c>
      <c r="C1" s="397"/>
      <c r="D1" s="396"/>
      <c r="E1" s="398"/>
      <c r="F1" s="398"/>
      <c r="G1" s="399"/>
      <c r="H1" s="400" t="s">
        <v>104</v>
      </c>
      <c r="I1" s="401">
        <v>210</v>
      </c>
      <c r="J1" s="402"/>
      <c r="K1" s="396"/>
      <c r="L1" s="396"/>
      <c r="M1" s="403"/>
      <c r="N1" s="404"/>
    </row>
    <row r="2" spans="1:15" s="405" customFormat="1" ht="13.2">
      <c r="A2" s="406" t="s">
        <v>105</v>
      </c>
      <c r="B2" s="405" t="s">
        <v>88</v>
      </c>
      <c r="C2" s="408"/>
      <c r="D2" s="407"/>
      <c r="E2" s="409"/>
      <c r="F2" s="409"/>
      <c r="G2" s="410"/>
      <c r="H2" s="411" t="s">
        <v>106</v>
      </c>
      <c r="I2" s="412">
        <v>208</v>
      </c>
      <c r="J2" s="413"/>
      <c r="K2" s="407"/>
      <c r="L2" s="407"/>
      <c r="M2" s="414"/>
      <c r="N2" s="415"/>
    </row>
    <row r="3" spans="1:15" s="421" customFormat="1" ht="11.25" customHeight="1">
      <c r="A3" s="416" t="s">
        <v>107</v>
      </c>
      <c r="B3" s="581">
        <v>45892</v>
      </c>
      <c r="C3" s="408"/>
      <c r="D3" s="409"/>
      <c r="E3" s="409"/>
      <c r="F3" s="409"/>
      <c r="G3" s="410"/>
      <c r="H3" s="417" t="s">
        <v>108</v>
      </c>
      <c r="I3" s="418">
        <f>M39/100</f>
        <v>2.08</v>
      </c>
      <c r="J3" s="413"/>
      <c r="K3" s="407"/>
      <c r="L3" s="407"/>
      <c r="M3" s="419"/>
      <c r="N3" s="420"/>
    </row>
    <row r="4" spans="1:15" s="405" customFormat="1" ht="13.2">
      <c r="A4" s="416" t="s">
        <v>109</v>
      </c>
      <c r="B4" s="407" t="s">
        <v>265</v>
      </c>
      <c r="C4" s="408"/>
      <c r="D4" s="409"/>
      <c r="E4" s="409"/>
      <c r="F4" s="409"/>
      <c r="G4" s="410"/>
      <c r="H4" s="417" t="s">
        <v>110</v>
      </c>
      <c r="I4" s="418">
        <f>J33</f>
        <v>0.55259785073449663</v>
      </c>
      <c r="J4" s="413"/>
      <c r="K4" s="407"/>
      <c r="L4" s="407"/>
      <c r="M4" s="414"/>
      <c r="N4" s="404"/>
    </row>
    <row r="5" spans="1:15" s="425" customFormat="1" ht="13.2">
      <c r="A5" s="406" t="s">
        <v>111</v>
      </c>
      <c r="B5" s="422" t="s">
        <v>112</v>
      </c>
      <c r="C5" s="408"/>
      <c r="D5" s="409"/>
      <c r="E5" s="409"/>
      <c r="F5" s="409"/>
      <c r="G5" s="410"/>
      <c r="H5" s="417" t="s">
        <v>261</v>
      </c>
      <c r="I5" s="1224">
        <f>(I2*I4)/100</f>
        <v>1.1494035295277529</v>
      </c>
      <c r="J5" s="413"/>
      <c r="K5" s="407"/>
      <c r="L5" s="407"/>
      <c r="M5" s="423"/>
      <c r="N5" s="424"/>
    </row>
    <row r="6" spans="1:15" s="424" customFormat="1" ht="13.8" thickBot="1">
      <c r="A6" s="426"/>
      <c r="B6" s="427"/>
      <c r="C6" s="428"/>
      <c r="D6" s="429"/>
      <c r="E6" s="429"/>
      <c r="F6" s="429"/>
      <c r="G6" s="430"/>
      <c r="H6" s="431"/>
      <c r="I6" s="432"/>
      <c r="J6" s="430"/>
      <c r="K6" s="433"/>
      <c r="L6" s="427"/>
      <c r="M6" s="434"/>
    </row>
    <row r="7" spans="1:15" s="425" customFormat="1" ht="13.2" customHeight="1">
      <c r="A7" s="435" t="s">
        <v>113</v>
      </c>
      <c r="B7" s="436"/>
      <c r="C7" s="437"/>
      <c r="D7" s="438"/>
      <c r="E7" s="439" t="s">
        <v>114</v>
      </c>
      <c r="F7" s="436"/>
      <c r="G7" s="440" t="s">
        <v>115</v>
      </c>
      <c r="H7" s="441"/>
      <c r="I7" s="442" t="s">
        <v>116</v>
      </c>
      <c r="J7" s="442"/>
      <c r="K7" s="443"/>
      <c r="L7" s="1412" t="s">
        <v>117</v>
      </c>
      <c r="M7" s="1413"/>
      <c r="N7" s="424"/>
      <c r="O7" s="424"/>
    </row>
    <row r="8" spans="1:15" s="454" customFormat="1" ht="11.25" customHeight="1">
      <c r="A8" s="444"/>
      <c r="B8" s="445"/>
      <c r="C8" s="446"/>
      <c r="D8" s="447"/>
      <c r="E8" s="448"/>
      <c r="F8" s="447"/>
      <c r="G8" s="449"/>
      <c r="H8" s="450"/>
      <c r="I8" s="451"/>
      <c r="J8" s="451"/>
      <c r="K8" s="452"/>
      <c r="L8" s="423"/>
      <c r="M8" s="423"/>
      <c r="N8" s="453"/>
    </row>
    <row r="9" spans="1:15" s="455" customFormat="1">
      <c r="C9" s="456"/>
      <c r="D9" s="457"/>
      <c r="E9" s="448" t="s">
        <v>118</v>
      </c>
      <c r="F9" s="447"/>
      <c r="G9" s="449"/>
      <c r="H9" s="450"/>
      <c r="I9" s="458"/>
      <c r="J9" s="458"/>
      <c r="K9" s="452"/>
      <c r="L9" s="459"/>
      <c r="M9" s="460"/>
      <c r="N9" s="461"/>
      <c r="O9" s="462"/>
    </row>
    <row r="10" spans="1:15" s="455" customFormat="1">
      <c r="A10" s="463" t="s">
        <v>119</v>
      </c>
      <c r="B10" s="464" t="s">
        <v>120</v>
      </c>
      <c r="C10" s="465" t="s">
        <v>121</v>
      </c>
      <c r="D10" s="466" t="s">
        <v>122</v>
      </c>
      <c r="E10" s="467" t="s">
        <v>123</v>
      </c>
      <c r="F10" s="466" t="s">
        <v>124</v>
      </c>
      <c r="G10" s="449" t="s">
        <v>125</v>
      </c>
      <c r="H10" s="450" t="s">
        <v>126</v>
      </c>
      <c r="I10" s="451" t="s">
        <v>126</v>
      </c>
      <c r="J10" s="451" t="s">
        <v>125</v>
      </c>
      <c r="K10" s="468" t="s">
        <v>127</v>
      </c>
      <c r="L10" s="459" t="s">
        <v>128</v>
      </c>
      <c r="M10" s="459" t="s">
        <v>129</v>
      </c>
      <c r="N10" s="469"/>
    </row>
    <row r="11" spans="1:15" s="455" customFormat="1" ht="12" thickBot="1">
      <c r="A11" s="470" t="s">
        <v>130</v>
      </c>
      <c r="B11" s="471" t="s">
        <v>130</v>
      </c>
      <c r="C11" s="472" t="s">
        <v>131</v>
      </c>
      <c r="D11" s="473" t="s">
        <v>132</v>
      </c>
      <c r="E11" s="474" t="s">
        <v>131</v>
      </c>
      <c r="F11" s="473" t="s">
        <v>131</v>
      </c>
      <c r="G11" s="475" t="s">
        <v>133</v>
      </c>
      <c r="H11" s="476" t="s">
        <v>134</v>
      </c>
      <c r="I11" s="477" t="s">
        <v>134</v>
      </c>
      <c r="J11" s="477" t="s">
        <v>133</v>
      </c>
      <c r="K11" s="478"/>
      <c r="L11" s="479"/>
      <c r="M11" s="480" t="s">
        <v>131</v>
      </c>
      <c r="N11" s="469"/>
    </row>
    <row r="12" spans="1:15" s="455" customFormat="1">
      <c r="A12" s="481"/>
      <c r="B12" s="482"/>
      <c r="C12" s="483">
        <v>0</v>
      </c>
      <c r="D12" s="484"/>
      <c r="E12" s="485"/>
      <c r="F12" s="486"/>
      <c r="G12" s="487"/>
      <c r="H12" s="488"/>
      <c r="I12" s="489"/>
      <c r="J12" s="490"/>
      <c r="K12" s="491"/>
      <c r="L12" s="492" t="s">
        <v>135</v>
      </c>
      <c r="M12" s="493">
        <v>208</v>
      </c>
      <c r="N12" s="494"/>
    </row>
    <row r="13" spans="1:15" s="455" customFormat="1">
      <c r="A13" s="481">
        <v>525</v>
      </c>
      <c r="B13" s="482">
        <v>0</v>
      </c>
      <c r="C13" s="483">
        <v>10</v>
      </c>
      <c r="D13" s="484">
        <v>1000</v>
      </c>
      <c r="E13" s="495">
        <f>C12</f>
        <v>0</v>
      </c>
      <c r="F13" s="496">
        <f>(C13+C14-10)/2</f>
        <v>10</v>
      </c>
      <c r="G13" s="497">
        <f t="shared" ref="G13:G33" si="0">(A13-B13)/966</f>
        <v>0.54347826086956519</v>
      </c>
      <c r="H13" s="498">
        <f>(G13*(F13-E13))/100</f>
        <v>5.434782608695652E-2</v>
      </c>
      <c r="I13" s="499">
        <f>SUM(H$13:H13)</f>
        <v>5.434782608695652E-2</v>
      </c>
      <c r="J13" s="500">
        <f t="shared" ref="J13:J33" si="1">I13/F13*100</f>
        <v>0.54347826086956519</v>
      </c>
      <c r="K13" s="491"/>
      <c r="L13" s="501"/>
      <c r="M13" s="503"/>
      <c r="N13" s="969"/>
    </row>
    <row r="14" spans="1:15" s="455" customFormat="1">
      <c r="A14" s="481">
        <v>550</v>
      </c>
      <c r="B14" s="482">
        <v>0</v>
      </c>
      <c r="C14" s="483">
        <v>20</v>
      </c>
      <c r="D14" s="484">
        <v>1000</v>
      </c>
      <c r="E14" s="495">
        <f>(C13+C14-10)/2</f>
        <v>10</v>
      </c>
      <c r="F14" s="496">
        <f t="shared" ref="F14:F32" si="2">(C14+C15-10)/2</f>
        <v>20</v>
      </c>
      <c r="G14" s="497">
        <f t="shared" si="0"/>
        <v>0.56935817805383027</v>
      </c>
      <c r="H14" s="498">
        <f t="shared" ref="H14:H33" si="3">(G14*(F14-E14))/100</f>
        <v>5.6935817805383024E-2</v>
      </c>
      <c r="I14" s="499">
        <f>SUM(H$13:H14)</f>
        <v>0.11128364389233955</v>
      </c>
      <c r="J14" s="500">
        <f t="shared" si="1"/>
        <v>0.55641821946169778</v>
      </c>
      <c r="K14" s="491"/>
      <c r="L14" s="501"/>
      <c r="M14" s="502"/>
      <c r="N14" s="969"/>
    </row>
    <row r="15" spans="1:15" s="455" customFormat="1">
      <c r="A15" s="481">
        <v>535</v>
      </c>
      <c r="B15" s="482">
        <v>0</v>
      </c>
      <c r="C15" s="483">
        <v>30</v>
      </c>
      <c r="D15" s="484">
        <v>1000</v>
      </c>
      <c r="E15" s="495">
        <f>(C14+C15-10)/2</f>
        <v>20</v>
      </c>
      <c r="F15" s="496">
        <f t="shared" si="2"/>
        <v>30</v>
      </c>
      <c r="G15" s="497">
        <f t="shared" si="0"/>
        <v>0.55383022774327118</v>
      </c>
      <c r="H15" s="498">
        <f t="shared" si="3"/>
        <v>5.5383022774327113E-2</v>
      </c>
      <c r="I15" s="499">
        <f>SUM(H$13:H15)</f>
        <v>0.16666666666666666</v>
      </c>
      <c r="J15" s="500">
        <f t="shared" si="1"/>
        <v>0.55555555555555547</v>
      </c>
      <c r="K15" s="491"/>
      <c r="L15" s="501"/>
      <c r="M15" s="502"/>
      <c r="N15" s="969"/>
    </row>
    <row r="16" spans="1:15" s="455" customFormat="1">
      <c r="A16" s="504">
        <v>535</v>
      </c>
      <c r="B16" s="482">
        <v>0</v>
      </c>
      <c r="C16" s="483">
        <v>40</v>
      </c>
      <c r="D16" s="484">
        <v>1000</v>
      </c>
      <c r="E16" s="495">
        <f t="shared" ref="E16:E33" si="4">(C15+C16-10)/2</f>
        <v>30</v>
      </c>
      <c r="F16" s="496">
        <f t="shared" si="2"/>
        <v>40</v>
      </c>
      <c r="G16" s="497">
        <f t="shared" si="0"/>
        <v>0.55383022774327118</v>
      </c>
      <c r="H16" s="498">
        <f t="shared" si="3"/>
        <v>5.5383022774327113E-2</v>
      </c>
      <c r="I16" s="499">
        <f>SUM(H$13:H16)</f>
        <v>0.22204968944099376</v>
      </c>
      <c r="J16" s="500">
        <f t="shared" si="1"/>
        <v>0.55512422360248448</v>
      </c>
      <c r="K16" s="491"/>
      <c r="L16" s="501"/>
      <c r="M16" s="502"/>
      <c r="N16" s="969" t="e">
        <f>AVERAGE(M13:M17)</f>
        <v>#DIV/0!</v>
      </c>
    </row>
    <row r="17" spans="1:16" s="455" customFormat="1">
      <c r="A17" s="504">
        <v>540</v>
      </c>
      <c r="B17" s="482">
        <v>0</v>
      </c>
      <c r="C17" s="483">
        <v>50</v>
      </c>
      <c r="D17" s="484">
        <v>1000</v>
      </c>
      <c r="E17" s="495">
        <f t="shared" si="4"/>
        <v>40</v>
      </c>
      <c r="F17" s="496">
        <f t="shared" si="2"/>
        <v>50</v>
      </c>
      <c r="G17" s="497">
        <f t="shared" si="0"/>
        <v>0.55900621118012417</v>
      </c>
      <c r="H17" s="498">
        <f t="shared" si="3"/>
        <v>5.5900621118012417E-2</v>
      </c>
      <c r="I17" s="499">
        <f>SUM(H$13:H17)</f>
        <v>0.27795031055900621</v>
      </c>
      <c r="J17" s="500">
        <f t="shared" si="1"/>
        <v>0.55590062111801242</v>
      </c>
      <c r="K17" s="505" t="s">
        <v>137</v>
      </c>
      <c r="L17" s="501"/>
      <c r="M17" s="502"/>
      <c r="N17" s="970"/>
    </row>
    <row r="18" spans="1:16" s="455" customFormat="1">
      <c r="A18" s="504">
        <v>525</v>
      </c>
      <c r="B18" s="482">
        <v>0</v>
      </c>
      <c r="C18" s="483">
        <v>60</v>
      </c>
      <c r="D18" s="484">
        <v>1000</v>
      </c>
      <c r="E18" s="495">
        <f t="shared" si="4"/>
        <v>50</v>
      </c>
      <c r="F18" s="496">
        <f t="shared" si="2"/>
        <v>60</v>
      </c>
      <c r="G18" s="497">
        <f t="shared" si="0"/>
        <v>0.54347826086956519</v>
      </c>
      <c r="H18" s="498">
        <f t="shared" si="3"/>
        <v>5.434782608695652E-2</v>
      </c>
      <c r="I18" s="499">
        <f>SUM(H$13:H18)</f>
        <v>0.33229813664596275</v>
      </c>
      <c r="J18" s="500">
        <f t="shared" si="1"/>
        <v>0.55383022774327129</v>
      </c>
      <c r="K18" s="506"/>
      <c r="L18" s="501"/>
      <c r="M18" s="502"/>
      <c r="N18" s="970"/>
    </row>
    <row r="19" spans="1:16" s="455" customFormat="1" ht="10.199999999999999" customHeight="1">
      <c r="A19" s="504">
        <v>530</v>
      </c>
      <c r="B19" s="482">
        <v>0</v>
      </c>
      <c r="C19" s="483">
        <v>70</v>
      </c>
      <c r="D19" s="484">
        <v>1000</v>
      </c>
      <c r="E19" s="495">
        <f t="shared" si="4"/>
        <v>60</v>
      </c>
      <c r="F19" s="496">
        <f t="shared" si="2"/>
        <v>70</v>
      </c>
      <c r="G19" s="497">
        <f t="shared" si="0"/>
        <v>0.54865424430641818</v>
      </c>
      <c r="H19" s="498">
        <f t="shared" si="3"/>
        <v>5.4865424430641817E-2</v>
      </c>
      <c r="I19" s="499">
        <f>SUM(H$13:H19)</f>
        <v>0.38716356107660455</v>
      </c>
      <c r="J19" s="500">
        <f t="shared" si="1"/>
        <v>0.55309080153800649</v>
      </c>
      <c r="K19" s="506"/>
      <c r="L19" s="501"/>
      <c r="M19" s="502"/>
      <c r="N19" s="971"/>
    </row>
    <row r="20" spans="1:16" s="455" customFormat="1">
      <c r="A20" s="504">
        <v>550</v>
      </c>
      <c r="B20" s="482">
        <v>0</v>
      </c>
      <c r="C20" s="483">
        <v>80</v>
      </c>
      <c r="D20" s="484">
        <v>1000</v>
      </c>
      <c r="E20" s="495">
        <f t="shared" si="4"/>
        <v>70</v>
      </c>
      <c r="F20" s="496">
        <f t="shared" si="2"/>
        <v>80</v>
      </c>
      <c r="G20" s="497">
        <f t="shared" si="0"/>
        <v>0.56935817805383027</v>
      </c>
      <c r="H20" s="498">
        <f t="shared" si="3"/>
        <v>5.6935817805383024E-2</v>
      </c>
      <c r="I20" s="499">
        <f>SUM(H$13:H20)</f>
        <v>0.44409937888198758</v>
      </c>
      <c r="J20" s="500">
        <f t="shared" si="1"/>
        <v>0.55512422360248448</v>
      </c>
      <c r="K20" s="491"/>
      <c r="L20" s="501"/>
      <c r="M20" s="511"/>
      <c r="N20" s="972"/>
    </row>
    <row r="21" spans="1:16" s="510" customFormat="1">
      <c r="A21" s="504">
        <v>515</v>
      </c>
      <c r="B21" s="482">
        <v>0</v>
      </c>
      <c r="C21" s="483">
        <v>90</v>
      </c>
      <c r="D21" s="484">
        <v>1000</v>
      </c>
      <c r="E21" s="495">
        <f t="shared" si="4"/>
        <v>80</v>
      </c>
      <c r="F21" s="496">
        <f t="shared" si="2"/>
        <v>90</v>
      </c>
      <c r="G21" s="497">
        <f t="shared" si="0"/>
        <v>0.5331262939958592</v>
      </c>
      <c r="H21" s="498">
        <f t="shared" si="3"/>
        <v>5.3312629399585913E-2</v>
      </c>
      <c r="I21" s="499">
        <f>SUM(H$13:H21)</f>
        <v>0.4974120082815735</v>
      </c>
      <c r="J21" s="500">
        <f t="shared" si="1"/>
        <v>0.55268000920174831</v>
      </c>
      <c r="K21" s="509"/>
      <c r="L21" s="501"/>
      <c r="M21" s="513"/>
      <c r="N21" s="972"/>
    </row>
    <row r="22" spans="1:16" s="510" customFormat="1">
      <c r="A22" s="504">
        <v>520</v>
      </c>
      <c r="B22" s="482">
        <v>0</v>
      </c>
      <c r="C22" s="483">
        <v>100</v>
      </c>
      <c r="D22" s="484">
        <v>1000</v>
      </c>
      <c r="E22" s="495">
        <f t="shared" si="4"/>
        <v>90</v>
      </c>
      <c r="F22" s="496">
        <f t="shared" si="2"/>
        <v>100</v>
      </c>
      <c r="G22" s="497">
        <f t="shared" si="0"/>
        <v>0.5383022774327122</v>
      </c>
      <c r="H22" s="498">
        <f t="shared" si="3"/>
        <v>5.3830227743271217E-2</v>
      </c>
      <c r="I22" s="499">
        <f>SUM(H$13:H22)</f>
        <v>0.55124223602484468</v>
      </c>
      <c r="J22" s="500">
        <f t="shared" si="1"/>
        <v>0.55124223602484468</v>
      </c>
      <c r="K22" s="491"/>
      <c r="L22" s="501"/>
      <c r="M22" s="513"/>
      <c r="N22" s="972"/>
    </row>
    <row r="23" spans="1:16" s="510" customFormat="1">
      <c r="A23" s="504">
        <v>525</v>
      </c>
      <c r="B23" s="482">
        <v>0</v>
      </c>
      <c r="C23" s="483">
        <v>110</v>
      </c>
      <c r="D23" s="484">
        <v>1000</v>
      </c>
      <c r="E23" s="495">
        <f t="shared" si="4"/>
        <v>100</v>
      </c>
      <c r="F23" s="496">
        <f t="shared" si="2"/>
        <v>110</v>
      </c>
      <c r="G23" s="497">
        <f t="shared" si="0"/>
        <v>0.54347826086956519</v>
      </c>
      <c r="H23" s="498">
        <f t="shared" si="3"/>
        <v>5.434782608695652E-2</v>
      </c>
      <c r="I23" s="499">
        <f>SUM(H$13:H23)</f>
        <v>0.60559006211180122</v>
      </c>
      <c r="J23" s="500">
        <f t="shared" si="1"/>
        <v>0.5505364201016375</v>
      </c>
      <c r="K23" s="512"/>
      <c r="L23" s="501"/>
      <c r="M23" s="513"/>
      <c r="N23" s="973"/>
    </row>
    <row r="24" spans="1:16" s="510" customFormat="1">
      <c r="A24" s="504">
        <v>540</v>
      </c>
      <c r="B24" s="482">
        <v>0</v>
      </c>
      <c r="C24" s="483">
        <v>120</v>
      </c>
      <c r="D24" s="484">
        <v>1000</v>
      </c>
      <c r="E24" s="495">
        <f t="shared" si="4"/>
        <v>110</v>
      </c>
      <c r="F24" s="496">
        <f t="shared" si="2"/>
        <v>120</v>
      </c>
      <c r="G24" s="497">
        <f t="shared" si="0"/>
        <v>0.55900621118012417</v>
      </c>
      <c r="H24" s="498">
        <f t="shared" si="3"/>
        <v>5.5900621118012417E-2</v>
      </c>
      <c r="I24" s="499">
        <f>SUM(H$13:H24)</f>
        <v>0.66149068322981364</v>
      </c>
      <c r="J24" s="500">
        <f t="shared" si="1"/>
        <v>0.55124223602484468</v>
      </c>
      <c r="K24" s="515"/>
      <c r="L24" s="501"/>
      <c r="M24" s="502"/>
      <c r="N24" s="973"/>
    </row>
    <row r="25" spans="1:16" s="510" customFormat="1">
      <c r="A25" s="504">
        <v>540</v>
      </c>
      <c r="B25" s="482">
        <v>0</v>
      </c>
      <c r="C25" s="483">
        <v>130</v>
      </c>
      <c r="D25" s="484">
        <v>1000</v>
      </c>
      <c r="E25" s="495">
        <f t="shared" si="4"/>
        <v>120</v>
      </c>
      <c r="F25" s="496">
        <f t="shared" si="2"/>
        <v>130</v>
      </c>
      <c r="G25" s="497">
        <f t="shared" si="0"/>
        <v>0.55900621118012417</v>
      </c>
      <c r="H25" s="498">
        <f t="shared" si="3"/>
        <v>5.5900621118012417E-2</v>
      </c>
      <c r="I25" s="499">
        <f>SUM(H$13:H25)</f>
        <v>0.71739130434782605</v>
      </c>
      <c r="J25" s="500">
        <f t="shared" si="1"/>
        <v>0.55183946488294311</v>
      </c>
      <c r="K25" s="515"/>
      <c r="L25" s="501"/>
      <c r="M25" s="502"/>
      <c r="N25" s="973"/>
    </row>
    <row r="26" spans="1:16" s="510" customFormat="1">
      <c r="A26" s="504">
        <v>525</v>
      </c>
      <c r="B26" s="482">
        <v>0</v>
      </c>
      <c r="C26" s="483">
        <v>140</v>
      </c>
      <c r="D26" s="484">
        <v>1000</v>
      </c>
      <c r="E26" s="495">
        <f t="shared" si="4"/>
        <v>130</v>
      </c>
      <c r="F26" s="496">
        <f t="shared" si="2"/>
        <v>140</v>
      </c>
      <c r="G26" s="497">
        <f t="shared" si="0"/>
        <v>0.54347826086956519</v>
      </c>
      <c r="H26" s="498">
        <f t="shared" si="3"/>
        <v>5.434782608695652E-2</v>
      </c>
      <c r="I26" s="499">
        <f>SUM(H$13:H26)</f>
        <v>0.77173913043478259</v>
      </c>
      <c r="J26" s="500">
        <f t="shared" si="1"/>
        <v>0.55124223602484468</v>
      </c>
      <c r="K26" s="515"/>
      <c r="L26" s="501"/>
      <c r="M26" s="502"/>
      <c r="N26" s="973"/>
    </row>
    <row r="27" spans="1:16" s="510" customFormat="1">
      <c r="A27" s="504">
        <v>535</v>
      </c>
      <c r="B27" s="482">
        <v>0</v>
      </c>
      <c r="C27" s="483">
        <v>150</v>
      </c>
      <c r="D27" s="484">
        <v>1000</v>
      </c>
      <c r="E27" s="495">
        <f t="shared" si="4"/>
        <v>140</v>
      </c>
      <c r="F27" s="496">
        <f t="shared" si="2"/>
        <v>150</v>
      </c>
      <c r="G27" s="497">
        <f t="shared" si="0"/>
        <v>0.55383022774327118</v>
      </c>
      <c r="H27" s="498">
        <f t="shared" si="3"/>
        <v>5.5383022774327113E-2</v>
      </c>
      <c r="I27" s="499">
        <f>SUM(H$13:H27)</f>
        <v>0.82712215320910976</v>
      </c>
      <c r="J27" s="500">
        <f t="shared" si="1"/>
        <v>0.5514147688060731</v>
      </c>
      <c r="K27" s="515"/>
      <c r="L27" s="501"/>
      <c r="M27" s="502"/>
      <c r="N27" s="973"/>
    </row>
    <row r="28" spans="1:16" s="510" customFormat="1">
      <c r="A28" s="504">
        <v>495</v>
      </c>
      <c r="B28" s="482">
        <v>0</v>
      </c>
      <c r="C28" s="483">
        <v>160</v>
      </c>
      <c r="D28" s="484">
        <v>1000</v>
      </c>
      <c r="E28" s="495">
        <f t="shared" si="4"/>
        <v>150</v>
      </c>
      <c r="F28" s="496">
        <f t="shared" si="2"/>
        <v>160</v>
      </c>
      <c r="G28" s="497">
        <f t="shared" si="0"/>
        <v>0.51242236024844723</v>
      </c>
      <c r="H28" s="498">
        <f t="shared" si="3"/>
        <v>5.124223602484472E-2</v>
      </c>
      <c r="I28" s="499">
        <f>SUM(H$13:H28)</f>
        <v>0.87836438923395443</v>
      </c>
      <c r="J28" s="500">
        <f t="shared" si="1"/>
        <v>0.54897774327122151</v>
      </c>
      <c r="K28" s="515"/>
      <c r="L28" s="501"/>
      <c r="M28" s="502"/>
      <c r="N28" s="973"/>
    </row>
    <row r="29" spans="1:16">
      <c r="A29" s="504">
        <v>530</v>
      </c>
      <c r="B29" s="482">
        <v>0</v>
      </c>
      <c r="C29" s="483">
        <v>170</v>
      </c>
      <c r="D29" s="484">
        <v>1000</v>
      </c>
      <c r="E29" s="495">
        <f t="shared" si="4"/>
        <v>160</v>
      </c>
      <c r="F29" s="496">
        <f t="shared" si="2"/>
        <v>170</v>
      </c>
      <c r="G29" s="497">
        <f t="shared" si="0"/>
        <v>0.54865424430641818</v>
      </c>
      <c r="H29" s="498">
        <f t="shared" si="3"/>
        <v>5.4865424430641817E-2</v>
      </c>
      <c r="I29" s="499">
        <f>SUM(H$13:H29)</f>
        <v>0.93322981366459623</v>
      </c>
      <c r="J29" s="500">
        <f t="shared" si="1"/>
        <v>0.54895871392035067</v>
      </c>
      <c r="K29" s="515"/>
      <c r="L29" s="501"/>
      <c r="M29" s="502"/>
      <c r="N29" s="454"/>
      <c r="O29" s="510"/>
      <c r="P29" s="510"/>
    </row>
    <row r="30" spans="1:16">
      <c r="A30" s="504">
        <v>550</v>
      </c>
      <c r="B30" s="482">
        <v>0</v>
      </c>
      <c r="C30" s="483">
        <v>180</v>
      </c>
      <c r="D30" s="484">
        <v>1000</v>
      </c>
      <c r="E30" s="495">
        <f t="shared" si="4"/>
        <v>170</v>
      </c>
      <c r="F30" s="496">
        <f t="shared" si="2"/>
        <v>180</v>
      </c>
      <c r="G30" s="497">
        <f t="shared" si="0"/>
        <v>0.56935817805383027</v>
      </c>
      <c r="H30" s="498">
        <f t="shared" si="3"/>
        <v>5.6935817805383024E-2</v>
      </c>
      <c r="I30" s="499">
        <f>SUM(H$13:H30)</f>
        <v>0.99016563146997927</v>
      </c>
      <c r="J30" s="500">
        <f t="shared" si="1"/>
        <v>0.55009201748332182</v>
      </c>
      <c r="K30" s="515"/>
      <c r="L30" s="501"/>
      <c r="M30" s="502"/>
      <c r="N30" s="973"/>
      <c r="O30" s="510"/>
      <c r="P30" s="510"/>
    </row>
    <row r="31" spans="1:16">
      <c r="A31" s="504">
        <v>555</v>
      </c>
      <c r="B31" s="482">
        <v>0</v>
      </c>
      <c r="C31" s="483">
        <v>190</v>
      </c>
      <c r="D31" s="484">
        <v>1000</v>
      </c>
      <c r="E31" s="495">
        <f t="shared" si="4"/>
        <v>180</v>
      </c>
      <c r="F31" s="496">
        <f t="shared" si="2"/>
        <v>190</v>
      </c>
      <c r="G31" s="497">
        <f t="shared" si="0"/>
        <v>0.57453416149068326</v>
      </c>
      <c r="H31" s="498">
        <f t="shared" si="3"/>
        <v>5.7453416149068327E-2</v>
      </c>
      <c r="I31" s="499">
        <f>SUM(H$13:H31)</f>
        <v>1.0476190476190477</v>
      </c>
      <c r="J31" s="500">
        <f t="shared" si="1"/>
        <v>0.55137844611528819</v>
      </c>
      <c r="K31" s="515"/>
      <c r="L31" s="501"/>
      <c r="M31" s="502"/>
      <c r="N31" s="973" t="e">
        <f>AVERAGE(M27:M30)</f>
        <v>#DIV/0!</v>
      </c>
      <c r="O31" s="510"/>
      <c r="P31" s="510"/>
    </row>
    <row r="32" spans="1:16">
      <c r="A32" s="504">
        <v>555</v>
      </c>
      <c r="B32" s="482">
        <v>0</v>
      </c>
      <c r="C32" s="483">
        <v>200</v>
      </c>
      <c r="D32" s="484">
        <v>1000</v>
      </c>
      <c r="E32" s="495">
        <f t="shared" si="4"/>
        <v>190</v>
      </c>
      <c r="F32" s="496">
        <f t="shared" si="2"/>
        <v>200</v>
      </c>
      <c r="G32" s="497">
        <f t="shared" si="0"/>
        <v>0.57453416149068326</v>
      </c>
      <c r="H32" s="498">
        <f t="shared" si="3"/>
        <v>5.7453416149068327E-2</v>
      </c>
      <c r="I32" s="499">
        <f>SUM(H$13:H32)</f>
        <v>1.105072463768116</v>
      </c>
      <c r="J32" s="500">
        <f t="shared" si="1"/>
        <v>0.55253623188405798</v>
      </c>
      <c r="K32" s="517"/>
      <c r="L32" s="501"/>
      <c r="M32" s="502"/>
      <c r="N32" s="514"/>
      <c r="O32" s="510"/>
      <c r="P32" s="510"/>
    </row>
    <row r="33" spans="1:17">
      <c r="A33" s="504">
        <v>535</v>
      </c>
      <c r="B33" s="482">
        <v>0</v>
      </c>
      <c r="C33" s="483">
        <v>210</v>
      </c>
      <c r="D33" s="484">
        <v>1000</v>
      </c>
      <c r="E33" s="495">
        <f t="shared" si="4"/>
        <v>200</v>
      </c>
      <c r="F33" s="496">
        <v>210</v>
      </c>
      <c r="G33" s="497">
        <f t="shared" si="0"/>
        <v>0.55383022774327118</v>
      </c>
      <c r="H33" s="498">
        <f t="shared" si="3"/>
        <v>5.5383022774327113E-2</v>
      </c>
      <c r="I33" s="499">
        <f>SUM(H$13:H33)</f>
        <v>1.160455486542443</v>
      </c>
      <c r="J33" s="500">
        <f t="shared" si="1"/>
        <v>0.55259785073449663</v>
      </c>
      <c r="K33" s="517" t="s">
        <v>274</v>
      </c>
      <c r="L33" s="501"/>
      <c r="M33" s="502"/>
      <c r="N33" s="514"/>
      <c r="O33" s="510"/>
      <c r="P33" s="510"/>
    </row>
    <row r="34" spans="1:17">
      <c r="A34" s="504"/>
      <c r="B34" s="482"/>
      <c r="C34" s="483"/>
      <c r="D34" s="484"/>
      <c r="E34" s="495"/>
      <c r="F34" s="496"/>
      <c r="G34" s="497"/>
      <c r="H34" s="498"/>
      <c r="I34" s="499"/>
      <c r="J34" s="500"/>
      <c r="K34" s="517"/>
      <c r="L34" s="501"/>
      <c r="M34" s="502"/>
      <c r="N34" s="518"/>
      <c r="O34" s="516"/>
      <c r="P34" s="516"/>
    </row>
    <row r="35" spans="1:17">
      <c r="A35" s="504"/>
      <c r="B35" s="482"/>
      <c r="C35" s="483"/>
      <c r="D35" s="484"/>
      <c r="E35" s="495"/>
      <c r="F35" s="496"/>
      <c r="G35" s="497"/>
      <c r="H35" s="498"/>
      <c r="I35" s="499"/>
      <c r="J35" s="500"/>
      <c r="K35" s="517"/>
      <c r="L35" s="501"/>
      <c r="M35" s="502"/>
      <c r="N35" s="519"/>
      <c r="O35" s="520"/>
      <c r="P35" s="521"/>
      <c r="Q35" s="520"/>
    </row>
    <row r="36" spans="1:17">
      <c r="A36" s="504"/>
      <c r="B36" s="482"/>
      <c r="C36" s="483"/>
      <c r="D36" s="484"/>
      <c r="E36" s="495"/>
      <c r="F36" s="496"/>
      <c r="G36" s="497"/>
      <c r="H36" s="498"/>
      <c r="I36" s="499"/>
      <c r="J36" s="500"/>
      <c r="K36" s="517"/>
      <c r="L36" s="501"/>
      <c r="M36" s="502"/>
      <c r="N36" s="519"/>
      <c r="O36" s="520"/>
      <c r="P36" s="522"/>
      <c r="Q36" s="520"/>
    </row>
    <row r="37" spans="1:17">
      <c r="A37" s="504"/>
      <c r="B37" s="482"/>
      <c r="C37" s="483"/>
      <c r="D37" s="484"/>
      <c r="E37" s="495"/>
      <c r="F37" s="496"/>
      <c r="G37" s="497"/>
      <c r="H37" s="498"/>
      <c r="I37" s="499"/>
      <c r="J37" s="500"/>
      <c r="K37" s="517"/>
      <c r="L37" s="501"/>
      <c r="M37" s="502"/>
      <c r="N37" s="523"/>
      <c r="O37" s="520"/>
      <c r="P37" s="520"/>
      <c r="Q37" s="520"/>
    </row>
    <row r="38" spans="1:17" ht="10.8" thickBot="1">
      <c r="A38" s="504"/>
      <c r="B38" s="482"/>
      <c r="C38" s="483"/>
      <c r="D38" s="484"/>
      <c r="E38" s="495"/>
      <c r="F38" s="496"/>
      <c r="G38" s="497"/>
      <c r="H38" s="498"/>
      <c r="I38" s="499"/>
      <c r="J38" s="500"/>
      <c r="K38" s="517"/>
      <c r="L38" s="501"/>
      <c r="M38" s="526"/>
      <c r="N38" s="524"/>
      <c r="O38" s="525"/>
      <c r="P38" s="516"/>
    </row>
    <row r="39" spans="1:17">
      <c r="A39" s="504"/>
      <c r="B39" s="482"/>
      <c r="C39" s="483"/>
      <c r="D39" s="484"/>
      <c r="E39" s="495"/>
      <c r="F39" s="496"/>
      <c r="G39" s="497"/>
      <c r="H39" s="498"/>
      <c r="I39" s="499"/>
      <c r="J39" s="500"/>
      <c r="K39" s="517"/>
      <c r="L39" s="527" t="s">
        <v>138</v>
      </c>
      <c r="M39" s="528">
        <f>AVERAGE(M12,M18:M26)</f>
        <v>208</v>
      </c>
      <c r="N39" s="525"/>
      <c r="O39" s="525"/>
      <c r="P39" s="516"/>
    </row>
    <row r="40" spans="1:17">
      <c r="A40" s="504"/>
      <c r="B40" s="482"/>
      <c r="C40" s="483"/>
      <c r="D40" s="484"/>
      <c r="E40" s="495"/>
      <c r="F40" s="496"/>
      <c r="G40" s="497"/>
      <c r="H40" s="498"/>
      <c r="I40" s="499"/>
      <c r="J40" s="500"/>
      <c r="K40" s="517"/>
      <c r="L40" s="404" t="s">
        <v>139</v>
      </c>
      <c r="M40" s="526" t="e">
        <f>STDEV(M12:M38)</f>
        <v>#DIV/0!</v>
      </c>
      <c r="O40" s="516"/>
      <c r="P40" s="516"/>
    </row>
    <row r="41" spans="1:17">
      <c r="A41" s="529" t="s">
        <v>140</v>
      </c>
      <c r="B41" s="530"/>
      <c r="C41" s="531"/>
      <c r="D41" s="532"/>
      <c r="E41" s="533"/>
      <c r="F41" s="534"/>
      <c r="G41" s="535"/>
      <c r="H41" s="536"/>
      <c r="I41" s="537"/>
      <c r="J41" s="538"/>
      <c r="K41" s="539"/>
      <c r="L41" s="404" t="s">
        <v>141</v>
      </c>
      <c r="M41" s="526" t="e">
        <f>M40/SQRT(COUNT(M12:M37))</f>
        <v>#DIV/0!</v>
      </c>
      <c r="O41" s="516"/>
      <c r="P41" s="516"/>
    </row>
    <row r="42" spans="1:17">
      <c r="A42" s="540"/>
      <c r="B42" s="541"/>
      <c r="C42" s="542"/>
      <c r="D42" s="543"/>
      <c r="E42" s="544"/>
      <c r="F42" s="545"/>
      <c r="G42" s="546"/>
      <c r="H42" s="547"/>
      <c r="I42" s="548"/>
      <c r="J42" s="549"/>
      <c r="K42" s="550"/>
      <c r="L42" s="404" t="s">
        <v>142</v>
      </c>
      <c r="M42" s="526">
        <f>MAX(M12:M37)</f>
        <v>208</v>
      </c>
      <c r="O42" s="516"/>
      <c r="P42" s="516"/>
    </row>
    <row r="43" spans="1:17" ht="10.8" thickBot="1">
      <c r="A43" s="551"/>
      <c r="B43" s="552"/>
      <c r="C43" s="553"/>
      <c r="D43" s="554"/>
      <c r="E43" s="555"/>
      <c r="F43" s="556"/>
      <c r="G43" s="557"/>
      <c r="H43" s="558"/>
      <c r="I43" s="559"/>
      <c r="J43" s="560"/>
      <c r="K43" s="561"/>
      <c r="L43" s="562" t="s">
        <v>143</v>
      </c>
      <c r="M43" s="563">
        <f>MIN(M12:M37)</f>
        <v>208</v>
      </c>
      <c r="O43" s="516"/>
      <c r="P43" s="516"/>
    </row>
    <row r="44" spans="1:17">
      <c r="A44" s="564"/>
      <c r="B44" s="564"/>
      <c r="C44" s="565"/>
      <c r="D44" s="566"/>
      <c r="E44" s="566"/>
      <c r="F44" s="566"/>
      <c r="G44" s="567"/>
      <c r="H44" s="568"/>
      <c r="I44" s="569"/>
      <c r="J44" s="570"/>
      <c r="K44" s="571"/>
      <c r="L44" s="572"/>
      <c r="M44" s="458"/>
      <c r="O44" s="516"/>
      <c r="P44" s="516"/>
    </row>
    <row r="45" spans="1:17">
      <c r="A45" s="458"/>
      <c r="B45" s="458"/>
      <c r="C45" s="573"/>
      <c r="D45" s="573"/>
      <c r="E45" s="573"/>
      <c r="F45" s="573"/>
      <c r="G45" s="569"/>
      <c r="H45" s="568"/>
      <c r="I45" s="569"/>
      <c r="J45" s="570"/>
      <c r="K45" s="574"/>
      <c r="L45" s="572"/>
      <c r="M45" s="458"/>
      <c r="O45" s="516"/>
      <c r="P45" s="516"/>
    </row>
    <row r="46" spans="1:17">
      <c r="A46" s="575"/>
      <c r="B46" s="575"/>
      <c r="C46" s="575"/>
      <c r="D46" s="575"/>
      <c r="E46" s="570"/>
      <c r="F46" s="576"/>
      <c r="G46" s="458"/>
      <c r="H46" s="516"/>
      <c r="I46" s="458"/>
      <c r="J46" s="516"/>
      <c r="K46" s="516"/>
      <c r="L46" s="458"/>
      <c r="M46" s="458"/>
      <c r="O46" s="516"/>
      <c r="P46" s="516"/>
    </row>
    <row r="47" spans="1:17">
      <c r="A47" s="577"/>
      <c r="B47" s="577"/>
      <c r="C47" s="575"/>
      <c r="D47" s="575"/>
      <c r="E47" s="570"/>
      <c r="F47" s="576"/>
      <c r="G47" s="516"/>
      <c r="H47" s="516"/>
      <c r="I47" s="458"/>
      <c r="J47" s="516"/>
      <c r="K47" s="516"/>
      <c r="L47" s="458"/>
      <c r="M47" s="458"/>
      <c r="O47" s="516"/>
      <c r="P47" s="516"/>
    </row>
    <row r="48" spans="1:17">
      <c r="A48" s="451"/>
      <c r="B48" s="451"/>
      <c r="C48" s="575"/>
      <c r="D48" s="575"/>
      <c r="E48" s="570"/>
      <c r="F48" s="576"/>
      <c r="G48" s="516"/>
      <c r="H48" s="516"/>
      <c r="I48" s="458"/>
      <c r="J48" s="516"/>
      <c r="K48" s="516"/>
      <c r="L48" s="458"/>
      <c r="M48" s="458"/>
      <c r="O48" s="516"/>
      <c r="P48" s="516"/>
    </row>
    <row r="49" spans="1:17">
      <c r="A49" s="575"/>
      <c r="B49" s="575"/>
      <c r="C49" s="575"/>
      <c r="D49" s="575"/>
      <c r="E49" s="570"/>
      <c r="F49" s="576"/>
      <c r="G49" s="516"/>
      <c r="H49" s="516"/>
      <c r="I49" s="458"/>
      <c r="J49" s="516"/>
      <c r="K49" s="516"/>
      <c r="L49" s="458"/>
      <c r="M49" s="458"/>
      <c r="O49" s="516"/>
      <c r="P49" s="516"/>
    </row>
    <row r="50" spans="1:17">
      <c r="A50" s="575"/>
      <c r="B50" s="575"/>
      <c r="C50" s="575"/>
      <c r="D50" s="575"/>
      <c r="E50" s="570"/>
      <c r="F50" s="576"/>
      <c r="G50" s="516"/>
      <c r="H50" s="516"/>
      <c r="I50" s="458"/>
      <c r="J50" s="569"/>
      <c r="K50" s="516"/>
      <c r="L50" s="458"/>
      <c r="M50" s="458"/>
      <c r="O50" s="516"/>
      <c r="P50" s="516"/>
    </row>
    <row r="51" spans="1:17">
      <c r="A51" s="575"/>
      <c r="B51" s="575"/>
      <c r="C51" s="575"/>
      <c r="D51" s="575"/>
      <c r="E51" s="570"/>
      <c r="F51" s="576"/>
      <c r="G51" s="516"/>
      <c r="H51" s="516"/>
      <c r="I51" s="458"/>
      <c r="J51" s="569"/>
      <c r="K51" s="516"/>
      <c r="L51" s="458"/>
      <c r="M51" s="458"/>
      <c r="O51" s="516"/>
      <c r="P51" s="516"/>
    </row>
    <row r="52" spans="1:17">
      <c r="A52" s="575"/>
      <c r="B52" s="575"/>
      <c r="C52" s="575"/>
      <c r="D52" s="575"/>
      <c r="E52" s="570"/>
      <c r="F52" s="576"/>
      <c r="G52" s="516"/>
      <c r="H52" s="516"/>
      <c r="I52" s="458"/>
      <c r="J52" s="516"/>
      <c r="K52" s="516"/>
      <c r="L52" s="458"/>
      <c r="M52" s="458"/>
      <c r="O52" s="516"/>
      <c r="P52" s="516"/>
    </row>
    <row r="53" spans="1:17">
      <c r="A53" s="575"/>
      <c r="B53" s="575"/>
      <c r="C53" s="575"/>
      <c r="D53" s="575"/>
      <c r="E53" s="570"/>
      <c r="F53" s="576"/>
      <c r="G53" s="516"/>
      <c r="H53" s="516"/>
      <c r="I53" s="458"/>
      <c r="J53" s="516"/>
      <c r="K53" s="516"/>
      <c r="L53" s="458"/>
      <c r="M53" s="458"/>
      <c r="O53" s="516"/>
      <c r="P53" s="516"/>
    </row>
    <row r="54" spans="1:17">
      <c r="A54" s="575"/>
      <c r="B54" s="575"/>
      <c r="C54" s="575"/>
      <c r="D54" s="575"/>
      <c r="E54" s="570"/>
      <c r="F54" s="576"/>
      <c r="G54" s="516"/>
      <c r="H54" s="516"/>
      <c r="I54" s="458"/>
      <c r="J54" s="516"/>
      <c r="K54" s="516"/>
      <c r="L54" s="458"/>
      <c r="M54" s="458"/>
      <c r="N54" s="458"/>
      <c r="P54" s="516"/>
    </row>
    <row r="55" spans="1:17">
      <c r="A55" s="575"/>
      <c r="B55" s="575"/>
      <c r="C55" s="575"/>
      <c r="D55" s="575"/>
      <c r="E55" s="570"/>
      <c r="F55" s="576"/>
      <c r="G55" s="516"/>
      <c r="H55" s="516"/>
      <c r="I55" s="458"/>
      <c r="J55" s="516"/>
      <c r="K55" s="516"/>
      <c r="L55" s="458"/>
      <c r="M55" s="458"/>
      <c r="N55" s="524"/>
      <c r="Q55" s="458"/>
    </row>
    <row r="56" spans="1:17">
      <c r="A56" s="575"/>
      <c r="B56" s="575"/>
      <c r="C56" s="575"/>
      <c r="D56" s="575"/>
      <c r="E56" s="570"/>
      <c r="F56" s="576"/>
      <c r="G56" s="516"/>
      <c r="H56" s="516"/>
      <c r="I56" s="458"/>
      <c r="J56" s="516"/>
      <c r="K56" s="516"/>
      <c r="L56" s="458"/>
      <c r="M56" s="458"/>
      <c r="N56" s="524"/>
      <c r="O56" s="516"/>
      <c r="P56" s="516"/>
    </row>
    <row r="57" spans="1:17">
      <c r="A57" s="575"/>
      <c r="B57" s="575"/>
      <c r="C57" s="575"/>
      <c r="D57" s="575"/>
      <c r="E57" s="570"/>
      <c r="F57" s="576"/>
      <c r="G57" s="516"/>
      <c r="H57" s="516"/>
      <c r="I57" s="458"/>
      <c r="J57" s="516"/>
      <c r="K57" s="516"/>
      <c r="L57" s="458"/>
      <c r="N57" s="458"/>
      <c r="O57" s="516"/>
      <c r="P57" s="516"/>
    </row>
    <row r="58" spans="1:17">
      <c r="A58" s="575"/>
      <c r="B58" s="575"/>
      <c r="C58" s="575"/>
      <c r="D58" s="575"/>
      <c r="E58" s="570"/>
      <c r="F58" s="576"/>
      <c r="G58" s="516"/>
      <c r="H58" s="516"/>
      <c r="I58" s="458"/>
      <c r="J58" s="516"/>
      <c r="K58" s="516"/>
      <c r="L58" s="458"/>
      <c r="O58" s="516"/>
      <c r="P58" s="516"/>
    </row>
    <row r="59" spans="1:17">
      <c r="A59" s="575"/>
      <c r="B59" s="575"/>
      <c r="C59" s="575"/>
      <c r="D59" s="575"/>
      <c r="E59" s="570"/>
      <c r="F59" s="576"/>
      <c r="G59" s="516"/>
      <c r="H59" s="516"/>
      <c r="I59" s="458"/>
      <c r="J59" s="516"/>
      <c r="K59" s="516"/>
      <c r="L59" s="516"/>
      <c r="O59" s="516"/>
      <c r="P59" s="516"/>
    </row>
    <row r="60" spans="1:17">
      <c r="A60" s="575"/>
      <c r="B60" s="575"/>
      <c r="C60" s="575"/>
      <c r="D60" s="575"/>
      <c r="E60" s="570"/>
      <c r="F60" s="576"/>
      <c r="G60" s="516"/>
      <c r="H60" s="516"/>
      <c r="I60" s="458"/>
      <c r="J60" s="516"/>
      <c r="K60" s="516"/>
      <c r="L60" s="516"/>
      <c r="O60" s="516"/>
      <c r="P60" s="516"/>
    </row>
    <row r="61" spans="1:17">
      <c r="A61" s="575"/>
      <c r="B61" s="575"/>
      <c r="C61" s="575"/>
      <c r="D61" s="575"/>
      <c r="E61" s="570"/>
      <c r="F61" s="576"/>
      <c r="G61" s="516"/>
      <c r="H61" s="516"/>
      <c r="I61" s="458"/>
      <c r="J61" s="516"/>
      <c r="K61" s="516"/>
      <c r="L61" s="516"/>
      <c r="O61" s="516"/>
      <c r="P61" s="516"/>
    </row>
    <row r="62" spans="1:17">
      <c r="A62" s="575"/>
      <c r="B62" s="575"/>
      <c r="C62" s="575"/>
      <c r="D62" s="575"/>
      <c r="E62" s="570"/>
      <c r="F62" s="576"/>
      <c r="G62" s="516"/>
      <c r="H62" s="516"/>
      <c r="I62" s="458"/>
      <c r="J62" s="516"/>
      <c r="K62" s="516"/>
      <c r="L62" s="516"/>
      <c r="O62" s="516"/>
      <c r="P62" s="516"/>
    </row>
    <row r="63" spans="1:17">
      <c r="A63" s="575"/>
      <c r="B63" s="575"/>
      <c r="C63" s="575"/>
      <c r="D63" s="575"/>
      <c r="E63" s="570"/>
      <c r="F63" s="576"/>
      <c r="G63" s="516"/>
      <c r="H63" s="516"/>
      <c r="I63" s="458"/>
      <c r="J63" s="516"/>
      <c r="K63" s="516"/>
      <c r="L63" s="516"/>
      <c r="O63" s="516"/>
      <c r="P63" s="516"/>
    </row>
    <row r="64" spans="1:17">
      <c r="A64" s="575"/>
      <c r="B64" s="575"/>
      <c r="C64" s="575"/>
      <c r="D64" s="575"/>
      <c r="E64" s="570"/>
      <c r="F64" s="576"/>
      <c r="G64" s="516"/>
      <c r="H64" s="516"/>
      <c r="I64" s="458"/>
      <c r="J64" s="516"/>
      <c r="K64" s="516"/>
      <c r="L64" s="516"/>
      <c r="O64" s="516"/>
      <c r="P64" s="516"/>
    </row>
    <row r="65" spans="1:16">
      <c r="A65" s="575"/>
      <c r="B65" s="575"/>
      <c r="C65" s="575"/>
      <c r="D65" s="575"/>
      <c r="E65" s="570"/>
      <c r="F65" s="576"/>
      <c r="G65" s="516"/>
      <c r="H65" s="516"/>
      <c r="I65" s="458"/>
      <c r="J65" s="516"/>
      <c r="K65" s="516"/>
      <c r="L65" s="516"/>
      <c r="O65" s="516"/>
      <c r="P65" s="516"/>
    </row>
    <row r="66" spans="1:16">
      <c r="A66" s="575"/>
      <c r="B66" s="575"/>
      <c r="C66" s="575"/>
      <c r="D66" s="575"/>
      <c r="E66" s="570"/>
      <c r="F66" s="576"/>
      <c r="G66" s="516"/>
      <c r="H66" s="516"/>
      <c r="I66" s="458"/>
      <c r="J66" s="516"/>
      <c r="K66" s="516"/>
      <c r="L66" s="516"/>
      <c r="O66" s="516"/>
      <c r="P66" s="516"/>
    </row>
    <row r="67" spans="1:16">
      <c r="A67" s="575"/>
      <c r="B67" s="575"/>
      <c r="C67" s="575"/>
      <c r="D67" s="575"/>
      <c r="E67" s="570"/>
      <c r="F67" s="576"/>
      <c r="G67" s="516"/>
      <c r="H67" s="516"/>
      <c r="I67" s="458"/>
      <c r="J67" s="516"/>
      <c r="K67" s="516"/>
      <c r="L67" s="516"/>
      <c r="O67" s="516"/>
      <c r="P67" s="516"/>
    </row>
    <row r="68" spans="1:16">
      <c r="A68" s="575"/>
      <c r="B68" s="575"/>
      <c r="C68" s="575"/>
      <c r="D68" s="575"/>
      <c r="E68" s="570"/>
      <c r="F68" s="576"/>
      <c r="G68" s="516"/>
      <c r="H68" s="516"/>
      <c r="I68" s="458"/>
      <c r="J68" s="516"/>
      <c r="K68" s="516"/>
      <c r="L68" s="516"/>
      <c r="O68" s="516"/>
      <c r="P68" s="516"/>
    </row>
    <row r="69" spans="1:16">
      <c r="A69" s="575"/>
      <c r="B69" s="575"/>
      <c r="C69" s="575"/>
      <c r="D69" s="575"/>
      <c r="E69" s="570"/>
      <c r="F69" s="576"/>
      <c r="G69" s="516"/>
      <c r="H69" s="516"/>
      <c r="I69" s="458"/>
      <c r="J69" s="516"/>
      <c r="K69" s="516"/>
      <c r="L69" s="516"/>
      <c r="O69" s="516"/>
      <c r="P69" s="516"/>
    </row>
    <row r="70" spans="1:16">
      <c r="A70" s="575"/>
      <c r="B70" s="575"/>
      <c r="C70" s="575"/>
      <c r="D70" s="575"/>
      <c r="E70" s="570"/>
      <c r="F70" s="576"/>
      <c r="G70" s="578"/>
      <c r="H70" s="516"/>
      <c r="I70" s="458"/>
      <c r="J70" s="516"/>
      <c r="K70" s="516"/>
      <c r="L70" s="516"/>
      <c r="O70" s="516"/>
      <c r="P70" s="516"/>
    </row>
    <row r="71" spans="1:16">
      <c r="A71" s="575"/>
      <c r="B71" s="575"/>
      <c r="C71" s="575"/>
      <c r="D71" s="575"/>
      <c r="E71" s="570"/>
      <c r="F71" s="576"/>
      <c r="G71" s="578"/>
      <c r="H71" s="516"/>
      <c r="I71" s="458"/>
      <c r="J71" s="516"/>
      <c r="K71" s="516"/>
      <c r="L71" s="516"/>
      <c r="O71" s="516"/>
      <c r="P71" s="516"/>
    </row>
    <row r="72" spans="1:16">
      <c r="A72" s="575"/>
      <c r="B72" s="575"/>
      <c r="C72" s="575"/>
      <c r="D72" s="575"/>
      <c r="E72" s="570"/>
      <c r="F72" s="576"/>
      <c r="G72" s="578"/>
      <c r="H72" s="516"/>
      <c r="I72" s="458"/>
      <c r="J72" s="516"/>
      <c r="K72" s="516"/>
      <c r="L72" s="516"/>
      <c r="O72" s="516"/>
      <c r="P72" s="516"/>
    </row>
    <row r="73" spans="1:16">
      <c r="A73" s="575"/>
      <c r="B73" s="575"/>
      <c r="C73" s="575"/>
      <c r="D73" s="575"/>
      <c r="E73" s="570"/>
      <c r="F73" s="576"/>
      <c r="G73" s="578"/>
      <c r="H73" s="516"/>
      <c r="I73" s="458"/>
      <c r="J73" s="516"/>
      <c r="K73" s="516"/>
      <c r="L73" s="516"/>
      <c r="O73" s="516"/>
      <c r="P73" s="516"/>
    </row>
    <row r="74" spans="1:16">
      <c r="A74" s="575"/>
      <c r="B74" s="575"/>
      <c r="C74" s="575"/>
      <c r="D74" s="575"/>
      <c r="E74" s="570"/>
      <c r="F74" s="576"/>
      <c r="G74" s="516"/>
      <c r="H74" s="516"/>
      <c r="I74" s="458"/>
      <c r="J74" s="516"/>
      <c r="K74" s="516"/>
      <c r="L74" s="516"/>
      <c r="O74" s="516"/>
      <c r="P74" s="516"/>
    </row>
    <row r="75" spans="1:16">
      <c r="A75" s="575"/>
      <c r="B75" s="575"/>
      <c r="C75" s="575"/>
      <c r="D75" s="575"/>
      <c r="E75" s="570"/>
      <c r="F75" s="576"/>
      <c r="G75" s="516"/>
      <c r="H75" s="516"/>
      <c r="I75" s="458"/>
      <c r="J75" s="516"/>
      <c r="K75" s="516"/>
      <c r="L75" s="516"/>
      <c r="O75" s="516"/>
      <c r="P75" s="516"/>
    </row>
    <row r="76" spans="1:16">
      <c r="A76" s="575"/>
      <c r="B76" s="575"/>
      <c r="C76" s="575"/>
      <c r="D76" s="575"/>
      <c r="E76" s="570"/>
      <c r="F76" s="576"/>
      <c r="G76" s="516"/>
      <c r="H76" s="516"/>
      <c r="I76" s="458"/>
      <c r="J76" s="516"/>
      <c r="K76" s="516"/>
      <c r="L76" s="516"/>
      <c r="O76" s="516"/>
      <c r="P76" s="516"/>
    </row>
    <row r="77" spans="1:16">
      <c r="A77" s="575"/>
      <c r="B77" s="575"/>
      <c r="C77" s="575"/>
      <c r="D77" s="575"/>
      <c r="E77" s="570"/>
      <c r="F77" s="576"/>
      <c r="G77" s="516"/>
      <c r="H77" s="516"/>
      <c r="I77" s="458"/>
      <c r="J77" s="516"/>
      <c r="K77" s="516"/>
      <c r="L77" s="516"/>
      <c r="O77" s="516"/>
      <c r="P77" s="516"/>
    </row>
    <row r="78" spans="1:16">
      <c r="A78" s="575"/>
      <c r="B78" s="575"/>
      <c r="C78" s="575"/>
      <c r="D78" s="575"/>
      <c r="E78" s="570"/>
      <c r="F78" s="576"/>
      <c r="G78" s="516"/>
      <c r="H78" s="516"/>
      <c r="I78" s="458"/>
      <c r="J78" s="516"/>
      <c r="K78" s="516"/>
      <c r="L78" s="516"/>
      <c r="O78" s="516"/>
      <c r="P78" s="516"/>
    </row>
    <row r="79" spans="1:16">
      <c r="A79" s="575"/>
      <c r="B79" s="575"/>
      <c r="C79" s="575"/>
      <c r="D79" s="575"/>
      <c r="E79" s="570"/>
      <c r="F79" s="576"/>
      <c r="G79" s="516"/>
      <c r="H79" s="516"/>
      <c r="I79" s="458"/>
      <c r="J79" s="516"/>
      <c r="K79" s="516"/>
      <c r="L79" s="516"/>
      <c r="O79" s="516"/>
      <c r="P79" s="516"/>
    </row>
    <row r="80" spans="1:16">
      <c r="A80" s="575"/>
      <c r="B80" s="575"/>
      <c r="C80" s="575"/>
      <c r="D80" s="575"/>
      <c r="E80" s="570"/>
      <c r="F80" s="576"/>
      <c r="G80" s="516"/>
      <c r="H80" s="516"/>
      <c r="I80" s="458"/>
      <c r="J80" s="516"/>
      <c r="K80" s="516"/>
      <c r="L80" s="516"/>
      <c r="O80" s="516"/>
      <c r="P80" s="516"/>
    </row>
    <row r="81" spans="1:17">
      <c r="A81" s="575"/>
      <c r="B81" s="575"/>
      <c r="C81" s="575"/>
      <c r="D81" s="575"/>
      <c r="E81" s="570"/>
      <c r="F81" s="576"/>
      <c r="G81" s="516"/>
      <c r="H81" s="516"/>
      <c r="I81" s="458"/>
      <c r="J81" s="516"/>
      <c r="K81" s="516"/>
      <c r="L81" s="516"/>
      <c r="O81" s="516"/>
      <c r="P81" s="516"/>
    </row>
    <row r="82" spans="1:17">
      <c r="A82" s="575"/>
      <c r="B82" s="575"/>
      <c r="C82" s="575"/>
      <c r="D82" s="575"/>
      <c r="E82" s="570"/>
      <c r="F82" s="576"/>
      <c r="G82" s="516"/>
      <c r="H82" s="516"/>
      <c r="I82" s="458"/>
      <c r="J82" s="516"/>
      <c r="K82" s="516"/>
      <c r="L82" s="516"/>
      <c r="O82" s="516"/>
      <c r="P82" s="516"/>
    </row>
    <row r="83" spans="1:17">
      <c r="A83" s="575"/>
      <c r="B83" s="575"/>
      <c r="C83" s="575"/>
      <c r="D83" s="575"/>
      <c r="E83" s="570"/>
      <c r="F83" s="576"/>
      <c r="G83" s="516"/>
      <c r="H83" s="516"/>
      <c r="I83" s="458"/>
      <c r="J83" s="516"/>
      <c r="K83" s="516"/>
      <c r="L83" s="516"/>
      <c r="O83" s="516"/>
      <c r="P83" s="516"/>
    </row>
    <row r="84" spans="1:17">
      <c r="A84" s="575"/>
      <c r="B84" s="575"/>
      <c r="C84" s="575"/>
      <c r="D84" s="575"/>
      <c r="E84" s="570"/>
      <c r="F84" s="576"/>
      <c r="G84" s="516"/>
      <c r="H84" s="516"/>
      <c r="I84" s="458"/>
      <c r="J84" s="516"/>
      <c r="K84" s="516"/>
      <c r="L84" s="516"/>
      <c r="O84" s="516"/>
      <c r="P84" s="516"/>
    </row>
    <row r="85" spans="1:17">
      <c r="A85" s="575"/>
      <c r="B85" s="575"/>
      <c r="C85" s="575"/>
      <c r="D85" s="575"/>
      <c r="E85" s="570"/>
      <c r="F85" s="576"/>
      <c r="G85" s="516"/>
      <c r="H85" s="516"/>
      <c r="I85" s="458"/>
      <c r="J85" s="516"/>
      <c r="K85" s="516"/>
      <c r="L85" s="516"/>
      <c r="O85" s="516"/>
      <c r="P85" s="516"/>
    </row>
    <row r="86" spans="1:17">
      <c r="A86" s="575"/>
      <c r="B86" s="575"/>
      <c r="C86" s="575"/>
      <c r="D86" s="575"/>
      <c r="E86" s="570"/>
      <c r="F86" s="576"/>
      <c r="G86" s="516"/>
      <c r="H86" s="516"/>
      <c r="I86" s="458"/>
      <c r="J86" s="516"/>
      <c r="K86" s="516"/>
      <c r="L86" s="516"/>
      <c r="O86" s="516"/>
      <c r="P86" s="516"/>
    </row>
    <row r="87" spans="1:17">
      <c r="A87" s="575"/>
      <c r="B87" s="575"/>
      <c r="C87" s="575"/>
      <c r="D87" s="575"/>
      <c r="E87" s="570"/>
      <c r="F87" s="576"/>
      <c r="G87" s="516"/>
      <c r="H87" s="516"/>
      <c r="I87" s="458"/>
      <c r="J87" s="516"/>
      <c r="K87" s="516"/>
      <c r="L87" s="516"/>
      <c r="O87" s="516"/>
      <c r="P87" s="516"/>
    </row>
    <row r="88" spans="1:17">
      <c r="A88" s="575"/>
      <c r="B88" s="575"/>
      <c r="C88" s="575"/>
      <c r="D88" s="575"/>
      <c r="E88" s="570"/>
      <c r="F88" s="576"/>
      <c r="G88" s="516"/>
      <c r="H88" s="516"/>
      <c r="I88" s="458"/>
      <c r="J88" s="516"/>
      <c r="K88" s="516"/>
      <c r="L88" s="516"/>
      <c r="O88" s="516"/>
      <c r="P88" s="516"/>
    </row>
    <row r="89" spans="1:17">
      <c r="A89" s="575"/>
      <c r="B89" s="575"/>
      <c r="C89" s="575"/>
      <c r="D89" s="575"/>
      <c r="E89" s="570"/>
      <c r="F89" s="576"/>
      <c r="G89" s="516"/>
      <c r="H89" s="516"/>
      <c r="I89" s="458"/>
      <c r="J89" s="516"/>
      <c r="K89" s="516"/>
      <c r="L89" s="516"/>
      <c r="O89" s="516"/>
      <c r="P89" s="516"/>
    </row>
    <row r="90" spans="1:17" s="575" customFormat="1">
      <c r="E90" s="570"/>
      <c r="F90" s="576"/>
      <c r="G90" s="516"/>
      <c r="H90" s="516"/>
      <c r="I90" s="458"/>
      <c r="J90" s="516"/>
      <c r="K90" s="516"/>
      <c r="L90" s="516"/>
      <c r="M90" s="516"/>
      <c r="N90" s="516"/>
      <c r="O90" s="516"/>
      <c r="P90" s="516"/>
      <c r="Q90" s="516"/>
    </row>
    <row r="91" spans="1:17" s="575" customFormat="1">
      <c r="E91" s="570"/>
      <c r="F91" s="576"/>
      <c r="G91" s="516"/>
      <c r="H91" s="516"/>
      <c r="I91" s="458"/>
      <c r="J91" s="516"/>
      <c r="K91" s="516"/>
      <c r="L91" s="516"/>
      <c r="M91" s="516"/>
      <c r="N91" s="516"/>
      <c r="O91" s="516"/>
      <c r="P91" s="516"/>
      <c r="Q91" s="516"/>
    </row>
    <row r="92" spans="1:17" s="575" customFormat="1">
      <c r="E92" s="570"/>
      <c r="F92" s="576"/>
      <c r="G92" s="516"/>
      <c r="H92" s="516"/>
      <c r="I92" s="458"/>
      <c r="J92" s="516"/>
      <c r="K92" s="516"/>
      <c r="L92" s="516"/>
      <c r="M92" s="516"/>
      <c r="N92" s="516"/>
      <c r="O92" s="516"/>
      <c r="P92" s="516"/>
      <c r="Q92" s="516"/>
    </row>
    <row r="93" spans="1:17" s="575" customFormat="1">
      <c r="E93" s="570"/>
      <c r="F93" s="576"/>
      <c r="G93" s="516"/>
      <c r="H93" s="516"/>
      <c r="I93" s="458"/>
      <c r="J93" s="516"/>
      <c r="K93" s="516"/>
      <c r="L93" s="516"/>
      <c r="M93" s="516"/>
      <c r="N93" s="516"/>
      <c r="O93" s="516"/>
      <c r="P93" s="516"/>
      <c r="Q93" s="516"/>
    </row>
    <row r="94" spans="1:17" s="575" customFormat="1">
      <c r="E94" s="570"/>
      <c r="F94" s="576"/>
      <c r="G94" s="516"/>
      <c r="H94" s="516"/>
      <c r="I94" s="458"/>
      <c r="J94" s="516"/>
      <c r="K94" s="516"/>
      <c r="L94" s="516"/>
      <c r="M94" s="516"/>
      <c r="N94" s="516"/>
      <c r="O94" s="516"/>
      <c r="P94" s="516"/>
      <c r="Q94" s="516"/>
    </row>
    <row r="95" spans="1:17" s="575" customFormat="1">
      <c r="E95" s="570"/>
      <c r="F95" s="576"/>
      <c r="G95" s="516"/>
      <c r="H95" s="516"/>
      <c r="I95" s="458"/>
      <c r="J95" s="516"/>
      <c r="K95" s="516"/>
      <c r="L95" s="516"/>
      <c r="M95" s="516"/>
    </row>
    <row r="96" spans="1:17" s="575" customFormat="1">
      <c r="E96" s="570"/>
      <c r="F96" s="576"/>
      <c r="G96" s="516"/>
      <c r="H96" s="516"/>
      <c r="I96" s="458"/>
      <c r="J96" s="516"/>
      <c r="K96" s="516"/>
      <c r="L96" s="516"/>
    </row>
    <row r="97" spans="5:12" s="575" customFormat="1">
      <c r="E97" s="570"/>
      <c r="F97" s="576"/>
      <c r="G97" s="516"/>
      <c r="H97" s="516"/>
      <c r="I97" s="458"/>
      <c r="J97" s="516"/>
      <c r="K97" s="516"/>
      <c r="L97" s="516"/>
    </row>
    <row r="98" spans="5:12" s="575" customFormat="1">
      <c r="E98" s="570"/>
      <c r="F98" s="576"/>
      <c r="G98" s="516"/>
      <c r="H98" s="516"/>
      <c r="I98" s="458"/>
      <c r="J98" s="516"/>
      <c r="K98" s="516"/>
      <c r="L98" s="516"/>
    </row>
    <row r="99" spans="5:12" s="575" customFormat="1">
      <c r="E99" s="570"/>
      <c r="F99" s="576"/>
      <c r="G99" s="516"/>
      <c r="H99" s="516"/>
      <c r="I99" s="458"/>
      <c r="J99" s="516"/>
      <c r="K99" s="516"/>
      <c r="L99" s="516"/>
    </row>
    <row r="100" spans="5:12" s="575" customFormat="1">
      <c r="E100" s="570"/>
      <c r="F100" s="576"/>
      <c r="G100" s="516"/>
      <c r="H100" s="516"/>
      <c r="I100" s="458"/>
      <c r="J100" s="516"/>
      <c r="K100" s="516"/>
      <c r="L100" s="516"/>
    </row>
    <row r="101" spans="5:12" s="575" customFormat="1">
      <c r="E101" s="570"/>
      <c r="F101" s="576"/>
      <c r="G101" s="516"/>
      <c r="H101" s="516"/>
      <c r="I101" s="458"/>
      <c r="J101" s="516"/>
      <c r="K101" s="516"/>
      <c r="L101" s="516"/>
    </row>
    <row r="102" spans="5:12" s="575" customFormat="1">
      <c r="E102" s="570"/>
      <c r="F102" s="576"/>
      <c r="G102" s="516"/>
      <c r="H102" s="516"/>
      <c r="I102" s="458"/>
      <c r="J102" s="516"/>
      <c r="K102" s="516"/>
      <c r="L102" s="516"/>
    </row>
    <row r="103" spans="5:12" s="575" customFormat="1">
      <c r="E103" s="570"/>
      <c r="F103" s="576"/>
      <c r="G103" s="516"/>
      <c r="H103" s="516"/>
      <c r="I103" s="458"/>
      <c r="J103" s="516"/>
      <c r="K103" s="516"/>
      <c r="L103" s="516"/>
    </row>
    <row r="104" spans="5:12" s="575" customFormat="1">
      <c r="E104" s="570"/>
      <c r="F104" s="576"/>
      <c r="G104" s="516"/>
      <c r="H104" s="516"/>
      <c r="I104" s="458"/>
      <c r="J104" s="516"/>
      <c r="K104" s="516"/>
      <c r="L104" s="516"/>
    </row>
    <row r="105" spans="5:12" s="575" customFormat="1">
      <c r="E105" s="570"/>
      <c r="F105" s="576"/>
      <c r="G105" s="516"/>
      <c r="H105" s="516"/>
      <c r="I105" s="458"/>
      <c r="J105" s="516"/>
      <c r="K105" s="516"/>
      <c r="L105" s="516"/>
    </row>
    <row r="106" spans="5:12" s="575" customFormat="1">
      <c r="E106" s="570"/>
      <c r="F106" s="576"/>
      <c r="G106" s="516"/>
      <c r="H106" s="516"/>
      <c r="I106" s="458"/>
      <c r="J106" s="516"/>
      <c r="K106" s="516"/>
      <c r="L106" s="516"/>
    </row>
    <row r="107" spans="5:12" s="575" customFormat="1">
      <c r="E107" s="570"/>
      <c r="F107" s="576"/>
      <c r="G107" s="516"/>
      <c r="H107" s="516"/>
      <c r="I107" s="458"/>
      <c r="J107" s="516"/>
      <c r="K107" s="516"/>
      <c r="L107" s="516"/>
    </row>
    <row r="108" spans="5:12" s="575" customFormat="1">
      <c r="E108" s="570"/>
      <c r="F108" s="576"/>
      <c r="G108" s="516"/>
      <c r="H108" s="516"/>
      <c r="I108" s="458"/>
      <c r="J108" s="516"/>
      <c r="K108" s="516"/>
      <c r="L108" s="516"/>
    </row>
    <row r="109" spans="5:12" s="575" customFormat="1">
      <c r="E109" s="570"/>
      <c r="F109" s="576"/>
      <c r="G109" s="516"/>
      <c r="H109" s="516"/>
      <c r="I109" s="458"/>
      <c r="J109" s="516"/>
      <c r="K109" s="516"/>
      <c r="L109" s="516"/>
    </row>
    <row r="110" spans="5:12" s="575" customFormat="1">
      <c r="E110" s="570"/>
      <c r="F110" s="576"/>
      <c r="G110" s="516"/>
      <c r="H110" s="516"/>
      <c r="I110" s="458"/>
      <c r="J110" s="516"/>
      <c r="K110" s="516"/>
      <c r="L110" s="516"/>
    </row>
    <row r="111" spans="5:12" s="575" customFormat="1">
      <c r="E111" s="570"/>
      <c r="F111" s="576"/>
      <c r="G111" s="516"/>
      <c r="H111" s="516"/>
      <c r="I111" s="458"/>
      <c r="J111" s="516"/>
      <c r="K111" s="516"/>
      <c r="L111" s="516"/>
    </row>
    <row r="112" spans="5:12" s="575" customFormat="1">
      <c r="E112" s="570"/>
      <c r="F112" s="576"/>
      <c r="G112" s="516"/>
      <c r="H112" s="516"/>
      <c r="I112" s="458"/>
      <c r="J112" s="516"/>
      <c r="K112" s="516"/>
      <c r="L112" s="516"/>
    </row>
    <row r="113" spans="5:12" s="575" customFormat="1">
      <c r="E113" s="570"/>
      <c r="F113" s="576"/>
      <c r="G113" s="516"/>
      <c r="H113" s="516"/>
      <c r="I113" s="458"/>
      <c r="J113" s="516"/>
      <c r="K113" s="516"/>
      <c r="L113" s="516"/>
    </row>
    <row r="114" spans="5:12" s="575" customFormat="1">
      <c r="E114" s="570"/>
      <c r="F114" s="576"/>
      <c r="G114" s="516"/>
      <c r="H114" s="516"/>
      <c r="I114" s="458"/>
      <c r="J114" s="516"/>
      <c r="K114" s="516"/>
      <c r="L114" s="516"/>
    </row>
    <row r="115" spans="5:12" s="575" customFormat="1">
      <c r="E115" s="570"/>
      <c r="F115" s="576"/>
      <c r="G115" s="516"/>
      <c r="H115" s="516"/>
      <c r="I115" s="458"/>
      <c r="J115" s="516"/>
      <c r="K115" s="516"/>
      <c r="L115" s="516"/>
    </row>
    <row r="116" spans="5:12" s="575" customFormat="1">
      <c r="E116" s="570"/>
      <c r="F116" s="576"/>
      <c r="G116" s="516"/>
      <c r="H116" s="516"/>
      <c r="I116" s="458"/>
      <c r="J116" s="516"/>
      <c r="K116" s="516"/>
      <c r="L116" s="516"/>
    </row>
    <row r="117" spans="5:12" s="575" customFormat="1">
      <c r="E117" s="570"/>
      <c r="F117" s="576"/>
      <c r="G117" s="516"/>
      <c r="H117" s="516"/>
      <c r="I117" s="458"/>
      <c r="J117" s="516"/>
      <c r="K117" s="516"/>
      <c r="L117" s="516"/>
    </row>
    <row r="118" spans="5:12" s="575" customFormat="1">
      <c r="E118" s="570"/>
      <c r="F118" s="576"/>
      <c r="G118" s="516"/>
      <c r="H118" s="516"/>
      <c r="I118" s="458"/>
      <c r="J118" s="516"/>
      <c r="K118" s="516"/>
      <c r="L118" s="516"/>
    </row>
    <row r="119" spans="5:12" s="575" customFormat="1">
      <c r="E119" s="570"/>
      <c r="F119" s="576"/>
      <c r="G119" s="516"/>
      <c r="H119" s="516"/>
      <c r="I119" s="458"/>
      <c r="J119" s="516"/>
      <c r="K119" s="516"/>
      <c r="L119" s="516"/>
    </row>
    <row r="120" spans="5:12" s="575" customFormat="1">
      <c r="E120" s="570"/>
      <c r="F120" s="576"/>
      <c r="G120" s="516"/>
      <c r="H120" s="516"/>
      <c r="I120" s="458"/>
      <c r="J120" s="516"/>
      <c r="K120" s="516"/>
      <c r="L120" s="516"/>
    </row>
    <row r="121" spans="5:12" s="575" customFormat="1">
      <c r="E121" s="570"/>
      <c r="F121" s="576"/>
      <c r="G121" s="516"/>
      <c r="H121" s="516"/>
      <c r="I121" s="458"/>
      <c r="J121" s="516"/>
      <c r="K121" s="516"/>
      <c r="L121" s="516"/>
    </row>
    <row r="122" spans="5:12" s="575" customFormat="1">
      <c r="E122" s="570"/>
      <c r="F122" s="576"/>
      <c r="G122" s="516"/>
      <c r="H122" s="516"/>
      <c r="I122" s="458"/>
      <c r="J122" s="516"/>
      <c r="K122" s="516"/>
      <c r="L122" s="516"/>
    </row>
    <row r="123" spans="5:12" s="575" customFormat="1">
      <c r="E123" s="570"/>
      <c r="F123" s="576"/>
      <c r="G123" s="516"/>
      <c r="H123" s="516"/>
      <c r="I123" s="458"/>
      <c r="J123" s="516"/>
      <c r="K123" s="516"/>
      <c r="L123" s="516"/>
    </row>
    <row r="124" spans="5:12" s="575" customFormat="1">
      <c r="E124" s="570"/>
      <c r="F124" s="576"/>
      <c r="G124" s="516"/>
      <c r="H124" s="516"/>
      <c r="I124" s="458"/>
      <c r="J124" s="516"/>
      <c r="K124" s="516"/>
      <c r="L124" s="516"/>
    </row>
    <row r="125" spans="5:12" s="575" customFormat="1">
      <c r="E125" s="570"/>
      <c r="F125" s="576"/>
      <c r="G125" s="516"/>
      <c r="H125" s="516"/>
      <c r="I125" s="458"/>
      <c r="J125" s="516"/>
      <c r="K125" s="516"/>
      <c r="L125" s="516"/>
    </row>
    <row r="126" spans="5:12" s="575" customFormat="1">
      <c r="E126" s="570"/>
      <c r="F126" s="576"/>
      <c r="G126" s="516"/>
      <c r="H126" s="516"/>
      <c r="I126" s="458"/>
      <c r="J126" s="516"/>
      <c r="K126" s="516"/>
      <c r="L126" s="516"/>
    </row>
    <row r="127" spans="5:12" s="575" customFormat="1">
      <c r="E127" s="570"/>
      <c r="F127" s="576"/>
      <c r="G127" s="516"/>
      <c r="H127" s="516"/>
      <c r="I127" s="458"/>
      <c r="J127" s="516"/>
      <c r="K127" s="516"/>
      <c r="L127" s="516"/>
    </row>
    <row r="128" spans="5:12" s="575" customFormat="1">
      <c r="E128" s="570"/>
      <c r="F128" s="576"/>
      <c r="G128" s="516"/>
      <c r="H128" s="516"/>
      <c r="I128" s="458"/>
      <c r="J128" s="516"/>
      <c r="K128" s="516"/>
      <c r="L128" s="516"/>
    </row>
    <row r="129" spans="1:12" s="575" customFormat="1">
      <c r="E129" s="570"/>
      <c r="F129" s="576"/>
      <c r="G129" s="516"/>
      <c r="H129" s="516"/>
      <c r="I129" s="458"/>
      <c r="J129" s="516"/>
      <c r="K129" s="516"/>
      <c r="L129" s="516"/>
    </row>
    <row r="130" spans="1:12" s="575" customFormat="1">
      <c r="E130" s="570"/>
      <c r="F130" s="576"/>
      <c r="G130" s="516"/>
      <c r="H130" s="516"/>
      <c r="I130" s="458"/>
      <c r="J130" s="516"/>
      <c r="K130" s="516"/>
      <c r="L130" s="516"/>
    </row>
    <row r="131" spans="1:12" s="575" customFormat="1">
      <c r="E131" s="570"/>
      <c r="F131" s="576"/>
      <c r="G131" s="516"/>
      <c r="H131" s="516"/>
      <c r="I131" s="458"/>
      <c r="J131" s="516"/>
      <c r="K131" s="516"/>
      <c r="L131" s="516"/>
    </row>
    <row r="132" spans="1:12" s="575" customFormat="1">
      <c r="E132" s="570"/>
      <c r="F132" s="576"/>
      <c r="G132" s="516"/>
      <c r="H132" s="516"/>
      <c r="I132" s="458"/>
      <c r="J132" s="516"/>
      <c r="K132" s="516"/>
      <c r="L132" s="516"/>
    </row>
    <row r="133" spans="1:12" s="575" customFormat="1">
      <c r="E133" s="570"/>
      <c r="F133" s="576"/>
      <c r="G133" s="516"/>
      <c r="H133" s="516"/>
      <c r="I133" s="458"/>
      <c r="J133" s="516"/>
      <c r="K133" s="516"/>
      <c r="L133" s="516"/>
    </row>
    <row r="134" spans="1:12" s="575" customFormat="1">
      <c r="E134" s="570"/>
      <c r="F134" s="576"/>
      <c r="G134" s="516"/>
      <c r="H134" s="516"/>
      <c r="I134" s="458"/>
      <c r="J134" s="516"/>
      <c r="K134" s="516"/>
      <c r="L134" s="516"/>
    </row>
    <row r="135" spans="1:12" s="575" customFormat="1">
      <c r="E135" s="570"/>
      <c r="F135" s="576"/>
      <c r="G135" s="516"/>
      <c r="H135" s="516"/>
      <c r="I135" s="458"/>
      <c r="J135" s="516"/>
      <c r="K135" s="516"/>
      <c r="L135" s="516"/>
    </row>
    <row r="136" spans="1:12" s="575" customFormat="1">
      <c r="E136" s="570"/>
      <c r="F136" s="576"/>
      <c r="G136" s="516"/>
      <c r="H136" s="516"/>
      <c r="I136" s="458"/>
      <c r="J136" s="516"/>
      <c r="K136" s="516"/>
      <c r="L136" s="516"/>
    </row>
    <row r="137" spans="1:12" s="575" customFormat="1">
      <c r="E137" s="570"/>
      <c r="F137" s="576"/>
      <c r="G137" s="516"/>
      <c r="H137" s="516"/>
      <c r="I137" s="458"/>
      <c r="J137" s="516"/>
      <c r="K137" s="516"/>
      <c r="L137" s="516"/>
    </row>
    <row r="138" spans="1:12" s="575" customFormat="1">
      <c r="E138" s="570"/>
      <c r="F138" s="576"/>
      <c r="G138" s="516"/>
      <c r="H138" s="516"/>
      <c r="I138" s="458"/>
      <c r="J138" s="516"/>
      <c r="K138" s="516"/>
      <c r="L138" s="516"/>
    </row>
    <row r="139" spans="1:12" s="575" customFormat="1">
      <c r="E139" s="570"/>
      <c r="F139" s="576"/>
      <c r="G139" s="516"/>
      <c r="H139" s="516"/>
      <c r="I139" s="458"/>
      <c r="J139" s="516"/>
      <c r="K139" s="516"/>
      <c r="L139" s="516"/>
    </row>
    <row r="140" spans="1:12" s="575" customFormat="1">
      <c r="E140" s="570"/>
      <c r="F140" s="576"/>
      <c r="G140" s="516"/>
      <c r="H140" s="516"/>
      <c r="I140" s="458"/>
      <c r="J140" s="516"/>
      <c r="K140" s="516"/>
      <c r="L140" s="516"/>
    </row>
    <row r="141" spans="1:12" s="575" customFormat="1">
      <c r="E141" s="570"/>
      <c r="F141" s="576"/>
      <c r="G141" s="516"/>
      <c r="H141" s="516"/>
      <c r="I141" s="458"/>
      <c r="J141" s="516"/>
      <c r="K141" s="516"/>
      <c r="L141" s="516"/>
    </row>
    <row r="142" spans="1:12" s="575" customFormat="1">
      <c r="A142" s="516"/>
      <c r="B142" s="516"/>
      <c r="C142" s="579"/>
      <c r="D142" s="579"/>
      <c r="E142" s="579"/>
      <c r="F142" s="579"/>
      <c r="H142" s="580"/>
      <c r="J142" s="516"/>
      <c r="K142" s="516"/>
      <c r="L142" s="516"/>
    </row>
    <row r="143" spans="1:12" s="575" customFormat="1">
      <c r="A143" s="516"/>
      <c r="B143" s="516"/>
      <c r="C143" s="579"/>
      <c r="D143" s="579"/>
      <c r="E143" s="579"/>
      <c r="F143" s="579"/>
      <c r="H143" s="580"/>
      <c r="J143" s="516"/>
      <c r="K143" s="516"/>
      <c r="L143" s="516"/>
    </row>
    <row r="144" spans="1:12" s="575" customFormat="1">
      <c r="A144" s="516"/>
      <c r="B144" s="516"/>
      <c r="C144" s="579"/>
      <c r="D144" s="579"/>
      <c r="E144" s="579"/>
      <c r="F144" s="579"/>
      <c r="H144" s="580"/>
      <c r="J144" s="516"/>
      <c r="K144" s="516"/>
      <c r="L144" s="516"/>
    </row>
    <row r="145" spans="1:17" s="575" customFormat="1">
      <c r="A145" s="516"/>
      <c r="B145" s="516"/>
      <c r="C145" s="579"/>
      <c r="D145" s="579"/>
      <c r="E145" s="579"/>
      <c r="F145" s="579"/>
      <c r="H145" s="580"/>
      <c r="J145" s="516"/>
      <c r="K145" s="516"/>
      <c r="L145" s="516"/>
    </row>
    <row r="146" spans="1:17" s="575" customFormat="1">
      <c r="A146" s="516"/>
      <c r="B146" s="516"/>
      <c r="C146" s="579"/>
      <c r="D146" s="579"/>
      <c r="E146" s="579"/>
      <c r="F146" s="579"/>
      <c r="H146" s="580"/>
      <c r="J146" s="516"/>
      <c r="K146" s="516"/>
      <c r="L146" s="516"/>
    </row>
    <row r="147" spans="1:17">
      <c r="J147" s="516"/>
      <c r="K147" s="516"/>
      <c r="L147" s="516"/>
      <c r="M147" s="575"/>
      <c r="N147" s="575"/>
      <c r="O147" s="575"/>
      <c r="P147" s="575"/>
      <c r="Q147" s="575"/>
    </row>
    <row r="148" spans="1:17">
      <c r="K148" s="516"/>
      <c r="L148" s="516"/>
      <c r="M148" s="575"/>
      <c r="N148" s="575"/>
      <c r="O148" s="575"/>
      <c r="P148" s="575"/>
      <c r="Q148" s="575"/>
    </row>
    <row r="149" spans="1:17">
      <c r="K149" s="516"/>
      <c r="L149" s="516"/>
      <c r="M149" s="575"/>
      <c r="N149" s="575"/>
      <c r="O149" s="575"/>
      <c r="P149" s="575"/>
      <c r="Q149" s="575"/>
    </row>
    <row r="150" spans="1:17">
      <c r="K150" s="516"/>
      <c r="L150" s="516"/>
      <c r="M150" s="575"/>
      <c r="N150" s="575"/>
      <c r="O150" s="575"/>
      <c r="P150" s="575"/>
      <c r="Q150" s="575"/>
    </row>
    <row r="151" spans="1:17">
      <c r="L151" s="516"/>
      <c r="M151" s="575"/>
      <c r="N151" s="575"/>
      <c r="O151" s="575"/>
      <c r="P151" s="575"/>
      <c r="Q151" s="575"/>
    </row>
    <row r="152" spans="1:17">
      <c r="L152" s="516"/>
      <c r="M152" s="575"/>
    </row>
    <row r="153" spans="1:17">
      <c r="L153" s="516"/>
    </row>
    <row r="154" spans="1:17">
      <c r="L154" s="516"/>
    </row>
    <row r="155" spans="1:17">
      <c r="L155" s="516"/>
    </row>
  </sheetData>
  <mergeCells count="1">
    <mergeCell ref="L7:M7"/>
  </mergeCells>
  <dataValidations count="1">
    <dataValidation type="list" allowBlank="1" showInputMessage="1" showErrorMessage="1" sqref="B5" xr:uid="{35717BB6-6FFD-4839-88E7-E80886AAC89E}">
      <formula1>$AB$5:$AB$8</formula1>
    </dataValidation>
  </dataValidation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9"/>
  <sheetViews>
    <sheetView zoomScale="104" zoomScaleNormal="104" workbookViewId="0">
      <pane xSplit="3" topLeftCell="D1" activePane="topRight" state="frozen"/>
      <selection pane="topRight" activeCell="H18" sqref="H18"/>
    </sheetView>
  </sheetViews>
  <sheetFormatPr defaultColWidth="17.33203125" defaultRowHeight="15.75" customHeight="1"/>
  <cols>
    <col min="1" max="1" width="12.44140625" style="20" customWidth="1"/>
    <col min="2" max="2" width="27.33203125" style="20" customWidth="1"/>
    <col min="3" max="3" width="11.33203125" style="20" bestFit="1" customWidth="1"/>
    <col min="4" max="4" width="14.109375" style="20" customWidth="1"/>
    <col min="5" max="5" width="11.5546875" style="20" customWidth="1"/>
    <col min="6" max="7" width="13.6640625" style="20" bestFit="1" customWidth="1"/>
    <col min="8" max="8" width="14.44140625" style="20" bestFit="1" customWidth="1"/>
    <col min="9" max="9" width="17.33203125" style="20" bestFit="1" customWidth="1"/>
    <col min="10" max="10" width="19.5546875" style="20" bestFit="1" customWidth="1"/>
    <col min="11" max="11" width="12.44140625" style="20" customWidth="1"/>
    <col min="12" max="12" width="18" style="20" customWidth="1"/>
    <col min="13" max="13" width="16.44140625" style="20" customWidth="1"/>
    <col min="14" max="14" width="11.5546875" style="20" bestFit="1" customWidth="1"/>
    <col min="15" max="15" width="11.33203125" style="20" bestFit="1" customWidth="1"/>
    <col min="16" max="16" width="8.44140625" style="20" bestFit="1" customWidth="1"/>
    <col min="17" max="17" width="7.88671875" style="20" bestFit="1" customWidth="1"/>
    <col min="18" max="18" width="14.6640625" style="20" bestFit="1" customWidth="1"/>
    <col min="19" max="19" width="20.6640625" style="20" bestFit="1" customWidth="1"/>
    <col min="20" max="20" width="15.6640625" style="20" customWidth="1"/>
    <col min="21" max="21" width="14.88671875" style="20" customWidth="1"/>
    <col min="22" max="22" width="12.33203125" style="20" customWidth="1"/>
    <col min="23" max="16384" width="17.33203125" style="20"/>
  </cols>
  <sheetData>
    <row r="1" spans="1:23" ht="15.75" customHeight="1">
      <c r="A1" s="24"/>
      <c r="B1" s="25"/>
      <c r="C1" s="45"/>
      <c r="D1" s="26"/>
      <c r="E1" s="27"/>
      <c r="F1" s="28"/>
      <c r="G1" s="29"/>
      <c r="H1" s="50"/>
      <c r="I1" s="29"/>
      <c r="J1" s="49"/>
      <c r="K1" s="28"/>
      <c r="L1" s="56"/>
      <c r="M1" s="57"/>
      <c r="N1" s="29"/>
      <c r="O1" s="58"/>
      <c r="P1" s="30"/>
      <c r="Q1" s="30"/>
      <c r="R1" s="30"/>
      <c r="S1" s="59"/>
      <c r="T1" s="1368" t="s">
        <v>11</v>
      </c>
      <c r="U1" s="1369"/>
      <c r="V1" s="1370"/>
      <c r="W1" s="54"/>
    </row>
    <row r="2" spans="1:23" ht="15.75" customHeight="1">
      <c r="A2" s="31"/>
      <c r="B2" s="4"/>
      <c r="C2" s="22"/>
      <c r="D2" s="15"/>
      <c r="E2" s="243"/>
      <c r="F2" s="244"/>
      <c r="G2" s="3"/>
      <c r="H2" s="51"/>
      <c r="I2" s="3"/>
      <c r="J2" s="5"/>
      <c r="K2" s="1"/>
      <c r="L2" s="60"/>
      <c r="M2" s="61"/>
      <c r="N2" s="5"/>
      <c r="O2" s="62"/>
      <c r="S2" s="63"/>
      <c r="T2" s="1371" t="s">
        <v>12</v>
      </c>
      <c r="U2" s="1372"/>
      <c r="V2" s="245"/>
      <c r="W2" s="12"/>
    </row>
    <row r="3" spans="1:23" ht="15.75" customHeight="1">
      <c r="A3" s="31"/>
      <c r="B3" s="4"/>
      <c r="C3" s="22"/>
      <c r="D3" s="19"/>
      <c r="E3" s="1373" t="s">
        <v>13</v>
      </c>
      <c r="F3" s="1374"/>
      <c r="G3" s="1375"/>
      <c r="H3" s="52"/>
      <c r="I3" s="244"/>
      <c r="J3" s="5"/>
      <c r="K3" s="244"/>
      <c r="L3" s="55"/>
      <c r="M3" s="2"/>
      <c r="N3" s="5"/>
      <c r="O3" s="64"/>
      <c r="P3" s="5"/>
      <c r="Q3" s="5"/>
      <c r="R3" s="17"/>
      <c r="S3" s="65"/>
      <c r="T3" s="1376" t="s">
        <v>14</v>
      </c>
      <c r="U3" s="1377"/>
      <c r="V3" s="245"/>
      <c r="W3" s="52"/>
    </row>
    <row r="4" spans="1:23" s="74" customFormat="1" ht="39.6">
      <c r="A4" s="32" t="s">
        <v>15</v>
      </c>
      <c r="B4" s="6" t="s">
        <v>16</v>
      </c>
      <c r="C4" s="23" t="s">
        <v>17</v>
      </c>
      <c r="D4" s="66" t="s">
        <v>18</v>
      </c>
      <c r="E4" s="67" t="s">
        <v>19</v>
      </c>
      <c r="F4" s="6" t="s">
        <v>20</v>
      </c>
      <c r="G4" s="10" t="s">
        <v>21</v>
      </c>
      <c r="H4" s="53" t="s">
        <v>22</v>
      </c>
      <c r="I4" s="10" t="s">
        <v>23</v>
      </c>
      <c r="J4" s="10" t="s">
        <v>24</v>
      </c>
      <c r="K4" s="6" t="s">
        <v>25</v>
      </c>
      <c r="L4" s="68" t="s">
        <v>26</v>
      </c>
      <c r="M4" s="68" t="s">
        <v>27</v>
      </c>
      <c r="N4" s="10" t="s">
        <v>28</v>
      </c>
      <c r="O4" s="69" t="s">
        <v>29</v>
      </c>
      <c r="P4" s="10" t="s">
        <v>30</v>
      </c>
      <c r="Q4" s="10" t="s">
        <v>31</v>
      </c>
      <c r="R4" s="70" t="s">
        <v>3</v>
      </c>
      <c r="S4" s="71" t="s">
        <v>4</v>
      </c>
      <c r="T4" s="72" t="s">
        <v>32</v>
      </c>
      <c r="U4" s="72" t="s">
        <v>33</v>
      </c>
      <c r="V4" s="73" t="s">
        <v>0</v>
      </c>
      <c r="W4" s="735" t="s">
        <v>34</v>
      </c>
    </row>
    <row r="5" spans="1:23" ht="15.75" customHeight="1" thickBot="1">
      <c r="A5" s="33" t="s">
        <v>35</v>
      </c>
      <c r="B5" s="34"/>
      <c r="C5" s="46"/>
      <c r="D5" s="35"/>
      <c r="E5" s="37" t="s">
        <v>36</v>
      </c>
      <c r="F5" s="37" t="s">
        <v>36</v>
      </c>
      <c r="G5" s="37" t="s">
        <v>36</v>
      </c>
      <c r="H5" s="111" t="s">
        <v>36</v>
      </c>
      <c r="I5" s="111" t="s">
        <v>36</v>
      </c>
      <c r="J5" s="37" t="s">
        <v>36</v>
      </c>
      <c r="K5" s="36" t="s">
        <v>37</v>
      </c>
      <c r="L5" s="47" t="s">
        <v>36</v>
      </c>
      <c r="M5" s="38" t="s">
        <v>36</v>
      </c>
      <c r="N5" s="38" t="s">
        <v>37</v>
      </c>
      <c r="O5" s="75" t="s">
        <v>38</v>
      </c>
      <c r="P5" s="39" t="s">
        <v>38</v>
      </c>
      <c r="Q5" s="39" t="s">
        <v>38</v>
      </c>
      <c r="R5" s="42" t="s">
        <v>38</v>
      </c>
      <c r="S5" s="76" t="s">
        <v>38</v>
      </c>
      <c r="T5" s="40" t="s">
        <v>36</v>
      </c>
      <c r="U5" s="40" t="s">
        <v>36</v>
      </c>
      <c r="V5" s="41" t="s">
        <v>36</v>
      </c>
      <c r="W5" s="736"/>
    </row>
    <row r="6" spans="1:23" s="724" customFormat="1" ht="15.75" customHeight="1">
      <c r="A6" s="739">
        <v>45400</v>
      </c>
      <c r="B6" s="721" t="s">
        <v>171</v>
      </c>
      <c r="C6" s="726" t="s">
        <v>172</v>
      </c>
      <c r="D6" s="728" t="s">
        <v>39</v>
      </c>
      <c r="E6" s="722">
        <v>10</v>
      </c>
      <c r="F6" s="722">
        <f>E6-G6</f>
        <v>-1.8900000000000006</v>
      </c>
      <c r="G6" s="730">
        <v>11.89</v>
      </c>
      <c r="H6" s="732"/>
      <c r="I6" s="722">
        <f>AVERAGE(1.53,1.67,1.47,1.55)</f>
        <v>1.5549999999999999</v>
      </c>
      <c r="J6" s="722">
        <v>1.47</v>
      </c>
      <c r="K6" s="726">
        <v>0.39</v>
      </c>
      <c r="L6" s="722">
        <f>G6-I6</f>
        <v>10.335000000000001</v>
      </c>
      <c r="M6" s="721"/>
      <c r="N6" s="730"/>
      <c r="O6" s="721"/>
      <c r="P6" s="722">
        <f>I6*K6</f>
        <v>0.60645000000000004</v>
      </c>
      <c r="Q6" s="721"/>
      <c r="R6" s="723"/>
      <c r="S6" s="734"/>
      <c r="T6" s="722">
        <v>579475.49199999997</v>
      </c>
      <c r="U6" s="722">
        <v>7016108.1629999997</v>
      </c>
      <c r="V6" s="957">
        <v>1435.6869999999999</v>
      </c>
      <c r="W6" s="738"/>
    </row>
    <row r="7" spans="1:23" s="724" customFormat="1" ht="15.75" customHeight="1">
      <c r="A7" s="739">
        <v>45524</v>
      </c>
      <c r="B7" s="721" t="s">
        <v>180</v>
      </c>
      <c r="C7" s="726" t="s">
        <v>172</v>
      </c>
      <c r="D7" s="728" t="s">
        <v>40</v>
      </c>
      <c r="E7" s="722">
        <v>10</v>
      </c>
      <c r="F7" s="722">
        <v>2.44</v>
      </c>
      <c r="G7" s="964">
        <f>E7-F7</f>
        <v>7.5600000000000005</v>
      </c>
      <c r="H7" s="965">
        <f>G7-L6</f>
        <v>-2.7750000000000004</v>
      </c>
      <c r="I7" s="722"/>
      <c r="J7" s="721"/>
      <c r="K7" s="726"/>
      <c r="L7" s="721"/>
      <c r="M7" s="721"/>
      <c r="N7" s="730"/>
      <c r="O7" s="722">
        <f>Q7-P6</f>
        <v>-3.1039500000000007</v>
      </c>
      <c r="P7" s="721"/>
      <c r="Q7" s="722">
        <f>(G7-L6)*0.9</f>
        <v>-2.4975000000000005</v>
      </c>
      <c r="R7" s="723"/>
      <c r="S7" s="734">
        <v>0</v>
      </c>
      <c r="T7" s="722">
        <v>579471.25100000005</v>
      </c>
      <c r="U7" s="722">
        <v>7016102.1320000002</v>
      </c>
      <c r="V7" s="957">
        <v>1431.41</v>
      </c>
      <c r="W7" s="738"/>
    </row>
    <row r="8" spans="1:23" s="724" customFormat="1" ht="15.75" customHeight="1">
      <c r="A8" s="739">
        <v>45768</v>
      </c>
      <c r="B8" s="721" t="s">
        <v>199</v>
      </c>
      <c r="C8" s="726" t="s">
        <v>172</v>
      </c>
      <c r="D8" s="728" t="s">
        <v>39</v>
      </c>
      <c r="E8" s="722" t="s">
        <v>67</v>
      </c>
      <c r="F8" s="722"/>
      <c r="G8" s="730"/>
      <c r="H8" s="732"/>
      <c r="I8" s="722"/>
      <c r="J8" s="721"/>
      <c r="K8" s="726"/>
      <c r="L8" s="721"/>
      <c r="M8" s="721"/>
      <c r="N8" s="730"/>
      <c r="O8" s="721"/>
      <c r="P8" s="721"/>
      <c r="Q8" s="721"/>
      <c r="R8" s="723"/>
      <c r="S8" s="734"/>
      <c r="T8" s="722"/>
      <c r="U8" s="722"/>
      <c r="V8" s="957"/>
      <c r="W8" s="738"/>
    </row>
    <row r="9" spans="1:23" s="724" customFormat="1" ht="15.75" customHeight="1">
      <c r="A9" s="739">
        <v>45890</v>
      </c>
      <c r="B9" s="721" t="s">
        <v>195</v>
      </c>
      <c r="C9" s="726" t="s">
        <v>172</v>
      </c>
      <c r="D9" s="728" t="s">
        <v>40</v>
      </c>
      <c r="E9" s="722">
        <v>6</v>
      </c>
      <c r="F9" s="722">
        <f>F10+2</f>
        <v>1.72</v>
      </c>
      <c r="G9" s="730">
        <v>4.28</v>
      </c>
      <c r="H9" s="732"/>
      <c r="I9" s="722"/>
      <c r="J9" s="721"/>
      <c r="K9" s="726"/>
      <c r="L9" s="721"/>
      <c r="M9" s="721"/>
      <c r="N9" s="730"/>
      <c r="O9" s="721"/>
      <c r="P9" s="721"/>
      <c r="Q9" s="721"/>
      <c r="R9" s="723"/>
      <c r="S9" s="734"/>
      <c r="T9" s="722"/>
      <c r="U9" s="722"/>
      <c r="V9" s="957"/>
      <c r="W9" s="738"/>
    </row>
    <row r="10" spans="1:23" s="724" customFormat="1" ht="15.75" customHeight="1">
      <c r="A10" s="739">
        <v>45890</v>
      </c>
      <c r="B10" s="721" t="s">
        <v>195</v>
      </c>
      <c r="C10" s="726" t="s">
        <v>172</v>
      </c>
      <c r="D10" s="728" t="s">
        <v>40</v>
      </c>
      <c r="E10" s="722">
        <v>4</v>
      </c>
      <c r="F10" s="722">
        <v>-0.28000000000000003</v>
      </c>
      <c r="G10" s="730">
        <v>4.28</v>
      </c>
      <c r="H10" s="732"/>
      <c r="I10" s="722"/>
      <c r="J10" s="721"/>
      <c r="K10" s="726"/>
      <c r="L10" s="721"/>
      <c r="M10" s="721"/>
      <c r="N10" s="730"/>
      <c r="O10" s="721"/>
      <c r="P10" s="721"/>
      <c r="Q10" s="721"/>
      <c r="R10" s="723"/>
      <c r="S10" s="734"/>
      <c r="T10" s="722"/>
      <c r="U10" s="722"/>
      <c r="V10" s="957"/>
      <c r="W10" s="738"/>
    </row>
    <row r="11" spans="1:23" s="724" customFormat="1" ht="15.75" customHeight="1">
      <c r="A11" s="739">
        <v>45891</v>
      </c>
      <c r="B11" s="721" t="s">
        <v>195</v>
      </c>
      <c r="C11" s="726" t="s">
        <v>282</v>
      </c>
      <c r="D11" s="728" t="s">
        <v>40</v>
      </c>
      <c r="E11" s="722">
        <v>4</v>
      </c>
      <c r="F11" s="722">
        <v>-0.2</v>
      </c>
      <c r="G11" s="964">
        <f>E11-F11</f>
        <v>4.2</v>
      </c>
      <c r="H11" s="732"/>
      <c r="I11" s="722"/>
      <c r="J11" s="721"/>
      <c r="K11" s="726"/>
      <c r="L11" s="721"/>
      <c r="M11" s="721"/>
      <c r="N11" s="730"/>
      <c r="O11" s="721"/>
      <c r="P11" s="721"/>
      <c r="Q11" s="721"/>
      <c r="R11" s="723"/>
      <c r="S11" s="734"/>
      <c r="T11" s="722">
        <v>579462.38</v>
      </c>
      <c r="U11" s="722">
        <v>7016089.4970000004</v>
      </c>
      <c r="V11" s="957">
        <v>1428.1579999999999</v>
      </c>
      <c r="W11" s="738"/>
    </row>
    <row r="12" spans="1:23" s="986" customFormat="1" ht="13.95" customHeight="1">
      <c r="A12" s="983"/>
      <c r="B12" s="983"/>
      <c r="C12" s="1060"/>
      <c r="D12" s="1062"/>
      <c r="E12" s="984"/>
      <c r="F12" s="984"/>
      <c r="G12" s="1050"/>
      <c r="H12" s="1052"/>
      <c r="I12" s="984"/>
      <c r="J12" s="983"/>
      <c r="K12" s="1060"/>
      <c r="L12" s="983"/>
      <c r="M12" s="983"/>
      <c r="N12" s="1050"/>
      <c r="O12" s="983"/>
      <c r="P12" s="983"/>
      <c r="Q12" s="983"/>
      <c r="R12" s="985"/>
      <c r="S12" s="1054"/>
      <c r="T12" s="984"/>
      <c r="U12" s="984"/>
      <c r="V12" s="1056"/>
      <c r="W12" s="1058"/>
    </row>
    <row r="13" spans="1:23" ht="15.6" hidden="1" customHeight="1">
      <c r="C13" s="391"/>
      <c r="D13" s="393"/>
      <c r="G13" s="63"/>
      <c r="H13" s="731"/>
      <c r="I13" s="13"/>
      <c r="J13" s="13"/>
      <c r="K13" s="725"/>
      <c r="L13" s="13"/>
      <c r="M13" s="13"/>
      <c r="N13" s="729"/>
      <c r="O13" s="13"/>
      <c r="P13" s="13"/>
      <c r="Q13" s="13"/>
      <c r="R13" s="7"/>
      <c r="S13" s="733"/>
      <c r="T13" s="7"/>
      <c r="U13" s="7"/>
      <c r="V13" s="63"/>
      <c r="W13" s="737"/>
    </row>
    <row r="14" spans="1:23" s="1004" customFormat="1" ht="15.75" customHeight="1">
      <c r="A14" s="1006">
        <v>45768</v>
      </c>
      <c r="B14" s="1007" t="s">
        <v>183</v>
      </c>
      <c r="C14" s="1061" t="s">
        <v>184</v>
      </c>
      <c r="D14" s="1063" t="s">
        <v>39</v>
      </c>
      <c r="E14" s="1008">
        <v>12</v>
      </c>
      <c r="F14" s="1008">
        <v>-0.53</v>
      </c>
      <c r="G14" s="1051">
        <v>12.53</v>
      </c>
      <c r="H14" s="1053"/>
      <c r="I14" s="1007">
        <f>AVERAGE('20250421_Probes_AU'!B22:B25)/100</f>
        <v>1.64</v>
      </c>
      <c r="J14" s="1008">
        <v>1.69</v>
      </c>
      <c r="K14" s="1214">
        <v>0.31</v>
      </c>
      <c r="L14" s="1007">
        <f>G14-I14</f>
        <v>10.889999999999999</v>
      </c>
      <c r="M14" s="1007"/>
      <c r="N14" s="1051"/>
      <c r="O14" s="1007"/>
      <c r="P14" s="1008">
        <f>I14*K14</f>
        <v>0.50839999999999996</v>
      </c>
      <c r="Q14" s="1007"/>
      <c r="R14" s="1009"/>
      <c r="S14" s="1055"/>
      <c r="T14" s="1009">
        <v>579478.69200000004</v>
      </c>
      <c r="U14" s="1009">
        <v>7016102.199</v>
      </c>
      <c r="V14" s="1057">
        <v>1434.07</v>
      </c>
      <c r="W14" s="1059"/>
    </row>
    <row r="15" spans="1:23" s="1004" customFormat="1" ht="15.75" customHeight="1">
      <c r="A15" s="1006">
        <v>45768</v>
      </c>
      <c r="B15" s="1007" t="s">
        <v>183</v>
      </c>
      <c r="C15" s="1061" t="s">
        <v>184</v>
      </c>
      <c r="D15" s="1063" t="s">
        <v>39</v>
      </c>
      <c r="E15" s="1008">
        <v>8</v>
      </c>
      <c r="F15" s="1008">
        <v>-4.53</v>
      </c>
      <c r="G15" s="1051">
        <v>12.53</v>
      </c>
      <c r="H15" s="1053"/>
      <c r="I15" s="1007"/>
      <c r="J15" s="1007"/>
      <c r="K15" s="1061"/>
      <c r="L15" s="1007"/>
      <c r="M15" s="1007"/>
      <c r="N15" s="1051"/>
      <c r="O15" s="1007"/>
      <c r="P15" s="1007"/>
      <c r="Q15" s="1007"/>
      <c r="R15" s="1009"/>
      <c r="S15" s="1055"/>
      <c r="T15" s="1009"/>
      <c r="U15" s="1009"/>
      <c r="V15" s="1057"/>
      <c r="W15" s="1059"/>
    </row>
    <row r="16" spans="1:23" s="1004" customFormat="1" ht="15.75" customHeight="1">
      <c r="A16" s="1006">
        <v>45890</v>
      </c>
      <c r="B16" s="1007" t="s">
        <v>195</v>
      </c>
      <c r="C16" s="1061" t="s">
        <v>184</v>
      </c>
      <c r="D16" s="1061" t="s">
        <v>40</v>
      </c>
      <c r="E16" s="1008">
        <v>10</v>
      </c>
      <c r="F16" s="1008">
        <v>2.14</v>
      </c>
      <c r="G16" s="1051">
        <v>7.86</v>
      </c>
      <c r="H16" s="1053"/>
      <c r="I16" s="1007"/>
      <c r="J16" s="1007"/>
      <c r="K16" s="1061"/>
      <c r="L16" s="1007"/>
      <c r="M16" s="1007"/>
      <c r="N16" s="1051"/>
      <c r="O16" s="1007"/>
      <c r="P16" s="1007"/>
      <c r="Q16" s="1007"/>
      <c r="R16" s="1009"/>
      <c r="S16" s="1055"/>
      <c r="T16" s="1009"/>
      <c r="U16" s="1009"/>
      <c r="V16" s="1057"/>
      <c r="W16" s="1059"/>
    </row>
    <row r="17" spans="1:23" s="1004" customFormat="1" ht="15.75" customHeight="1">
      <c r="A17" s="1006">
        <v>45891</v>
      </c>
      <c r="B17" s="1007" t="s">
        <v>195</v>
      </c>
      <c r="C17" s="1061" t="s">
        <v>184</v>
      </c>
      <c r="D17" s="1063" t="s">
        <v>40</v>
      </c>
      <c r="E17" s="1008">
        <v>11</v>
      </c>
      <c r="F17" s="1008">
        <v>3.16</v>
      </c>
      <c r="G17" s="1342">
        <f>E17-F17</f>
        <v>7.84</v>
      </c>
      <c r="H17" s="1343">
        <f>G17-L14</f>
        <v>-3.0499999999999989</v>
      </c>
      <c r="I17" s="1007"/>
      <c r="J17" s="1007"/>
      <c r="K17" s="1061"/>
      <c r="L17" s="1007"/>
      <c r="M17" s="1007"/>
      <c r="N17" s="1051"/>
      <c r="O17" s="1008">
        <f>Q17-P14</f>
        <v>-3.2533999999999992</v>
      </c>
      <c r="P17" s="1007"/>
      <c r="Q17" s="1007">
        <f>H17*0.9</f>
        <v>-2.7449999999999992</v>
      </c>
      <c r="R17" s="1009"/>
      <c r="S17" s="1055"/>
      <c r="T17" s="1009">
        <v>579474.63699999999</v>
      </c>
      <c r="U17" s="1009">
        <v>7016096.4840000002</v>
      </c>
      <c r="V17" s="1057">
        <v>1429.45</v>
      </c>
      <c r="W17" s="1059"/>
    </row>
    <row r="18" spans="1:23" s="1004" customFormat="1" ht="15.75" customHeight="1">
      <c r="A18" s="1006"/>
      <c r="B18" s="1007"/>
      <c r="C18" s="1061"/>
      <c r="D18" s="1063"/>
      <c r="E18" s="1008"/>
      <c r="F18" s="1008"/>
      <c r="G18" s="1051"/>
      <c r="H18" s="1053"/>
      <c r="I18" s="1007"/>
      <c r="J18" s="1007"/>
      <c r="K18" s="1061"/>
      <c r="L18" s="1007"/>
      <c r="M18" s="1007"/>
      <c r="N18" s="1051"/>
      <c r="O18" s="1007"/>
      <c r="P18" s="1007"/>
      <c r="Q18" s="1007"/>
      <c r="R18" s="1009"/>
      <c r="S18" s="1055"/>
      <c r="T18" s="1009"/>
      <c r="U18" s="1009"/>
      <c r="V18" s="1057"/>
      <c r="W18" s="1059"/>
    </row>
    <row r="19" spans="1:23" ht="15.75" customHeight="1">
      <c r="A19" s="13"/>
      <c r="B19" s="13"/>
      <c r="C19" s="725"/>
      <c r="D19" s="727"/>
      <c r="E19" s="14"/>
      <c r="F19" s="14"/>
      <c r="G19" s="729"/>
      <c r="H19" s="731"/>
      <c r="I19" s="13"/>
      <c r="J19" s="13"/>
      <c r="K19" s="725"/>
      <c r="L19" s="13"/>
      <c r="M19" s="13"/>
      <c r="N19" s="729"/>
      <c r="O19" s="13"/>
      <c r="P19" s="13"/>
      <c r="Q19" s="13"/>
      <c r="R19" s="7"/>
      <c r="S19" s="733"/>
      <c r="T19" s="7"/>
      <c r="U19" s="7"/>
      <c r="V19" s="63"/>
      <c r="W19" s="737"/>
    </row>
    <row r="20" spans="1:23" ht="15.75" customHeight="1" thickBot="1">
      <c r="A20" s="13"/>
      <c r="B20" s="13"/>
      <c r="C20" s="13"/>
      <c r="D20" s="13"/>
      <c r="E20" s="14"/>
      <c r="F20" s="14"/>
      <c r="G20" s="13"/>
      <c r="H20" s="13"/>
      <c r="I20" s="13"/>
      <c r="J20" s="13"/>
      <c r="K20" s="13"/>
      <c r="L20" s="13"/>
      <c r="M20" s="13"/>
      <c r="N20" s="13"/>
      <c r="O20" s="13"/>
      <c r="P20" s="13"/>
      <c r="Q20" s="13"/>
      <c r="R20" s="7"/>
      <c r="S20" s="7"/>
      <c r="T20" s="7"/>
      <c r="U20" s="7"/>
    </row>
    <row r="21" spans="1:23" ht="15.75" customHeight="1">
      <c r="A21" s="1378" t="s">
        <v>42</v>
      </c>
      <c r="B21" s="1379"/>
      <c r="C21" s="1382" t="s">
        <v>43</v>
      </c>
      <c r="D21" s="1383"/>
      <c r="E21" s="77" t="s">
        <v>44</v>
      </c>
      <c r="F21" s="78"/>
      <c r="G21" s="77" t="s">
        <v>45</v>
      </c>
      <c r="H21" s="78"/>
      <c r="I21" s="79" t="s">
        <v>46</v>
      </c>
      <c r="Q21" s="48"/>
      <c r="R21" s="16"/>
      <c r="S21" s="16"/>
      <c r="T21" s="16"/>
      <c r="U21" s="7"/>
    </row>
    <row r="22" spans="1:23" ht="15.75" customHeight="1">
      <c r="A22" s="1380"/>
      <c r="B22" s="1381"/>
      <c r="C22" s="80" t="s">
        <v>47</v>
      </c>
      <c r="D22" s="80" t="s">
        <v>48</v>
      </c>
      <c r="E22" s="81">
        <f>A7</f>
        <v>45524</v>
      </c>
      <c r="F22" s="82"/>
      <c r="G22" s="83">
        <f>A15</f>
        <v>45768</v>
      </c>
      <c r="H22" s="82"/>
      <c r="I22" s="84">
        <f>A17</f>
        <v>45891</v>
      </c>
      <c r="Q22" s="48"/>
      <c r="R22" s="21"/>
      <c r="S22" s="21"/>
      <c r="T22" s="16"/>
      <c r="U22" s="7"/>
    </row>
    <row r="23" spans="1:23" ht="15.75" customHeight="1">
      <c r="A23" s="85"/>
      <c r="B23" s="86" t="s">
        <v>50</v>
      </c>
      <c r="C23" s="9">
        <f>AVERAGE('20250421_Probes_AU'!I5,AU!P14)</f>
        <v>0.51847500000000002</v>
      </c>
      <c r="D23" s="9"/>
      <c r="E23" s="8"/>
      <c r="F23" s="8"/>
      <c r="G23" s="87"/>
      <c r="H23" s="9"/>
      <c r="I23" s="88"/>
      <c r="Q23" s="48"/>
      <c r="R23" s="21"/>
      <c r="S23" s="21"/>
      <c r="T23" s="16"/>
      <c r="U23" s="7"/>
    </row>
    <row r="24" spans="1:23" ht="15.75" customHeight="1">
      <c r="A24" s="85"/>
      <c r="B24" s="86" t="s">
        <v>51</v>
      </c>
      <c r="C24" s="9">
        <f>C25-C23</f>
        <v>-3.2634749999999992</v>
      </c>
      <c r="D24" s="9"/>
      <c r="E24" s="8"/>
      <c r="F24" s="8"/>
      <c r="G24" s="87"/>
      <c r="H24" s="9"/>
      <c r="I24" s="88"/>
      <c r="Q24" s="48"/>
      <c r="R24" s="21"/>
      <c r="S24" s="21"/>
      <c r="T24" s="16"/>
      <c r="U24" s="7"/>
    </row>
    <row r="25" spans="1:23" ht="15.75" customHeight="1">
      <c r="A25" s="85"/>
      <c r="B25" s="86" t="s">
        <v>52</v>
      </c>
      <c r="C25" s="9">
        <f>Q17</f>
        <v>-2.7449999999999992</v>
      </c>
      <c r="D25" s="9"/>
      <c r="E25" s="8"/>
      <c r="F25" s="8"/>
      <c r="G25" s="87"/>
      <c r="H25" s="9"/>
      <c r="I25" s="88"/>
      <c r="N25" s="44"/>
      <c r="Q25" s="48"/>
      <c r="R25" s="21"/>
      <c r="S25" s="21"/>
      <c r="T25" s="16"/>
      <c r="U25" s="7"/>
    </row>
    <row r="26" spans="1:23" ht="15.75" customHeight="1">
      <c r="A26" s="85"/>
      <c r="B26" s="89" t="s">
        <v>53</v>
      </c>
      <c r="C26" s="9">
        <v>0</v>
      </c>
      <c r="D26" s="9"/>
      <c r="E26" s="8"/>
      <c r="F26" s="8"/>
      <c r="G26" s="9"/>
      <c r="H26" s="9"/>
      <c r="I26" s="88"/>
      <c r="Q26" s="48"/>
      <c r="R26" s="21"/>
      <c r="S26" s="21"/>
      <c r="T26" s="16"/>
      <c r="U26" s="7"/>
    </row>
    <row r="27" spans="1:23" ht="15.75" customHeight="1">
      <c r="A27" s="85"/>
      <c r="B27" s="90" t="s">
        <v>54</v>
      </c>
      <c r="C27" s="9" t="s">
        <v>176</v>
      </c>
      <c r="D27" s="9"/>
      <c r="E27" s="8"/>
      <c r="F27" s="8"/>
      <c r="G27" s="9"/>
      <c r="H27" s="9"/>
      <c r="I27" s="88"/>
      <c r="Q27" s="48"/>
      <c r="R27" s="21"/>
      <c r="S27" s="21"/>
      <c r="T27" s="16"/>
      <c r="U27" s="7"/>
    </row>
    <row r="28" spans="1:23" ht="15.75" customHeight="1" thickBot="1">
      <c r="A28" s="91"/>
      <c r="B28" s="92" t="s">
        <v>55</v>
      </c>
      <c r="C28" s="93">
        <v>0</v>
      </c>
      <c r="D28" s="93"/>
      <c r="E28" s="94"/>
      <c r="F28" s="94"/>
      <c r="G28" s="95"/>
      <c r="H28" s="95"/>
      <c r="I28" s="96"/>
      <c r="Q28" s="48"/>
      <c r="R28" s="21"/>
      <c r="S28" s="21"/>
      <c r="T28" s="16"/>
      <c r="U28" s="7"/>
    </row>
    <row r="29" spans="1:23" ht="15.75" customHeight="1">
      <c r="A29" s="7"/>
      <c r="B29" s="7"/>
      <c r="C29" s="7"/>
      <c r="D29" s="7"/>
      <c r="E29" s="7"/>
      <c r="F29" s="7"/>
      <c r="G29" s="7"/>
      <c r="H29" s="7"/>
      <c r="I29" s="7"/>
      <c r="J29" s="7"/>
      <c r="K29" s="7"/>
      <c r="L29" s="7"/>
      <c r="M29" s="7"/>
      <c r="N29" s="7"/>
      <c r="O29" s="7"/>
      <c r="P29" s="7"/>
      <c r="Q29" s="16"/>
      <c r="R29" s="16"/>
      <c r="S29" s="16"/>
      <c r="T29" s="16"/>
      <c r="U29" s="7"/>
    </row>
  </sheetData>
  <mergeCells count="6">
    <mergeCell ref="T1:V1"/>
    <mergeCell ref="T2:U2"/>
    <mergeCell ref="E3:G3"/>
    <mergeCell ref="T3:U3"/>
    <mergeCell ref="A21:B22"/>
    <mergeCell ref="C21:D21"/>
  </mergeCell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0DF5-8F35-47EB-82DA-7E02F16068FE}">
  <dimension ref="A1:E14"/>
  <sheetViews>
    <sheetView topLeftCell="A8" workbookViewId="0">
      <selection activeCell="D17" sqref="D17"/>
    </sheetView>
  </sheetViews>
  <sheetFormatPr defaultColWidth="8.88671875" defaultRowHeight="14.4"/>
  <cols>
    <col min="1" max="1" width="12.5546875" style="992" customWidth="1"/>
    <col min="2" max="2" width="38.109375" style="992" customWidth="1"/>
    <col min="3" max="3" width="14.44140625" style="992" customWidth="1"/>
    <col min="4" max="4" width="65.6640625" style="993" customWidth="1"/>
    <col min="5" max="16384" width="8.88671875" style="990"/>
  </cols>
  <sheetData>
    <row r="1" spans="1:5">
      <c r="A1" s="987" t="s">
        <v>15</v>
      </c>
      <c r="B1" s="987" t="s">
        <v>186</v>
      </c>
      <c r="C1" s="987" t="s">
        <v>187</v>
      </c>
      <c r="D1" s="988" t="s">
        <v>34</v>
      </c>
      <c r="E1" s="989" t="s">
        <v>188</v>
      </c>
    </row>
    <row r="2" spans="1:5">
      <c r="A2" s="1216">
        <v>45765</v>
      </c>
      <c r="B2" s="1217" t="s">
        <v>189</v>
      </c>
      <c r="C2" s="1217" t="s">
        <v>192</v>
      </c>
      <c r="D2" s="1218" t="s">
        <v>193</v>
      </c>
    </row>
    <row r="3" spans="1:5">
      <c r="A3" s="991">
        <v>45772</v>
      </c>
      <c r="B3" s="992" t="s">
        <v>190</v>
      </c>
      <c r="C3" s="992" t="s">
        <v>191</v>
      </c>
      <c r="D3" s="993" t="s">
        <v>194</v>
      </c>
    </row>
    <row r="4" spans="1:5">
      <c r="A4" s="1216">
        <v>45771</v>
      </c>
      <c r="B4" s="1219" t="s">
        <v>203</v>
      </c>
      <c r="C4" s="1217" t="s">
        <v>191</v>
      </c>
      <c r="D4" s="1218"/>
    </row>
    <row r="5" spans="1:5" ht="57.6">
      <c r="A5" s="991">
        <v>45776</v>
      </c>
      <c r="B5" s="1010" t="s">
        <v>190</v>
      </c>
      <c r="C5" s="1010" t="s">
        <v>191</v>
      </c>
      <c r="D5" s="1044" t="s">
        <v>210</v>
      </c>
    </row>
    <row r="6" spans="1:5">
      <c r="A6" s="1216">
        <v>45776</v>
      </c>
      <c r="B6" s="1220" t="s">
        <v>190</v>
      </c>
      <c r="C6" s="1220" t="s">
        <v>235</v>
      </c>
      <c r="D6" s="1221" t="s">
        <v>236</v>
      </c>
    </row>
    <row r="7" spans="1:5">
      <c r="A7" s="991">
        <v>45778</v>
      </c>
      <c r="B7" s="1195" t="s">
        <v>190</v>
      </c>
      <c r="C7" s="1195" t="s">
        <v>191</v>
      </c>
      <c r="D7" s="1196" t="s">
        <v>254</v>
      </c>
    </row>
    <row r="8" spans="1:5" ht="86.4">
      <c r="A8" s="1216">
        <v>45782</v>
      </c>
      <c r="B8" s="1222" t="s">
        <v>258</v>
      </c>
      <c r="C8" s="1222" t="s">
        <v>259</v>
      </c>
      <c r="D8" s="1223" t="s">
        <v>260</v>
      </c>
    </row>
    <row r="9" spans="1:5" ht="57.6">
      <c r="A9" s="991">
        <v>45873</v>
      </c>
      <c r="B9" s="1225" t="s">
        <v>262</v>
      </c>
      <c r="C9" s="1225" t="s">
        <v>191</v>
      </c>
      <c r="D9" s="1226" t="s">
        <v>264</v>
      </c>
    </row>
    <row r="10" spans="1:5" ht="28.8">
      <c r="A10" s="1216">
        <v>45894</v>
      </c>
      <c r="B10" s="1222" t="s">
        <v>190</v>
      </c>
      <c r="C10" s="1222" t="s">
        <v>191</v>
      </c>
      <c r="D10" s="1230" t="s">
        <v>273</v>
      </c>
    </row>
    <row r="11" spans="1:5">
      <c r="A11" s="991">
        <v>45895</v>
      </c>
      <c r="B11" s="1344" t="s">
        <v>190</v>
      </c>
      <c r="C11" s="1344" t="s">
        <v>207</v>
      </c>
    </row>
    <row r="12" spans="1:5" s="1216" customFormat="1" ht="28.8">
      <c r="A12" s="1216">
        <v>45895</v>
      </c>
      <c r="B12" s="1216" t="s">
        <v>285</v>
      </c>
      <c r="C12" s="1216" t="s">
        <v>191</v>
      </c>
      <c r="D12" s="1365" t="s">
        <v>298</v>
      </c>
    </row>
    <row r="13" spans="1:5" ht="28.8">
      <c r="A13" s="991">
        <v>45896</v>
      </c>
      <c r="B13" s="1366" t="s">
        <v>299</v>
      </c>
      <c r="C13" s="1366" t="s">
        <v>191</v>
      </c>
      <c r="D13" s="1367" t="s">
        <v>302</v>
      </c>
    </row>
    <row r="14" spans="1:5">
      <c r="A14" s="987"/>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4"/>
  <sheetViews>
    <sheetView zoomScaleNormal="100" workbookViewId="0">
      <pane xSplit="3" topLeftCell="D1" activePane="topRight" state="frozen"/>
      <selection pane="topRight" activeCell="C41" sqref="C41"/>
    </sheetView>
  </sheetViews>
  <sheetFormatPr defaultColWidth="17.33203125" defaultRowHeight="15.75" customHeight="1"/>
  <cols>
    <col min="1" max="1" width="12.44140625" style="210" customWidth="1"/>
    <col min="2" max="2" width="28" style="210" bestFit="1" customWidth="1"/>
    <col min="3" max="3" width="11.33203125" style="210" bestFit="1" customWidth="1"/>
    <col min="4" max="4" width="20" style="210" bestFit="1" customWidth="1"/>
    <col min="5" max="5" width="10.5546875" style="210" bestFit="1" customWidth="1"/>
    <col min="6" max="7" width="13.6640625" style="210" bestFit="1" customWidth="1"/>
    <col min="8" max="8" width="14.44140625" style="210" bestFit="1" customWidth="1"/>
    <col min="9" max="9" width="17.33203125" style="210" bestFit="1" customWidth="1"/>
    <col min="10" max="10" width="19.5546875" style="210" bestFit="1" customWidth="1"/>
    <col min="11" max="11" width="16.44140625" style="210" bestFit="1" customWidth="1"/>
    <col min="12" max="12" width="18" style="210" customWidth="1"/>
    <col min="13" max="13" width="22.109375" style="210" customWidth="1"/>
    <col min="14" max="14" width="11.5546875" style="210" bestFit="1" customWidth="1"/>
    <col min="15" max="15" width="11.33203125" style="210" bestFit="1" customWidth="1"/>
    <col min="16" max="16" width="9" style="210" bestFit="1" customWidth="1"/>
    <col min="17" max="17" width="7.88671875" style="210" bestFit="1" customWidth="1"/>
    <col min="18" max="18" width="14.6640625" style="210" bestFit="1" customWidth="1"/>
    <col min="19" max="19" width="20.6640625" style="210" bestFit="1" customWidth="1"/>
    <col min="20" max="20" width="17.109375" style="210" customWidth="1"/>
    <col min="21" max="21" width="13.88671875" style="210" customWidth="1"/>
    <col min="22" max="22" width="12.5546875" style="210" customWidth="1"/>
    <col min="23" max="16384" width="17.33203125" style="210"/>
  </cols>
  <sheetData>
    <row r="1" spans="1:23" ht="35.700000000000003" customHeight="1">
      <c r="A1" s="31"/>
      <c r="B1" s="4"/>
      <c r="C1" s="22"/>
      <c r="D1" s="19"/>
      <c r="E1" s="1373" t="s">
        <v>13</v>
      </c>
      <c r="F1" s="1374"/>
      <c r="G1" s="1375"/>
      <c r="H1" s="52"/>
      <c r="I1" s="244"/>
      <c r="J1" s="5"/>
      <c r="K1" s="244"/>
      <c r="L1" s="55"/>
      <c r="M1" s="2"/>
      <c r="N1" s="5"/>
      <c r="O1" s="64"/>
      <c r="P1" s="5"/>
      <c r="Q1" s="5"/>
      <c r="R1" s="17"/>
      <c r="S1" s="65"/>
      <c r="T1" s="1376" t="s">
        <v>14</v>
      </c>
      <c r="U1" s="1377"/>
      <c r="V1" s="245"/>
      <c r="W1" s="18"/>
    </row>
    <row r="2" spans="1:23" s="211" customFormat="1" ht="35.700000000000003" customHeight="1">
      <c r="A2" s="32" t="s">
        <v>15</v>
      </c>
      <c r="B2" s="6" t="s">
        <v>16</v>
      </c>
      <c r="C2" s="23" t="s">
        <v>17</v>
      </c>
      <c r="D2" s="66" t="s">
        <v>18</v>
      </c>
      <c r="E2" s="67" t="s">
        <v>19</v>
      </c>
      <c r="F2" s="6" t="s">
        <v>20</v>
      </c>
      <c r="G2" s="10" t="s">
        <v>21</v>
      </c>
      <c r="H2" s="53" t="s">
        <v>22</v>
      </c>
      <c r="I2" s="10" t="s">
        <v>23</v>
      </c>
      <c r="J2" s="10" t="s">
        <v>24</v>
      </c>
      <c r="K2" s="6" t="s">
        <v>25</v>
      </c>
      <c r="L2" s="68" t="s">
        <v>26</v>
      </c>
      <c r="M2" s="68" t="s">
        <v>27</v>
      </c>
      <c r="N2" s="10" t="s">
        <v>28</v>
      </c>
      <c r="O2" s="69" t="s">
        <v>29</v>
      </c>
      <c r="P2" s="10" t="s">
        <v>30</v>
      </c>
      <c r="Q2" s="10" t="s">
        <v>31</v>
      </c>
      <c r="R2" s="70" t="s">
        <v>3</v>
      </c>
      <c r="S2" s="71" t="s">
        <v>4</v>
      </c>
      <c r="T2" s="72" t="s">
        <v>32</v>
      </c>
      <c r="U2" s="72" t="s">
        <v>33</v>
      </c>
      <c r="V2" s="73" t="s">
        <v>0</v>
      </c>
      <c r="W2" s="23" t="s">
        <v>34</v>
      </c>
    </row>
    <row r="3" spans="1:23" ht="15.75" customHeight="1" thickBot="1">
      <c r="A3" s="33" t="s">
        <v>35</v>
      </c>
      <c r="B3" s="34"/>
      <c r="C3" s="46"/>
      <c r="D3" s="35"/>
      <c r="E3" s="37" t="s">
        <v>36</v>
      </c>
      <c r="F3" s="37" t="s">
        <v>36</v>
      </c>
      <c r="G3" s="112" t="s">
        <v>36</v>
      </c>
      <c r="H3" s="112" t="s">
        <v>36</v>
      </c>
      <c r="I3" s="37" t="s">
        <v>36</v>
      </c>
      <c r="J3" s="37" t="s">
        <v>36</v>
      </c>
      <c r="K3" s="36" t="s">
        <v>37</v>
      </c>
      <c r="L3" s="376" t="s">
        <v>36</v>
      </c>
      <c r="M3" s="38" t="s">
        <v>36</v>
      </c>
      <c r="N3" s="38" t="s">
        <v>37</v>
      </c>
      <c r="O3" s="75" t="s">
        <v>38</v>
      </c>
      <c r="P3" s="39" t="s">
        <v>38</v>
      </c>
      <c r="Q3" s="39" t="s">
        <v>38</v>
      </c>
      <c r="R3" s="42" t="s">
        <v>38</v>
      </c>
      <c r="S3" s="76" t="s">
        <v>38</v>
      </c>
      <c r="T3" s="40" t="s">
        <v>36</v>
      </c>
      <c r="U3" s="40" t="s">
        <v>36</v>
      </c>
      <c r="V3" s="41" t="s">
        <v>36</v>
      </c>
      <c r="W3" s="43"/>
    </row>
    <row r="4" spans="1:23" s="306" customFormat="1" ht="15.75" customHeight="1">
      <c r="A4" s="305">
        <v>44669</v>
      </c>
      <c r="B4" s="313" t="s">
        <v>79</v>
      </c>
      <c r="C4" s="314" t="s">
        <v>85</v>
      </c>
      <c r="D4" s="315" t="s">
        <v>39</v>
      </c>
      <c r="E4" s="309">
        <v>9.15</v>
      </c>
      <c r="F4" s="309">
        <v>-1.89</v>
      </c>
      <c r="G4" s="310">
        <f>E4-F4</f>
        <v>11.040000000000001</v>
      </c>
      <c r="H4" s="311"/>
      <c r="I4" s="309">
        <f>AVERAGE(1.73,1.96,1.97,1.74)</f>
        <v>1.85</v>
      </c>
      <c r="J4" s="309">
        <v>1.61</v>
      </c>
      <c r="K4" s="312">
        <f>(0.4+0.32)/2</f>
        <v>0.36</v>
      </c>
      <c r="L4" s="377">
        <f>G4-I4</f>
        <v>9.1900000000000013</v>
      </c>
      <c r="M4" s="302"/>
      <c r="N4" s="310"/>
      <c r="O4" s="309"/>
      <c r="P4" s="309">
        <f>I4*K4</f>
        <v>0.66600000000000004</v>
      </c>
      <c r="Q4" s="309"/>
      <c r="R4" s="309"/>
      <c r="S4" s="310"/>
      <c r="T4" s="309"/>
      <c r="U4" s="309"/>
      <c r="V4" s="310"/>
      <c r="W4" s="378"/>
    </row>
    <row r="5" spans="1:23" s="306" customFormat="1" ht="15.75" customHeight="1">
      <c r="A5" s="305">
        <v>44797</v>
      </c>
      <c r="B5" s="306" t="s">
        <v>90</v>
      </c>
      <c r="C5" s="307" t="s">
        <v>85</v>
      </c>
      <c r="D5" s="308" t="s">
        <v>40</v>
      </c>
      <c r="E5" s="309">
        <v>9.15</v>
      </c>
      <c r="F5" s="309">
        <v>3.08</v>
      </c>
      <c r="G5" s="310">
        <f>E5-F5</f>
        <v>6.07</v>
      </c>
      <c r="H5" s="311"/>
      <c r="I5" s="309"/>
      <c r="J5" s="309"/>
      <c r="K5" s="312"/>
      <c r="L5" s="377"/>
      <c r="M5" s="309"/>
      <c r="N5" s="310"/>
      <c r="O5" s="309">
        <f>Q5-P4</f>
        <v>-3.4740000000000011</v>
      </c>
      <c r="Q5" s="309">
        <f>(G5-L4)*0.9</f>
        <v>-2.8080000000000012</v>
      </c>
      <c r="R5" s="309"/>
      <c r="S5" s="310">
        <v>0</v>
      </c>
      <c r="T5" s="309"/>
      <c r="U5" s="309"/>
      <c r="V5" s="310"/>
      <c r="W5" s="307"/>
    </row>
    <row r="6" spans="1:23" s="306" customFormat="1" ht="15.75" customHeight="1">
      <c r="A6" s="305">
        <v>45033</v>
      </c>
      <c r="B6" s="306" t="s">
        <v>93</v>
      </c>
      <c r="C6" s="307" t="s">
        <v>85</v>
      </c>
      <c r="D6" s="308" t="s">
        <v>39</v>
      </c>
      <c r="E6" s="309">
        <v>8.6</v>
      </c>
      <c r="F6" s="309">
        <v>0.86</v>
      </c>
      <c r="G6" s="310">
        <f>E6-F6</f>
        <v>7.7399999999999993</v>
      </c>
      <c r="H6" s="310"/>
      <c r="I6" s="309">
        <v>1.88</v>
      </c>
      <c r="J6" s="309">
        <v>1.9</v>
      </c>
      <c r="K6" s="312">
        <v>0.39</v>
      </c>
      <c r="L6" s="377">
        <f>G6-I6</f>
        <v>5.8599999999999994</v>
      </c>
      <c r="M6" s="309"/>
      <c r="N6" s="310"/>
      <c r="O6" s="309"/>
      <c r="P6" s="309">
        <f>J6*K6</f>
        <v>0.74099999999999999</v>
      </c>
      <c r="Q6" s="309"/>
      <c r="R6" s="309">
        <f>(L6-G5)*0.9</f>
        <v>-0.18900000000000078</v>
      </c>
      <c r="S6" s="310"/>
      <c r="T6" s="309">
        <v>579444.03799999994</v>
      </c>
      <c r="U6" s="309">
        <v>7016902.6040000003</v>
      </c>
      <c r="V6" s="310">
        <v>1533.3910000000001</v>
      </c>
      <c r="W6" s="307"/>
    </row>
    <row r="7" spans="1:23" s="306" customFormat="1" ht="15.75" customHeight="1">
      <c r="A7" s="305">
        <v>45161</v>
      </c>
      <c r="B7" s="306" t="s">
        <v>99</v>
      </c>
      <c r="C7" s="307" t="s">
        <v>85</v>
      </c>
      <c r="D7" s="308" t="s">
        <v>40</v>
      </c>
      <c r="E7" s="309">
        <f>3.05+5.55</f>
        <v>8.6</v>
      </c>
      <c r="F7" s="309">
        <f>0.14+5.55</f>
        <v>5.6899999999999995</v>
      </c>
      <c r="G7" s="310">
        <f>E7-F7</f>
        <v>2.91</v>
      </c>
      <c r="H7" s="310"/>
      <c r="I7" s="309"/>
      <c r="J7" s="309"/>
      <c r="K7" s="312"/>
      <c r="L7" s="377"/>
      <c r="M7" s="309"/>
      <c r="N7" s="310"/>
      <c r="O7" s="309">
        <f t="shared" ref="O7" si="0">Q7-P6</f>
        <v>-3.3959999999999995</v>
      </c>
      <c r="P7" s="309"/>
      <c r="Q7" s="309">
        <f t="shared" ref="Q7" si="1">(G7-L6)*0.9</f>
        <v>-2.6549999999999994</v>
      </c>
      <c r="R7" s="309"/>
      <c r="S7" s="310">
        <v>0</v>
      </c>
      <c r="T7" s="309"/>
      <c r="U7" s="309"/>
      <c r="V7" s="310"/>
      <c r="W7" s="307"/>
    </row>
    <row r="8" spans="1:23" s="306" customFormat="1" ht="15.75" customHeight="1">
      <c r="A8" s="305">
        <v>45400</v>
      </c>
      <c r="B8" s="306" t="s">
        <v>101</v>
      </c>
      <c r="C8" s="307" t="s">
        <v>85</v>
      </c>
      <c r="D8" s="308" t="s">
        <v>83</v>
      </c>
      <c r="E8" s="978" t="s">
        <v>169</v>
      </c>
      <c r="F8" s="309"/>
      <c r="G8" s="310"/>
      <c r="H8" s="310"/>
      <c r="I8" s="309"/>
      <c r="J8" s="309"/>
      <c r="K8" s="312"/>
      <c r="L8" s="377"/>
      <c r="M8" s="309"/>
      <c r="N8" s="310"/>
      <c r="O8" s="309"/>
      <c r="P8" s="309"/>
      <c r="Q8" s="309"/>
      <c r="R8" s="309"/>
      <c r="S8" s="310"/>
      <c r="T8" s="309">
        <v>579447.098</v>
      </c>
      <c r="U8" s="309">
        <v>7016881.0429999996</v>
      </c>
      <c r="V8" s="310">
        <v>1529.56</v>
      </c>
      <c r="W8" s="307"/>
    </row>
    <row r="9" spans="1:23" s="212" customFormat="1" ht="15.75" customHeight="1">
      <c r="A9" s="299"/>
      <c r="C9" s="300"/>
      <c r="D9" s="301"/>
      <c r="E9" s="977"/>
      <c r="F9" s="302"/>
      <c r="G9" s="303"/>
      <c r="H9" s="303"/>
      <c r="I9" s="302"/>
      <c r="J9" s="302"/>
      <c r="K9" s="304"/>
      <c r="L9" s="381"/>
      <c r="M9" s="302"/>
      <c r="N9" s="303"/>
      <c r="O9" s="302"/>
      <c r="P9" s="302"/>
      <c r="Q9" s="302"/>
      <c r="R9" s="302"/>
      <c r="S9" s="303"/>
      <c r="T9" s="302"/>
      <c r="U9" s="302"/>
      <c r="V9" s="303"/>
      <c r="W9" s="300"/>
    </row>
    <row r="10" spans="1:23" s="370" customFormat="1" ht="15.75" customHeight="1">
      <c r="A10" s="369">
        <v>45033</v>
      </c>
      <c r="B10" s="370" t="s">
        <v>98</v>
      </c>
      <c r="C10" s="372" t="s">
        <v>100</v>
      </c>
      <c r="D10" s="373" t="s">
        <v>39</v>
      </c>
      <c r="E10" s="371">
        <v>9.15</v>
      </c>
      <c r="F10" s="371">
        <v>0.96</v>
      </c>
      <c r="G10" s="379">
        <f>E10-F10</f>
        <v>8.1900000000000013</v>
      </c>
      <c r="H10" s="379"/>
      <c r="I10" s="371">
        <f>J10</f>
        <v>1.9</v>
      </c>
      <c r="J10" s="371">
        <v>1.9</v>
      </c>
      <c r="K10" s="374">
        <v>0.39</v>
      </c>
      <c r="L10" s="375">
        <f>G10-I10</f>
        <v>6.2900000000000009</v>
      </c>
      <c r="M10" s="371"/>
      <c r="N10" s="379"/>
      <c r="O10" s="371"/>
      <c r="P10" s="371">
        <f>I10*K10</f>
        <v>0.74099999999999999</v>
      </c>
      <c r="Q10" s="371"/>
      <c r="R10" s="371"/>
      <c r="S10" s="379"/>
      <c r="T10" s="371"/>
      <c r="U10" s="371"/>
      <c r="V10" s="379"/>
      <c r="W10" s="372"/>
    </row>
    <row r="11" spans="1:23" s="370" customFormat="1" ht="15.75" customHeight="1">
      <c r="A11" s="369">
        <v>45161</v>
      </c>
      <c r="B11" s="370" t="s">
        <v>98</v>
      </c>
      <c r="C11" s="372" t="s">
        <v>100</v>
      </c>
      <c r="D11" s="373" t="s">
        <v>40</v>
      </c>
      <c r="E11" s="371">
        <v>9.15</v>
      </c>
      <c r="F11" s="370">
        <f>6.1-0.29</f>
        <v>5.81</v>
      </c>
      <c r="G11" s="379">
        <f>E11-F11</f>
        <v>3.3400000000000007</v>
      </c>
      <c r="H11" s="379">
        <f>G11-G10</f>
        <v>-4.8500000000000005</v>
      </c>
      <c r="I11" s="371">
        <v>0</v>
      </c>
      <c r="J11" s="371">
        <v>0</v>
      </c>
      <c r="K11" s="374"/>
      <c r="L11" s="375">
        <f>L10</f>
        <v>6.2900000000000009</v>
      </c>
      <c r="M11" s="371"/>
      <c r="N11" s="379"/>
      <c r="O11" s="371">
        <f>Q11-P10</f>
        <v>-3.3960000000000004</v>
      </c>
      <c r="Q11" s="371">
        <f>(G11-L11)*0.9</f>
        <v>-2.6550000000000002</v>
      </c>
      <c r="R11" s="371"/>
      <c r="S11" s="379">
        <v>0</v>
      </c>
      <c r="T11" s="371"/>
      <c r="U11" s="371"/>
      <c r="V11" s="379"/>
      <c r="W11" s="372"/>
    </row>
    <row r="12" spans="1:23" s="370" customFormat="1" ht="15.75" customHeight="1">
      <c r="A12" s="369">
        <v>45400</v>
      </c>
      <c r="B12" s="370" t="s">
        <v>101</v>
      </c>
      <c r="C12" s="372" t="s">
        <v>100</v>
      </c>
      <c r="D12" s="373" t="s">
        <v>39</v>
      </c>
      <c r="E12" s="371">
        <v>6.1</v>
      </c>
      <c r="F12" s="371">
        <v>1.71</v>
      </c>
      <c r="G12" s="379">
        <f>E12-F12</f>
        <v>4.3899999999999997</v>
      </c>
      <c r="H12" s="379"/>
      <c r="I12" s="371">
        <f>(1.55+1.56+1.62+1.5)/4</f>
        <v>1.5575000000000001</v>
      </c>
      <c r="J12" s="371">
        <f>(1.55+1.56+1.62+1.5+1.65+1.67+1.7+1.62)/8</f>
        <v>1.6087500000000001</v>
      </c>
      <c r="K12" s="374">
        <v>0.39</v>
      </c>
      <c r="L12" s="375">
        <f>G12-I12</f>
        <v>2.8324999999999996</v>
      </c>
      <c r="M12" s="371"/>
      <c r="N12" s="379"/>
      <c r="O12" s="371"/>
      <c r="P12" s="371">
        <f>K12*J12</f>
        <v>0.62741250000000004</v>
      </c>
      <c r="Q12" s="371"/>
      <c r="R12" s="371">
        <f>(L12-G11)*0.9</f>
        <v>-0.45675000000000104</v>
      </c>
      <c r="S12" s="379"/>
      <c r="T12" s="371">
        <v>579462.84100000001</v>
      </c>
      <c r="U12" s="371">
        <v>7016895.9299999997</v>
      </c>
      <c r="V12" s="379">
        <v>1530.7619999999999</v>
      </c>
      <c r="W12" s="372"/>
    </row>
    <row r="13" spans="1:23" s="212" customFormat="1" ht="15.75" customHeight="1">
      <c r="A13" s="299"/>
      <c r="C13" s="300"/>
      <c r="D13" s="301"/>
      <c r="E13" s="302"/>
      <c r="F13" s="302"/>
      <c r="G13" s="303"/>
      <c r="H13" s="303"/>
      <c r="I13" s="302"/>
      <c r="J13" s="302"/>
      <c r="K13" s="304"/>
      <c r="L13" s="381"/>
      <c r="M13" s="302"/>
      <c r="N13" s="303"/>
      <c r="O13" s="302"/>
      <c r="Q13" s="302"/>
      <c r="R13" s="302"/>
      <c r="S13" s="303"/>
      <c r="T13" s="302"/>
      <c r="U13" s="302"/>
      <c r="V13" s="303"/>
      <c r="W13" s="300"/>
    </row>
    <row r="14" spans="1:23" s="383" customFormat="1" ht="15.75" customHeight="1">
      <c r="A14" s="382">
        <v>45400</v>
      </c>
      <c r="B14" s="383" t="s">
        <v>101</v>
      </c>
      <c r="C14" s="384" t="s">
        <v>170</v>
      </c>
      <c r="D14" s="385" t="s">
        <v>39</v>
      </c>
      <c r="E14" s="386">
        <v>12</v>
      </c>
      <c r="F14" s="386">
        <v>7.0000000000000007E-2</v>
      </c>
      <c r="G14" s="387">
        <f>E14-F14</f>
        <v>11.93</v>
      </c>
      <c r="H14" s="387"/>
      <c r="I14" s="386">
        <f>(1.65+1.67+1.7+1.62)/4</f>
        <v>1.66</v>
      </c>
      <c r="J14" s="386">
        <f>(1.55+1.56+1.62+1.5+1.65+1.67+1.7+1.62)/8</f>
        <v>1.6087500000000001</v>
      </c>
      <c r="K14" s="388">
        <v>0.39</v>
      </c>
      <c r="L14" s="389">
        <f>G14-I14</f>
        <v>10.27</v>
      </c>
      <c r="M14" s="386"/>
      <c r="N14" s="387"/>
      <c r="O14" s="386"/>
      <c r="P14" s="386">
        <f>K14*I14</f>
        <v>0.64739999999999998</v>
      </c>
      <c r="Q14" s="386"/>
      <c r="R14" s="386"/>
      <c r="S14" s="387"/>
      <c r="T14" s="386">
        <v>579454.57200000004</v>
      </c>
      <c r="U14" s="386">
        <v>7016915.2599999998</v>
      </c>
      <c r="V14" s="387">
        <v>1532.681</v>
      </c>
      <c r="W14" s="384"/>
    </row>
    <row r="15" spans="1:23" s="383" customFormat="1" ht="15.75" customHeight="1">
      <c r="A15" s="382">
        <v>45400</v>
      </c>
      <c r="B15" s="383" t="s">
        <v>101</v>
      </c>
      <c r="C15" s="384" t="s">
        <v>170</v>
      </c>
      <c r="D15" s="385"/>
      <c r="E15" s="386">
        <v>10</v>
      </c>
      <c r="F15" s="386">
        <f>E15-G15</f>
        <v>-1.9299999999999997</v>
      </c>
      <c r="G15" s="387">
        <v>11.93</v>
      </c>
      <c r="H15" s="387"/>
      <c r="I15" s="386"/>
      <c r="J15" s="386"/>
      <c r="K15" s="388"/>
      <c r="L15" s="389"/>
      <c r="M15" s="386"/>
      <c r="N15" s="387"/>
      <c r="O15" s="386"/>
      <c r="P15" s="386"/>
      <c r="Q15" s="386"/>
      <c r="R15" s="386"/>
      <c r="S15" s="387"/>
      <c r="T15" s="386"/>
      <c r="U15" s="386"/>
      <c r="V15" s="387"/>
      <c r="W15" s="384"/>
    </row>
    <row r="16" spans="1:23" s="383" customFormat="1" ht="15.75" customHeight="1">
      <c r="A16" s="382">
        <v>45524</v>
      </c>
      <c r="B16" s="383" t="s">
        <v>180</v>
      </c>
      <c r="C16" s="384" t="s">
        <v>170</v>
      </c>
      <c r="D16" s="385" t="s">
        <v>40</v>
      </c>
      <c r="E16" s="386">
        <v>10</v>
      </c>
      <c r="F16" s="386">
        <v>2.31</v>
      </c>
      <c r="G16" s="387">
        <f>E16-F16</f>
        <v>7.6899999999999995</v>
      </c>
      <c r="H16" s="387">
        <f>G16-G14</f>
        <v>-4.24</v>
      </c>
      <c r="I16" s="386"/>
      <c r="J16" s="386"/>
      <c r="K16" s="388"/>
      <c r="L16" s="389"/>
      <c r="M16" s="386"/>
      <c r="N16" s="387"/>
      <c r="O16" s="386">
        <f>Q16-P14</f>
        <v>-2.9694000000000003</v>
      </c>
      <c r="Q16" s="386">
        <f>(G16-L14)*0.9</f>
        <v>-2.3220000000000001</v>
      </c>
      <c r="R16" s="386"/>
      <c r="S16" s="387"/>
      <c r="T16" s="386">
        <v>579455.53</v>
      </c>
      <c r="U16" s="386">
        <v>7016905.7450000001</v>
      </c>
      <c r="V16" s="387">
        <v>1528.376</v>
      </c>
      <c r="W16" s="384"/>
    </row>
    <row r="17" spans="1:23" s="383" customFormat="1" ht="15.75" customHeight="1">
      <c r="A17" s="382">
        <v>45768</v>
      </c>
      <c r="B17" s="1023" t="s">
        <v>185</v>
      </c>
      <c r="C17" s="1024" t="s">
        <v>170</v>
      </c>
      <c r="D17" s="1025" t="s">
        <v>39</v>
      </c>
      <c r="E17" s="386">
        <v>10</v>
      </c>
      <c r="F17" s="386">
        <v>0.85499999999999998</v>
      </c>
      <c r="G17" s="387">
        <v>9.15</v>
      </c>
      <c r="H17" s="387"/>
      <c r="I17" s="386">
        <f>AVERAGE('20250421_Pit_AB'!M14:M17)/100</f>
        <v>1.71</v>
      </c>
      <c r="J17" s="386">
        <v>1.79</v>
      </c>
      <c r="K17" s="388">
        <v>0.31</v>
      </c>
      <c r="L17" s="389">
        <f>10-(0.855+1.71)</f>
        <v>7.4350000000000005</v>
      </c>
      <c r="M17" s="386"/>
      <c r="N17" s="387"/>
      <c r="O17" s="386"/>
      <c r="P17" s="386">
        <f>I17*K17</f>
        <v>0.53010000000000002</v>
      </c>
      <c r="Q17" s="386"/>
      <c r="R17" s="386">
        <f>(L17-G16)*0.9</f>
        <v>-0.22949999999999912</v>
      </c>
      <c r="S17" s="387"/>
      <c r="T17" s="386">
        <v>579456.94999999995</v>
      </c>
      <c r="U17" s="386">
        <v>7016892.0279999999</v>
      </c>
      <c r="V17" s="387">
        <v>1529.597</v>
      </c>
      <c r="W17" s="384"/>
    </row>
    <row r="18" spans="1:23" s="383" customFormat="1" ht="15.75" customHeight="1">
      <c r="A18" s="382">
        <v>45890</v>
      </c>
      <c r="B18" s="1023" t="s">
        <v>195</v>
      </c>
      <c r="C18" s="1024" t="s">
        <v>170</v>
      </c>
      <c r="D18" s="1025" t="s">
        <v>40</v>
      </c>
      <c r="E18" s="386">
        <v>10</v>
      </c>
      <c r="F18" s="386"/>
      <c r="G18" s="387"/>
      <c r="H18" s="387"/>
      <c r="I18" s="386"/>
      <c r="J18" s="386"/>
      <c r="K18" s="388"/>
      <c r="L18" s="389"/>
      <c r="M18" s="386"/>
      <c r="N18" s="387"/>
      <c r="O18" s="386"/>
      <c r="P18" s="386"/>
      <c r="Q18" s="386"/>
      <c r="R18" s="386"/>
      <c r="S18" s="387"/>
      <c r="T18" s="386"/>
      <c r="U18" s="386"/>
      <c r="V18" s="387"/>
      <c r="W18" s="384"/>
    </row>
    <row r="19" spans="1:23" s="383" customFormat="1" ht="15.75" customHeight="1">
      <c r="A19" s="382">
        <v>45890</v>
      </c>
      <c r="B19" s="1023" t="s">
        <v>195</v>
      </c>
      <c r="C19" s="1024" t="s">
        <v>170</v>
      </c>
      <c r="D19" s="1025" t="s">
        <v>40</v>
      </c>
      <c r="E19" s="386">
        <v>6</v>
      </c>
      <c r="F19" s="386">
        <v>1.0900000000000001</v>
      </c>
      <c r="G19" s="387">
        <v>4.91</v>
      </c>
      <c r="H19" s="387">
        <f>G19-G17</f>
        <v>-4.24</v>
      </c>
      <c r="I19" s="386"/>
      <c r="J19" s="386"/>
      <c r="K19" s="388"/>
      <c r="L19" s="389"/>
      <c r="M19" s="386"/>
      <c r="N19" s="387"/>
      <c r="O19" s="386">
        <f>Q19-P17</f>
        <v>-2.8026000000000004</v>
      </c>
      <c r="P19" s="386"/>
      <c r="Q19" s="386">
        <f>(G19-L17)*0.9</f>
        <v>-2.2725000000000004</v>
      </c>
      <c r="R19" s="386"/>
      <c r="S19" s="387"/>
      <c r="T19" s="386"/>
      <c r="U19" s="386"/>
      <c r="V19" s="387"/>
      <c r="W19" s="384"/>
    </row>
    <row r="20" spans="1:23" s="383" customFormat="1" ht="15.75" customHeight="1">
      <c r="A20" s="382">
        <v>45891</v>
      </c>
      <c r="B20" s="1023" t="s">
        <v>195</v>
      </c>
      <c r="C20" s="1024" t="s">
        <v>170</v>
      </c>
      <c r="D20" s="1025" t="s">
        <v>40</v>
      </c>
      <c r="E20" s="386">
        <v>6</v>
      </c>
      <c r="F20" s="386">
        <v>1.1200000000000001</v>
      </c>
      <c r="G20" s="387">
        <f>E20-F20</f>
        <v>4.88</v>
      </c>
      <c r="H20" s="387">
        <f>G20-L17</f>
        <v>-2.5550000000000006</v>
      </c>
      <c r="I20" s="386"/>
      <c r="J20" s="386"/>
      <c r="K20" s="388"/>
      <c r="L20" s="389"/>
      <c r="M20" s="386"/>
      <c r="N20" s="387"/>
      <c r="O20" s="386">
        <f>Q20-P17</f>
        <v>-2.8296000000000006</v>
      </c>
      <c r="P20" s="386"/>
      <c r="Q20" s="386">
        <f>H20*0.9</f>
        <v>-2.2995000000000005</v>
      </c>
      <c r="R20" s="386"/>
      <c r="S20" s="387">
        <v>0</v>
      </c>
      <c r="T20" s="386">
        <v>579457.63100000005</v>
      </c>
      <c r="U20" s="386">
        <v>7016883.2230000002</v>
      </c>
      <c r="V20" s="387">
        <v>1525.175</v>
      </c>
      <c r="W20" s="384"/>
    </row>
    <row r="21" spans="1:23" s="212" customFormat="1" ht="15.75" customHeight="1">
      <c r="A21" s="299"/>
      <c r="C21" s="300"/>
      <c r="D21" s="301"/>
      <c r="E21" s="302"/>
      <c r="F21" s="302"/>
      <c r="G21" s="303"/>
      <c r="H21" s="1045"/>
      <c r="I21" s="302"/>
      <c r="J21" s="302"/>
      <c r="K21" s="304"/>
      <c r="L21" s="381"/>
      <c r="M21" s="302"/>
      <c r="N21" s="303"/>
      <c r="O21" s="302"/>
      <c r="P21" s="302"/>
      <c r="Q21" s="302"/>
      <c r="R21" s="302"/>
      <c r="S21" s="303"/>
      <c r="T21" s="302"/>
      <c r="U21" s="302"/>
      <c r="V21" s="303"/>
      <c r="W21" s="300"/>
    </row>
    <row r="22" spans="1:23" s="349" customFormat="1" ht="15.75" customHeight="1">
      <c r="A22" s="1348" t="s">
        <v>292</v>
      </c>
      <c r="B22" s="349" t="s">
        <v>287</v>
      </c>
      <c r="C22" s="1349" t="s">
        <v>291</v>
      </c>
      <c r="D22" s="1350" t="s">
        <v>40</v>
      </c>
      <c r="E22" s="1351">
        <v>9.15</v>
      </c>
      <c r="F22" s="1351">
        <f>E22-G22</f>
        <v>4.9000000000000004</v>
      </c>
      <c r="G22" s="1352">
        <v>4.25</v>
      </c>
      <c r="H22" s="1353"/>
      <c r="I22" s="1351"/>
      <c r="J22" s="1351"/>
      <c r="K22" s="1354"/>
      <c r="L22" s="1355"/>
      <c r="M22" s="1351"/>
      <c r="N22" s="1352"/>
      <c r="O22" s="1351"/>
      <c r="P22" s="1351"/>
      <c r="Q22" s="1351"/>
      <c r="R22" s="1351"/>
      <c r="S22" s="1352"/>
      <c r="T22" s="1351"/>
      <c r="U22" s="1351"/>
      <c r="V22" s="1352"/>
      <c r="W22" s="1349"/>
    </row>
    <row r="23" spans="1:23" s="349" customFormat="1" ht="15.75" customHeight="1">
      <c r="A23" s="1348" t="s">
        <v>293</v>
      </c>
      <c r="B23" s="349" t="s">
        <v>287</v>
      </c>
      <c r="C23" s="1349" t="s">
        <v>291</v>
      </c>
      <c r="D23" s="1350" t="s">
        <v>39</v>
      </c>
      <c r="E23" s="1351" t="s">
        <v>67</v>
      </c>
      <c r="F23" s="1351"/>
      <c r="G23" s="1352"/>
      <c r="H23" s="1353"/>
      <c r="I23" s="1351"/>
      <c r="J23" s="1351"/>
      <c r="K23" s="1354"/>
      <c r="L23" s="1355"/>
      <c r="M23" s="1351"/>
      <c r="N23" s="1352"/>
      <c r="O23" s="1351"/>
      <c r="P23" s="1351"/>
      <c r="Q23" s="1351"/>
      <c r="R23" s="1351"/>
      <c r="S23" s="1352"/>
      <c r="T23" s="1351"/>
      <c r="U23" s="1351"/>
      <c r="V23" s="1352"/>
      <c r="W23" s="1349"/>
    </row>
    <row r="24" spans="1:23" s="349" customFormat="1" ht="15.75" customHeight="1">
      <c r="A24" s="1348" t="s">
        <v>294</v>
      </c>
      <c r="B24" s="349" t="s">
        <v>287</v>
      </c>
      <c r="C24" s="1349" t="s">
        <v>291</v>
      </c>
      <c r="D24" s="1350" t="s">
        <v>40</v>
      </c>
      <c r="E24" s="1351"/>
      <c r="F24" s="1351"/>
      <c r="G24" s="1352"/>
      <c r="H24" s="1353"/>
      <c r="I24" s="1351"/>
      <c r="J24" s="1351"/>
      <c r="K24" s="1354"/>
      <c r="L24" s="1355"/>
      <c r="M24" s="1351"/>
      <c r="N24" s="1352"/>
      <c r="O24" s="1351"/>
      <c r="P24" s="1351"/>
      <c r="Q24" s="1351"/>
      <c r="R24" s="1351"/>
      <c r="S24" s="1352"/>
      <c r="T24" s="1351"/>
      <c r="U24" s="1351"/>
      <c r="V24" s="1352"/>
      <c r="W24" s="1349"/>
    </row>
    <row r="25" spans="1:23" s="212" customFormat="1" ht="15.75" customHeight="1">
      <c r="A25" s="299"/>
      <c r="C25" s="300"/>
      <c r="D25" s="301"/>
      <c r="E25" s="302"/>
      <c r="F25" s="302"/>
      <c r="G25" s="303"/>
      <c r="H25" s="1045"/>
      <c r="I25" s="302"/>
      <c r="J25" s="302"/>
      <c r="K25" s="304"/>
      <c r="L25" s="381"/>
      <c r="M25" s="302"/>
      <c r="N25" s="303"/>
      <c r="O25" s="302"/>
      <c r="P25" s="302"/>
      <c r="Q25" s="302"/>
      <c r="R25" s="302"/>
      <c r="S25" s="303"/>
      <c r="T25" s="302"/>
      <c r="U25" s="302"/>
      <c r="V25" s="303"/>
      <c r="W25" s="300"/>
    </row>
    <row r="26" spans="1:23" s="306" customFormat="1" ht="15.75" customHeight="1">
      <c r="A26" s="305">
        <v>45768</v>
      </c>
      <c r="B26" s="313" t="s">
        <v>199</v>
      </c>
      <c r="C26" s="314" t="s">
        <v>206</v>
      </c>
      <c r="D26" s="315" t="s">
        <v>39</v>
      </c>
      <c r="E26" s="309">
        <v>12</v>
      </c>
      <c r="F26" s="309">
        <v>0.01</v>
      </c>
      <c r="G26" s="310">
        <v>11.99</v>
      </c>
      <c r="H26" s="311"/>
      <c r="I26" s="309">
        <f>AVERAGE('20250421_Pit_AB'!M18:M21)/100</f>
        <v>1.905</v>
      </c>
      <c r="J26" s="309">
        <v>1.79</v>
      </c>
      <c r="K26" s="312">
        <v>0.31</v>
      </c>
      <c r="L26" s="377">
        <f>G26-I26</f>
        <v>10.085000000000001</v>
      </c>
      <c r="M26" s="309"/>
      <c r="N26" s="310"/>
      <c r="O26" s="309"/>
      <c r="P26" s="309">
        <f>I26*K26</f>
        <v>0.59055000000000002</v>
      </c>
      <c r="Q26" s="309"/>
      <c r="R26" s="309"/>
      <c r="S26" s="310"/>
      <c r="T26" s="309">
        <v>579462.62300000002</v>
      </c>
      <c r="U26" s="309">
        <v>7016912.443</v>
      </c>
      <c r="V26" s="310">
        <v>1531.5250000000001</v>
      </c>
      <c r="W26" s="307"/>
    </row>
    <row r="27" spans="1:23" s="306" customFormat="1" ht="15.75" customHeight="1">
      <c r="A27" s="305">
        <v>45768</v>
      </c>
      <c r="B27" s="313" t="s">
        <v>199</v>
      </c>
      <c r="C27" s="314" t="s">
        <v>206</v>
      </c>
      <c r="D27" s="315" t="s">
        <v>39</v>
      </c>
      <c r="E27" s="309">
        <v>10</v>
      </c>
      <c r="F27" s="309">
        <v>-1.99</v>
      </c>
      <c r="G27" s="310">
        <v>11.99</v>
      </c>
      <c r="H27" s="311"/>
      <c r="J27" s="309"/>
      <c r="K27" s="312"/>
      <c r="L27" s="377"/>
      <c r="M27" s="309"/>
      <c r="N27" s="310"/>
      <c r="O27" s="309"/>
      <c r="Q27" s="309"/>
      <c r="R27" s="309"/>
      <c r="S27" s="310"/>
      <c r="T27" s="309"/>
      <c r="U27" s="309"/>
      <c r="V27" s="310"/>
      <c r="W27" s="307"/>
    </row>
    <row r="28" spans="1:23" s="306" customFormat="1" ht="15.75" customHeight="1">
      <c r="A28" s="305">
        <v>45890</v>
      </c>
      <c r="B28" s="313" t="s">
        <v>195</v>
      </c>
      <c r="C28" s="314" t="s">
        <v>206</v>
      </c>
      <c r="D28" s="315" t="s">
        <v>40</v>
      </c>
      <c r="E28" s="309">
        <v>8</v>
      </c>
      <c r="F28" s="309">
        <v>0.44</v>
      </c>
      <c r="G28" s="310">
        <v>7.56</v>
      </c>
      <c r="H28" s="311">
        <f>G28-G26</f>
        <v>-4.4300000000000006</v>
      </c>
      <c r="J28" s="309"/>
      <c r="K28" s="312"/>
      <c r="L28" s="377"/>
      <c r="M28" s="309"/>
      <c r="N28" s="310"/>
      <c r="O28" s="309">
        <f>Q28-P26</f>
        <v>-2.8630500000000012</v>
      </c>
      <c r="Q28" s="309">
        <f>(G28-L26)*0.9</f>
        <v>-2.2725000000000013</v>
      </c>
      <c r="R28" s="309"/>
      <c r="S28" s="310"/>
      <c r="T28" s="309"/>
      <c r="U28" s="309"/>
      <c r="V28" s="310"/>
      <c r="W28" s="307"/>
    </row>
    <row r="29" spans="1:23" s="306" customFormat="1" ht="15.75" customHeight="1">
      <c r="A29" s="305">
        <v>45891</v>
      </c>
      <c r="B29" s="313" t="s">
        <v>195</v>
      </c>
      <c r="C29" s="314" t="s">
        <v>206</v>
      </c>
      <c r="D29" s="315" t="s">
        <v>40</v>
      </c>
      <c r="E29" s="309">
        <v>10</v>
      </c>
      <c r="F29" s="309">
        <v>2.52</v>
      </c>
      <c r="G29" s="310">
        <f>E29-F29</f>
        <v>7.48</v>
      </c>
      <c r="H29" s="311">
        <f>G29-L26</f>
        <v>-2.6050000000000004</v>
      </c>
      <c r="J29" s="309"/>
      <c r="K29" s="312"/>
      <c r="L29" s="377"/>
      <c r="M29" s="309"/>
      <c r="N29" s="310"/>
      <c r="O29" s="309">
        <f>Q29-P26</f>
        <v>-2.9350500000000004</v>
      </c>
      <c r="Q29" s="309">
        <f>H29*0.9</f>
        <v>-2.3445000000000005</v>
      </c>
      <c r="R29" s="309"/>
      <c r="S29" s="310">
        <v>0</v>
      </c>
      <c r="T29" s="309"/>
      <c r="U29" s="309"/>
      <c r="V29" s="310"/>
      <c r="W29" s="307"/>
    </row>
    <row r="30" spans="1:23" s="306" customFormat="1" ht="15.75" customHeight="1">
      <c r="A30" s="305">
        <v>45891</v>
      </c>
      <c r="B30" s="313" t="s">
        <v>195</v>
      </c>
      <c r="C30" s="314" t="s">
        <v>206</v>
      </c>
      <c r="D30" s="315" t="s">
        <v>40</v>
      </c>
      <c r="E30" s="309">
        <v>11</v>
      </c>
      <c r="F30" s="309">
        <f>F29+1</f>
        <v>3.52</v>
      </c>
      <c r="G30" s="310">
        <f>G29</f>
        <v>7.48</v>
      </c>
      <c r="H30" s="311"/>
      <c r="J30" s="309"/>
      <c r="K30" s="312"/>
      <c r="L30" s="377"/>
      <c r="M30" s="309"/>
      <c r="N30" s="310"/>
      <c r="O30" s="309"/>
      <c r="Q30" s="309"/>
      <c r="R30" s="309"/>
      <c r="S30" s="310"/>
      <c r="T30" s="309">
        <v>579463.71100000001</v>
      </c>
      <c r="U30" s="309">
        <v>7016903.0209999997</v>
      </c>
      <c r="V30" s="310">
        <v>1526.83</v>
      </c>
      <c r="W30" s="307"/>
    </row>
    <row r="31" spans="1:23" s="306" customFormat="1" ht="15.75" customHeight="1">
      <c r="A31" s="305"/>
      <c r="B31" s="313"/>
      <c r="C31" s="314"/>
      <c r="D31" s="315"/>
      <c r="E31" s="309"/>
      <c r="F31" s="309"/>
      <c r="G31" s="310"/>
      <c r="H31" s="311"/>
      <c r="J31" s="309"/>
      <c r="K31" s="312"/>
      <c r="L31" s="377"/>
      <c r="M31" s="309"/>
      <c r="N31" s="310"/>
      <c r="O31" s="309"/>
      <c r="Q31" s="309"/>
      <c r="R31" s="309"/>
      <c r="S31" s="310"/>
      <c r="T31" s="309"/>
      <c r="U31" s="309"/>
      <c r="V31" s="310"/>
      <c r="W31" s="307"/>
    </row>
    <row r="32" spans="1:23" s="212" customFormat="1" ht="15.75" customHeight="1">
      <c r="A32" s="299"/>
      <c r="C32" s="300"/>
      <c r="D32" s="301"/>
      <c r="E32" s="302"/>
      <c r="F32" s="302"/>
      <c r="G32" s="303"/>
      <c r="H32" s="1045"/>
      <c r="I32" s="302"/>
      <c r="J32" s="302"/>
      <c r="K32" s="304"/>
      <c r="L32" s="381"/>
      <c r="M32" s="302"/>
      <c r="N32" s="303"/>
      <c r="O32" s="302"/>
      <c r="Q32" s="302"/>
      <c r="R32" s="302"/>
      <c r="S32" s="303"/>
      <c r="T32" s="302"/>
      <c r="U32" s="302"/>
      <c r="V32" s="303"/>
      <c r="W32" s="300"/>
    </row>
    <row r="33" spans="1:22" s="370" customFormat="1" ht="15.75" customHeight="1">
      <c r="A33" s="369">
        <v>45768</v>
      </c>
      <c r="B33" s="370" t="s">
        <v>290</v>
      </c>
      <c r="C33" s="370" t="s">
        <v>289</v>
      </c>
      <c r="D33" s="370" t="s">
        <v>39</v>
      </c>
      <c r="E33" s="371">
        <v>9.15</v>
      </c>
      <c r="F33" s="371"/>
      <c r="G33" s="371"/>
      <c r="H33" s="371"/>
      <c r="I33" s="371">
        <f>AVERAGE(1.8, 1.76, 1.78,1.81)</f>
        <v>1.7875000000000001</v>
      </c>
      <c r="J33" s="371"/>
      <c r="K33" s="371"/>
      <c r="L33" s="371"/>
      <c r="M33" s="371"/>
      <c r="N33" s="371"/>
      <c r="O33" s="371"/>
      <c r="Q33" s="371"/>
      <c r="R33" s="371"/>
      <c r="S33" s="371"/>
      <c r="T33" s="371"/>
      <c r="U33" s="371"/>
      <c r="V33" s="371"/>
    </row>
    <row r="34" spans="1:22" s="370" customFormat="1" ht="15.75" customHeight="1">
      <c r="A34" s="369">
        <v>45890</v>
      </c>
      <c r="B34" s="370" t="s">
        <v>287</v>
      </c>
      <c r="C34" s="370" t="s">
        <v>289</v>
      </c>
      <c r="D34" s="370" t="s">
        <v>40</v>
      </c>
      <c r="E34" s="371"/>
      <c r="F34" s="371"/>
      <c r="G34" s="371"/>
      <c r="H34" s="371"/>
      <c r="I34" s="371"/>
      <c r="J34" s="371"/>
      <c r="K34" s="371"/>
      <c r="L34" s="371"/>
      <c r="M34" s="371"/>
      <c r="N34" s="371"/>
      <c r="O34" s="371"/>
      <c r="Q34" s="371"/>
      <c r="R34" s="371"/>
      <c r="S34" s="371"/>
      <c r="T34" s="371"/>
      <c r="U34" s="371"/>
      <c r="V34" s="371"/>
    </row>
    <row r="35" spans="1:22" ht="15.75" customHeight="1" thickBot="1">
      <c r="A35" s="13"/>
      <c r="B35" s="13"/>
      <c r="C35" s="13"/>
      <c r="D35" s="13"/>
      <c r="E35" s="14"/>
      <c r="F35" s="14"/>
      <c r="G35" s="13"/>
      <c r="H35" s="13"/>
      <c r="I35" s="13"/>
      <c r="J35" s="13"/>
      <c r="K35" s="13"/>
      <c r="L35" s="13"/>
      <c r="M35" s="13"/>
      <c r="N35" s="13"/>
      <c r="O35" s="13"/>
      <c r="P35" s="13"/>
      <c r="Q35" s="13"/>
      <c r="R35" s="13"/>
      <c r="S35" s="13"/>
      <c r="T35" s="13"/>
      <c r="U35" s="13"/>
    </row>
    <row r="36" spans="1:22" ht="15.75" customHeight="1">
      <c r="A36" s="1378" t="s">
        <v>42</v>
      </c>
      <c r="B36" s="1379"/>
      <c r="C36" s="1382" t="s">
        <v>43</v>
      </c>
      <c r="D36" s="1383"/>
      <c r="E36" s="77" t="s">
        <v>44</v>
      </c>
      <c r="F36" s="213"/>
      <c r="G36" s="77" t="s">
        <v>45</v>
      </c>
      <c r="H36" s="213"/>
      <c r="I36" s="79" t="s">
        <v>46</v>
      </c>
      <c r="L36" s="583"/>
      <c r="Q36" s="212"/>
      <c r="R36" s="214"/>
      <c r="S36" s="214"/>
      <c r="T36" s="214"/>
      <c r="U36" s="13"/>
    </row>
    <row r="37" spans="1:22" ht="15.75" customHeight="1">
      <c r="A37" s="1380"/>
      <c r="B37" s="1381"/>
      <c r="C37" s="82" t="s">
        <v>47</v>
      </c>
      <c r="D37" s="82" t="s">
        <v>48</v>
      </c>
      <c r="E37" s="215">
        <f>A16</f>
        <v>45524</v>
      </c>
      <c r="F37" s="82"/>
      <c r="G37" s="216">
        <f>A26</f>
        <v>45768</v>
      </c>
      <c r="H37" s="82"/>
      <c r="I37" s="217">
        <f>A20</f>
        <v>45891</v>
      </c>
      <c r="Q37" s="212"/>
      <c r="R37" s="218"/>
      <c r="S37" s="218"/>
      <c r="T37" s="214"/>
      <c r="U37" s="13"/>
    </row>
    <row r="38" spans="1:22" ht="15.75" customHeight="1">
      <c r="A38" s="219"/>
      <c r="B38" s="220" t="s">
        <v>50</v>
      </c>
      <c r="C38" s="221">
        <f>AVERAGE('20250419_Pit_B'!I5,AB!P17,AB!P26)</f>
        <v>0.73184882677708762</v>
      </c>
      <c r="D38" s="221"/>
      <c r="E38" s="222"/>
      <c r="F38" s="222"/>
      <c r="G38" s="223"/>
      <c r="H38" s="221"/>
      <c r="I38" s="224"/>
      <c r="Q38" s="212"/>
      <c r="R38" s="218"/>
      <c r="S38" s="218"/>
      <c r="T38" s="214"/>
      <c r="U38" s="13"/>
    </row>
    <row r="39" spans="1:22" ht="15.75" customHeight="1">
      <c r="A39" s="219"/>
      <c r="B39" s="220" t="s">
        <v>51</v>
      </c>
      <c r="C39" s="221">
        <f>C40-C38</f>
        <v>-3.053848826777088</v>
      </c>
      <c r="D39" s="221"/>
      <c r="E39" s="222"/>
      <c r="F39" s="222"/>
      <c r="G39" s="223"/>
      <c r="H39" s="221"/>
      <c r="I39" s="224"/>
      <c r="Q39" s="212"/>
      <c r="R39" s="218"/>
      <c r="S39" s="218"/>
      <c r="T39" s="214"/>
      <c r="U39" s="13"/>
    </row>
    <row r="40" spans="1:22" ht="15.75" customHeight="1">
      <c r="A40" s="219"/>
      <c r="B40" s="220" t="s">
        <v>52</v>
      </c>
      <c r="C40" s="221">
        <f>AVERAGE(Q20,Q29)</f>
        <v>-2.3220000000000005</v>
      </c>
      <c r="D40" s="221"/>
      <c r="E40" s="222"/>
      <c r="F40" s="222"/>
      <c r="G40" s="223"/>
      <c r="H40" s="221"/>
      <c r="I40" s="224"/>
      <c r="Q40" s="212"/>
      <c r="R40" s="218"/>
      <c r="S40" s="218"/>
      <c r="T40" s="214"/>
      <c r="U40" s="13"/>
    </row>
    <row r="41" spans="1:22" ht="15.75" customHeight="1">
      <c r="A41" s="219"/>
      <c r="B41" s="225" t="s">
        <v>53</v>
      </c>
      <c r="C41" s="221">
        <v>0</v>
      </c>
      <c r="D41" s="221"/>
      <c r="E41" s="222"/>
      <c r="F41" s="222"/>
      <c r="G41" s="221"/>
      <c r="H41" s="221"/>
      <c r="I41" s="224"/>
      <c r="Q41" s="212"/>
      <c r="R41" s="218"/>
      <c r="S41" s="218"/>
      <c r="T41" s="214"/>
      <c r="U41" s="13"/>
    </row>
    <row r="42" spans="1:22" ht="15.75" customHeight="1">
      <c r="A42" s="219"/>
      <c r="B42" s="226" t="s">
        <v>54</v>
      </c>
      <c r="C42" s="221">
        <f>R17</f>
        <v>-0.22949999999999912</v>
      </c>
      <c r="D42" s="221"/>
      <c r="E42" s="222"/>
      <c r="F42" s="222"/>
      <c r="G42" s="221"/>
      <c r="H42" s="221"/>
      <c r="I42" s="224"/>
      <c r="Q42" s="212"/>
      <c r="R42" s="218"/>
      <c r="S42" s="218"/>
      <c r="T42" s="214"/>
      <c r="U42" s="13"/>
    </row>
    <row r="43" spans="1:22" ht="15.75" customHeight="1" thickBot="1">
      <c r="A43" s="227"/>
      <c r="B43" s="228" t="s">
        <v>55</v>
      </c>
      <c r="C43" s="229">
        <v>0</v>
      </c>
      <c r="D43" s="229"/>
      <c r="E43" s="230"/>
      <c r="F43" s="230"/>
      <c r="G43" s="231"/>
      <c r="H43" s="231"/>
      <c r="I43" s="232"/>
      <c r="Q43" s="212"/>
      <c r="R43" s="218"/>
      <c r="S43" s="218"/>
      <c r="T43" s="214"/>
      <c r="U43" s="13"/>
    </row>
    <row r="44" spans="1:22" ht="15.75" customHeight="1">
      <c r="A44" s="13"/>
      <c r="B44" s="13"/>
      <c r="C44" s="13"/>
      <c r="D44" s="13"/>
      <c r="E44" s="13"/>
      <c r="F44" s="13"/>
      <c r="G44" s="13"/>
      <c r="H44" s="13"/>
      <c r="I44" s="13"/>
      <c r="J44" s="13"/>
      <c r="K44" s="13"/>
      <c r="L44" s="13"/>
      <c r="M44" s="13"/>
      <c r="N44" s="13"/>
      <c r="O44" s="13"/>
      <c r="P44" s="13"/>
      <c r="Q44" s="214"/>
      <c r="R44" s="214"/>
      <c r="S44" s="214"/>
      <c r="T44" s="214"/>
      <c r="U44" s="13"/>
    </row>
  </sheetData>
  <mergeCells count="4">
    <mergeCell ref="E1:G1"/>
    <mergeCell ref="T1:U1"/>
    <mergeCell ref="A36:B37"/>
    <mergeCell ref="C36:D3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E9B87-B858-4B9C-95FC-8E41FF0D24FC}">
  <dimension ref="A1:W23"/>
  <sheetViews>
    <sheetView zoomScaleNormal="100" workbookViewId="0">
      <pane xSplit="3" topLeftCell="D1" activePane="topRight" state="frozen"/>
      <selection pane="topRight" activeCell="T10" sqref="T10"/>
    </sheetView>
  </sheetViews>
  <sheetFormatPr defaultColWidth="17.33203125" defaultRowHeight="15.75" customHeight="1"/>
  <cols>
    <col min="1" max="1" width="12.44140625" style="210" customWidth="1"/>
    <col min="2" max="2" width="28" style="210" bestFit="1" customWidth="1"/>
    <col min="3" max="3" width="11.33203125" style="210" bestFit="1" customWidth="1"/>
    <col min="4" max="4" width="20" style="210" bestFit="1" customWidth="1"/>
    <col min="5" max="5" width="10.5546875" style="210" bestFit="1" customWidth="1"/>
    <col min="6" max="7" width="13.6640625" style="210" bestFit="1" customWidth="1"/>
    <col min="8" max="8" width="14.44140625" style="210" bestFit="1" customWidth="1"/>
    <col min="9" max="9" width="17.33203125" style="210" bestFit="1" customWidth="1"/>
    <col min="10" max="10" width="19.5546875" style="210" bestFit="1" customWidth="1"/>
    <col min="11" max="11" width="16.44140625" style="210" bestFit="1" customWidth="1"/>
    <col min="12" max="12" width="18" style="210" customWidth="1"/>
    <col min="13" max="13" width="22.109375" style="210" customWidth="1"/>
    <col min="14" max="14" width="11.5546875" style="210" bestFit="1" customWidth="1"/>
    <col min="15" max="15" width="11.33203125" style="210" bestFit="1" customWidth="1"/>
    <col min="16" max="16" width="9" style="210" bestFit="1" customWidth="1"/>
    <col min="17" max="17" width="7.88671875" style="210" bestFit="1" customWidth="1"/>
    <col min="18" max="18" width="14.6640625" style="210" bestFit="1" customWidth="1"/>
    <col min="19" max="19" width="20.6640625" style="210" bestFit="1" customWidth="1"/>
    <col min="20" max="20" width="17.109375" style="210" customWidth="1"/>
    <col min="21" max="21" width="13.88671875" style="210" customWidth="1"/>
    <col min="22" max="22" width="12.5546875" style="210" customWidth="1"/>
    <col min="23" max="16384" width="17.33203125" style="210"/>
  </cols>
  <sheetData>
    <row r="1" spans="1:23" ht="35.700000000000003" customHeight="1">
      <c r="A1" s="31"/>
      <c r="B1" s="4"/>
      <c r="C1" s="22"/>
      <c r="D1" s="19"/>
      <c r="E1" s="1373" t="s">
        <v>13</v>
      </c>
      <c r="F1" s="1374"/>
      <c r="G1" s="1375"/>
      <c r="H1" s="52"/>
      <c r="I1" s="1232"/>
      <c r="J1" s="5"/>
      <c r="K1" s="1232"/>
      <c r="L1" s="55"/>
      <c r="M1" s="2"/>
      <c r="N1" s="5"/>
      <c r="O1" s="64"/>
      <c r="P1" s="5"/>
      <c r="Q1" s="5"/>
      <c r="R1" s="17"/>
      <c r="S1" s="65"/>
      <c r="T1" s="1376" t="s">
        <v>14</v>
      </c>
      <c r="U1" s="1377"/>
      <c r="V1" s="1233"/>
      <c r="W1" s="18"/>
    </row>
    <row r="2" spans="1:23" s="211" customFormat="1" ht="35.700000000000003" customHeight="1">
      <c r="A2" s="32" t="s">
        <v>15</v>
      </c>
      <c r="B2" s="6" t="s">
        <v>16</v>
      </c>
      <c r="C2" s="23" t="s">
        <v>17</v>
      </c>
      <c r="D2" s="66" t="s">
        <v>18</v>
      </c>
      <c r="E2" s="67" t="s">
        <v>19</v>
      </c>
      <c r="F2" s="6" t="s">
        <v>20</v>
      </c>
      <c r="G2" s="10" t="s">
        <v>21</v>
      </c>
      <c r="H2" s="53" t="s">
        <v>22</v>
      </c>
      <c r="I2" s="10" t="s">
        <v>23</v>
      </c>
      <c r="J2" s="10" t="s">
        <v>24</v>
      </c>
      <c r="K2" s="6" t="s">
        <v>25</v>
      </c>
      <c r="L2" s="68" t="s">
        <v>26</v>
      </c>
      <c r="M2" s="68" t="s">
        <v>27</v>
      </c>
      <c r="N2" s="10" t="s">
        <v>28</v>
      </c>
      <c r="O2" s="69" t="s">
        <v>29</v>
      </c>
      <c r="P2" s="10" t="s">
        <v>30</v>
      </c>
      <c r="Q2" s="10" t="s">
        <v>31</v>
      </c>
      <c r="R2" s="70" t="s">
        <v>3</v>
      </c>
      <c r="S2" s="71" t="s">
        <v>4</v>
      </c>
      <c r="T2" s="72" t="s">
        <v>32</v>
      </c>
      <c r="U2" s="72" t="s">
        <v>33</v>
      </c>
      <c r="V2" s="73" t="s">
        <v>0</v>
      </c>
      <c r="W2" s="23" t="s">
        <v>34</v>
      </c>
    </row>
    <row r="3" spans="1:23" ht="15.75" customHeight="1" thickBot="1">
      <c r="A3" s="33" t="s">
        <v>35</v>
      </c>
      <c r="B3" s="34"/>
      <c r="C3" s="46"/>
      <c r="D3" s="35"/>
      <c r="E3" s="37" t="s">
        <v>36</v>
      </c>
      <c r="F3" s="37" t="s">
        <v>36</v>
      </c>
      <c r="G3" s="112" t="s">
        <v>36</v>
      </c>
      <c r="H3" s="112" t="s">
        <v>36</v>
      </c>
      <c r="I3" s="37" t="s">
        <v>36</v>
      </c>
      <c r="J3" s="37" t="s">
        <v>36</v>
      </c>
      <c r="K3" s="36" t="s">
        <v>37</v>
      </c>
      <c r="L3" s="376" t="s">
        <v>36</v>
      </c>
      <c r="M3" s="38" t="s">
        <v>36</v>
      </c>
      <c r="N3" s="38" t="s">
        <v>37</v>
      </c>
      <c r="O3" s="75" t="s">
        <v>38</v>
      </c>
      <c r="P3" s="39" t="s">
        <v>38</v>
      </c>
      <c r="Q3" s="39" t="s">
        <v>38</v>
      </c>
      <c r="R3" s="42" t="s">
        <v>38</v>
      </c>
      <c r="S3" s="76" t="s">
        <v>38</v>
      </c>
      <c r="T3" s="40" t="s">
        <v>36</v>
      </c>
      <c r="U3" s="40" t="s">
        <v>36</v>
      </c>
      <c r="V3" s="41" t="s">
        <v>36</v>
      </c>
      <c r="W3" s="43"/>
    </row>
    <row r="4" spans="1:23" s="1327" customFormat="1" ht="15.75" customHeight="1">
      <c r="A4" s="1317" t="s">
        <v>295</v>
      </c>
      <c r="B4" s="1318" t="s">
        <v>287</v>
      </c>
      <c r="C4" s="1319" t="s">
        <v>281</v>
      </c>
      <c r="D4" s="1320" t="s">
        <v>39</v>
      </c>
      <c r="E4" s="1321"/>
      <c r="F4" s="1321"/>
      <c r="G4" s="1322"/>
      <c r="H4" s="1323"/>
      <c r="I4" s="1321"/>
      <c r="J4" s="1321"/>
      <c r="K4" s="1324"/>
      <c r="L4" s="1325"/>
      <c r="M4" s="1321"/>
      <c r="N4" s="1322"/>
      <c r="O4" s="1321"/>
      <c r="P4" s="1321"/>
      <c r="Q4" s="1321"/>
      <c r="R4" s="1321"/>
      <c r="S4" s="1322"/>
      <c r="T4" s="1321"/>
      <c r="U4" s="1321"/>
      <c r="V4" s="1322"/>
      <c r="W4" s="1326"/>
    </row>
    <row r="5" spans="1:23" s="1327" customFormat="1" ht="15.75" customHeight="1">
      <c r="A5" s="1317">
        <v>45524</v>
      </c>
      <c r="C5" s="1319" t="s">
        <v>281</v>
      </c>
      <c r="D5" s="1329" t="s">
        <v>40</v>
      </c>
      <c r="E5" s="1321">
        <v>9.15</v>
      </c>
      <c r="F5" s="1321">
        <f>E5-G5</f>
        <v>4.67</v>
      </c>
      <c r="G5" s="1322">
        <v>4.4800000000000004</v>
      </c>
      <c r="H5" s="1323"/>
      <c r="I5" s="1321"/>
      <c r="J5" s="1321"/>
      <c r="K5" s="1324"/>
      <c r="L5" s="1325"/>
      <c r="M5" s="1321"/>
      <c r="N5" s="1322"/>
      <c r="O5" s="1321"/>
      <c r="Q5" s="1321"/>
      <c r="R5" s="1321"/>
      <c r="S5" s="1322"/>
      <c r="T5" s="1321"/>
      <c r="U5" s="1321"/>
      <c r="V5" s="1322"/>
      <c r="W5" s="1328"/>
    </row>
    <row r="6" spans="1:23" s="1327" customFormat="1" ht="15.75" customHeight="1">
      <c r="A6" s="1317">
        <v>45768</v>
      </c>
      <c r="B6" s="1327" t="s">
        <v>199</v>
      </c>
      <c r="C6" s="1319" t="s">
        <v>281</v>
      </c>
      <c r="D6" s="1329" t="s">
        <v>39</v>
      </c>
      <c r="E6" s="1321" t="s">
        <v>67</v>
      </c>
      <c r="F6" s="1321"/>
      <c r="G6" s="1322"/>
      <c r="H6" s="1322"/>
      <c r="I6" s="1321"/>
      <c r="J6" s="1321"/>
      <c r="K6" s="1324"/>
      <c r="L6" s="1325"/>
      <c r="M6" s="1321"/>
      <c r="N6" s="1322"/>
      <c r="O6" s="1321"/>
      <c r="Q6" s="1321"/>
      <c r="R6" s="1321"/>
      <c r="S6" s="1322"/>
      <c r="T6" s="1321"/>
      <c r="U6" s="1321"/>
      <c r="V6" s="1322"/>
      <c r="W6" s="1328"/>
    </row>
    <row r="7" spans="1:23" s="1327" customFormat="1" ht="15.75" customHeight="1">
      <c r="A7" s="1317">
        <v>45891</v>
      </c>
      <c r="B7" s="1318" t="s">
        <v>195</v>
      </c>
      <c r="C7" s="1319" t="s">
        <v>281</v>
      </c>
      <c r="D7" s="1320" t="s">
        <v>40</v>
      </c>
      <c r="E7" s="1321">
        <v>8.0500000000000007</v>
      </c>
      <c r="F7" s="1321">
        <v>4.59</v>
      </c>
      <c r="G7" s="1322">
        <f>E7-F7</f>
        <v>3.4600000000000009</v>
      </c>
      <c r="H7" s="1322"/>
      <c r="I7" s="1321"/>
      <c r="J7" s="1321"/>
      <c r="K7" s="1324"/>
      <c r="L7" s="1325"/>
      <c r="M7" s="1321"/>
      <c r="N7" s="1322"/>
      <c r="O7" s="1321"/>
      <c r="P7" s="1321"/>
      <c r="Q7" s="1321"/>
      <c r="R7" s="1321"/>
      <c r="S7" s="1322"/>
      <c r="T7" s="1321"/>
      <c r="U7" s="1321"/>
      <c r="V7" s="1322"/>
      <c r="W7" s="1328"/>
    </row>
    <row r="8" spans="1:23" s="1327" customFormat="1" ht="15.75" customHeight="1">
      <c r="A8" s="1317">
        <v>45891</v>
      </c>
      <c r="B8" s="1318" t="s">
        <v>195</v>
      </c>
      <c r="C8" s="1319" t="s">
        <v>281</v>
      </c>
      <c r="D8" s="1320" t="s">
        <v>40</v>
      </c>
      <c r="E8" s="1321">
        <v>3.05</v>
      </c>
      <c r="F8" s="1321">
        <f>E8-G8</f>
        <v>-0.41000000000000014</v>
      </c>
      <c r="G8" s="1322">
        <v>3.46</v>
      </c>
      <c r="H8" s="1322"/>
      <c r="I8" s="1321"/>
      <c r="J8" s="1321"/>
      <c r="K8" s="1324"/>
      <c r="L8" s="1325"/>
      <c r="M8" s="1321"/>
      <c r="N8" s="1322"/>
      <c r="O8" s="1321"/>
      <c r="P8" s="1321"/>
      <c r="Q8" s="1321"/>
      <c r="R8" s="1321"/>
      <c r="S8" s="1322"/>
      <c r="T8" s="1321">
        <v>579548.79099999997</v>
      </c>
      <c r="U8" s="1321">
        <v>7017601.159</v>
      </c>
      <c r="V8" s="1322">
        <v>1595.1990000000001</v>
      </c>
      <c r="W8" s="1328"/>
    </row>
    <row r="9" spans="1:23" s="212" customFormat="1" ht="15.75" customHeight="1">
      <c r="A9" s="299"/>
      <c r="C9" s="300"/>
      <c r="D9" s="301"/>
      <c r="E9" s="302"/>
      <c r="F9" s="302"/>
      <c r="G9" s="303"/>
      <c r="H9" s="303"/>
      <c r="I9" s="302"/>
      <c r="J9" s="302"/>
      <c r="K9" s="304"/>
      <c r="L9" s="381"/>
      <c r="M9" s="302"/>
      <c r="N9" s="303"/>
      <c r="O9" s="302"/>
      <c r="P9" s="302"/>
      <c r="Q9" s="302"/>
      <c r="R9" s="302"/>
      <c r="S9" s="303"/>
      <c r="T9" s="302"/>
      <c r="U9" s="302"/>
      <c r="V9" s="303"/>
      <c r="W9" s="300"/>
    </row>
    <row r="10" spans="1:23" s="1331" customFormat="1" ht="15.75" customHeight="1">
      <c r="A10" s="1330">
        <v>45768</v>
      </c>
      <c r="B10" s="1331" t="s">
        <v>283</v>
      </c>
      <c r="C10" s="1332" t="s">
        <v>280</v>
      </c>
      <c r="D10" s="1333" t="s">
        <v>39</v>
      </c>
      <c r="E10" s="1334">
        <v>9.15</v>
      </c>
      <c r="F10" s="1334">
        <f>E10-G10</f>
        <v>0.57000000000000028</v>
      </c>
      <c r="G10" s="1334">
        <v>8.58</v>
      </c>
      <c r="H10" s="1336"/>
      <c r="I10" s="1334">
        <v>2.29</v>
      </c>
      <c r="J10" s="1334"/>
      <c r="K10" s="1337">
        <f>'20250421_Pit_AB'!I4</f>
        <v>0.30881987577639758</v>
      </c>
      <c r="L10" s="1334">
        <v>6.29</v>
      </c>
      <c r="N10" s="1335"/>
      <c r="O10" s="1334"/>
      <c r="P10" s="1334">
        <f>I10*K10</f>
        <v>0.70719751552795052</v>
      </c>
      <c r="Q10" s="1334"/>
      <c r="R10" s="1334"/>
      <c r="S10" s="1335"/>
      <c r="T10" s="1334"/>
      <c r="U10" s="1334"/>
      <c r="V10" s="1335"/>
      <c r="W10" s="1332" t="s">
        <v>284</v>
      </c>
    </row>
    <row r="11" spans="1:23" s="1331" customFormat="1" ht="15.75" customHeight="1">
      <c r="A11" s="1330">
        <v>45891</v>
      </c>
      <c r="B11" s="1339" t="s">
        <v>195</v>
      </c>
      <c r="C11" s="1340" t="s">
        <v>280</v>
      </c>
      <c r="D11" s="1341" t="s">
        <v>40</v>
      </c>
      <c r="E11" s="1334">
        <v>6.1</v>
      </c>
      <c r="F11" s="1334">
        <v>1.63</v>
      </c>
      <c r="G11" s="1335">
        <f>E11-F11</f>
        <v>4.47</v>
      </c>
      <c r="H11" s="1335"/>
      <c r="I11" s="1334"/>
      <c r="J11" s="1334"/>
      <c r="K11" s="1337"/>
      <c r="L11" s="1338"/>
      <c r="M11" s="1334"/>
      <c r="N11" s="1335"/>
      <c r="O11" s="1334"/>
      <c r="P11" s="1334"/>
      <c r="Q11" s="1334"/>
      <c r="R11" s="1334"/>
      <c r="S11" s="1335"/>
      <c r="T11" s="1334"/>
      <c r="U11" s="1334"/>
      <c r="V11" s="1335"/>
      <c r="W11" s="1332"/>
    </row>
    <row r="12" spans="1:23" s="1331" customFormat="1" ht="15.75" customHeight="1">
      <c r="A12" s="1330">
        <v>45891</v>
      </c>
      <c r="B12" s="1339" t="s">
        <v>195</v>
      </c>
      <c r="C12" s="1340" t="s">
        <v>280</v>
      </c>
      <c r="D12" s="1341" t="s">
        <v>40</v>
      </c>
      <c r="E12" s="1334">
        <v>8.0500000000000007</v>
      </c>
      <c r="F12" s="1334">
        <f>E12-G12</f>
        <v>3.580000000000001</v>
      </c>
      <c r="G12" s="1335">
        <v>4.47</v>
      </c>
      <c r="H12" s="1335">
        <f>G12-L10</f>
        <v>-1.8200000000000003</v>
      </c>
      <c r="I12" s="1334"/>
      <c r="J12" s="1334"/>
      <c r="K12" s="1337"/>
      <c r="L12" s="1338"/>
      <c r="M12" s="1334"/>
      <c r="N12" s="1335"/>
      <c r="O12" s="1334">
        <f>Q12-P10</f>
        <v>-2.3451975155279507</v>
      </c>
      <c r="P12" s="1334"/>
      <c r="Q12" s="1334">
        <f>(G12-L10)*0.9</f>
        <v>-1.6380000000000003</v>
      </c>
      <c r="R12" s="1334"/>
      <c r="S12" s="1335"/>
      <c r="T12" s="1334">
        <v>579548.05500000005</v>
      </c>
      <c r="U12" s="1334">
        <v>7017632.6210000003</v>
      </c>
      <c r="V12" s="1335">
        <v>1598.85</v>
      </c>
      <c r="W12" s="1332"/>
    </row>
    <row r="13" spans="1:23" s="212" customFormat="1" ht="15.75" customHeight="1">
      <c r="A13" s="299"/>
      <c r="C13" s="300"/>
      <c r="D13" s="301"/>
      <c r="E13" s="302"/>
      <c r="F13" s="302"/>
      <c r="G13" s="303"/>
      <c r="H13" s="1045"/>
      <c r="I13" s="302"/>
      <c r="J13" s="302"/>
      <c r="K13" s="304"/>
      <c r="L13" s="381"/>
      <c r="M13" s="302"/>
      <c r="N13" s="303"/>
      <c r="O13" s="302"/>
      <c r="Q13" s="302"/>
      <c r="R13" s="302"/>
      <c r="S13" s="303"/>
      <c r="T13" s="302"/>
      <c r="U13" s="302"/>
      <c r="V13" s="303"/>
      <c r="W13" s="300"/>
    </row>
    <row r="14" spans="1:23" ht="15.75" customHeight="1" thickBot="1">
      <c r="A14" s="13"/>
      <c r="B14" s="13"/>
      <c r="C14" s="13"/>
      <c r="D14" s="13"/>
      <c r="E14" s="14"/>
      <c r="F14" s="14"/>
      <c r="G14" s="13"/>
      <c r="H14" s="13"/>
      <c r="I14" s="13"/>
      <c r="J14" s="13"/>
      <c r="K14" s="13"/>
      <c r="L14" s="13"/>
      <c r="M14" s="13"/>
      <c r="N14" s="13"/>
      <c r="O14" s="13"/>
      <c r="P14" s="13"/>
      <c r="Q14" s="13"/>
      <c r="R14" s="13"/>
      <c r="S14" s="13"/>
      <c r="T14" s="13"/>
      <c r="U14" s="13"/>
    </row>
    <row r="15" spans="1:23" ht="15.75" customHeight="1">
      <c r="A15" s="1378" t="s">
        <v>42</v>
      </c>
      <c r="B15" s="1379"/>
      <c r="C15" s="1382" t="s">
        <v>43</v>
      </c>
      <c r="D15" s="1383"/>
      <c r="E15" s="77" t="s">
        <v>44</v>
      </c>
      <c r="F15" s="213"/>
      <c r="G15" s="77" t="s">
        <v>45</v>
      </c>
      <c r="H15" s="213"/>
      <c r="I15" s="79" t="s">
        <v>46</v>
      </c>
      <c r="L15" s="583"/>
      <c r="Q15" s="212"/>
      <c r="R15" s="214"/>
      <c r="S15" s="214"/>
      <c r="T15" s="214"/>
      <c r="U15" s="13"/>
    </row>
    <row r="16" spans="1:23" ht="15.75" customHeight="1">
      <c r="A16" s="1380"/>
      <c r="B16" s="1381"/>
      <c r="C16" s="82" t="s">
        <v>47</v>
      </c>
      <c r="D16" s="82" t="s">
        <v>48</v>
      </c>
      <c r="E16" s="215" t="e">
        <f>#REF!</f>
        <v>#REF!</v>
      </c>
      <c r="F16" s="82"/>
      <c r="G16" s="216">
        <f>A10</f>
        <v>45768</v>
      </c>
      <c r="H16" s="82"/>
      <c r="I16" s="217">
        <f>A12</f>
        <v>45891</v>
      </c>
      <c r="Q16" s="212"/>
      <c r="R16" s="218"/>
      <c r="S16" s="218"/>
      <c r="T16" s="214"/>
      <c r="U16" s="13"/>
    </row>
    <row r="17" spans="1:21" ht="15.75" customHeight="1">
      <c r="A17" s="219"/>
      <c r="B17" s="220" t="s">
        <v>50</v>
      </c>
      <c r="C17" s="221">
        <f>P10</f>
        <v>0.70719751552795052</v>
      </c>
      <c r="D17" s="221"/>
      <c r="E17" s="222"/>
      <c r="F17" s="222"/>
      <c r="G17" s="223"/>
      <c r="H17" s="221"/>
      <c r="I17" s="224"/>
      <c r="Q17" s="212"/>
      <c r="R17" s="218"/>
      <c r="S17" s="218"/>
      <c r="T17" s="214"/>
      <c r="U17" s="13"/>
    </row>
    <row r="18" spans="1:21" ht="15.75" customHeight="1">
      <c r="A18" s="219"/>
      <c r="B18" s="220" t="s">
        <v>51</v>
      </c>
      <c r="C18" s="221">
        <f>C19-C17</f>
        <v>-2.3451975155279507</v>
      </c>
      <c r="D18" s="221"/>
      <c r="E18" s="222"/>
      <c r="F18" s="222"/>
      <c r="G18" s="223"/>
      <c r="H18" s="221"/>
      <c r="I18" s="224"/>
      <c r="Q18" s="212"/>
      <c r="R18" s="218"/>
      <c r="S18" s="218"/>
      <c r="T18" s="214"/>
      <c r="U18" s="13"/>
    </row>
    <row r="19" spans="1:21" ht="15.75" customHeight="1">
      <c r="A19" s="219"/>
      <c r="B19" s="220" t="s">
        <v>52</v>
      </c>
      <c r="C19" s="221">
        <f>Q12</f>
        <v>-1.6380000000000003</v>
      </c>
      <c r="D19" s="221"/>
      <c r="E19" s="222"/>
      <c r="F19" s="222"/>
      <c r="G19" s="223"/>
      <c r="H19" s="221"/>
      <c r="I19" s="224"/>
      <c r="Q19" s="212"/>
      <c r="R19" s="218"/>
      <c r="S19" s="218"/>
      <c r="T19" s="214"/>
      <c r="U19" s="13"/>
    </row>
    <row r="20" spans="1:21" ht="15.75" customHeight="1">
      <c r="A20" s="219"/>
      <c r="B20" s="225" t="s">
        <v>53</v>
      </c>
      <c r="C20" s="221">
        <v>0</v>
      </c>
      <c r="D20" s="221"/>
      <c r="E20" s="222"/>
      <c r="F20" s="222"/>
      <c r="G20" s="221"/>
      <c r="H20" s="221"/>
      <c r="I20" s="224"/>
      <c r="Q20" s="212"/>
      <c r="R20" s="218"/>
      <c r="S20" s="218"/>
      <c r="T20" s="214"/>
      <c r="U20" s="13"/>
    </row>
    <row r="21" spans="1:21" ht="15.75" customHeight="1">
      <c r="A21" s="219"/>
      <c r="B21" s="226" t="s">
        <v>54</v>
      </c>
      <c r="C21" s="221" t="s">
        <v>211</v>
      </c>
      <c r="D21" s="221"/>
      <c r="E21" s="222"/>
      <c r="F21" s="222"/>
      <c r="G21" s="221"/>
      <c r="H21" s="221"/>
      <c r="I21" s="224"/>
      <c r="Q21" s="212"/>
      <c r="R21" s="218"/>
      <c r="S21" s="218"/>
      <c r="T21" s="214"/>
      <c r="U21" s="13"/>
    </row>
    <row r="22" spans="1:21" ht="15.75" customHeight="1" thickBot="1">
      <c r="A22" s="227"/>
      <c r="B22" s="228" t="s">
        <v>55</v>
      </c>
      <c r="C22" s="229">
        <v>0</v>
      </c>
      <c r="D22" s="229"/>
      <c r="E22" s="230"/>
      <c r="F22" s="230"/>
      <c r="G22" s="231"/>
      <c r="H22" s="231"/>
      <c r="I22" s="232"/>
      <c r="Q22" s="212"/>
      <c r="R22" s="218"/>
      <c r="S22" s="218"/>
      <c r="T22" s="214"/>
      <c r="U22" s="13"/>
    </row>
    <row r="23" spans="1:21" ht="15.75" customHeight="1">
      <c r="A23" s="13"/>
      <c r="B23" s="13"/>
      <c r="C23" s="13"/>
      <c r="D23" s="13"/>
      <c r="E23" s="13"/>
      <c r="F23" s="13"/>
      <c r="G23" s="13"/>
      <c r="H23" s="13"/>
      <c r="I23" s="13"/>
      <c r="J23" s="13"/>
      <c r="K23" s="13"/>
      <c r="L23" s="13"/>
      <c r="M23" s="13"/>
      <c r="N23" s="13"/>
      <c r="O23" s="13"/>
      <c r="P23" s="13"/>
      <c r="Q23" s="214"/>
      <c r="R23" s="214"/>
      <c r="S23" s="214"/>
      <c r="T23" s="214"/>
      <c r="U23" s="13"/>
    </row>
  </sheetData>
  <mergeCells count="4">
    <mergeCell ref="E1:G1"/>
    <mergeCell ref="T1:U1"/>
    <mergeCell ref="A15:B16"/>
    <mergeCell ref="C15:D15"/>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1"/>
  <sheetViews>
    <sheetView zoomScaleNormal="100" workbookViewId="0">
      <pane xSplit="3" ySplit="5" topLeftCell="D6" activePane="bottomRight" state="frozen"/>
      <selection pane="topRight" activeCell="D1" sqref="D1"/>
      <selection pane="bottomLeft" activeCell="A6" sqref="A6"/>
      <selection pane="bottomRight" activeCell="P28" sqref="P28"/>
    </sheetView>
  </sheetViews>
  <sheetFormatPr defaultColWidth="17.33203125" defaultRowHeight="15.75" customHeight="1"/>
  <cols>
    <col min="1" max="1" width="12.44140625" style="20" customWidth="1"/>
    <col min="2" max="2" width="27.33203125" style="20" customWidth="1"/>
    <col min="3" max="3" width="11.33203125" style="20" bestFit="1" customWidth="1"/>
    <col min="4" max="4" width="20" style="20" bestFit="1" customWidth="1"/>
    <col min="5" max="5" width="12.6640625" style="20" customWidth="1"/>
    <col min="6" max="7" width="13.6640625" style="20" bestFit="1" customWidth="1"/>
    <col min="8" max="8" width="14.44140625" style="20" bestFit="1" customWidth="1"/>
    <col min="9" max="9" width="17.33203125" style="20" bestFit="1" customWidth="1"/>
    <col min="10" max="10" width="19.5546875" style="20" bestFit="1" customWidth="1"/>
    <col min="11" max="11" width="16.44140625" style="20" bestFit="1" customWidth="1"/>
    <col min="12" max="12" width="18" style="20" customWidth="1"/>
    <col min="13" max="13" width="22.109375" style="20" customWidth="1"/>
    <col min="14" max="14" width="11.5546875" style="20" bestFit="1" customWidth="1"/>
    <col min="15" max="15" width="11.33203125" style="20" bestFit="1" customWidth="1"/>
    <col min="16" max="17" width="7.88671875" style="20" bestFit="1" customWidth="1"/>
    <col min="18" max="18" width="14.6640625" style="20" bestFit="1" customWidth="1"/>
    <col min="19" max="19" width="20.6640625" style="20" bestFit="1" customWidth="1"/>
    <col min="20" max="20" width="21" style="20" bestFit="1" customWidth="1"/>
    <col min="21" max="21" width="16" style="20" customWidth="1"/>
    <col min="22" max="16384" width="17.33203125" style="20"/>
  </cols>
  <sheetData>
    <row r="1" spans="1:23" ht="15" customHeight="1">
      <c r="A1" s="24"/>
      <c r="B1" s="25"/>
      <c r="C1" s="45"/>
      <c r="D1" s="26"/>
      <c r="E1" s="27"/>
      <c r="F1" s="28"/>
      <c r="G1" s="29"/>
      <c r="H1" s="50"/>
      <c r="I1" s="29"/>
      <c r="J1" s="49"/>
      <c r="K1" s="28"/>
      <c r="L1" s="56"/>
      <c r="M1" s="57"/>
      <c r="N1" s="29"/>
      <c r="O1" s="58"/>
      <c r="P1" s="30"/>
      <c r="Q1" s="30"/>
      <c r="R1" s="30"/>
      <c r="S1" s="59"/>
      <c r="T1" s="1368" t="s">
        <v>11</v>
      </c>
      <c r="U1" s="1369"/>
      <c r="V1" s="1370"/>
      <c r="W1" s="54"/>
    </row>
    <row r="2" spans="1:23" ht="15" customHeight="1">
      <c r="A2" s="31"/>
      <c r="B2" s="4"/>
      <c r="C2" s="22"/>
      <c r="D2" s="15"/>
      <c r="E2" s="243"/>
      <c r="F2" s="244"/>
      <c r="G2" s="3"/>
      <c r="H2" s="51"/>
      <c r="I2" s="3"/>
      <c r="J2" s="5"/>
      <c r="K2" s="1"/>
      <c r="L2" s="60"/>
      <c r="M2" s="61"/>
      <c r="N2" s="5"/>
      <c r="O2" s="62"/>
      <c r="S2" s="63"/>
      <c r="T2" s="1371" t="s">
        <v>12</v>
      </c>
      <c r="U2" s="1372"/>
      <c r="V2" s="245"/>
      <c r="W2" s="12"/>
    </row>
    <row r="3" spans="1:23" ht="15" customHeight="1">
      <c r="A3" s="31"/>
      <c r="B3" s="4"/>
      <c r="C3" s="22"/>
      <c r="D3" s="19"/>
      <c r="E3" s="1373" t="s">
        <v>13</v>
      </c>
      <c r="F3" s="1374"/>
      <c r="G3" s="1375"/>
      <c r="H3" s="52"/>
      <c r="I3" s="244"/>
      <c r="J3" s="5"/>
      <c r="K3" s="244"/>
      <c r="L3" s="55"/>
      <c r="M3" s="2"/>
      <c r="N3" s="5"/>
      <c r="O3" s="64"/>
      <c r="P3" s="5"/>
      <c r="Q3" s="5"/>
      <c r="R3" s="17"/>
      <c r="S3" s="65"/>
      <c r="T3" s="1376" t="s">
        <v>14</v>
      </c>
      <c r="U3" s="1377"/>
      <c r="V3" s="245"/>
      <c r="W3" s="18"/>
    </row>
    <row r="4" spans="1:23" s="74" customFormat="1" ht="39.6">
      <c r="A4" s="32" t="s">
        <v>15</v>
      </c>
      <c r="B4" s="6" t="s">
        <v>16</v>
      </c>
      <c r="C4" s="23" t="s">
        <v>17</v>
      </c>
      <c r="D4" s="66" t="s">
        <v>18</v>
      </c>
      <c r="E4" s="67" t="s">
        <v>19</v>
      </c>
      <c r="F4" s="6" t="s">
        <v>20</v>
      </c>
      <c r="G4" s="10" t="s">
        <v>21</v>
      </c>
      <c r="H4" s="53" t="s">
        <v>22</v>
      </c>
      <c r="I4" s="10" t="s">
        <v>23</v>
      </c>
      <c r="J4" s="10" t="s">
        <v>24</v>
      </c>
      <c r="K4" s="6" t="s">
        <v>25</v>
      </c>
      <c r="L4" s="68" t="s">
        <v>26</v>
      </c>
      <c r="M4" s="68" t="s">
        <v>27</v>
      </c>
      <c r="N4" s="10" t="s">
        <v>28</v>
      </c>
      <c r="O4" s="69" t="s">
        <v>29</v>
      </c>
      <c r="P4" s="10" t="s">
        <v>30</v>
      </c>
      <c r="Q4" s="10" t="s">
        <v>31</v>
      </c>
      <c r="R4" s="70" t="s">
        <v>3</v>
      </c>
      <c r="S4" s="71" t="s">
        <v>4</v>
      </c>
      <c r="T4" s="72" t="s">
        <v>32</v>
      </c>
      <c r="U4" s="72" t="s">
        <v>33</v>
      </c>
      <c r="V4" s="73" t="s">
        <v>0</v>
      </c>
      <c r="W4" s="23" t="s">
        <v>34</v>
      </c>
    </row>
    <row r="5" spans="1:23" ht="15.75" customHeight="1" thickBot="1">
      <c r="A5" s="33" t="s">
        <v>35</v>
      </c>
      <c r="B5" s="34"/>
      <c r="C5" s="46"/>
      <c r="D5" s="35"/>
      <c r="E5" s="37" t="s">
        <v>36</v>
      </c>
      <c r="F5" s="37" t="s">
        <v>36</v>
      </c>
      <c r="G5" s="37" t="s">
        <v>36</v>
      </c>
      <c r="H5" s="111" t="s">
        <v>36</v>
      </c>
      <c r="I5" s="111" t="s">
        <v>36</v>
      </c>
      <c r="J5" s="37" t="s">
        <v>36</v>
      </c>
      <c r="K5" s="36" t="s">
        <v>37</v>
      </c>
      <c r="L5" s="47" t="s">
        <v>36</v>
      </c>
      <c r="M5" s="38" t="s">
        <v>36</v>
      </c>
      <c r="N5" s="38" t="s">
        <v>37</v>
      </c>
      <c r="O5" s="75" t="s">
        <v>38</v>
      </c>
      <c r="P5" s="39" t="s">
        <v>38</v>
      </c>
      <c r="Q5" s="39" t="s">
        <v>38</v>
      </c>
      <c r="R5" s="42" t="s">
        <v>38</v>
      </c>
      <c r="S5" s="76" t="s">
        <v>38</v>
      </c>
      <c r="T5" s="40" t="s">
        <v>36</v>
      </c>
      <c r="U5" s="40" t="s">
        <v>36</v>
      </c>
      <c r="V5" s="41" t="s">
        <v>36</v>
      </c>
      <c r="W5" s="43"/>
    </row>
    <row r="6" spans="1:23" s="48" customFormat="1" ht="15" customHeight="1">
      <c r="A6" s="103">
        <v>43951</v>
      </c>
      <c r="B6" s="104" t="s">
        <v>41</v>
      </c>
      <c r="C6" s="105" t="s">
        <v>58</v>
      </c>
      <c r="D6" s="106" t="s">
        <v>39</v>
      </c>
      <c r="E6" s="966">
        <v>12.2</v>
      </c>
      <c r="F6" s="107">
        <v>2.23</v>
      </c>
      <c r="G6" s="107">
        <v>9.9699999999999989</v>
      </c>
      <c r="H6" s="108"/>
      <c r="I6" s="107">
        <v>3.6675</v>
      </c>
      <c r="J6" s="107">
        <v>3.7494117647058824</v>
      </c>
      <c r="K6" s="107">
        <v>0.41</v>
      </c>
      <c r="L6" s="109">
        <v>6.3024999999999984</v>
      </c>
      <c r="M6" s="107"/>
      <c r="N6" s="107"/>
      <c r="O6" s="255"/>
      <c r="P6" s="242">
        <v>1.5036749999999999</v>
      </c>
      <c r="Q6" s="242"/>
      <c r="R6" s="242"/>
      <c r="S6" s="242"/>
      <c r="T6" s="255"/>
      <c r="U6" s="242"/>
      <c r="V6" s="958"/>
      <c r="W6" s="110"/>
    </row>
    <row r="7" spans="1:23" s="48" customFormat="1" ht="15" customHeight="1">
      <c r="A7" s="103">
        <v>44063</v>
      </c>
      <c r="B7" s="104" t="s">
        <v>41</v>
      </c>
      <c r="C7" s="105" t="s">
        <v>58</v>
      </c>
      <c r="D7" s="106" t="s">
        <v>40</v>
      </c>
      <c r="E7" s="966">
        <v>6.1</v>
      </c>
      <c r="F7" s="107">
        <v>0.31</v>
      </c>
      <c r="G7" s="107">
        <v>5.79</v>
      </c>
      <c r="H7" s="108">
        <v>0</v>
      </c>
      <c r="I7" s="107"/>
      <c r="J7" s="107"/>
      <c r="K7" s="107"/>
      <c r="L7" s="109"/>
      <c r="M7" s="107"/>
      <c r="N7" s="107"/>
      <c r="O7" s="255">
        <v>-1.9649249999999985</v>
      </c>
      <c r="P7" s="242"/>
      <c r="Q7" s="242">
        <v>-0.46124999999999855</v>
      </c>
      <c r="R7" s="242"/>
      <c r="S7" s="242"/>
      <c r="T7" s="255"/>
      <c r="U7" s="242"/>
      <c r="V7" s="958"/>
      <c r="W7" s="1298"/>
    </row>
    <row r="8" spans="1:23" s="48" customFormat="1" ht="15" customHeight="1">
      <c r="A8" s="103">
        <v>44313</v>
      </c>
      <c r="B8" s="104" t="s">
        <v>56</v>
      </c>
      <c r="C8" s="105" t="s">
        <v>58</v>
      </c>
      <c r="D8" s="106" t="s">
        <v>39</v>
      </c>
      <c r="E8" s="966">
        <v>9.15</v>
      </c>
      <c r="F8" s="107">
        <v>1.33</v>
      </c>
      <c r="G8" s="107">
        <v>7.82</v>
      </c>
      <c r="H8" s="108"/>
      <c r="I8" s="107">
        <v>2.2400000000000002</v>
      </c>
      <c r="J8" s="107">
        <v>2.3391666666666664</v>
      </c>
      <c r="K8" s="242">
        <v>0.37</v>
      </c>
      <c r="L8" s="109">
        <v>5.58</v>
      </c>
      <c r="M8" s="107"/>
      <c r="N8" s="107"/>
      <c r="O8" s="255"/>
      <c r="P8" s="242">
        <v>0.82880000000000009</v>
      </c>
      <c r="Q8" s="242"/>
      <c r="R8" s="242">
        <v>-0.18899999999999997</v>
      </c>
      <c r="S8" s="242"/>
      <c r="T8" s="255"/>
      <c r="U8" s="242"/>
      <c r="V8" s="958"/>
      <c r="W8" s="110" t="s">
        <v>59</v>
      </c>
    </row>
    <row r="9" spans="1:23" s="48" customFormat="1" ht="15" customHeight="1">
      <c r="A9" s="103">
        <v>44429</v>
      </c>
      <c r="B9" s="104" t="s">
        <v>69</v>
      </c>
      <c r="C9" s="105" t="s">
        <v>58</v>
      </c>
      <c r="D9" s="106" t="s">
        <v>57</v>
      </c>
      <c r="E9" s="966">
        <v>6.1</v>
      </c>
      <c r="F9" s="107">
        <v>1.61</v>
      </c>
      <c r="G9" s="107">
        <f>E9-F9</f>
        <v>4.4899999999999993</v>
      </c>
      <c r="H9" s="108"/>
      <c r="I9" s="107">
        <v>0.16</v>
      </c>
      <c r="J9" s="107">
        <v>0.16</v>
      </c>
      <c r="K9" s="242">
        <v>0.37</v>
      </c>
      <c r="L9" s="109"/>
      <c r="M9" s="107"/>
      <c r="N9" s="107"/>
      <c r="O9" s="255"/>
      <c r="P9" s="242"/>
      <c r="Q9" s="242"/>
      <c r="R9" s="242"/>
      <c r="S9" s="242">
        <f>I9*K9</f>
        <v>5.9200000000000003E-2</v>
      </c>
      <c r="T9" s="255"/>
      <c r="U9" s="242"/>
      <c r="V9" s="958"/>
      <c r="W9" s="110"/>
    </row>
    <row r="10" spans="1:23" s="48" customFormat="1" ht="15" customHeight="1">
      <c r="A10" s="103">
        <v>44429</v>
      </c>
      <c r="B10" s="104" t="s">
        <v>69</v>
      </c>
      <c r="C10" s="105" t="s">
        <v>58</v>
      </c>
      <c r="D10" s="106" t="s">
        <v>40</v>
      </c>
      <c r="E10" s="966">
        <v>6.1</v>
      </c>
      <c r="F10" s="107">
        <f>F9+I9</f>
        <v>1.77</v>
      </c>
      <c r="G10" s="107">
        <f>E10-F10</f>
        <v>4.33</v>
      </c>
      <c r="H10" s="108"/>
      <c r="I10" s="107"/>
      <c r="J10" s="107"/>
      <c r="K10" s="242"/>
      <c r="L10" s="109"/>
      <c r="M10" s="107"/>
      <c r="N10" s="107"/>
      <c r="O10" s="255">
        <f>Q10-P8</f>
        <v>-1.9538000000000002</v>
      </c>
      <c r="P10" s="242"/>
      <c r="Q10" s="242">
        <f>(G10-L8)*0.9</f>
        <v>-1.125</v>
      </c>
      <c r="R10" s="242"/>
      <c r="S10" s="242"/>
      <c r="T10" s="255"/>
      <c r="U10" s="242"/>
      <c r="V10" s="958"/>
      <c r="W10" s="110"/>
    </row>
    <row r="11" spans="1:23" s="48" customFormat="1" ht="15" customHeight="1">
      <c r="A11" s="103">
        <v>44668</v>
      </c>
      <c r="B11" s="104" t="s">
        <v>81</v>
      </c>
      <c r="C11" s="105" t="s">
        <v>58</v>
      </c>
      <c r="D11" s="106" t="s">
        <v>39</v>
      </c>
      <c r="E11" s="966"/>
      <c r="F11" s="107"/>
      <c r="G11" s="107">
        <v>6.99</v>
      </c>
      <c r="H11" s="108"/>
      <c r="I11" s="107">
        <v>2.77</v>
      </c>
      <c r="J11" s="107">
        <v>2.71</v>
      </c>
      <c r="K11" s="242">
        <v>0.4</v>
      </c>
      <c r="L11" s="109">
        <f>G11-I11</f>
        <v>4.2200000000000006</v>
      </c>
      <c r="M11" s="107"/>
      <c r="N11" s="107"/>
      <c r="O11" s="255"/>
      <c r="P11" s="242">
        <f>I11*K11</f>
        <v>1.1080000000000001</v>
      </c>
      <c r="Q11" s="242"/>
      <c r="R11" s="242">
        <f>(L11-G10)*0.9</f>
        <v>-9.8999999999999491E-2</v>
      </c>
      <c r="S11" s="242"/>
      <c r="T11" s="255"/>
      <c r="U11" s="242"/>
      <c r="V11" s="958"/>
      <c r="W11" s="110"/>
    </row>
    <row r="12" spans="1:23" s="48" customFormat="1" ht="15" customHeight="1">
      <c r="A12" s="103">
        <v>44796</v>
      </c>
      <c r="B12" s="104" t="s">
        <v>79</v>
      </c>
      <c r="C12" s="105" t="s">
        <v>58</v>
      </c>
      <c r="D12" s="106" t="s">
        <v>40</v>
      </c>
      <c r="E12" s="966">
        <v>6.1</v>
      </c>
      <c r="F12" s="107">
        <v>0.43</v>
      </c>
      <c r="G12" s="107">
        <v>2.62</v>
      </c>
      <c r="H12" s="108"/>
      <c r="I12" s="107"/>
      <c r="J12" s="107"/>
      <c r="K12" s="242"/>
      <c r="L12" s="109"/>
      <c r="M12" s="107"/>
      <c r="N12" s="107"/>
      <c r="O12" s="255">
        <f>Q12-P11</f>
        <v>-2.5480000000000009</v>
      </c>
      <c r="P12" s="242"/>
      <c r="Q12" s="242">
        <f>(G12-L11)*0.9</f>
        <v>-1.4400000000000006</v>
      </c>
      <c r="R12" s="242"/>
      <c r="S12" s="242">
        <v>0</v>
      </c>
      <c r="T12" s="255"/>
      <c r="U12" s="242"/>
      <c r="V12" s="958"/>
      <c r="W12" s="110"/>
    </row>
    <row r="13" spans="1:23" s="48" customFormat="1" ht="15" customHeight="1">
      <c r="A13" s="103">
        <v>45160</v>
      </c>
      <c r="B13" s="104" t="s">
        <v>97</v>
      </c>
      <c r="C13" s="105" t="s">
        <v>58</v>
      </c>
      <c r="D13" s="106" t="s">
        <v>40</v>
      </c>
      <c r="E13" s="966">
        <v>6.1</v>
      </c>
      <c r="F13" s="107">
        <v>4.3600000000000003</v>
      </c>
      <c r="G13" s="107">
        <f>E13-F13</f>
        <v>1.7399999999999993</v>
      </c>
      <c r="H13" s="108"/>
      <c r="I13" s="107"/>
      <c r="J13" s="107"/>
      <c r="K13" s="242"/>
      <c r="L13" s="109"/>
      <c r="M13" s="107"/>
      <c r="N13" s="107"/>
      <c r="O13" s="255"/>
      <c r="P13" s="242"/>
      <c r="Q13" s="242">
        <f>(G13-G12)*0.9</f>
        <v>-0.7920000000000007</v>
      </c>
      <c r="R13" s="242"/>
      <c r="S13" s="242"/>
      <c r="T13" s="255"/>
      <c r="U13" s="242"/>
      <c r="V13" s="958"/>
      <c r="W13" s="110"/>
    </row>
    <row r="14" spans="1:23" s="48" customFormat="1" ht="15" customHeight="1">
      <c r="A14" s="103">
        <v>45399</v>
      </c>
      <c r="B14" s="104" t="s">
        <v>146</v>
      </c>
      <c r="C14" s="105" t="s">
        <v>58</v>
      </c>
      <c r="D14" s="106" t="s">
        <v>39</v>
      </c>
      <c r="E14" s="966">
        <v>6.1</v>
      </c>
      <c r="F14" s="107">
        <f>3.05-0.34</f>
        <v>2.71</v>
      </c>
      <c r="G14" s="107">
        <f>E14-F14</f>
        <v>3.3899999999999997</v>
      </c>
      <c r="H14" s="108"/>
      <c r="I14" s="107">
        <v>2.65</v>
      </c>
      <c r="J14" s="107">
        <v>2.7</v>
      </c>
      <c r="K14" s="242">
        <v>0.38</v>
      </c>
      <c r="L14" s="109">
        <f>G14-I14</f>
        <v>0.73999999999999977</v>
      </c>
      <c r="M14" s="107"/>
      <c r="N14" s="107"/>
      <c r="O14" s="255"/>
      <c r="P14" s="242">
        <f>I14*K14</f>
        <v>1.0069999999999999</v>
      </c>
      <c r="Q14" s="242"/>
      <c r="R14" s="242">
        <f>(L14-G13)*0.9</f>
        <v>-0.89999999999999958</v>
      </c>
      <c r="S14" s="242"/>
      <c r="T14" s="255"/>
      <c r="U14" s="242"/>
      <c r="V14" s="958"/>
      <c r="W14" s="110"/>
    </row>
    <row r="15" spans="1:23" s="48" customFormat="1" ht="15" customHeight="1">
      <c r="A15" s="256"/>
      <c r="B15" s="257"/>
      <c r="C15" s="258"/>
      <c r="D15" s="259"/>
      <c r="E15" s="260"/>
      <c r="F15" s="261"/>
      <c r="G15" s="261"/>
      <c r="H15" s="262"/>
      <c r="I15" s="261"/>
      <c r="J15" s="261"/>
      <c r="K15" s="263"/>
      <c r="L15" s="264"/>
      <c r="M15" s="261"/>
      <c r="N15" s="261"/>
      <c r="O15" s="265"/>
      <c r="P15" s="263"/>
      <c r="Q15" s="263"/>
      <c r="R15" s="263"/>
      <c r="S15" s="263"/>
      <c r="T15" s="265"/>
      <c r="U15" s="263"/>
      <c r="V15" s="959"/>
      <c r="W15" s="266"/>
    </row>
    <row r="16" spans="1:23" s="277" customFormat="1" ht="15" customHeight="1">
      <c r="A16" s="267">
        <v>44668</v>
      </c>
      <c r="B16" s="268" t="s">
        <v>79</v>
      </c>
      <c r="C16" s="269" t="s">
        <v>80</v>
      </c>
      <c r="D16" s="270" t="s">
        <v>39</v>
      </c>
      <c r="E16" s="967">
        <v>9.15</v>
      </c>
      <c r="F16" s="271">
        <v>-0.85</v>
      </c>
      <c r="G16" s="271">
        <f>E16-F16</f>
        <v>10</v>
      </c>
      <c r="H16" s="272"/>
      <c r="I16" s="271"/>
      <c r="J16" s="271">
        <v>2.71</v>
      </c>
      <c r="K16" s="273">
        <v>0.4</v>
      </c>
      <c r="L16" s="274">
        <f>10.85-2.71</f>
        <v>8.14</v>
      </c>
      <c r="M16" s="271"/>
      <c r="N16" s="271"/>
      <c r="O16" s="275"/>
      <c r="P16" s="273">
        <f>J16*K16</f>
        <v>1.0840000000000001</v>
      </c>
      <c r="Q16" s="273"/>
      <c r="R16" s="273"/>
      <c r="S16" s="273"/>
      <c r="T16" s="275"/>
      <c r="U16" s="273"/>
      <c r="V16" s="960"/>
      <c r="W16" s="276"/>
    </row>
    <row r="17" spans="1:23" s="277" customFormat="1" ht="15" customHeight="1">
      <c r="A17" s="267">
        <v>44796</v>
      </c>
      <c r="B17" s="268" t="s">
        <v>79</v>
      </c>
      <c r="C17" s="269" t="s">
        <v>80</v>
      </c>
      <c r="D17" s="270" t="s">
        <v>40</v>
      </c>
      <c r="E17" s="967">
        <v>9.5</v>
      </c>
      <c r="F17" s="271">
        <f>E17-G17</f>
        <v>3.5999999999999996</v>
      </c>
      <c r="G17" s="271">
        <v>5.9</v>
      </c>
      <c r="H17" s="272"/>
      <c r="I17" s="271"/>
      <c r="J17" s="271"/>
      <c r="K17" s="273"/>
      <c r="L17" s="274"/>
      <c r="M17" s="271"/>
      <c r="N17" s="271"/>
      <c r="O17" s="275">
        <f>Q17-P16</f>
        <v>-3.1000000000000005</v>
      </c>
      <c r="P17" s="273"/>
      <c r="Q17" s="273">
        <f>(G17-L16)*0.9</f>
        <v>-2.0160000000000005</v>
      </c>
      <c r="R17" s="273"/>
      <c r="S17" s="273">
        <v>0</v>
      </c>
      <c r="T17" s="275"/>
      <c r="U17" s="273"/>
      <c r="V17" s="960"/>
      <c r="W17" s="276"/>
    </row>
    <row r="18" spans="1:23" s="277" customFormat="1" ht="15" customHeight="1">
      <c r="A18" s="355">
        <v>45032</v>
      </c>
      <c r="B18" s="356" t="s">
        <v>93</v>
      </c>
      <c r="C18" s="363" t="s">
        <v>80</v>
      </c>
      <c r="D18" s="364" t="s">
        <v>39</v>
      </c>
      <c r="E18" s="357">
        <v>9.5</v>
      </c>
      <c r="F18" s="357">
        <v>0</v>
      </c>
      <c r="G18" s="360">
        <f>E18-F18</f>
        <v>9.5</v>
      </c>
      <c r="H18" s="361"/>
      <c r="I18" s="358">
        <v>3.6</v>
      </c>
      <c r="J18" s="359">
        <v>3.49</v>
      </c>
      <c r="K18" s="365">
        <v>0.4</v>
      </c>
      <c r="L18" s="359">
        <f>G18-J18</f>
        <v>6.01</v>
      </c>
      <c r="M18" s="359"/>
      <c r="N18" s="362"/>
      <c r="O18" s="359"/>
      <c r="P18" s="359">
        <f>J18*K18</f>
        <v>1.3960000000000001</v>
      </c>
      <c r="Q18" s="359"/>
      <c r="R18" s="359">
        <v>0</v>
      </c>
      <c r="S18" s="582"/>
      <c r="T18" s="961">
        <v>579725.03700000001</v>
      </c>
      <c r="U18" s="961">
        <v>7018399.4069999997</v>
      </c>
      <c r="V18" s="962">
        <v>1679.2449999999999</v>
      </c>
      <c r="W18" s="394"/>
    </row>
    <row r="19" spans="1:23" s="277" customFormat="1" ht="15" customHeight="1">
      <c r="A19" s="355">
        <v>45160</v>
      </c>
      <c r="B19" s="356" t="s">
        <v>94</v>
      </c>
      <c r="C19" s="363" t="s">
        <v>80</v>
      </c>
      <c r="D19" s="364" t="s">
        <v>40</v>
      </c>
      <c r="E19" s="357">
        <v>9.5</v>
      </c>
      <c r="F19" s="357">
        <f>E19-G19</f>
        <v>4.53</v>
      </c>
      <c r="G19" s="360">
        <v>4.97</v>
      </c>
      <c r="H19" s="361"/>
      <c r="I19" s="358"/>
      <c r="J19" s="359"/>
      <c r="K19" s="365"/>
      <c r="L19" s="359"/>
      <c r="M19" s="359"/>
      <c r="N19" s="362"/>
      <c r="O19" s="359">
        <f>Q20-P18</f>
        <v>-2.2330000000000005</v>
      </c>
      <c r="P19" s="359"/>
      <c r="Q19" s="359"/>
      <c r="R19" s="359"/>
      <c r="S19" s="582"/>
      <c r="T19" s="961"/>
      <c r="U19" s="961"/>
      <c r="V19" s="962"/>
      <c r="W19" s="394"/>
    </row>
    <row r="20" spans="1:23" s="277" customFormat="1" ht="15" customHeight="1">
      <c r="A20" s="355">
        <v>45160</v>
      </c>
      <c r="B20" s="356" t="s">
        <v>94</v>
      </c>
      <c r="C20" s="363" t="s">
        <v>80</v>
      </c>
      <c r="D20" s="364" t="s">
        <v>40</v>
      </c>
      <c r="E20" s="357">
        <v>9.15</v>
      </c>
      <c r="F20" s="357">
        <f>E20-G20</f>
        <v>4.1800000000000006</v>
      </c>
      <c r="G20" s="360">
        <v>4.97</v>
      </c>
      <c r="H20" s="361"/>
      <c r="I20" s="358"/>
      <c r="J20" s="359"/>
      <c r="K20" s="365"/>
      <c r="L20" s="359"/>
      <c r="M20" s="359"/>
      <c r="N20" s="362"/>
      <c r="O20" s="359"/>
      <c r="P20" s="359"/>
      <c r="Q20" s="359">
        <f>(G20-G17)*0.9</f>
        <v>-0.83700000000000052</v>
      </c>
      <c r="R20" s="359"/>
      <c r="S20" s="582"/>
      <c r="T20" s="961"/>
      <c r="U20" s="961"/>
      <c r="V20" s="962"/>
      <c r="W20" s="394"/>
    </row>
    <row r="21" spans="1:23" s="277" customFormat="1" ht="15" customHeight="1">
      <c r="A21" s="355">
        <v>45399</v>
      </c>
      <c r="B21" s="356" t="s">
        <v>146</v>
      </c>
      <c r="C21" s="363" t="s">
        <v>80</v>
      </c>
      <c r="D21" s="364" t="s">
        <v>39</v>
      </c>
      <c r="E21" s="357">
        <v>9.15</v>
      </c>
      <c r="F21" s="357">
        <v>2.12</v>
      </c>
      <c r="G21" s="360">
        <f>E21-F21</f>
        <v>7.03</v>
      </c>
      <c r="H21" s="361"/>
      <c r="I21" s="358">
        <v>2.68</v>
      </c>
      <c r="J21" s="359">
        <v>2.7</v>
      </c>
      <c r="K21" s="365">
        <v>0.38</v>
      </c>
      <c r="L21" s="359">
        <f>G21-I21</f>
        <v>4.3499999999999996</v>
      </c>
      <c r="M21" s="359"/>
      <c r="N21" s="362"/>
      <c r="O21" s="359"/>
      <c r="P21" s="359">
        <f>K21*I21</f>
        <v>1.0184</v>
      </c>
      <c r="Q21" s="359"/>
      <c r="R21" s="359">
        <f>(L21-G20)*0.9</f>
        <v>-0.55800000000000016</v>
      </c>
      <c r="S21" s="582"/>
      <c r="T21" s="961"/>
      <c r="U21" s="961"/>
      <c r="V21" s="962"/>
      <c r="W21" s="394"/>
    </row>
    <row r="22" spans="1:23" s="277" customFormat="1" ht="15" customHeight="1">
      <c r="A22" s="355">
        <v>45525</v>
      </c>
      <c r="B22" s="356" t="s">
        <v>146</v>
      </c>
      <c r="C22" s="363" t="s">
        <v>80</v>
      </c>
      <c r="D22" s="364" t="s">
        <v>40</v>
      </c>
      <c r="E22" s="357">
        <v>9.15</v>
      </c>
      <c r="F22" s="357">
        <f>(9.15-6.1)+2.1</f>
        <v>5.15</v>
      </c>
      <c r="G22" s="360">
        <f>E22-F22</f>
        <v>4</v>
      </c>
      <c r="H22" s="968">
        <f>G22-L22</f>
        <v>-0.34999999999999964</v>
      </c>
      <c r="I22" s="358"/>
      <c r="J22" s="359"/>
      <c r="K22" s="365"/>
      <c r="L22" s="359">
        <f>L21</f>
        <v>4.3499999999999996</v>
      </c>
      <c r="M22" s="359"/>
      <c r="N22" s="362"/>
      <c r="O22" s="359"/>
      <c r="P22" s="359"/>
      <c r="Q22" s="359">
        <f>H22*0.9</f>
        <v>-0.31499999999999967</v>
      </c>
      <c r="R22" s="359"/>
      <c r="S22" s="582"/>
      <c r="T22" s="961">
        <v>579701.64399999997</v>
      </c>
      <c r="U22" s="961">
        <v>7018354.6699999999</v>
      </c>
      <c r="V22" s="962">
        <v>1668.28</v>
      </c>
      <c r="W22" s="394"/>
    </row>
    <row r="23" spans="1:23" ht="15" customHeight="1">
      <c r="C23" s="391"/>
      <c r="D23" s="393"/>
      <c r="G23" s="63"/>
      <c r="H23" s="63"/>
      <c r="K23" s="391"/>
      <c r="N23" s="63"/>
      <c r="O23" s="583"/>
      <c r="P23" s="583"/>
      <c r="Q23" s="583"/>
      <c r="R23" s="583"/>
      <c r="S23" s="584"/>
      <c r="T23" s="583"/>
      <c r="U23" s="583"/>
      <c r="V23" s="584"/>
      <c r="W23" s="391"/>
    </row>
    <row r="24" spans="1:23" s="390" customFormat="1" ht="15" customHeight="1">
      <c r="A24" s="369">
        <v>45399</v>
      </c>
      <c r="B24" s="370" t="s">
        <v>101</v>
      </c>
      <c r="C24" s="372" t="s">
        <v>102</v>
      </c>
      <c r="D24" s="373" t="s">
        <v>39</v>
      </c>
      <c r="E24" s="371">
        <v>10</v>
      </c>
      <c r="F24" s="370">
        <v>1.27</v>
      </c>
      <c r="G24" s="380">
        <f>E24-F24</f>
        <v>8.73</v>
      </c>
      <c r="H24" s="380"/>
      <c r="I24" s="370">
        <v>2.74</v>
      </c>
      <c r="J24" s="371">
        <v>2.7</v>
      </c>
      <c r="K24" s="372">
        <v>0.38</v>
      </c>
      <c r="L24" s="370">
        <f>G24-I24</f>
        <v>5.99</v>
      </c>
      <c r="M24" s="370"/>
      <c r="N24" s="380"/>
      <c r="O24" s="371"/>
      <c r="P24" s="371">
        <f>I24*K24</f>
        <v>1.0412000000000001</v>
      </c>
      <c r="Q24" s="371"/>
      <c r="R24" s="371"/>
      <c r="S24" s="379"/>
      <c r="T24" s="371">
        <v>579740.38199999998</v>
      </c>
      <c r="U24" s="371">
        <v>7018413.3559999997</v>
      </c>
      <c r="V24" s="379">
        <v>1679.5309999999999</v>
      </c>
      <c r="W24" s="392"/>
    </row>
    <row r="25" spans="1:23" s="390" customFormat="1" ht="15" customHeight="1">
      <c r="A25" s="369">
        <v>45399</v>
      </c>
      <c r="B25" s="370" t="s">
        <v>101</v>
      </c>
      <c r="C25" s="372" t="s">
        <v>102</v>
      </c>
      <c r="D25" s="373" t="s">
        <v>39</v>
      </c>
      <c r="E25" s="371">
        <v>8</v>
      </c>
      <c r="F25" s="370">
        <f>E25-G25</f>
        <v>-0.73000000000000043</v>
      </c>
      <c r="G25" s="380">
        <v>8.73</v>
      </c>
      <c r="H25" s="380"/>
      <c r="I25" s="370"/>
      <c r="J25" s="370"/>
      <c r="K25" s="372"/>
      <c r="L25" s="370"/>
      <c r="M25" s="370"/>
      <c r="N25" s="380"/>
      <c r="O25" s="371"/>
      <c r="P25" s="371"/>
      <c r="Q25" s="371"/>
      <c r="R25" s="371"/>
      <c r="S25" s="379"/>
      <c r="T25" s="371"/>
      <c r="U25" s="371"/>
      <c r="V25" s="379"/>
      <c r="W25" s="392"/>
    </row>
    <row r="26" spans="1:23" s="390" customFormat="1" ht="15" customHeight="1">
      <c r="A26" s="369">
        <v>45525</v>
      </c>
      <c r="B26" s="370" t="s">
        <v>146</v>
      </c>
      <c r="C26" s="372" t="s">
        <v>102</v>
      </c>
      <c r="D26" s="373" t="s">
        <v>40</v>
      </c>
      <c r="E26" s="371">
        <v>8</v>
      </c>
      <c r="F26" s="370">
        <f>2.87</f>
        <v>2.87</v>
      </c>
      <c r="G26" s="379">
        <f>E26-F26</f>
        <v>5.13</v>
      </c>
      <c r="H26" s="379">
        <f>G26-L26</f>
        <v>-0.86000000000000032</v>
      </c>
      <c r="I26" s="370"/>
      <c r="J26" s="370"/>
      <c r="K26" s="372"/>
      <c r="L26" s="370">
        <f>L24</f>
        <v>5.99</v>
      </c>
      <c r="M26" s="370"/>
      <c r="N26" s="380"/>
      <c r="O26" s="371"/>
      <c r="P26" s="371"/>
      <c r="Q26" s="371">
        <f>H26*0.9</f>
        <v>-0.77400000000000035</v>
      </c>
      <c r="R26" s="371"/>
      <c r="S26" s="379">
        <v>0</v>
      </c>
      <c r="T26" s="371">
        <v>579733.41700000002</v>
      </c>
      <c r="U26" s="371">
        <v>7018400.2570000002</v>
      </c>
      <c r="V26" s="379">
        <v>1674.2539999999999</v>
      </c>
      <c r="W26" s="392"/>
    </row>
    <row r="27" spans="1:23" s="390" customFormat="1" ht="15" customHeight="1">
      <c r="A27" s="369">
        <v>45766</v>
      </c>
      <c r="B27" s="370" t="s">
        <v>195</v>
      </c>
      <c r="C27" s="372" t="s">
        <v>102</v>
      </c>
      <c r="D27" s="373" t="s">
        <v>39</v>
      </c>
      <c r="E27" s="371">
        <v>9</v>
      </c>
      <c r="F27" s="370">
        <v>1.36</v>
      </c>
      <c r="G27" s="379">
        <f>E27-F27</f>
        <v>7.64</v>
      </c>
      <c r="H27" s="379"/>
      <c r="I27" s="371">
        <f>AVERAGE('20250419_Pit_B'!M27:M30)/100</f>
        <v>2.6949999999999998</v>
      </c>
      <c r="J27" s="371">
        <v>2.8</v>
      </c>
      <c r="K27" s="374">
        <v>0.39</v>
      </c>
      <c r="L27" s="371">
        <f>G27-I27</f>
        <v>4.9450000000000003</v>
      </c>
      <c r="M27" s="370"/>
      <c r="N27" s="380"/>
      <c r="O27" s="371"/>
      <c r="P27" s="371">
        <f>I27*K27</f>
        <v>1.05105</v>
      </c>
      <c r="Q27" s="371"/>
      <c r="R27" s="371">
        <f>(L27-G26)*0.9</f>
        <v>-0.16649999999999965</v>
      </c>
      <c r="S27" s="379"/>
      <c r="T27" s="371">
        <v>579722.96799999999</v>
      </c>
      <c r="U27" s="371">
        <v>7018381.6720000003</v>
      </c>
      <c r="V27" s="379">
        <v>1674.7429999999999</v>
      </c>
      <c r="W27" s="392"/>
    </row>
    <row r="28" spans="1:23" s="390" customFormat="1" ht="15" customHeight="1">
      <c r="A28" s="369">
        <v>45891</v>
      </c>
      <c r="B28" s="1229" t="s">
        <v>270</v>
      </c>
      <c r="C28" s="372" t="s">
        <v>102</v>
      </c>
      <c r="D28" s="373" t="s">
        <v>40</v>
      </c>
      <c r="E28" s="371">
        <v>8</v>
      </c>
      <c r="F28" s="370">
        <v>3.83</v>
      </c>
      <c r="G28" s="379">
        <v>4.17</v>
      </c>
      <c r="H28" s="379">
        <f>G28-L27</f>
        <v>-0.77500000000000036</v>
      </c>
      <c r="I28" s="370"/>
      <c r="J28" s="370"/>
      <c r="K28" s="372"/>
      <c r="L28" s="371"/>
      <c r="M28" s="370"/>
      <c r="N28" s="380"/>
      <c r="O28" s="371">
        <f>Q28-P27</f>
        <v>-1.7485500000000003</v>
      </c>
      <c r="P28" s="371"/>
      <c r="Q28" s="371">
        <f>H28*0.9</f>
        <v>-0.69750000000000034</v>
      </c>
      <c r="R28" s="371"/>
      <c r="S28" s="379"/>
      <c r="T28" s="371">
        <v>579717.52</v>
      </c>
      <c r="U28" s="371">
        <v>7018369.2779999999</v>
      </c>
      <c r="V28" s="379">
        <v>1669.7049999999999</v>
      </c>
      <c r="W28" s="392"/>
    </row>
    <row r="29" spans="1:23" s="390" customFormat="1" ht="15" customHeight="1">
      <c r="A29" s="369"/>
      <c r="B29" s="370"/>
      <c r="C29" s="372"/>
      <c r="D29" s="373"/>
      <c r="E29" s="371"/>
      <c r="F29" s="370"/>
      <c r="G29" s="379"/>
      <c r="H29" s="379"/>
      <c r="I29" s="370"/>
      <c r="J29" s="370"/>
      <c r="K29" s="372"/>
      <c r="L29" s="371"/>
      <c r="M29" s="370"/>
      <c r="N29" s="380"/>
      <c r="O29" s="371"/>
      <c r="P29" s="371"/>
      <c r="Q29" s="371"/>
      <c r="R29" s="371"/>
      <c r="S29" s="379"/>
      <c r="T29" s="371"/>
      <c r="U29" s="371"/>
      <c r="V29" s="379"/>
      <c r="W29" s="392"/>
    </row>
    <row r="30" spans="1:23" s="48" customFormat="1" ht="15" customHeight="1">
      <c r="A30" s="299"/>
      <c r="B30" s="212"/>
      <c r="C30" s="300"/>
      <c r="D30" s="301"/>
      <c r="E30" s="302"/>
      <c r="F30" s="212"/>
      <c r="G30" s="303"/>
      <c r="H30" s="303"/>
      <c r="I30" s="212"/>
      <c r="J30" s="212"/>
      <c r="K30" s="300"/>
      <c r="L30" s="302"/>
      <c r="M30" s="212"/>
      <c r="N30" s="1002"/>
      <c r="O30" s="302"/>
      <c r="P30" s="302"/>
      <c r="Q30" s="302"/>
      <c r="R30" s="302"/>
      <c r="S30" s="303"/>
      <c r="T30" s="302"/>
      <c r="U30" s="302"/>
      <c r="V30" s="303"/>
      <c r="W30" s="1003"/>
    </row>
    <row r="31" spans="1:23" s="1347" customFormat="1" ht="15" customHeight="1">
      <c r="A31" s="1330">
        <v>45766</v>
      </c>
      <c r="B31" s="1331" t="s">
        <v>283</v>
      </c>
      <c r="C31" s="1332" t="s">
        <v>286</v>
      </c>
      <c r="D31" s="1333" t="s">
        <v>39</v>
      </c>
      <c r="E31" s="1334">
        <v>8.75</v>
      </c>
      <c r="F31" s="1334">
        <f>E31-G31</f>
        <v>1.08</v>
      </c>
      <c r="G31" s="1335">
        <v>7.67</v>
      </c>
      <c r="H31" s="1335"/>
      <c r="I31" s="1331"/>
      <c r="J31" s="1331"/>
      <c r="K31" s="1332"/>
      <c r="L31" s="1334"/>
      <c r="M31" s="1331"/>
      <c r="N31" s="1345"/>
      <c r="O31" s="1334"/>
      <c r="P31" s="1334"/>
      <c r="Q31" s="1334"/>
      <c r="R31" s="1334"/>
      <c r="S31" s="1335"/>
      <c r="T31" s="1334">
        <v>579729.56900000002</v>
      </c>
      <c r="U31" s="1334">
        <v>7018379.0920000002</v>
      </c>
      <c r="V31" s="1335">
        <v>1674.8579999999999</v>
      </c>
      <c r="W31" s="1346"/>
    </row>
    <row r="32" spans="1:23" s="1347" customFormat="1" ht="15" customHeight="1">
      <c r="A32" s="1330">
        <v>45891</v>
      </c>
      <c r="B32" s="1331" t="s">
        <v>287</v>
      </c>
      <c r="C32" s="1332" t="s">
        <v>286</v>
      </c>
      <c r="D32" s="1333" t="s">
        <v>40</v>
      </c>
      <c r="E32" s="1334"/>
      <c r="F32" s="1331"/>
      <c r="G32" s="1335"/>
      <c r="H32" s="1335"/>
      <c r="I32" s="1331"/>
      <c r="J32" s="1331"/>
      <c r="K32" s="1332"/>
      <c r="L32" s="1334"/>
      <c r="M32" s="1331"/>
      <c r="N32" s="1345"/>
      <c r="O32" s="1334"/>
      <c r="P32" s="1334"/>
      <c r="Q32" s="1334"/>
      <c r="R32" s="1334"/>
      <c r="S32" s="1335"/>
      <c r="T32" s="1334"/>
      <c r="U32" s="1334"/>
      <c r="V32" s="1335"/>
      <c r="W32" s="1346"/>
    </row>
    <row r="33" spans="1:23" s="48" customFormat="1" ht="15" customHeight="1">
      <c r="A33" s="299"/>
      <c r="B33" s="212"/>
      <c r="C33" s="300"/>
      <c r="D33" s="301"/>
      <c r="E33" s="302"/>
      <c r="F33" s="212"/>
      <c r="G33" s="303"/>
      <c r="H33" s="303"/>
      <c r="I33" s="212"/>
      <c r="J33" s="212"/>
      <c r="K33" s="300"/>
      <c r="L33" s="302"/>
      <c r="M33" s="212"/>
      <c r="N33" s="1002"/>
      <c r="O33" s="302"/>
      <c r="P33" s="302"/>
      <c r="Q33" s="302"/>
      <c r="R33" s="302"/>
      <c r="S33" s="303"/>
      <c r="T33" s="302"/>
      <c r="U33" s="302"/>
      <c r="V33" s="303"/>
      <c r="W33" s="1003"/>
    </row>
    <row r="34" spans="1:23" s="763" customFormat="1" ht="15" customHeight="1">
      <c r="A34" s="994">
        <v>45766</v>
      </c>
      <c r="B34" s="995" t="s">
        <v>199</v>
      </c>
      <c r="C34" s="996" t="s">
        <v>200</v>
      </c>
      <c r="D34" s="997" t="s">
        <v>83</v>
      </c>
      <c r="E34" s="998">
        <v>8</v>
      </c>
      <c r="F34" s="995">
        <v>-0.78</v>
      </c>
      <c r="G34" s="999">
        <f>E34-F34</f>
        <v>8.7799999999999994</v>
      </c>
      <c r="H34" s="999"/>
      <c r="I34" s="998">
        <f>AVERAGE('20250419_Pit_B'!M13:M17)/100</f>
        <v>2.7560000000000002</v>
      </c>
      <c r="J34" s="998">
        <v>2.8</v>
      </c>
      <c r="K34" s="1215">
        <v>0.39</v>
      </c>
      <c r="L34" s="998">
        <f>G34-I34</f>
        <v>6.0239999999999991</v>
      </c>
      <c r="M34" s="995"/>
      <c r="N34" s="1000"/>
      <c r="O34" s="998"/>
      <c r="P34" s="998">
        <f>I34*K34</f>
        <v>1.07484</v>
      </c>
      <c r="Q34" s="998"/>
      <c r="R34" s="998"/>
      <c r="S34" s="999"/>
      <c r="T34" s="998">
        <v>579739.34600000002</v>
      </c>
      <c r="U34" s="998">
        <v>7018423.4570000004</v>
      </c>
      <c r="V34" s="999">
        <v>1679.6690000000001</v>
      </c>
      <c r="W34" s="1001"/>
    </row>
    <row r="35" spans="1:23" s="763" customFormat="1" ht="15" customHeight="1">
      <c r="A35" s="994">
        <v>45891</v>
      </c>
      <c r="B35" s="995" t="s">
        <v>199</v>
      </c>
      <c r="C35" s="996" t="s">
        <v>200</v>
      </c>
      <c r="D35" s="997" t="s">
        <v>40</v>
      </c>
      <c r="E35" s="998">
        <v>8</v>
      </c>
      <c r="F35" s="995">
        <v>2.96</v>
      </c>
      <c r="G35" s="999">
        <v>5.04</v>
      </c>
      <c r="H35" s="999"/>
      <c r="I35" s="995"/>
      <c r="J35" s="995"/>
      <c r="K35" s="996"/>
      <c r="L35" s="998"/>
      <c r="M35" s="995"/>
      <c r="N35" s="1000"/>
      <c r="O35" s="998">
        <f>Q36-P34</f>
        <v>-1.9604399999999993</v>
      </c>
      <c r="P35" s="998"/>
      <c r="Q35" s="998"/>
      <c r="R35" s="998"/>
      <c r="S35" s="999"/>
      <c r="T35" s="998"/>
      <c r="U35" s="998"/>
      <c r="V35" s="999"/>
      <c r="W35" s="1001"/>
    </row>
    <row r="36" spans="1:23" s="763" customFormat="1" ht="15" customHeight="1">
      <c r="A36" s="994">
        <v>45891</v>
      </c>
      <c r="B36" s="995" t="s">
        <v>199</v>
      </c>
      <c r="C36" s="996" t="s">
        <v>200</v>
      </c>
      <c r="D36" s="997" t="s">
        <v>40</v>
      </c>
      <c r="E36" s="998">
        <v>9</v>
      </c>
      <c r="F36" s="995">
        <v>3.96</v>
      </c>
      <c r="G36" s="1000">
        <v>5.04</v>
      </c>
      <c r="H36" s="999">
        <f>G36-L34</f>
        <v>-0.9839999999999991</v>
      </c>
      <c r="I36" s="995"/>
      <c r="J36" s="995"/>
      <c r="K36" s="996"/>
      <c r="L36" s="995"/>
      <c r="M36" s="995"/>
      <c r="N36" s="1000"/>
      <c r="O36" s="998"/>
      <c r="P36" s="998"/>
      <c r="Q36" s="998">
        <f>H36*0.9</f>
        <v>-0.88559999999999917</v>
      </c>
      <c r="R36" s="998"/>
      <c r="S36" s="999"/>
      <c r="T36" s="998">
        <v>579732.47600000002</v>
      </c>
      <c r="U36" s="998">
        <v>7018411.3810000001</v>
      </c>
      <c r="V36" s="999">
        <v>1674.43</v>
      </c>
      <c r="W36" s="1001"/>
    </row>
    <row r="37" spans="1:23" s="763" customFormat="1" ht="15" customHeight="1">
      <c r="A37" s="994"/>
      <c r="B37" s="995"/>
      <c r="C37" s="996"/>
      <c r="D37" s="997"/>
      <c r="E37" s="998"/>
      <c r="F37" s="995"/>
      <c r="G37" s="1000"/>
      <c r="H37" s="999"/>
      <c r="I37" s="995"/>
      <c r="J37" s="995"/>
      <c r="K37" s="996"/>
      <c r="L37" s="995"/>
      <c r="M37" s="995"/>
      <c r="N37" s="1000"/>
      <c r="O37" s="998"/>
      <c r="P37" s="998"/>
      <c r="Q37" s="998"/>
      <c r="R37" s="998"/>
      <c r="S37" s="999"/>
      <c r="T37" s="998"/>
      <c r="U37" s="998"/>
      <c r="V37" s="999"/>
      <c r="W37" s="1001"/>
    </row>
    <row r="38" spans="1:23" s="48" customFormat="1" ht="15" customHeight="1">
      <c r="A38" s="299"/>
      <c r="B38" s="212"/>
      <c r="C38" s="300"/>
      <c r="D38" s="301"/>
      <c r="E38" s="302"/>
      <c r="F38" s="212"/>
      <c r="G38" s="1002"/>
      <c r="H38" s="303"/>
      <c r="I38" s="212"/>
      <c r="J38" s="212"/>
      <c r="K38" s="300"/>
      <c r="L38" s="212"/>
      <c r="M38" s="212"/>
      <c r="N38" s="1002"/>
      <c r="O38" s="302"/>
      <c r="P38" s="302"/>
      <c r="Q38" s="302"/>
      <c r="R38" s="302"/>
      <c r="S38" s="303"/>
      <c r="T38" s="302"/>
      <c r="U38" s="302"/>
      <c r="V38" s="303"/>
      <c r="W38" s="1003"/>
    </row>
    <row r="39" spans="1:23" s="1313" customFormat="1" ht="15" customHeight="1">
      <c r="A39" s="1305">
        <v>45766</v>
      </c>
      <c r="B39" s="1306" t="s">
        <v>199</v>
      </c>
      <c r="C39" s="1307" t="s">
        <v>279</v>
      </c>
      <c r="D39" s="1308" t="s">
        <v>39</v>
      </c>
      <c r="E39" s="1309">
        <v>9.15</v>
      </c>
      <c r="F39" s="1309">
        <v>1</v>
      </c>
      <c r="G39" s="1310">
        <v>8.15</v>
      </c>
      <c r="H39" s="1311"/>
      <c r="I39" s="1306"/>
      <c r="J39" s="1306"/>
      <c r="K39" s="1307"/>
      <c r="L39" s="1306"/>
      <c r="M39" s="1306"/>
      <c r="N39" s="1310"/>
      <c r="O39" s="1309"/>
      <c r="P39" s="1309"/>
      <c r="Q39" s="1309"/>
      <c r="R39" s="1309"/>
      <c r="S39" s="1311"/>
      <c r="T39" s="1309">
        <v>579732.93299999996</v>
      </c>
      <c r="U39" s="1309">
        <v>7018374.5240000002</v>
      </c>
      <c r="V39" s="1311">
        <v>1674.5029999999999</v>
      </c>
      <c r="W39" s="1312"/>
    </row>
    <row r="40" spans="1:23" s="1313" customFormat="1" ht="15" customHeight="1">
      <c r="A40" s="1305">
        <v>45891</v>
      </c>
      <c r="B40" s="1306" t="s">
        <v>195</v>
      </c>
      <c r="C40" s="1316" t="s">
        <v>279</v>
      </c>
      <c r="D40" s="1308" t="s">
        <v>40</v>
      </c>
      <c r="E40" s="1309">
        <v>6.1</v>
      </c>
      <c r="F40" s="1309">
        <v>1.1000000000000001</v>
      </c>
      <c r="G40" s="1311">
        <v>5</v>
      </c>
      <c r="H40" s="1311"/>
      <c r="I40" s="1306"/>
      <c r="J40" s="1306"/>
      <c r="K40" s="1307"/>
      <c r="L40" s="1306"/>
      <c r="M40" s="1306"/>
      <c r="N40" s="1310"/>
      <c r="O40" s="1309"/>
      <c r="P40" s="1309"/>
      <c r="Q40" s="1309"/>
      <c r="R40" s="1309"/>
      <c r="S40" s="1311"/>
      <c r="T40" s="1309"/>
      <c r="U40" s="1309"/>
      <c r="V40" s="1311"/>
      <c r="W40" s="1312"/>
    </row>
    <row r="41" spans="1:23" s="1313" customFormat="1" ht="15" customHeight="1">
      <c r="A41" s="1305">
        <v>45891</v>
      </c>
      <c r="B41" s="1306" t="s">
        <v>195</v>
      </c>
      <c r="C41" s="1316" t="s">
        <v>279</v>
      </c>
      <c r="D41" s="1308" t="s">
        <v>40</v>
      </c>
      <c r="E41" s="1309">
        <v>8.75</v>
      </c>
      <c r="F41" s="1309">
        <f>E41-G41</f>
        <v>3.75</v>
      </c>
      <c r="G41" s="1311">
        <v>5</v>
      </c>
      <c r="H41" s="1314"/>
      <c r="I41" s="1306"/>
      <c r="J41" s="1306"/>
      <c r="K41" s="1307"/>
      <c r="L41" s="1306"/>
      <c r="M41" s="1306"/>
      <c r="N41" s="1310"/>
      <c r="O41" s="1309"/>
      <c r="P41" s="1309"/>
      <c r="Q41" s="1309"/>
      <c r="R41" s="1309"/>
      <c r="S41" s="1311"/>
      <c r="T41" s="1309"/>
      <c r="U41" s="1309"/>
      <c r="V41" s="1311"/>
      <c r="W41" s="1315"/>
    </row>
    <row r="42" spans="1:23" ht="15.75" customHeight="1" thickBot="1">
      <c r="A42" s="13"/>
      <c r="B42" s="13"/>
      <c r="C42" s="1302"/>
      <c r="D42" s="1303"/>
      <c r="E42" s="14"/>
      <c r="F42" s="14"/>
      <c r="G42" s="1299"/>
      <c r="H42" s="1300"/>
      <c r="I42" s="13"/>
      <c r="J42" s="13"/>
      <c r="K42" s="725"/>
      <c r="L42" s="13"/>
      <c r="M42" s="13"/>
      <c r="N42" s="729"/>
      <c r="O42" s="13"/>
      <c r="P42" s="13"/>
      <c r="Q42" s="13"/>
      <c r="R42" s="7"/>
      <c r="S42" s="733"/>
      <c r="T42" s="13"/>
      <c r="U42" s="13"/>
      <c r="V42" s="1301"/>
      <c r="W42" s="1304"/>
    </row>
    <row r="43" spans="1:23" ht="15.75" customHeight="1">
      <c r="A43" s="1378" t="s">
        <v>42</v>
      </c>
      <c r="B43" s="1379"/>
      <c r="C43" s="1382" t="s">
        <v>43</v>
      </c>
      <c r="D43" s="1383"/>
      <c r="E43" s="77" t="s">
        <v>44</v>
      </c>
      <c r="F43" s="78"/>
      <c r="G43" s="77" t="s">
        <v>45</v>
      </c>
      <c r="H43" s="78"/>
      <c r="I43" s="79" t="s">
        <v>46</v>
      </c>
      <c r="Q43" s="48"/>
      <c r="R43" s="16"/>
      <c r="S43" s="16"/>
      <c r="T43" s="16"/>
      <c r="U43" s="7"/>
    </row>
    <row r="44" spans="1:23" ht="15.75" customHeight="1">
      <c r="A44" s="1380"/>
      <c r="B44" s="1381"/>
      <c r="C44" s="80" t="s">
        <v>47</v>
      </c>
      <c r="D44" s="80" t="s">
        <v>48</v>
      </c>
      <c r="E44" s="81">
        <f>A26</f>
        <v>45525</v>
      </c>
      <c r="F44" s="82"/>
      <c r="G44" s="83">
        <f>A34</f>
        <v>45766</v>
      </c>
      <c r="H44" s="82"/>
      <c r="I44" s="84">
        <f>A36</f>
        <v>45891</v>
      </c>
      <c r="P44" s="44"/>
      <c r="Q44" s="48"/>
      <c r="R44" s="21"/>
      <c r="S44" s="21"/>
      <c r="T44" s="16"/>
      <c r="U44" s="7"/>
    </row>
    <row r="45" spans="1:23" ht="15.75" customHeight="1">
      <c r="A45" s="85"/>
      <c r="B45" s="86" t="s">
        <v>50</v>
      </c>
      <c r="C45" s="9">
        <f>AVERAGE('20250419_Pit_B'!I5,B!P34,B!P27)</f>
        <v>1.0669288267770876</v>
      </c>
      <c r="D45" s="9"/>
      <c r="E45" s="8"/>
      <c r="F45" s="8"/>
      <c r="G45" s="87"/>
      <c r="H45" s="9"/>
      <c r="I45" s="88"/>
      <c r="Q45" s="48"/>
      <c r="R45" s="21"/>
      <c r="S45" s="21"/>
      <c r="T45" s="16"/>
      <c r="U45" s="7"/>
    </row>
    <row r="46" spans="1:23" ht="15.75" customHeight="1">
      <c r="A46" s="85"/>
      <c r="B46" s="86" t="s">
        <v>51</v>
      </c>
      <c r="C46" s="9">
        <f>C47-C45</f>
        <v>-1.8584788267770873</v>
      </c>
      <c r="D46" s="9"/>
      <c r="E46" s="8"/>
      <c r="F46" s="8"/>
      <c r="G46" s="87"/>
      <c r="H46" s="9"/>
      <c r="I46" s="88"/>
      <c r="Q46" s="48"/>
      <c r="R46" s="21"/>
      <c r="S46" s="21"/>
      <c r="T46" s="16"/>
      <c r="U46" s="7"/>
    </row>
    <row r="47" spans="1:23" ht="15.75" customHeight="1">
      <c r="A47" s="85"/>
      <c r="B47" s="86" t="s">
        <v>52</v>
      </c>
      <c r="C47" s="9">
        <f>AVERAGE(Q28,Q36)</f>
        <v>-0.79154999999999975</v>
      </c>
      <c r="D47" s="9"/>
      <c r="E47" s="8"/>
      <c r="F47" s="8"/>
      <c r="G47" s="87"/>
      <c r="H47" s="9"/>
      <c r="I47" s="88"/>
      <c r="Q47" s="48"/>
      <c r="R47" s="21"/>
      <c r="S47" s="21"/>
      <c r="T47" s="16"/>
      <c r="U47" s="7"/>
    </row>
    <row r="48" spans="1:23" ht="15.75" customHeight="1">
      <c r="A48" s="85"/>
      <c r="B48" s="89" t="s">
        <v>53</v>
      </c>
      <c r="C48" s="9">
        <f>S26</f>
        <v>0</v>
      </c>
      <c r="D48" s="9"/>
      <c r="E48" s="8"/>
      <c r="F48" s="8"/>
      <c r="G48" s="9"/>
      <c r="H48" s="9"/>
      <c r="I48" s="88"/>
      <c r="Q48" s="48"/>
      <c r="R48" s="21"/>
      <c r="S48" s="21"/>
      <c r="T48" s="16"/>
      <c r="U48" s="7"/>
    </row>
    <row r="49" spans="1:21" ht="15.75" customHeight="1">
      <c r="A49" s="85"/>
      <c r="B49" s="90" t="s">
        <v>54</v>
      </c>
      <c r="C49" s="9">
        <f>R27</f>
        <v>-0.16649999999999965</v>
      </c>
      <c r="D49" s="9"/>
      <c r="E49" s="8"/>
      <c r="F49" s="8"/>
      <c r="G49" s="9"/>
      <c r="H49" s="9"/>
      <c r="I49" s="88"/>
      <c r="Q49" s="48"/>
      <c r="R49" s="21"/>
      <c r="S49" s="21"/>
      <c r="T49" s="16"/>
      <c r="U49" s="7"/>
    </row>
    <row r="50" spans="1:21" ht="15.75" customHeight="1" thickBot="1">
      <c r="A50" s="91"/>
      <c r="B50" s="92" t="s">
        <v>55</v>
      </c>
      <c r="C50" s="93">
        <v>0</v>
      </c>
      <c r="D50" s="93"/>
      <c r="E50" s="94"/>
      <c r="F50" s="94"/>
      <c r="G50" s="95"/>
      <c r="H50" s="95"/>
      <c r="I50" s="96"/>
      <c r="Q50" s="48"/>
      <c r="R50" s="21"/>
      <c r="S50" s="21"/>
      <c r="T50" s="16"/>
      <c r="U50" s="7"/>
    </row>
    <row r="51" spans="1:21" ht="15.75" customHeight="1">
      <c r="A51" s="7"/>
      <c r="B51" s="7"/>
      <c r="C51" s="7"/>
      <c r="D51" s="7"/>
      <c r="E51" s="7"/>
      <c r="F51" s="7"/>
      <c r="G51" s="7"/>
      <c r="H51" s="7"/>
      <c r="I51" s="7"/>
      <c r="J51" s="7"/>
      <c r="K51" s="7"/>
      <c r="L51" s="7"/>
      <c r="M51" s="7"/>
      <c r="N51" s="7"/>
      <c r="O51" s="7"/>
      <c r="P51" s="7"/>
      <c r="Q51" s="16"/>
      <c r="R51" s="16"/>
      <c r="S51" s="16"/>
      <c r="T51" s="16"/>
      <c r="U51" s="7"/>
    </row>
  </sheetData>
  <mergeCells count="6">
    <mergeCell ref="T1:V1"/>
    <mergeCell ref="T2:U2"/>
    <mergeCell ref="E3:G3"/>
    <mergeCell ref="T3:U3"/>
    <mergeCell ref="A43:B44"/>
    <mergeCell ref="C43:D43"/>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AA87-1E9C-4A3D-9FDB-EFB0F2F983C6}">
  <dimension ref="A1:W21"/>
  <sheetViews>
    <sheetView zoomScaleNormal="100" workbookViewId="0">
      <selection activeCell="C18" sqref="C18"/>
    </sheetView>
  </sheetViews>
  <sheetFormatPr defaultColWidth="17.33203125" defaultRowHeight="15.75" customHeight="1"/>
  <cols>
    <col min="1" max="1" width="12.44140625" style="20" customWidth="1"/>
    <col min="2" max="2" width="27.33203125" style="20" customWidth="1"/>
    <col min="3" max="3" width="11.33203125" style="20" bestFit="1" customWidth="1"/>
    <col min="4" max="4" width="20" style="20" bestFit="1" customWidth="1"/>
    <col min="5" max="5" width="12.6640625" style="20" customWidth="1"/>
    <col min="6" max="7" width="13.6640625" style="20" bestFit="1" customWidth="1"/>
    <col min="8" max="8" width="14.44140625" style="20" bestFit="1" customWidth="1"/>
    <col min="9" max="9" width="17.33203125" style="20" bestFit="1" customWidth="1"/>
    <col min="10" max="10" width="19.5546875" style="20" bestFit="1" customWidth="1"/>
    <col min="11" max="11" width="16.44140625" style="20" bestFit="1" customWidth="1"/>
    <col min="12" max="12" width="18" style="20" customWidth="1"/>
    <col min="13" max="13" width="22.109375" style="20" customWidth="1"/>
    <col min="14" max="14" width="11.5546875" style="20" bestFit="1" customWidth="1"/>
    <col min="15" max="15" width="11.33203125" style="20" bestFit="1" customWidth="1"/>
    <col min="16" max="17" width="7.88671875" style="20" bestFit="1" customWidth="1"/>
    <col min="18" max="18" width="14.6640625" style="20" bestFit="1" customWidth="1"/>
    <col min="19" max="19" width="20.6640625" style="20" bestFit="1" customWidth="1"/>
    <col min="20" max="20" width="21" style="20" bestFit="1" customWidth="1"/>
    <col min="21" max="21" width="16" style="20" customWidth="1"/>
    <col min="22" max="16384" width="17.33203125" style="20"/>
  </cols>
  <sheetData>
    <row r="1" spans="1:23" ht="15" customHeight="1">
      <c r="A1" s="24"/>
      <c r="B1" s="25"/>
      <c r="C1" s="45"/>
      <c r="D1" s="26"/>
      <c r="E1" s="27"/>
      <c r="F1" s="28"/>
      <c r="G1" s="29"/>
      <c r="H1" s="50"/>
      <c r="I1" s="29"/>
      <c r="J1" s="49"/>
      <c r="K1" s="28"/>
      <c r="L1" s="56"/>
      <c r="M1" s="57"/>
      <c r="N1" s="29"/>
      <c r="O1" s="58"/>
      <c r="P1" s="30"/>
      <c r="Q1" s="30"/>
      <c r="R1" s="30"/>
      <c r="S1" s="59"/>
      <c r="T1" s="1368" t="s">
        <v>11</v>
      </c>
      <c r="U1" s="1369"/>
      <c r="V1" s="1370"/>
      <c r="W1" s="54"/>
    </row>
    <row r="2" spans="1:23" ht="15" customHeight="1">
      <c r="A2" s="31"/>
      <c r="B2" s="4"/>
      <c r="C2" s="22"/>
      <c r="D2" s="15"/>
      <c r="E2" s="1231"/>
      <c r="F2" s="1232"/>
      <c r="G2" s="3"/>
      <c r="H2" s="51"/>
      <c r="I2" s="3"/>
      <c r="J2" s="5"/>
      <c r="K2" s="1"/>
      <c r="L2" s="60"/>
      <c r="M2" s="61"/>
      <c r="N2" s="5"/>
      <c r="O2" s="62"/>
      <c r="S2" s="63"/>
      <c r="T2" s="1371" t="s">
        <v>12</v>
      </c>
      <c r="U2" s="1372"/>
      <c r="V2" s="1233"/>
      <c r="W2" s="12"/>
    </row>
    <row r="3" spans="1:23" ht="15" customHeight="1">
      <c r="A3" s="31"/>
      <c r="B3" s="4"/>
      <c r="C3" s="22"/>
      <c r="D3" s="19"/>
      <c r="E3" s="1373" t="s">
        <v>13</v>
      </c>
      <c r="F3" s="1374"/>
      <c r="G3" s="1375"/>
      <c r="H3" s="52"/>
      <c r="I3" s="1232"/>
      <c r="J3" s="5"/>
      <c r="K3" s="1232"/>
      <c r="L3" s="55"/>
      <c r="M3" s="2"/>
      <c r="N3" s="5"/>
      <c r="O3" s="64"/>
      <c r="P3" s="5"/>
      <c r="Q3" s="5"/>
      <c r="R3" s="17"/>
      <c r="S3" s="65"/>
      <c r="T3" s="1376" t="s">
        <v>14</v>
      </c>
      <c r="U3" s="1377"/>
      <c r="V3" s="1233"/>
      <c r="W3" s="18"/>
    </row>
    <row r="4" spans="1:23" s="74" customFormat="1" ht="39.6">
      <c r="A4" s="32" t="s">
        <v>15</v>
      </c>
      <c r="B4" s="6" t="s">
        <v>16</v>
      </c>
      <c r="C4" s="23" t="s">
        <v>17</v>
      </c>
      <c r="D4" s="66" t="s">
        <v>18</v>
      </c>
      <c r="E4" s="67" t="s">
        <v>19</v>
      </c>
      <c r="F4" s="6" t="s">
        <v>20</v>
      </c>
      <c r="G4" s="10" t="s">
        <v>21</v>
      </c>
      <c r="H4" s="53" t="s">
        <v>22</v>
      </c>
      <c r="I4" s="10" t="s">
        <v>23</v>
      </c>
      <c r="J4" s="10" t="s">
        <v>24</v>
      </c>
      <c r="K4" s="6" t="s">
        <v>25</v>
      </c>
      <c r="L4" s="68" t="s">
        <v>26</v>
      </c>
      <c r="M4" s="68" t="s">
        <v>27</v>
      </c>
      <c r="N4" s="10" t="s">
        <v>28</v>
      </c>
      <c r="O4" s="69" t="s">
        <v>29</v>
      </c>
      <c r="P4" s="10" t="s">
        <v>30</v>
      </c>
      <c r="Q4" s="10" t="s">
        <v>31</v>
      </c>
      <c r="R4" s="70" t="s">
        <v>3</v>
      </c>
      <c r="S4" s="71" t="s">
        <v>4</v>
      </c>
      <c r="T4" s="72" t="s">
        <v>32</v>
      </c>
      <c r="U4" s="72" t="s">
        <v>33</v>
      </c>
      <c r="V4" s="73" t="s">
        <v>0</v>
      </c>
      <c r="W4" s="23" t="s">
        <v>34</v>
      </c>
    </row>
    <row r="5" spans="1:23" ht="15.75" customHeight="1" thickBot="1">
      <c r="A5" s="33" t="s">
        <v>35</v>
      </c>
      <c r="B5" s="34"/>
      <c r="C5" s="46"/>
      <c r="D5" s="35"/>
      <c r="E5" s="37" t="s">
        <v>36</v>
      </c>
      <c r="F5" s="37" t="s">
        <v>36</v>
      </c>
      <c r="G5" s="37" t="s">
        <v>36</v>
      </c>
      <c r="H5" s="111" t="s">
        <v>36</v>
      </c>
      <c r="I5" s="111" t="s">
        <v>36</v>
      </c>
      <c r="J5" s="37" t="s">
        <v>36</v>
      </c>
      <c r="K5" s="36" t="s">
        <v>37</v>
      </c>
      <c r="L5" s="47" t="s">
        <v>36</v>
      </c>
      <c r="M5" s="38" t="s">
        <v>36</v>
      </c>
      <c r="N5" s="38" t="s">
        <v>37</v>
      </c>
      <c r="O5" s="75" t="s">
        <v>38</v>
      </c>
      <c r="P5" s="39" t="s">
        <v>38</v>
      </c>
      <c r="Q5" s="39" t="s">
        <v>38</v>
      </c>
      <c r="R5" s="42" t="s">
        <v>38</v>
      </c>
      <c r="S5" s="76" t="s">
        <v>38</v>
      </c>
      <c r="T5" s="40" t="s">
        <v>36</v>
      </c>
      <c r="U5" s="40" t="s">
        <v>36</v>
      </c>
      <c r="V5" s="41" t="s">
        <v>36</v>
      </c>
      <c r="W5" s="43"/>
    </row>
    <row r="6" spans="1:23" ht="15.75" customHeight="1">
      <c r="A6" s="1284"/>
      <c r="B6" s="1285"/>
      <c r="C6" s="1286"/>
      <c r="D6" s="15"/>
      <c r="E6" s="1287"/>
      <c r="F6" s="1287"/>
      <c r="G6" s="1295"/>
      <c r="H6" s="1287"/>
      <c r="I6" s="1296"/>
      <c r="J6" s="1287"/>
      <c r="K6" s="1"/>
      <c r="L6" s="1288"/>
      <c r="M6" s="1289"/>
      <c r="N6" s="1289"/>
      <c r="O6" s="1290"/>
      <c r="P6" s="1291"/>
      <c r="Q6" s="1291"/>
      <c r="R6" s="1292"/>
      <c r="S6" s="1292"/>
      <c r="T6" s="1297"/>
      <c r="U6" s="1293"/>
      <c r="V6" s="1294"/>
      <c r="W6" s="12"/>
    </row>
    <row r="7" spans="1:23" s="1283" customFormat="1" ht="15" customHeight="1">
      <c r="A7" s="1271">
        <v>45768</v>
      </c>
      <c r="B7" s="1272" t="s">
        <v>288</v>
      </c>
      <c r="C7" s="1273" t="s">
        <v>278</v>
      </c>
      <c r="D7" s="1274" t="s">
        <v>39</v>
      </c>
      <c r="E7" s="1275">
        <v>8.3000000000000007</v>
      </c>
      <c r="F7" s="1276">
        <f>0.58</f>
        <v>0.57999999999999996</v>
      </c>
      <c r="G7" s="1276">
        <f>E7-F7</f>
        <v>7.7200000000000006</v>
      </c>
      <c r="H7" s="1277"/>
      <c r="I7" s="1276">
        <f>4.2-0.58</f>
        <v>3.62</v>
      </c>
      <c r="J7" s="1276"/>
      <c r="K7" s="1276">
        <f>AVERAGE('20250419_Pit_B'!I4,'20250419_PitCore_D'!I4)</f>
        <v>0.40236342530020691</v>
      </c>
      <c r="L7" s="1278">
        <f>G7-I7</f>
        <v>4.1000000000000005</v>
      </c>
      <c r="M7" s="1276"/>
      <c r="N7" s="1276"/>
      <c r="O7" s="1279"/>
      <c r="P7" s="1280">
        <f>I7*K7</f>
        <v>1.456555599586749</v>
      </c>
      <c r="Q7" s="1280"/>
      <c r="R7" s="1280"/>
      <c r="S7" s="1280"/>
      <c r="T7" s="1279">
        <v>580143.29200000002</v>
      </c>
      <c r="U7" s="1280">
        <v>7018788.6519999998</v>
      </c>
      <c r="V7" s="1281">
        <v>1733.9010000000001</v>
      </c>
      <c r="W7" s="1282" t="s">
        <v>301</v>
      </c>
    </row>
    <row r="8" spans="1:23" s="1283" customFormat="1" ht="15" customHeight="1">
      <c r="A8" s="1271">
        <v>45891</v>
      </c>
      <c r="B8" s="1272" t="s">
        <v>195</v>
      </c>
      <c r="C8" s="1273" t="s">
        <v>278</v>
      </c>
      <c r="D8" s="1274" t="s">
        <v>40</v>
      </c>
      <c r="E8" s="1275">
        <v>8.3000000000000007</v>
      </c>
      <c r="F8" s="1276">
        <f>E8-G8</f>
        <v>4.4700000000000006</v>
      </c>
      <c r="G8" s="1276">
        <v>3.83</v>
      </c>
      <c r="H8" s="1277">
        <f>G8-L7</f>
        <v>-0.27000000000000046</v>
      </c>
      <c r="I8" s="1276"/>
      <c r="J8" s="1276"/>
      <c r="K8" s="1276"/>
      <c r="L8" s="1278"/>
      <c r="M8" s="1276"/>
      <c r="N8" s="1276"/>
      <c r="O8" s="1279"/>
      <c r="P8" s="1280"/>
      <c r="Q8" s="1280">
        <f>H8*0.9</f>
        <v>-0.24300000000000041</v>
      </c>
      <c r="R8" s="1280"/>
      <c r="S8" s="1280"/>
      <c r="T8" s="1279"/>
      <c r="U8" s="1280"/>
      <c r="V8" s="1281"/>
      <c r="W8" s="1282"/>
    </row>
    <row r="9" spans="1:23" s="1283" customFormat="1" ht="15" customHeight="1">
      <c r="A9" s="1271">
        <v>45891</v>
      </c>
      <c r="B9" s="1272" t="s">
        <v>195</v>
      </c>
      <c r="C9" s="1273" t="s">
        <v>278</v>
      </c>
      <c r="D9" s="1274" t="s">
        <v>40</v>
      </c>
      <c r="E9" s="1275">
        <v>6.1</v>
      </c>
      <c r="F9" s="1276">
        <v>2.27</v>
      </c>
      <c r="G9" s="1276">
        <f>E9-F9</f>
        <v>3.8299999999999996</v>
      </c>
      <c r="H9" s="1277"/>
      <c r="I9" s="1276"/>
      <c r="J9" s="1276"/>
      <c r="K9" s="1280"/>
      <c r="L9" s="1278"/>
      <c r="M9" s="1276"/>
      <c r="N9" s="1276"/>
      <c r="O9" s="1279">
        <f>Q8-P7</f>
        <v>-1.6995555995867493</v>
      </c>
      <c r="P9" s="1280"/>
      <c r="Q9" s="1280"/>
      <c r="R9" s="1280"/>
      <c r="S9" s="1280"/>
      <c r="T9" s="1279">
        <v>580130.44299999997</v>
      </c>
      <c r="U9" s="1280">
        <v>7018784.0669999998</v>
      </c>
      <c r="V9" s="1281">
        <v>1727.537</v>
      </c>
      <c r="W9" s="1282"/>
    </row>
    <row r="10" spans="1:23" s="48" customFormat="1" ht="15" customHeight="1">
      <c r="A10" s="256"/>
      <c r="B10" s="257"/>
      <c r="C10" s="258"/>
      <c r="D10" s="259"/>
      <c r="E10" s="1270"/>
      <c r="F10" s="261"/>
      <c r="G10" s="261"/>
      <c r="H10" s="262"/>
      <c r="I10" s="261"/>
      <c r="J10" s="261"/>
      <c r="K10" s="263"/>
      <c r="L10" s="264"/>
      <c r="M10" s="261"/>
      <c r="N10" s="261"/>
      <c r="O10" s="265"/>
      <c r="P10" s="263"/>
      <c r="Q10" s="263"/>
      <c r="R10" s="263"/>
      <c r="S10" s="263"/>
      <c r="T10" s="265"/>
      <c r="U10" s="263"/>
      <c r="V10" s="959"/>
      <c r="W10" s="266"/>
    </row>
    <row r="11" spans="1:23" s="48" customFormat="1" ht="15" customHeight="1">
      <c r="A11" s="256"/>
      <c r="B11" s="257"/>
      <c r="C11" s="258"/>
      <c r="D11" s="259"/>
      <c r="E11" s="1270"/>
      <c r="F11" s="261"/>
      <c r="G11" s="261"/>
      <c r="H11" s="262"/>
      <c r="I11" s="261"/>
      <c r="J11" s="261"/>
      <c r="K11" s="263"/>
      <c r="L11" s="264"/>
      <c r="M11" s="261"/>
      <c r="N11" s="261"/>
      <c r="O11" s="265"/>
      <c r="P11" s="263"/>
      <c r="Q11" s="263"/>
      <c r="R11" s="263"/>
      <c r="S11" s="263"/>
      <c r="T11" s="265"/>
      <c r="U11" s="263"/>
      <c r="V11" s="959"/>
      <c r="W11" s="266"/>
    </row>
    <row r="12" spans="1:23" ht="15.75" customHeight="1" thickBot="1">
      <c r="A12" s="13"/>
      <c r="B12" s="13"/>
      <c r="C12" s="13"/>
      <c r="D12" s="13"/>
      <c r="E12" s="14"/>
      <c r="F12" s="14"/>
      <c r="G12" s="13"/>
      <c r="H12" s="13"/>
      <c r="I12" s="13"/>
      <c r="J12" s="13"/>
      <c r="K12" s="13"/>
      <c r="L12" s="13"/>
      <c r="M12" s="13"/>
      <c r="N12" s="13"/>
      <c r="O12" s="13"/>
      <c r="P12" s="13"/>
      <c r="Q12" s="13"/>
      <c r="R12" s="7"/>
      <c r="S12" s="7"/>
      <c r="T12" s="13"/>
      <c r="U12" s="13"/>
      <c r="V12" s="210"/>
    </row>
    <row r="13" spans="1:23" ht="15.75" customHeight="1">
      <c r="A13" s="1378" t="s">
        <v>42</v>
      </c>
      <c r="B13" s="1379"/>
      <c r="C13" s="1382" t="s">
        <v>43</v>
      </c>
      <c r="D13" s="1383"/>
      <c r="E13" s="77" t="s">
        <v>44</v>
      </c>
      <c r="F13" s="78"/>
      <c r="G13" s="77" t="s">
        <v>45</v>
      </c>
      <c r="H13" s="78"/>
      <c r="I13" s="79" t="s">
        <v>46</v>
      </c>
      <c r="Q13" s="48"/>
      <c r="R13" s="16"/>
      <c r="S13" s="16"/>
      <c r="T13" s="16"/>
      <c r="U13" s="7"/>
    </row>
    <row r="14" spans="1:23" ht="15.75" customHeight="1">
      <c r="A14" s="1380"/>
      <c r="B14" s="1381"/>
      <c r="C14" s="80" t="s">
        <v>47</v>
      </c>
      <c r="D14" s="80" t="s">
        <v>48</v>
      </c>
      <c r="E14" s="81" t="e">
        <f>#REF!</f>
        <v>#REF!</v>
      </c>
      <c r="F14" s="82"/>
      <c r="G14" s="83">
        <f>A7</f>
        <v>45768</v>
      </c>
      <c r="H14" s="82"/>
      <c r="I14" s="84">
        <f>A8</f>
        <v>45891</v>
      </c>
      <c r="P14" s="44"/>
      <c r="Q14" s="48"/>
      <c r="R14" s="21"/>
      <c r="S14" s="21"/>
      <c r="T14" s="16"/>
      <c r="U14" s="7"/>
    </row>
    <row r="15" spans="1:23" ht="15.75" customHeight="1">
      <c r="A15" s="85"/>
      <c r="B15" s="86" t="s">
        <v>50</v>
      </c>
      <c r="C15" s="9">
        <f>P7</f>
        <v>1.456555599586749</v>
      </c>
      <c r="D15" s="9"/>
      <c r="E15" s="8"/>
      <c r="F15" s="8"/>
      <c r="G15" s="87"/>
      <c r="H15" s="9"/>
      <c r="I15" s="88"/>
      <c r="Q15" s="48"/>
      <c r="R15" s="21"/>
      <c r="S15" s="21"/>
      <c r="T15" s="16"/>
      <c r="U15" s="7"/>
    </row>
    <row r="16" spans="1:23" ht="15.75" customHeight="1">
      <c r="A16" s="85"/>
      <c r="B16" s="86" t="s">
        <v>51</v>
      </c>
      <c r="C16" s="9">
        <f>C17-C15</f>
        <v>-1.6995555995867493</v>
      </c>
      <c r="D16" s="9"/>
      <c r="E16" s="8"/>
      <c r="F16" s="8"/>
      <c r="G16" s="87"/>
      <c r="H16" s="9"/>
      <c r="I16" s="88"/>
      <c r="Q16" s="48"/>
      <c r="R16" s="21"/>
      <c r="S16" s="21"/>
      <c r="T16" s="16"/>
      <c r="U16" s="7"/>
    </row>
    <row r="17" spans="1:21" ht="15.75" customHeight="1">
      <c r="A17" s="85"/>
      <c r="B17" s="86" t="s">
        <v>52</v>
      </c>
      <c r="C17" s="9">
        <f>Q8</f>
        <v>-0.24300000000000041</v>
      </c>
      <c r="D17" s="9"/>
      <c r="E17" s="8"/>
      <c r="F17" s="8"/>
      <c r="G17" s="87"/>
      <c r="H17" s="9"/>
      <c r="I17" s="88"/>
      <c r="Q17" s="48"/>
      <c r="R17" s="21"/>
      <c r="S17" s="21"/>
      <c r="T17" s="16"/>
      <c r="U17" s="7"/>
    </row>
    <row r="18" spans="1:21" ht="15.75" customHeight="1">
      <c r="A18" s="85"/>
      <c r="B18" s="89" t="s">
        <v>53</v>
      </c>
      <c r="C18" s="9">
        <v>0</v>
      </c>
      <c r="D18" s="9"/>
      <c r="E18" s="8"/>
      <c r="F18" s="8"/>
      <c r="G18" s="9"/>
      <c r="H18" s="9"/>
      <c r="I18" s="88"/>
      <c r="Q18" s="48"/>
      <c r="R18" s="21"/>
      <c r="S18" s="21"/>
      <c r="T18" s="16"/>
      <c r="U18" s="7"/>
    </row>
    <row r="19" spans="1:21" ht="15.75" customHeight="1">
      <c r="A19" s="85"/>
      <c r="B19" s="90" t="s">
        <v>54</v>
      </c>
      <c r="C19" s="9" t="s">
        <v>211</v>
      </c>
      <c r="D19" s="9"/>
      <c r="E19" s="8"/>
      <c r="F19" s="8"/>
      <c r="G19" s="9"/>
      <c r="H19" s="9"/>
      <c r="I19" s="88"/>
      <c r="Q19" s="48"/>
      <c r="R19" s="21"/>
      <c r="S19" s="21"/>
      <c r="T19" s="16"/>
      <c r="U19" s="7"/>
    </row>
    <row r="20" spans="1:21" ht="15.75" customHeight="1" thickBot="1">
      <c r="A20" s="91"/>
      <c r="B20" s="92" t="s">
        <v>55</v>
      </c>
      <c r="C20" s="93">
        <v>0</v>
      </c>
      <c r="D20" s="93"/>
      <c r="E20" s="94"/>
      <c r="F20" s="94"/>
      <c r="G20" s="95"/>
      <c r="H20" s="95"/>
      <c r="I20" s="96"/>
      <c r="Q20" s="48"/>
      <c r="R20" s="21"/>
      <c r="S20" s="21"/>
      <c r="T20" s="16"/>
      <c r="U20" s="7"/>
    </row>
    <row r="21" spans="1:21" ht="15.75" customHeight="1">
      <c r="A21" s="7"/>
      <c r="B21" s="7"/>
      <c r="C21" s="7"/>
      <c r="D21" s="7"/>
      <c r="E21" s="7"/>
      <c r="F21" s="7"/>
      <c r="G21" s="7"/>
      <c r="H21" s="7"/>
      <c r="I21" s="7"/>
      <c r="J21" s="7"/>
      <c r="K21" s="7"/>
      <c r="L21" s="7"/>
      <c r="M21" s="7"/>
      <c r="N21" s="7"/>
      <c r="O21" s="7"/>
      <c r="P21" s="7"/>
      <c r="Q21" s="16"/>
      <c r="R21" s="16"/>
      <c r="S21" s="16"/>
      <c r="T21" s="16"/>
      <c r="U21" s="7"/>
    </row>
  </sheetData>
  <mergeCells count="6">
    <mergeCell ref="T1:V1"/>
    <mergeCell ref="T2:U2"/>
    <mergeCell ref="E3:G3"/>
    <mergeCell ref="T3:U3"/>
    <mergeCell ref="A13:B14"/>
    <mergeCell ref="C13:D13"/>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Y53"/>
  <sheetViews>
    <sheetView zoomScale="80" zoomScaleNormal="80" workbookViewId="0">
      <pane xSplit="4" ySplit="5" topLeftCell="E12" activePane="bottomRight" state="frozen"/>
      <selection pane="topRight" activeCell="E1" sqref="E1"/>
      <selection pane="bottomLeft" activeCell="A6" sqref="A6"/>
      <selection pane="bottomRight" activeCell="C49" sqref="C49"/>
    </sheetView>
  </sheetViews>
  <sheetFormatPr defaultColWidth="17.33203125" defaultRowHeight="15.75" customHeight="1"/>
  <cols>
    <col min="1" max="1" width="26.33203125" style="20" customWidth="1"/>
    <col min="2" max="2" width="24" style="20" customWidth="1"/>
    <col min="3" max="3" width="17.6640625" style="20" customWidth="1"/>
    <col min="4" max="4" width="13.88671875" style="20" customWidth="1"/>
    <col min="5" max="5" width="12.109375" style="20" customWidth="1"/>
    <col min="6" max="6" width="9.33203125" style="20" customWidth="1"/>
    <col min="7" max="7" width="12.5546875" style="20" customWidth="1"/>
    <col min="8" max="8" width="10.6640625" style="20" customWidth="1"/>
    <col min="9" max="9" width="12" style="20" customWidth="1"/>
    <col min="10" max="10" width="10.88671875" style="20" customWidth="1"/>
    <col min="11" max="11" width="10.33203125" style="20" customWidth="1"/>
    <col min="12" max="12" width="14.109375" style="20" customWidth="1"/>
    <col min="13" max="13" width="16.44140625" style="20" customWidth="1"/>
    <col min="14" max="14" width="11.44140625" style="20" bestFit="1" customWidth="1"/>
    <col min="15" max="15" width="7.5546875" style="20" bestFit="1" customWidth="1"/>
    <col min="16" max="16" width="8.33203125" style="20" bestFit="1" customWidth="1"/>
    <col min="17" max="17" width="7.5546875" style="20" bestFit="1" customWidth="1"/>
    <col min="18" max="18" width="15.109375" style="20" bestFit="1" customWidth="1"/>
    <col min="19" max="19" width="21.109375" style="20" bestFit="1" customWidth="1"/>
    <col min="20" max="20" width="12.6640625" style="20" bestFit="1" customWidth="1"/>
    <col min="21" max="21" width="13" style="20" customWidth="1"/>
    <col min="22" max="22" width="11.6640625" style="20" customWidth="1"/>
    <col min="23" max="23" width="73.109375" style="20" bestFit="1" customWidth="1"/>
    <col min="24" max="16384" width="17.33203125" style="20"/>
  </cols>
  <sheetData>
    <row r="3" spans="1:51" ht="40.950000000000003" customHeight="1">
      <c r="A3" s="115"/>
      <c r="B3" s="116"/>
      <c r="C3" s="117"/>
      <c r="D3" s="118"/>
      <c r="E3" s="246" t="s">
        <v>13</v>
      </c>
      <c r="F3" s="247"/>
      <c r="G3" s="248"/>
      <c r="H3" s="119"/>
      <c r="I3" s="247"/>
      <c r="J3" s="120"/>
      <c r="K3" s="247"/>
      <c r="L3" s="121"/>
      <c r="M3" s="122"/>
      <c r="N3" s="120"/>
      <c r="O3" s="123"/>
      <c r="P3" s="120"/>
      <c r="Q3" s="120"/>
      <c r="R3" s="124"/>
      <c r="S3" s="125"/>
      <c r="T3" s="249" t="s">
        <v>14</v>
      </c>
      <c r="U3" s="249"/>
      <c r="V3" s="248"/>
      <c r="W3" s="126"/>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row>
    <row r="4" spans="1:51" s="719" customFormat="1" ht="60" customHeight="1">
      <c r="A4" s="708" t="s">
        <v>15</v>
      </c>
      <c r="B4" s="707" t="s">
        <v>16</v>
      </c>
      <c r="C4" s="706" t="s">
        <v>17</v>
      </c>
      <c r="D4" s="709" t="s">
        <v>18</v>
      </c>
      <c r="E4" s="710" t="s">
        <v>19</v>
      </c>
      <c r="F4" s="707" t="s">
        <v>20</v>
      </c>
      <c r="G4" s="711" t="s">
        <v>21</v>
      </c>
      <c r="H4" s="712" t="s">
        <v>22</v>
      </c>
      <c r="I4" s="711" t="s">
        <v>23</v>
      </c>
      <c r="J4" s="711" t="s">
        <v>24</v>
      </c>
      <c r="K4" s="707" t="s">
        <v>25</v>
      </c>
      <c r="L4" s="128" t="s">
        <v>26</v>
      </c>
      <c r="M4" s="128" t="s">
        <v>27</v>
      </c>
      <c r="N4" s="711" t="s">
        <v>28</v>
      </c>
      <c r="O4" s="713" t="s">
        <v>60</v>
      </c>
      <c r="P4" s="711" t="s">
        <v>61</v>
      </c>
      <c r="Q4" s="711" t="s">
        <v>62</v>
      </c>
      <c r="R4" s="714" t="s">
        <v>3</v>
      </c>
      <c r="S4" s="715" t="s">
        <v>4</v>
      </c>
      <c r="T4" s="716" t="s">
        <v>32</v>
      </c>
      <c r="U4" s="716" t="s">
        <v>33</v>
      </c>
      <c r="V4" s="717" t="s">
        <v>0</v>
      </c>
      <c r="W4" s="706" t="s">
        <v>34</v>
      </c>
      <c r="X4" s="718"/>
      <c r="Y4" s="718"/>
      <c r="Z4" s="718"/>
      <c r="AA4" s="718"/>
      <c r="AB4" s="718"/>
      <c r="AC4" s="718"/>
      <c r="AD4" s="718"/>
      <c r="AE4" s="718"/>
      <c r="AF4" s="718"/>
      <c r="AG4" s="718"/>
      <c r="AH4" s="718"/>
      <c r="AI4" s="718"/>
      <c r="AJ4" s="718"/>
      <c r="AK4" s="718"/>
      <c r="AL4" s="718"/>
      <c r="AM4" s="718"/>
      <c r="AN4" s="718"/>
      <c r="AO4" s="718"/>
      <c r="AP4" s="718"/>
      <c r="AQ4" s="718"/>
      <c r="AR4" s="718"/>
      <c r="AS4" s="718"/>
      <c r="AT4" s="718"/>
      <c r="AU4" s="718"/>
      <c r="AV4" s="718"/>
      <c r="AW4" s="718"/>
      <c r="AX4" s="718"/>
      <c r="AY4" s="718"/>
    </row>
    <row r="5" spans="1:51" ht="15.75" customHeight="1" thickBot="1">
      <c r="A5" s="129" t="s">
        <v>35</v>
      </c>
      <c r="B5" s="130"/>
      <c r="C5" s="131"/>
      <c r="D5" s="132"/>
      <c r="E5" s="133" t="s">
        <v>36</v>
      </c>
      <c r="F5" s="133" t="s">
        <v>36</v>
      </c>
      <c r="G5" s="134" t="s">
        <v>36</v>
      </c>
      <c r="H5" s="135" t="s">
        <v>36</v>
      </c>
      <c r="I5" s="133" t="s">
        <v>36</v>
      </c>
      <c r="J5" s="133" t="s">
        <v>36</v>
      </c>
      <c r="K5" s="136" t="s">
        <v>37</v>
      </c>
      <c r="L5" s="137" t="s">
        <v>36</v>
      </c>
      <c r="M5" s="138" t="s">
        <v>36</v>
      </c>
      <c r="N5" s="138" t="s">
        <v>37</v>
      </c>
      <c r="O5" s="139" t="s">
        <v>38</v>
      </c>
      <c r="P5" s="140" t="s">
        <v>38</v>
      </c>
      <c r="Q5" s="140" t="s">
        <v>38</v>
      </c>
      <c r="R5" s="141" t="s">
        <v>38</v>
      </c>
      <c r="S5" s="142" t="s">
        <v>38</v>
      </c>
      <c r="T5" s="143" t="s">
        <v>36</v>
      </c>
      <c r="U5" s="143" t="s">
        <v>36</v>
      </c>
      <c r="V5" s="144" t="s">
        <v>36</v>
      </c>
      <c r="W5" s="145"/>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row>
    <row r="6" spans="1:51" ht="15.75" customHeight="1">
      <c r="A6" s="237">
        <v>43951</v>
      </c>
      <c r="B6" s="236" t="s">
        <v>41</v>
      </c>
      <c r="C6" s="235" t="s">
        <v>65</v>
      </c>
      <c r="D6" s="235" t="s">
        <v>39</v>
      </c>
      <c r="E6" s="236">
        <v>9.15</v>
      </c>
      <c r="F6" s="240">
        <v>0.05</v>
      </c>
      <c r="G6" s="938">
        <v>9.1</v>
      </c>
      <c r="H6" s="239"/>
      <c r="I6" s="236">
        <v>4.24</v>
      </c>
      <c r="J6" s="240">
        <v>4.2615384615384615</v>
      </c>
      <c r="K6" s="241">
        <v>0.43526595853292294</v>
      </c>
      <c r="L6" s="236">
        <v>4.8600000000000003</v>
      </c>
      <c r="M6" s="236"/>
      <c r="N6" s="238"/>
      <c r="O6" s="240"/>
      <c r="P6" s="240">
        <v>1.8549026232864563</v>
      </c>
      <c r="Q6" s="240"/>
      <c r="R6" s="240">
        <v>0</v>
      </c>
      <c r="S6" s="938"/>
      <c r="T6" s="240"/>
      <c r="U6" s="240"/>
      <c r="V6" s="938"/>
      <c r="W6" s="234"/>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row>
    <row r="7" spans="1:51" ht="15.75" customHeight="1">
      <c r="A7" s="237">
        <v>44063</v>
      </c>
      <c r="B7" s="236" t="s">
        <v>64</v>
      </c>
      <c r="C7" s="235" t="s">
        <v>65</v>
      </c>
      <c r="D7" s="235" t="s">
        <v>39</v>
      </c>
      <c r="E7" s="236">
        <v>11</v>
      </c>
      <c r="F7" s="240">
        <v>4.67</v>
      </c>
      <c r="G7" s="938">
        <v>6.33</v>
      </c>
      <c r="H7" s="239">
        <v>1.85</v>
      </c>
      <c r="I7" s="240">
        <v>1.2725</v>
      </c>
      <c r="J7" s="240">
        <v>1.3783333333333334</v>
      </c>
      <c r="K7" s="241">
        <v>0.58485043192689368</v>
      </c>
      <c r="L7" s="236"/>
      <c r="M7" s="236"/>
      <c r="N7" s="238"/>
      <c r="O7" s="240">
        <v>-1.1106804486594841</v>
      </c>
      <c r="P7" s="240"/>
      <c r="Q7" s="240">
        <v>0.74422217462697215</v>
      </c>
      <c r="R7" s="240"/>
      <c r="S7" s="938">
        <v>0</v>
      </c>
      <c r="T7" s="240"/>
      <c r="U7" s="240"/>
      <c r="V7" s="938"/>
      <c r="W7" s="234"/>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c r="AX7" s="127"/>
      <c r="AY7" s="127"/>
    </row>
    <row r="8" spans="1:51" ht="15.75" customHeight="1">
      <c r="A8" s="237">
        <v>44063</v>
      </c>
      <c r="B8" s="236" t="s">
        <v>64</v>
      </c>
      <c r="C8" s="235" t="s">
        <v>65</v>
      </c>
      <c r="D8" s="235" t="s">
        <v>63</v>
      </c>
      <c r="E8" s="236">
        <v>11</v>
      </c>
      <c r="F8" s="240">
        <v>6.14</v>
      </c>
      <c r="G8" s="938">
        <v>4.8600000000000003</v>
      </c>
      <c r="H8" s="239">
        <v>1.85</v>
      </c>
      <c r="I8" s="240"/>
      <c r="J8" s="240"/>
      <c r="K8" s="241"/>
      <c r="L8" s="236"/>
      <c r="M8" s="236"/>
      <c r="N8" s="238"/>
      <c r="O8" s="240"/>
      <c r="P8" s="240"/>
      <c r="Q8" s="240"/>
      <c r="R8" s="240"/>
      <c r="S8" s="938"/>
      <c r="T8" s="240"/>
      <c r="U8" s="240"/>
      <c r="V8" s="938"/>
      <c r="W8" s="234"/>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row>
    <row r="9" spans="1:51" ht="15.75" customHeight="1">
      <c r="A9" s="237">
        <v>44313</v>
      </c>
      <c r="B9" s="236" t="s">
        <v>56</v>
      </c>
      <c r="C9" s="235" t="s">
        <v>65</v>
      </c>
      <c r="D9" s="235" t="s">
        <v>39</v>
      </c>
      <c r="E9" s="236">
        <v>10</v>
      </c>
      <c r="F9" s="240">
        <v>1.06</v>
      </c>
      <c r="G9" s="240">
        <v>8.94</v>
      </c>
      <c r="H9" s="239"/>
      <c r="I9" s="240">
        <v>2.8975</v>
      </c>
      <c r="J9" s="240">
        <v>2.94</v>
      </c>
      <c r="K9" s="241">
        <v>0.37</v>
      </c>
      <c r="L9" s="240">
        <v>6.0424999999999995</v>
      </c>
      <c r="M9" s="236"/>
      <c r="N9" s="238"/>
      <c r="O9" s="240"/>
      <c r="P9" s="240">
        <f>I9*K9</f>
        <v>1.0720749999999999</v>
      </c>
      <c r="Q9" s="240"/>
      <c r="R9" s="240">
        <v>-0.16814449917898225</v>
      </c>
      <c r="S9" s="938"/>
      <c r="T9" s="240"/>
      <c r="U9" s="240"/>
      <c r="V9" s="938"/>
      <c r="W9" s="234"/>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row>
    <row r="10" spans="1:51" ht="15.75" customHeight="1">
      <c r="A10" s="237">
        <v>44429</v>
      </c>
      <c r="B10" s="236" t="s">
        <v>78</v>
      </c>
      <c r="C10" s="235" t="s">
        <v>65</v>
      </c>
      <c r="D10" s="235" t="s">
        <v>66</v>
      </c>
      <c r="E10" s="236">
        <v>10</v>
      </c>
      <c r="F10" s="240">
        <f>E10-G10</f>
        <v>3.34</v>
      </c>
      <c r="G10" s="240">
        <v>6.66</v>
      </c>
      <c r="H10" s="239"/>
      <c r="I10" s="240"/>
      <c r="J10" s="240">
        <v>0.38</v>
      </c>
      <c r="K10" s="241">
        <v>0.53</v>
      </c>
      <c r="L10" s="240"/>
      <c r="M10" s="236"/>
      <c r="N10" s="238"/>
      <c r="O10" s="240">
        <f>Q11-P9</f>
        <v>-0.65607499999999985</v>
      </c>
      <c r="P10" s="240"/>
      <c r="Q10" s="240"/>
      <c r="R10" s="240"/>
      <c r="S10" s="938">
        <f>J10*K10</f>
        <v>0.20140000000000002</v>
      </c>
      <c r="T10" s="240"/>
      <c r="U10" s="240"/>
      <c r="V10" s="938"/>
      <c r="W10" s="234"/>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row>
    <row r="11" spans="1:51" ht="15.75" customHeight="1">
      <c r="A11" s="237">
        <v>44429</v>
      </c>
      <c r="B11" s="236" t="s">
        <v>78</v>
      </c>
      <c r="C11" s="235" t="s">
        <v>65</v>
      </c>
      <c r="D11" s="235" t="s">
        <v>77</v>
      </c>
      <c r="E11" s="236">
        <v>10</v>
      </c>
      <c r="F11" s="240">
        <f>E11-G11</f>
        <v>3.62</v>
      </c>
      <c r="G11" s="938">
        <v>6.38</v>
      </c>
      <c r="H11" s="239"/>
      <c r="I11" s="236"/>
      <c r="J11" s="236">
        <v>0.8</v>
      </c>
      <c r="K11" s="241">
        <v>0.52</v>
      </c>
      <c r="L11" s="236"/>
      <c r="M11" s="236"/>
      <c r="N11" s="238"/>
      <c r="O11" s="240"/>
      <c r="P11" s="240"/>
      <c r="Q11" s="240">
        <f>J11*K11</f>
        <v>0.41600000000000004</v>
      </c>
      <c r="R11" s="240"/>
      <c r="S11" s="938"/>
      <c r="T11" s="240"/>
      <c r="U11" s="240"/>
      <c r="V11" s="938"/>
      <c r="W11" s="234"/>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row>
    <row r="12" spans="1:51" ht="15.75" customHeight="1">
      <c r="A12" s="237">
        <v>44668</v>
      </c>
      <c r="B12" s="236" t="s">
        <v>79</v>
      </c>
      <c r="C12" s="235" t="s">
        <v>65</v>
      </c>
      <c r="D12" s="288" t="s">
        <v>39</v>
      </c>
      <c r="E12" s="236">
        <v>11.16</v>
      </c>
      <c r="F12" s="240"/>
      <c r="G12" s="938"/>
      <c r="H12" s="239"/>
      <c r="I12" s="236"/>
      <c r="J12" s="236"/>
      <c r="K12" s="241"/>
      <c r="L12" s="236"/>
      <c r="M12" s="236"/>
      <c r="N12" s="238"/>
      <c r="O12" s="240"/>
      <c r="P12" s="240"/>
      <c r="Q12" s="240"/>
      <c r="R12" s="240"/>
      <c r="S12" s="938"/>
      <c r="T12" s="240"/>
      <c r="U12" s="240"/>
      <c r="V12" s="938"/>
      <c r="W12" s="233"/>
      <c r="X12" s="127"/>
      <c r="Y12" s="127"/>
      <c r="Z12" s="127"/>
      <c r="AA12" s="127"/>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row>
    <row r="13" spans="1:51" ht="15.75" customHeight="1">
      <c r="A13" s="237">
        <v>44668</v>
      </c>
      <c r="B13" s="236" t="s">
        <v>79</v>
      </c>
      <c r="C13" s="235" t="s">
        <v>65</v>
      </c>
      <c r="D13" s="288" t="s">
        <v>39</v>
      </c>
      <c r="E13" s="236">
        <v>10</v>
      </c>
      <c r="F13" s="240">
        <v>0.49</v>
      </c>
      <c r="G13" s="938">
        <f>E13-F13</f>
        <v>9.51</v>
      </c>
      <c r="H13" s="1246">
        <f>G13-G11</f>
        <v>3.13</v>
      </c>
      <c r="I13" s="236"/>
      <c r="J13" s="236">
        <v>3.45</v>
      </c>
      <c r="K13" s="241">
        <v>0.41</v>
      </c>
      <c r="L13" s="236">
        <f>G13-J13</f>
        <v>6.06</v>
      </c>
      <c r="M13" s="236"/>
      <c r="N13" s="238"/>
      <c r="O13" s="240"/>
      <c r="P13" s="240">
        <f>K13*J13</f>
        <v>1.4145000000000001</v>
      </c>
      <c r="Q13" s="240"/>
      <c r="R13" s="240">
        <f>(L13-G11)*K11</f>
        <v>-0.16640000000000016</v>
      </c>
      <c r="S13" s="938"/>
      <c r="T13" s="240"/>
      <c r="U13" s="240"/>
      <c r="V13" s="938"/>
      <c r="W13" s="233"/>
      <c r="X13" s="127"/>
      <c r="Y13" s="127"/>
      <c r="Z13" s="127"/>
      <c r="AA13" s="127"/>
      <c r="AB13" s="127"/>
      <c r="AC13" s="127"/>
      <c r="AD13" s="127"/>
      <c r="AE13" s="127"/>
      <c r="AF13" s="127"/>
      <c r="AG13" s="127"/>
      <c r="AH13" s="127"/>
      <c r="AI13" s="127"/>
      <c r="AJ13" s="127"/>
      <c r="AK13" s="127"/>
      <c r="AL13" s="127"/>
      <c r="AM13" s="127"/>
      <c r="AN13" s="127"/>
      <c r="AO13" s="127"/>
      <c r="AP13" s="127"/>
      <c r="AQ13" s="127"/>
      <c r="AR13" s="127"/>
      <c r="AS13" s="127"/>
      <c r="AT13" s="127"/>
      <c r="AU13" s="127"/>
      <c r="AV13" s="127"/>
      <c r="AW13" s="127"/>
      <c r="AX13" s="127"/>
      <c r="AY13" s="127"/>
    </row>
    <row r="14" spans="1:51" ht="15.75" customHeight="1">
      <c r="A14" s="237">
        <v>45031</v>
      </c>
      <c r="B14" s="236" t="s">
        <v>93</v>
      </c>
      <c r="C14" s="235" t="s">
        <v>65</v>
      </c>
      <c r="D14" s="288" t="s">
        <v>39</v>
      </c>
      <c r="E14" s="236" t="s">
        <v>67</v>
      </c>
      <c r="F14" s="240"/>
      <c r="G14" s="938"/>
      <c r="H14" s="239"/>
      <c r="I14" s="236"/>
      <c r="J14" s="236"/>
      <c r="K14" s="241"/>
      <c r="L14" s="236"/>
      <c r="M14" s="236"/>
      <c r="N14" s="238"/>
      <c r="O14" s="240"/>
      <c r="P14" s="240"/>
      <c r="Q14" s="240"/>
      <c r="R14" s="240"/>
      <c r="S14" s="938"/>
      <c r="T14" s="240"/>
      <c r="U14" s="240"/>
      <c r="V14" s="938"/>
      <c r="W14" s="233"/>
      <c r="X14" s="127"/>
      <c r="Y14" s="127"/>
      <c r="Z14" s="127"/>
      <c r="AA14" s="127"/>
      <c r="AB14" s="127"/>
      <c r="AC14" s="127"/>
      <c r="AD14" s="127"/>
      <c r="AE14" s="127"/>
      <c r="AF14" s="127"/>
      <c r="AG14" s="127"/>
      <c r="AH14" s="127"/>
      <c r="AI14" s="127"/>
      <c r="AJ14" s="127"/>
      <c r="AK14" s="127"/>
      <c r="AL14" s="127"/>
      <c r="AM14" s="127"/>
      <c r="AN14" s="127"/>
      <c r="AO14" s="127"/>
      <c r="AP14" s="127"/>
      <c r="AQ14" s="127"/>
      <c r="AR14" s="127"/>
      <c r="AS14" s="127"/>
      <c r="AT14" s="127"/>
      <c r="AU14" s="127"/>
      <c r="AV14" s="127"/>
      <c r="AW14" s="127"/>
      <c r="AX14" s="127"/>
      <c r="AY14" s="127"/>
    </row>
    <row r="15" spans="1:51" ht="15.75" customHeight="1">
      <c r="A15" s="237">
        <v>45160</v>
      </c>
      <c r="B15" s="236" t="s">
        <v>94</v>
      </c>
      <c r="C15" s="235" t="s">
        <v>65</v>
      </c>
      <c r="D15" s="288" t="s">
        <v>68</v>
      </c>
      <c r="E15" s="236">
        <v>9.15</v>
      </c>
      <c r="F15" s="240">
        <v>2.13</v>
      </c>
      <c r="G15" s="938">
        <f>E15-F15</f>
        <v>7.0200000000000005</v>
      </c>
      <c r="H15" s="239"/>
      <c r="I15" s="236">
        <f>(0.56+0.61+0.58+0.65)/4</f>
        <v>0.6</v>
      </c>
      <c r="J15" s="236"/>
      <c r="K15" s="241"/>
      <c r="L15" s="236">
        <f>G15-I15</f>
        <v>6.4200000000000008</v>
      </c>
      <c r="M15" s="236"/>
      <c r="N15" s="238"/>
      <c r="O15" s="240"/>
      <c r="P15" s="240"/>
      <c r="Q15" s="240"/>
      <c r="R15" s="240"/>
      <c r="S15" s="938"/>
      <c r="T15" s="240"/>
      <c r="U15" s="240"/>
      <c r="V15" s="938"/>
      <c r="W15" s="233"/>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row>
    <row r="16" spans="1:51" ht="15.75" customHeight="1">
      <c r="A16" s="237">
        <v>45160</v>
      </c>
      <c r="B16" s="236" t="s">
        <v>94</v>
      </c>
      <c r="C16" s="235" t="s">
        <v>65</v>
      </c>
      <c r="D16" s="288" t="s">
        <v>68</v>
      </c>
      <c r="E16" s="236">
        <v>10.84</v>
      </c>
      <c r="F16" s="240">
        <f>E16-G16</f>
        <v>3.8200000000000003</v>
      </c>
      <c r="G16" s="938">
        <v>7.02</v>
      </c>
      <c r="H16" s="239"/>
      <c r="I16" s="236"/>
      <c r="J16" s="236"/>
      <c r="K16" s="241"/>
      <c r="L16" s="236"/>
      <c r="M16" s="236"/>
      <c r="N16" s="238"/>
      <c r="O16" s="240"/>
      <c r="P16" s="240"/>
      <c r="Q16" s="240"/>
      <c r="R16" s="240"/>
      <c r="S16" s="938"/>
      <c r="T16" s="240"/>
      <c r="U16" s="240"/>
      <c r="V16" s="938"/>
      <c r="W16" s="233"/>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row>
    <row r="17" spans="1:51" ht="15.75" customHeight="1">
      <c r="A17" s="237">
        <v>45399</v>
      </c>
      <c r="B17" s="236" t="s">
        <v>146</v>
      </c>
      <c r="C17" s="235" t="s">
        <v>65</v>
      </c>
      <c r="D17" s="288" t="s">
        <v>83</v>
      </c>
      <c r="E17" s="236">
        <v>10.84</v>
      </c>
      <c r="F17" s="240">
        <f>E17-G17</f>
        <v>1.5299999999999994</v>
      </c>
      <c r="G17" s="938">
        <v>9.31</v>
      </c>
      <c r="H17" s="1246">
        <f>G17-G16</f>
        <v>2.2900000000000009</v>
      </c>
      <c r="I17" s="236">
        <v>3.02</v>
      </c>
      <c r="J17" s="236">
        <v>3.54</v>
      </c>
      <c r="K17" s="241">
        <v>0.43</v>
      </c>
      <c r="L17" s="236">
        <f>G17-I17</f>
        <v>6.2900000000000009</v>
      </c>
      <c r="M17" s="236"/>
      <c r="N17" s="238"/>
      <c r="O17" s="240"/>
      <c r="P17" s="240">
        <f>I17*K17</f>
        <v>1.2986</v>
      </c>
      <c r="Q17" s="240"/>
      <c r="R17" s="240">
        <f>(H17-I17)*K24</f>
        <v>-0.37229999999999952</v>
      </c>
      <c r="S17" s="938"/>
      <c r="T17" s="240">
        <v>580850.27599999995</v>
      </c>
      <c r="U17" s="240">
        <v>7018443.4579999996</v>
      </c>
      <c r="V17" s="938">
        <v>1825.501</v>
      </c>
      <c r="W17" s="233"/>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row>
    <row r="18" spans="1:51" ht="15.75" customHeight="1">
      <c r="A18" s="237">
        <v>45891</v>
      </c>
      <c r="B18" s="236" t="s">
        <v>195</v>
      </c>
      <c r="C18" s="235" t="s">
        <v>65</v>
      </c>
      <c r="D18" s="288" t="s">
        <v>68</v>
      </c>
      <c r="E18" s="236">
        <v>10.84</v>
      </c>
      <c r="F18" s="240">
        <f>E18-G18</f>
        <v>5.14</v>
      </c>
      <c r="G18" s="938">
        <v>5.7</v>
      </c>
      <c r="H18" s="239"/>
      <c r="I18" s="236">
        <v>0.32</v>
      </c>
      <c r="J18" s="236"/>
      <c r="K18" s="241">
        <v>0.52</v>
      </c>
      <c r="L18" s="236"/>
      <c r="M18" s="236"/>
      <c r="N18" s="238"/>
      <c r="O18" s="240">
        <f>Q18-P17</f>
        <v>-1.1321999999999999</v>
      </c>
      <c r="P18" s="240"/>
      <c r="Q18" s="240">
        <f>I18*K18</f>
        <v>0.16640000000000002</v>
      </c>
      <c r="R18" s="240"/>
      <c r="S18" s="938"/>
      <c r="T18" s="240"/>
      <c r="U18" s="240"/>
      <c r="V18" s="938"/>
      <c r="W18" s="233" t="s">
        <v>269</v>
      </c>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row>
    <row r="19" spans="1:51" s="48" customFormat="1" ht="15.75" customHeight="1">
      <c r="A19" s="278"/>
      <c r="B19" s="279"/>
      <c r="C19" s="286"/>
      <c r="D19" s="289"/>
      <c r="E19" s="279"/>
      <c r="F19" s="280"/>
      <c r="G19" s="939"/>
      <c r="H19" s="295"/>
      <c r="I19" s="279"/>
      <c r="J19" s="279"/>
      <c r="K19" s="291"/>
      <c r="L19" s="279"/>
      <c r="M19" s="279"/>
      <c r="N19" s="293"/>
      <c r="O19" s="280"/>
      <c r="P19" s="280"/>
      <c r="Q19" s="280"/>
      <c r="R19" s="280"/>
      <c r="S19" s="939"/>
      <c r="T19" s="280"/>
      <c r="U19" s="280"/>
      <c r="V19" s="939"/>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row>
    <row r="20" spans="1:51" s="285" customFormat="1" ht="15.75" customHeight="1">
      <c r="A20" s="281">
        <v>44668</v>
      </c>
      <c r="B20" s="282" t="s">
        <v>81</v>
      </c>
      <c r="C20" s="287" t="s">
        <v>82</v>
      </c>
      <c r="D20" s="290" t="s">
        <v>83</v>
      </c>
      <c r="E20" s="282">
        <v>9.15</v>
      </c>
      <c r="F20" s="283">
        <v>0.03</v>
      </c>
      <c r="G20" s="940">
        <f>E20-F20</f>
        <v>9.120000000000001</v>
      </c>
      <c r="H20" s="296"/>
      <c r="I20" s="282"/>
      <c r="J20" s="282">
        <v>3.45</v>
      </c>
      <c r="K20" s="292">
        <v>0.41</v>
      </c>
      <c r="L20" s="282">
        <f>G20-J20</f>
        <v>5.6700000000000008</v>
      </c>
      <c r="M20" s="282"/>
      <c r="N20" s="294"/>
      <c r="O20" s="283"/>
      <c r="P20" s="283">
        <f>J20*K20</f>
        <v>1.4145000000000001</v>
      </c>
      <c r="Q20" s="283"/>
      <c r="R20" s="283"/>
      <c r="S20" s="940"/>
      <c r="T20" s="283"/>
      <c r="U20" s="283"/>
      <c r="V20" s="940"/>
      <c r="W20" s="284"/>
      <c r="X20" s="284"/>
      <c r="Y20" s="284"/>
      <c r="Z20" s="284"/>
      <c r="AA20" s="284"/>
      <c r="AB20" s="284"/>
      <c r="AC20" s="284"/>
      <c r="AD20" s="284"/>
      <c r="AE20" s="284"/>
      <c r="AF20" s="284"/>
      <c r="AG20" s="284"/>
      <c r="AH20" s="284"/>
      <c r="AI20" s="284"/>
      <c r="AJ20" s="284"/>
      <c r="AK20" s="284"/>
      <c r="AL20" s="284"/>
      <c r="AM20" s="284"/>
      <c r="AN20" s="284"/>
      <c r="AO20" s="284"/>
      <c r="AP20" s="284"/>
      <c r="AQ20" s="284"/>
      <c r="AR20" s="284"/>
      <c r="AS20" s="284"/>
      <c r="AT20" s="284"/>
      <c r="AU20" s="284"/>
      <c r="AV20" s="284"/>
      <c r="AW20" s="284"/>
      <c r="AX20" s="284"/>
      <c r="AY20" s="284"/>
    </row>
    <row r="21" spans="1:51" s="285" customFormat="1" ht="15.75" customHeight="1">
      <c r="A21" s="281">
        <v>44796</v>
      </c>
      <c r="B21" s="282" t="s">
        <v>91</v>
      </c>
      <c r="C21" s="287" t="s">
        <v>82</v>
      </c>
      <c r="D21" s="290" t="s">
        <v>39</v>
      </c>
      <c r="E21" s="282">
        <v>9.1199999999999992</v>
      </c>
      <c r="F21" s="283">
        <f>E21-G21</f>
        <v>2.7099999999999991</v>
      </c>
      <c r="G21" s="940">
        <v>6.41</v>
      </c>
      <c r="H21" s="296"/>
      <c r="I21" s="282"/>
      <c r="J21" s="282">
        <v>0.15</v>
      </c>
      <c r="K21" s="292">
        <v>0.51</v>
      </c>
      <c r="L21" s="282"/>
      <c r="M21" s="282"/>
      <c r="N21" s="294"/>
      <c r="O21" s="283"/>
      <c r="P21" s="283"/>
      <c r="Q21" s="283"/>
      <c r="R21" s="283"/>
      <c r="S21" s="940"/>
      <c r="T21" s="283"/>
      <c r="U21" s="283"/>
      <c r="V21" s="940"/>
      <c r="W21" s="284"/>
      <c r="X21" s="284"/>
      <c r="Y21" s="284"/>
      <c r="Z21" s="284"/>
      <c r="AA21" s="284"/>
      <c r="AB21" s="284"/>
      <c r="AC21" s="284"/>
      <c r="AD21" s="284"/>
      <c r="AE21" s="284"/>
      <c r="AF21" s="284"/>
      <c r="AG21" s="284"/>
      <c r="AH21" s="284"/>
      <c r="AI21" s="284"/>
      <c r="AJ21" s="284"/>
      <c r="AK21" s="284"/>
      <c r="AL21" s="284"/>
      <c r="AM21" s="284"/>
      <c r="AN21" s="284"/>
      <c r="AO21" s="284"/>
      <c r="AP21" s="284"/>
      <c r="AQ21" s="284"/>
      <c r="AR21" s="284"/>
      <c r="AS21" s="284"/>
      <c r="AT21" s="284"/>
      <c r="AU21" s="284"/>
      <c r="AV21" s="284"/>
      <c r="AW21" s="284"/>
      <c r="AX21" s="284"/>
      <c r="AY21" s="284"/>
    </row>
    <row r="22" spans="1:51" s="285" customFormat="1" ht="15.75" customHeight="1">
      <c r="A22" s="281">
        <v>44796</v>
      </c>
      <c r="B22" s="282" t="s">
        <v>91</v>
      </c>
      <c r="C22" s="287" t="s">
        <v>82</v>
      </c>
      <c r="D22" s="290" t="s">
        <v>92</v>
      </c>
      <c r="E22" s="282">
        <v>10.9</v>
      </c>
      <c r="F22" s="283">
        <f>E22-G22</f>
        <v>4.6400000000000006</v>
      </c>
      <c r="G22" s="940">
        <f>6.41-0.15</f>
        <v>6.26</v>
      </c>
      <c r="H22" s="296"/>
      <c r="I22" s="282"/>
      <c r="J22" s="282">
        <v>0.52</v>
      </c>
      <c r="K22" s="292">
        <v>0.56000000000000005</v>
      </c>
      <c r="L22" s="282"/>
      <c r="M22" s="282"/>
      <c r="N22" s="294"/>
      <c r="O22" s="283">
        <f>Q22-P20</f>
        <v>-1.1233</v>
      </c>
      <c r="P22" s="283"/>
      <c r="Q22" s="283">
        <f>J22*K22</f>
        <v>0.29120000000000001</v>
      </c>
      <c r="R22" s="283"/>
      <c r="S22" s="940">
        <f>J21*K21</f>
        <v>7.6499999999999999E-2</v>
      </c>
      <c r="T22" s="283"/>
      <c r="U22" s="283"/>
      <c r="V22" s="940"/>
      <c r="W22" s="284"/>
      <c r="X22" s="284"/>
      <c r="Y22" s="284"/>
      <c r="Z22" s="284"/>
      <c r="AA22" s="284"/>
      <c r="AB22" s="284"/>
      <c r="AC22" s="284"/>
      <c r="AD22" s="284"/>
      <c r="AE22" s="284"/>
      <c r="AF22" s="284"/>
      <c r="AG22" s="284"/>
      <c r="AH22" s="284"/>
      <c r="AI22" s="284"/>
      <c r="AJ22" s="284"/>
      <c r="AK22" s="284"/>
      <c r="AL22" s="284"/>
      <c r="AM22" s="284"/>
      <c r="AN22" s="284"/>
      <c r="AO22" s="284"/>
      <c r="AP22" s="284"/>
      <c r="AQ22" s="284"/>
      <c r="AR22" s="284"/>
      <c r="AS22" s="284"/>
      <c r="AT22" s="284"/>
      <c r="AU22" s="284"/>
      <c r="AV22" s="284"/>
      <c r="AW22" s="284"/>
      <c r="AX22" s="284"/>
      <c r="AY22" s="284"/>
    </row>
    <row r="23" spans="1:51" s="285" customFormat="1" ht="15.75" customHeight="1">
      <c r="A23" s="281">
        <v>45031</v>
      </c>
      <c r="B23" s="282" t="s">
        <v>93</v>
      </c>
      <c r="C23" s="287" t="s">
        <v>82</v>
      </c>
      <c r="D23" s="290" t="s">
        <v>39</v>
      </c>
      <c r="E23" s="282" t="s">
        <v>67</v>
      </c>
      <c r="F23" s="283"/>
      <c r="G23" s="940"/>
      <c r="H23" s="296"/>
      <c r="I23" s="282"/>
      <c r="J23" s="282">
        <v>4.58</v>
      </c>
      <c r="K23" s="292">
        <v>0.42</v>
      </c>
      <c r="L23" s="282"/>
      <c r="M23" s="282"/>
      <c r="N23" s="294"/>
      <c r="O23" s="283"/>
      <c r="P23" s="283">
        <f>J23*K23</f>
        <v>1.9236</v>
      </c>
      <c r="Q23" s="283"/>
      <c r="R23" s="283"/>
      <c r="S23" s="940"/>
      <c r="T23" s="283"/>
      <c r="U23" s="283"/>
      <c r="V23" s="940"/>
      <c r="W23" s="284"/>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c r="AU23" s="284"/>
      <c r="AV23" s="284"/>
      <c r="AW23" s="284"/>
      <c r="AX23" s="284"/>
      <c r="AY23" s="284"/>
    </row>
    <row r="24" spans="1:51" s="285" customFormat="1" ht="15.75" customHeight="1">
      <c r="A24" s="281">
        <v>45160</v>
      </c>
      <c r="B24" s="282" t="s">
        <v>94</v>
      </c>
      <c r="C24" s="287" t="s">
        <v>82</v>
      </c>
      <c r="D24" s="290" t="s">
        <v>68</v>
      </c>
      <c r="E24" s="282">
        <v>10.9</v>
      </c>
      <c r="F24" s="283">
        <f>1.69+1.96</f>
        <v>3.65</v>
      </c>
      <c r="G24" s="940">
        <f>E24-F24</f>
        <v>7.25</v>
      </c>
      <c r="H24" s="296">
        <f>G24-G22</f>
        <v>0.99000000000000021</v>
      </c>
      <c r="I24" s="282">
        <v>0.99</v>
      </c>
      <c r="J24" s="282">
        <v>0.99</v>
      </c>
      <c r="K24" s="292">
        <v>0.51</v>
      </c>
      <c r="L24" s="282">
        <f>G24-I24</f>
        <v>6.26</v>
      </c>
      <c r="M24" s="282"/>
      <c r="N24" s="294"/>
      <c r="O24" s="283">
        <f>Q24-P23</f>
        <v>-1.4186999999999999</v>
      </c>
      <c r="P24" s="283"/>
      <c r="Q24" s="283">
        <f>K24*J24</f>
        <v>0.50490000000000002</v>
      </c>
      <c r="R24" s="283"/>
      <c r="S24" s="940"/>
      <c r="T24" s="283"/>
      <c r="U24" s="283"/>
      <c r="V24" s="940"/>
      <c r="W24" s="284"/>
      <c r="X24" s="284"/>
      <c r="Y24" s="284"/>
      <c r="Z24" s="284"/>
      <c r="AA24" s="284"/>
      <c r="AB24" s="284"/>
      <c r="AC24" s="284"/>
      <c r="AD24" s="284"/>
      <c r="AE24" s="284"/>
      <c r="AF24" s="284"/>
      <c r="AG24" s="284"/>
      <c r="AH24" s="284"/>
      <c r="AI24" s="284"/>
      <c r="AJ24" s="284"/>
      <c r="AK24" s="284"/>
      <c r="AL24" s="284"/>
      <c r="AM24" s="284"/>
      <c r="AN24" s="284"/>
      <c r="AO24" s="284"/>
      <c r="AP24" s="284"/>
      <c r="AQ24" s="284"/>
      <c r="AR24" s="284"/>
      <c r="AS24" s="284"/>
      <c r="AT24" s="284"/>
      <c r="AU24" s="284"/>
      <c r="AV24" s="284"/>
      <c r="AW24" s="284"/>
      <c r="AX24" s="284"/>
      <c r="AY24" s="284"/>
    </row>
    <row r="25" spans="1:51" s="285" customFormat="1" ht="15.75" customHeight="1">
      <c r="A25" s="281">
        <v>45160</v>
      </c>
      <c r="B25" s="282" t="s">
        <v>94</v>
      </c>
      <c r="C25" s="287" t="s">
        <v>82</v>
      </c>
      <c r="D25" s="290" t="s">
        <v>68</v>
      </c>
      <c r="E25" s="282">
        <v>12.25</v>
      </c>
      <c r="F25" s="283">
        <f>E25-G25</f>
        <v>5</v>
      </c>
      <c r="G25" s="940">
        <v>7.25</v>
      </c>
      <c r="H25" s="296"/>
      <c r="I25" s="282"/>
      <c r="J25" s="282"/>
      <c r="K25" s="292"/>
      <c r="L25" s="282"/>
      <c r="M25" s="282"/>
      <c r="N25" s="294"/>
      <c r="O25" s="283"/>
      <c r="P25" s="283"/>
      <c r="Q25" s="283"/>
      <c r="R25" s="283"/>
      <c r="S25" s="940"/>
      <c r="T25" s="283"/>
      <c r="U25" s="283"/>
      <c r="V25" s="940"/>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c r="AU25" s="284"/>
      <c r="AV25" s="284"/>
      <c r="AW25" s="284"/>
      <c r="AX25" s="284"/>
      <c r="AY25" s="284"/>
    </row>
    <row r="26" spans="1:51" s="285" customFormat="1" ht="15.75" customHeight="1">
      <c r="A26" s="281">
        <v>45399</v>
      </c>
      <c r="B26" s="282" t="s">
        <v>146</v>
      </c>
      <c r="C26" s="287" t="s">
        <v>82</v>
      </c>
      <c r="D26" s="290" t="s">
        <v>39</v>
      </c>
      <c r="E26" s="282">
        <v>12.25</v>
      </c>
      <c r="F26" s="283">
        <v>2.33</v>
      </c>
      <c r="G26" s="940">
        <f>E26-F26</f>
        <v>9.92</v>
      </c>
      <c r="H26" s="296">
        <f>G26-G25</f>
        <v>2.67</v>
      </c>
      <c r="I26" s="282">
        <v>3.25</v>
      </c>
      <c r="J26" s="282">
        <v>3.44</v>
      </c>
      <c r="K26" s="292">
        <v>0.43</v>
      </c>
      <c r="L26" s="282">
        <f>G26-I26</f>
        <v>6.67</v>
      </c>
      <c r="M26" s="282"/>
      <c r="N26" s="294"/>
      <c r="O26" s="283"/>
      <c r="P26" s="283">
        <f>I26*K26</f>
        <v>1.3975</v>
      </c>
      <c r="Q26" s="283"/>
      <c r="R26" s="283">
        <f>(H26-I26)*K24</f>
        <v>-0.29580000000000006</v>
      </c>
      <c r="S26" s="940"/>
      <c r="T26" s="283">
        <v>580931.56900000002</v>
      </c>
      <c r="U26" s="283">
        <v>7018384.2960000001</v>
      </c>
      <c r="V26" s="940">
        <v>1834.1849999999999</v>
      </c>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4"/>
      <c r="AS26" s="284"/>
      <c r="AT26" s="284"/>
      <c r="AU26" s="284"/>
      <c r="AV26" s="284"/>
      <c r="AW26" s="284"/>
      <c r="AX26" s="284"/>
      <c r="AY26" s="284"/>
    </row>
    <row r="27" spans="1:51" s="285" customFormat="1" ht="15.75" customHeight="1">
      <c r="A27" s="281">
        <v>45525</v>
      </c>
      <c r="B27" s="282" t="s">
        <v>146</v>
      </c>
      <c r="C27" s="287" t="s">
        <v>82</v>
      </c>
      <c r="D27" s="290" t="s">
        <v>68</v>
      </c>
      <c r="E27" s="283">
        <v>12.25</v>
      </c>
      <c r="F27" s="283">
        <f>(12.25-9.21)+2.65</f>
        <v>5.6899999999999995</v>
      </c>
      <c r="G27" s="940">
        <f>E27-F27</f>
        <v>6.5600000000000005</v>
      </c>
      <c r="H27" s="296">
        <f>G27-L27</f>
        <v>-0.10999999999999943</v>
      </c>
      <c r="I27" s="282"/>
      <c r="J27" s="282"/>
      <c r="K27" s="292">
        <v>0.54</v>
      </c>
      <c r="L27" s="282">
        <f>L26</f>
        <v>6.67</v>
      </c>
      <c r="M27" s="282"/>
      <c r="N27" s="294"/>
      <c r="O27" s="283">
        <f>Q27-P26</f>
        <v>-1.4535999999999998</v>
      </c>
      <c r="P27" s="283"/>
      <c r="Q27" s="283">
        <f>H27*K24</f>
        <v>-5.6099999999999713E-2</v>
      </c>
      <c r="R27" s="283"/>
      <c r="S27" s="940"/>
      <c r="T27" s="283">
        <v>580920.44099999999</v>
      </c>
      <c r="U27" s="283">
        <v>7018391.2810000004</v>
      </c>
      <c r="V27" s="940">
        <v>1829.6079999999999</v>
      </c>
      <c r="W27" s="284"/>
      <c r="X27" s="284"/>
      <c r="Y27" s="284"/>
      <c r="Z27" s="284"/>
      <c r="AA27" s="284"/>
      <c r="AB27" s="284"/>
      <c r="AC27" s="284"/>
      <c r="AD27" s="284"/>
      <c r="AE27" s="284"/>
      <c r="AF27" s="284"/>
      <c r="AG27" s="284"/>
      <c r="AH27" s="284"/>
      <c r="AI27" s="284"/>
      <c r="AJ27" s="284"/>
      <c r="AK27" s="284"/>
      <c r="AL27" s="284"/>
      <c r="AM27" s="284"/>
      <c r="AN27" s="284"/>
      <c r="AO27" s="284"/>
      <c r="AP27" s="284"/>
      <c r="AQ27" s="284"/>
      <c r="AR27" s="284"/>
      <c r="AS27" s="284"/>
      <c r="AT27" s="284"/>
      <c r="AU27" s="284"/>
      <c r="AV27" s="284"/>
      <c r="AW27" s="284"/>
      <c r="AX27" s="284"/>
      <c r="AY27" s="284"/>
    </row>
    <row r="28" spans="1:51" s="285" customFormat="1" ht="15.75" customHeight="1">
      <c r="A28" s="281">
        <v>45891</v>
      </c>
      <c r="B28" s="282" t="s">
        <v>195</v>
      </c>
      <c r="C28" s="287" t="s">
        <v>82</v>
      </c>
      <c r="D28" s="290" t="s">
        <v>68</v>
      </c>
      <c r="E28" s="282">
        <v>9.2100000000000009</v>
      </c>
      <c r="F28" s="283">
        <v>2.4300000000000002</v>
      </c>
      <c r="G28" s="940">
        <f>E28-F28</f>
        <v>6.7800000000000011</v>
      </c>
      <c r="H28" s="296">
        <f>G28-G27</f>
        <v>0.22000000000000064</v>
      </c>
      <c r="I28" s="282">
        <v>0.24</v>
      </c>
      <c r="J28" s="282"/>
      <c r="K28" s="292">
        <v>0.52</v>
      </c>
      <c r="L28" s="282"/>
      <c r="M28" s="282"/>
      <c r="N28" s="294"/>
      <c r="O28" s="283"/>
      <c r="P28" s="283"/>
      <c r="Q28" s="283">
        <f>I28*K28</f>
        <v>0.12479999999999999</v>
      </c>
      <c r="R28" s="283"/>
      <c r="S28" s="940"/>
      <c r="T28" s="283"/>
      <c r="U28" s="283"/>
      <c r="V28" s="940"/>
      <c r="W28" s="284" t="s">
        <v>268</v>
      </c>
      <c r="X28" s="284"/>
      <c r="Y28" s="284"/>
      <c r="Z28" s="284"/>
      <c r="AA28" s="284"/>
      <c r="AB28" s="284"/>
      <c r="AC28" s="284"/>
      <c r="AD28" s="284"/>
      <c r="AE28" s="284"/>
      <c r="AF28" s="284"/>
      <c r="AG28" s="284"/>
      <c r="AH28" s="284"/>
      <c r="AI28" s="284"/>
      <c r="AJ28" s="284"/>
      <c r="AK28" s="284"/>
      <c r="AL28" s="284"/>
      <c r="AM28" s="284"/>
      <c r="AN28" s="284"/>
      <c r="AO28" s="284"/>
      <c r="AP28" s="284"/>
      <c r="AQ28" s="284"/>
      <c r="AR28" s="284"/>
      <c r="AS28" s="284"/>
      <c r="AT28" s="284"/>
      <c r="AU28" s="284"/>
      <c r="AV28" s="284"/>
      <c r="AW28" s="284"/>
      <c r="AX28" s="284"/>
      <c r="AY28" s="284"/>
    </row>
    <row r="29" spans="1:51" s="48" customFormat="1" ht="15.75" customHeight="1">
      <c r="A29" s="278"/>
      <c r="B29" s="279"/>
      <c r="C29" s="286"/>
      <c r="D29" s="289"/>
      <c r="E29" s="279"/>
      <c r="F29" s="280"/>
      <c r="G29" s="939"/>
      <c r="H29" s="295"/>
      <c r="I29" s="279"/>
      <c r="J29" s="279"/>
      <c r="K29" s="291"/>
      <c r="L29" s="279"/>
      <c r="M29" s="279"/>
      <c r="N29" s="293"/>
      <c r="O29" s="280"/>
      <c r="P29" s="280"/>
      <c r="Q29" s="280"/>
      <c r="R29" s="280"/>
      <c r="S29" s="939"/>
      <c r="T29" s="280"/>
      <c r="U29" s="280"/>
      <c r="V29" s="939"/>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row>
    <row r="30" spans="1:51" s="700" customFormat="1" ht="15.75" customHeight="1">
      <c r="A30" s="696">
        <v>45399</v>
      </c>
      <c r="B30" s="697" t="s">
        <v>146</v>
      </c>
      <c r="C30" s="704" t="s">
        <v>168</v>
      </c>
      <c r="D30" s="705" t="s">
        <v>39</v>
      </c>
      <c r="E30" s="697">
        <v>8</v>
      </c>
      <c r="F30" s="698">
        <v>0.13</v>
      </c>
      <c r="G30" s="941">
        <f>E30-F30</f>
        <v>7.87</v>
      </c>
      <c r="H30" s="702"/>
      <c r="I30" s="697">
        <v>3.54</v>
      </c>
      <c r="J30" s="697">
        <v>3.44</v>
      </c>
      <c r="K30" s="703">
        <v>0.43</v>
      </c>
      <c r="L30" s="697">
        <f>G30-I30</f>
        <v>4.33</v>
      </c>
      <c r="M30" s="697"/>
      <c r="N30" s="701"/>
      <c r="O30" s="698"/>
      <c r="P30" s="698">
        <f>I30*K30</f>
        <v>1.5222</v>
      </c>
      <c r="Q30" s="698"/>
      <c r="R30" s="698"/>
      <c r="S30" s="941"/>
      <c r="T30" s="698">
        <v>581081.1</v>
      </c>
      <c r="U30" s="698">
        <v>7018300.9019999998</v>
      </c>
      <c r="V30" s="941">
        <v>1854.5550000000001</v>
      </c>
      <c r="W30" s="699"/>
      <c r="X30" s="699"/>
      <c r="Y30" s="699"/>
      <c r="Z30" s="699"/>
      <c r="AA30" s="699"/>
      <c r="AB30" s="699"/>
      <c r="AC30" s="699"/>
      <c r="AD30" s="699"/>
      <c r="AE30" s="699"/>
      <c r="AF30" s="699"/>
      <c r="AG30" s="699"/>
      <c r="AH30" s="699"/>
      <c r="AI30" s="699"/>
      <c r="AJ30" s="699"/>
      <c r="AK30" s="699"/>
      <c r="AL30" s="699"/>
      <c r="AM30" s="699"/>
      <c r="AN30" s="699"/>
      <c r="AO30" s="699"/>
      <c r="AP30" s="699"/>
      <c r="AQ30" s="699"/>
      <c r="AR30" s="699"/>
      <c r="AS30" s="699"/>
      <c r="AT30" s="699"/>
      <c r="AU30" s="699"/>
      <c r="AV30" s="699"/>
      <c r="AW30" s="699"/>
      <c r="AX30" s="699"/>
      <c r="AY30" s="699"/>
    </row>
    <row r="31" spans="1:51" s="700" customFormat="1" ht="15.75" customHeight="1">
      <c r="A31" s="696">
        <v>45525</v>
      </c>
      <c r="B31" s="697" t="s">
        <v>180</v>
      </c>
      <c r="C31" s="704" t="s">
        <v>168</v>
      </c>
      <c r="D31" s="705" t="s">
        <v>181</v>
      </c>
      <c r="E31" s="697">
        <v>8</v>
      </c>
      <c r="F31" s="698">
        <v>3.11</v>
      </c>
      <c r="G31" s="941">
        <f>E31-F31</f>
        <v>4.8900000000000006</v>
      </c>
      <c r="H31" s="702"/>
      <c r="I31" s="976"/>
      <c r="J31" s="697"/>
      <c r="K31" s="703"/>
      <c r="L31" s="697"/>
      <c r="M31" s="697"/>
      <c r="N31" s="701"/>
      <c r="O31" s="698"/>
      <c r="P31" s="698"/>
      <c r="Q31" s="698"/>
      <c r="R31" s="698"/>
      <c r="S31" s="941"/>
      <c r="T31" s="698">
        <v>581068.59699999995</v>
      </c>
      <c r="U31" s="698">
        <v>7018308.4029999999</v>
      </c>
      <c r="V31" s="941">
        <v>1850.153</v>
      </c>
      <c r="W31" s="699"/>
      <c r="X31" s="699"/>
      <c r="Y31" s="699"/>
      <c r="Z31" s="699"/>
      <c r="AA31" s="699"/>
      <c r="AB31" s="699"/>
      <c r="AC31" s="699"/>
      <c r="AD31" s="699"/>
      <c r="AE31" s="699"/>
      <c r="AF31" s="699"/>
      <c r="AG31" s="699"/>
      <c r="AH31" s="699"/>
      <c r="AI31" s="699"/>
      <c r="AJ31" s="699"/>
      <c r="AK31" s="699"/>
      <c r="AL31" s="699"/>
      <c r="AM31" s="699"/>
      <c r="AN31" s="699"/>
      <c r="AO31" s="699"/>
      <c r="AP31" s="699"/>
      <c r="AQ31" s="699"/>
      <c r="AR31" s="699"/>
      <c r="AS31" s="699"/>
      <c r="AT31" s="699"/>
      <c r="AU31" s="699"/>
      <c r="AV31" s="699"/>
      <c r="AW31" s="699"/>
      <c r="AX31" s="699"/>
      <c r="AY31" s="699"/>
    </row>
    <row r="32" spans="1:51" s="700" customFormat="1" ht="15.75" customHeight="1">
      <c r="A32" s="696">
        <v>45525</v>
      </c>
      <c r="B32" s="697" t="s">
        <v>180</v>
      </c>
      <c r="C32" s="704" t="s">
        <v>168</v>
      </c>
      <c r="D32" s="705" t="s">
        <v>182</v>
      </c>
      <c r="E32" s="697">
        <v>8</v>
      </c>
      <c r="F32" s="698">
        <v>3.22</v>
      </c>
      <c r="G32" s="941">
        <f>E32-F32</f>
        <v>4.7799999999999994</v>
      </c>
      <c r="H32" s="975"/>
      <c r="I32" s="697">
        <v>0.11</v>
      </c>
      <c r="J32" s="698">
        <v>0.4</v>
      </c>
      <c r="K32" s="703">
        <v>0.54</v>
      </c>
      <c r="L32" s="697"/>
      <c r="M32" s="697"/>
      <c r="N32" s="701"/>
      <c r="O32" s="698">
        <f>Q32-P30</f>
        <v>-1.3062</v>
      </c>
      <c r="P32" s="698"/>
      <c r="Q32" s="698">
        <f>J32*K32</f>
        <v>0.21600000000000003</v>
      </c>
      <c r="R32" s="698"/>
      <c r="S32" s="941"/>
      <c r="T32" s="698"/>
      <c r="U32" s="698"/>
      <c r="V32" s="941"/>
      <c r="W32" s="699"/>
      <c r="X32" s="699"/>
      <c r="Y32" s="699"/>
      <c r="Z32" s="699"/>
      <c r="AA32" s="699"/>
      <c r="AB32" s="699"/>
      <c r="AC32" s="699"/>
      <c r="AD32" s="699"/>
      <c r="AE32" s="699"/>
      <c r="AF32" s="699"/>
      <c r="AG32" s="699"/>
      <c r="AH32" s="699"/>
      <c r="AI32" s="699"/>
      <c r="AJ32" s="699"/>
      <c r="AK32" s="699"/>
      <c r="AL32" s="699"/>
      <c r="AM32" s="699"/>
      <c r="AN32" s="699"/>
      <c r="AO32" s="699"/>
      <c r="AP32" s="699"/>
      <c r="AQ32" s="699"/>
      <c r="AR32" s="699"/>
      <c r="AS32" s="699"/>
      <c r="AT32" s="699"/>
      <c r="AU32" s="699"/>
      <c r="AV32" s="699"/>
      <c r="AW32" s="699"/>
      <c r="AX32" s="699"/>
      <c r="AY32" s="699"/>
    </row>
    <row r="33" spans="1:51" s="700" customFormat="1" ht="20.25" customHeight="1">
      <c r="A33" s="696">
        <v>45766</v>
      </c>
      <c r="B33" s="697" t="s">
        <v>195</v>
      </c>
      <c r="C33" s="704" t="s">
        <v>168</v>
      </c>
      <c r="D33" s="705" t="s">
        <v>39</v>
      </c>
      <c r="E33" s="697">
        <v>9</v>
      </c>
      <c r="F33" s="698">
        <v>0.79</v>
      </c>
      <c r="G33" s="941">
        <f>E33-F33</f>
        <v>8.2100000000000009</v>
      </c>
      <c r="H33" s="702"/>
      <c r="I33" s="698">
        <f>AVERAGE('20250419_PitCore_D'!V15:V18)/100</f>
        <v>3.3050000000000002</v>
      </c>
      <c r="J33" s="698">
        <v>3.32</v>
      </c>
      <c r="K33" s="703">
        <v>0.41</v>
      </c>
      <c r="L33" s="698">
        <f>G33-I33</f>
        <v>4.9050000000000011</v>
      </c>
      <c r="M33" s="697"/>
      <c r="N33" s="701"/>
      <c r="O33" s="698"/>
      <c r="P33" s="698">
        <f>K33*I33</f>
        <v>1.3550500000000001</v>
      </c>
      <c r="Q33" s="698"/>
      <c r="R33" s="698">
        <f>(L33-G31)*K32</f>
        <v>8.1000000000003083E-3</v>
      </c>
      <c r="S33" s="941"/>
      <c r="T33" s="698">
        <v>581046.66299999994</v>
      </c>
      <c r="U33" s="698">
        <v>7018321.3870000001</v>
      </c>
      <c r="V33" s="941">
        <v>1850.922</v>
      </c>
      <c r="W33" s="699"/>
      <c r="X33" s="699"/>
      <c r="Y33" s="699"/>
      <c r="Z33" s="699"/>
      <c r="AA33" s="699"/>
      <c r="AB33" s="699"/>
      <c r="AC33" s="699"/>
      <c r="AD33" s="699"/>
      <c r="AE33" s="699"/>
      <c r="AF33" s="699"/>
      <c r="AG33" s="699"/>
      <c r="AH33" s="699"/>
      <c r="AI33" s="699"/>
      <c r="AJ33" s="699"/>
      <c r="AK33" s="699"/>
      <c r="AL33" s="699"/>
      <c r="AM33" s="699"/>
      <c r="AN33" s="699"/>
      <c r="AO33" s="699"/>
      <c r="AP33" s="699"/>
      <c r="AQ33" s="699"/>
      <c r="AR33" s="699"/>
      <c r="AS33" s="699"/>
      <c r="AT33" s="699"/>
      <c r="AU33" s="699"/>
      <c r="AV33" s="699"/>
      <c r="AW33" s="699"/>
      <c r="AX33" s="699"/>
      <c r="AY33" s="699"/>
    </row>
    <row r="34" spans="1:51" s="700" customFormat="1" ht="20.25" customHeight="1">
      <c r="A34" s="696">
        <v>45891</v>
      </c>
      <c r="B34" s="697" t="s">
        <v>195</v>
      </c>
      <c r="C34" s="704" t="s">
        <v>168</v>
      </c>
      <c r="D34" s="705" t="s">
        <v>68</v>
      </c>
      <c r="E34" s="697">
        <v>9</v>
      </c>
      <c r="F34" s="698">
        <f>3+0.92</f>
        <v>3.92</v>
      </c>
      <c r="G34" s="941">
        <v>5.08</v>
      </c>
      <c r="H34" s="702"/>
      <c r="I34" s="697">
        <v>0.12</v>
      </c>
      <c r="J34" s="697">
        <v>0.33</v>
      </c>
      <c r="K34" s="703">
        <v>0.52</v>
      </c>
      <c r="L34" s="698">
        <f>G34-I34</f>
        <v>4.96</v>
      </c>
      <c r="M34" s="697"/>
      <c r="N34" s="701"/>
      <c r="O34" s="698">
        <f>Q34-P33</f>
        <v>-1.2926500000000001</v>
      </c>
      <c r="P34" s="698"/>
      <c r="Q34" s="698">
        <f>K34*I34</f>
        <v>6.2399999999999997E-2</v>
      </c>
      <c r="R34" s="698"/>
      <c r="S34" s="941"/>
      <c r="T34" s="698">
        <v>581035.11800000002</v>
      </c>
      <c r="U34" s="698">
        <v>7018328.8399999999</v>
      </c>
      <c r="V34" s="941">
        <v>1846.367</v>
      </c>
      <c r="W34" s="699"/>
      <c r="X34" s="699"/>
      <c r="Y34" s="699"/>
      <c r="Z34" s="699"/>
      <c r="AA34" s="699"/>
      <c r="AB34" s="699"/>
      <c r="AC34" s="699"/>
      <c r="AD34" s="699"/>
      <c r="AE34" s="699"/>
      <c r="AF34" s="699"/>
      <c r="AG34" s="699"/>
      <c r="AH34" s="699"/>
      <c r="AI34" s="699"/>
      <c r="AJ34" s="699"/>
      <c r="AK34" s="699"/>
      <c r="AL34" s="699"/>
      <c r="AM34" s="699"/>
      <c r="AN34" s="699"/>
      <c r="AO34" s="699"/>
      <c r="AP34" s="699"/>
      <c r="AQ34" s="699"/>
      <c r="AR34" s="699"/>
      <c r="AS34" s="699"/>
      <c r="AT34" s="699"/>
      <c r="AU34" s="699"/>
      <c r="AV34" s="699"/>
      <c r="AW34" s="699"/>
      <c r="AX34" s="699"/>
      <c r="AY34" s="699"/>
    </row>
    <row r="35" spans="1:51" s="700" customFormat="1" ht="20.25" customHeight="1">
      <c r="A35" s="696">
        <v>45891</v>
      </c>
      <c r="B35" s="697" t="s">
        <v>195</v>
      </c>
      <c r="C35" s="704" t="s">
        <v>168</v>
      </c>
      <c r="D35" s="705" t="s">
        <v>68</v>
      </c>
      <c r="E35" s="698">
        <v>10</v>
      </c>
      <c r="F35" s="698">
        <v>4.92</v>
      </c>
      <c r="G35" s="941">
        <v>5.08</v>
      </c>
      <c r="H35" s="702"/>
      <c r="I35" s="697"/>
      <c r="J35" s="697"/>
      <c r="K35" s="703"/>
      <c r="L35" s="697"/>
      <c r="M35" s="697"/>
      <c r="N35" s="701"/>
      <c r="O35" s="698"/>
      <c r="P35" s="698"/>
      <c r="Q35" s="698"/>
      <c r="R35" s="698"/>
      <c r="S35" s="941"/>
      <c r="T35" s="698"/>
      <c r="U35" s="698"/>
      <c r="V35" s="941"/>
      <c r="W35" s="699"/>
      <c r="X35" s="699"/>
      <c r="Y35" s="699"/>
      <c r="Z35" s="699"/>
      <c r="AA35" s="699"/>
      <c r="AB35" s="699"/>
      <c r="AC35" s="699"/>
      <c r="AD35" s="699"/>
      <c r="AE35" s="699"/>
      <c r="AF35" s="699"/>
      <c r="AG35" s="699"/>
      <c r="AH35" s="699"/>
      <c r="AI35" s="699"/>
      <c r="AJ35" s="699"/>
      <c r="AK35" s="699"/>
      <c r="AL35" s="699"/>
      <c r="AM35" s="699"/>
      <c r="AN35" s="699"/>
      <c r="AO35" s="699"/>
      <c r="AP35" s="699"/>
      <c r="AQ35" s="699"/>
      <c r="AR35" s="699"/>
      <c r="AS35" s="699"/>
      <c r="AT35" s="699"/>
      <c r="AU35" s="699"/>
      <c r="AV35" s="699"/>
      <c r="AW35" s="699"/>
      <c r="AX35" s="699"/>
      <c r="AY35" s="699"/>
    </row>
    <row r="36" spans="1:51" s="48" customFormat="1" ht="20.25" customHeight="1">
      <c r="A36" s="278"/>
      <c r="B36" s="279"/>
      <c r="C36" s="286"/>
      <c r="D36" s="289"/>
      <c r="E36" s="279"/>
      <c r="F36" s="280"/>
      <c r="G36" s="939"/>
      <c r="H36" s="295"/>
      <c r="I36" s="279"/>
      <c r="J36" s="279"/>
      <c r="K36" s="291"/>
      <c r="L36" s="279"/>
      <c r="M36" s="279"/>
      <c r="N36" s="293"/>
      <c r="O36" s="280"/>
      <c r="P36" s="280"/>
      <c r="Q36" s="280"/>
      <c r="R36" s="280"/>
      <c r="S36" s="939"/>
      <c r="T36" s="280"/>
      <c r="U36" s="280"/>
      <c r="V36" s="939"/>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row>
    <row r="37" spans="1:51" s="1269" customFormat="1" ht="20.25" customHeight="1">
      <c r="A37" s="1259" t="s">
        <v>297</v>
      </c>
      <c r="B37" s="1260" t="s">
        <v>287</v>
      </c>
      <c r="C37" s="1261" t="s">
        <v>276</v>
      </c>
      <c r="D37" s="1262" t="s">
        <v>68</v>
      </c>
      <c r="E37" s="1260"/>
      <c r="F37" s="1266"/>
      <c r="G37" s="1267"/>
      <c r="H37" s="1264"/>
      <c r="I37" s="1260"/>
      <c r="J37" s="1260"/>
      <c r="K37" s="1265"/>
      <c r="L37" s="1260"/>
      <c r="M37" s="1260"/>
      <c r="N37" s="1263"/>
      <c r="O37" s="1266"/>
      <c r="P37" s="1266"/>
      <c r="Q37" s="1266"/>
      <c r="R37" s="1266"/>
      <c r="S37" s="1267"/>
      <c r="T37" s="1266"/>
      <c r="U37" s="1266"/>
      <c r="V37" s="1267"/>
      <c r="W37" s="1268"/>
      <c r="X37" s="1268"/>
      <c r="Y37" s="1268"/>
      <c r="Z37" s="1268"/>
      <c r="AA37" s="1268"/>
      <c r="AB37" s="1268"/>
      <c r="AC37" s="1268"/>
      <c r="AD37" s="1268"/>
      <c r="AE37" s="1268"/>
      <c r="AF37" s="1268"/>
      <c r="AG37" s="1268"/>
      <c r="AH37" s="1268"/>
      <c r="AI37" s="1268"/>
      <c r="AJ37" s="1268"/>
      <c r="AK37" s="1268"/>
      <c r="AL37" s="1268"/>
      <c r="AM37" s="1268"/>
      <c r="AN37" s="1268"/>
      <c r="AO37" s="1268"/>
      <c r="AP37" s="1268"/>
      <c r="AQ37" s="1268"/>
      <c r="AR37" s="1268"/>
      <c r="AS37" s="1268"/>
      <c r="AT37" s="1268"/>
      <c r="AU37" s="1268"/>
      <c r="AV37" s="1268"/>
      <c r="AW37" s="1268"/>
      <c r="AX37" s="1268"/>
      <c r="AY37" s="1268"/>
    </row>
    <row r="38" spans="1:51" s="1269" customFormat="1" ht="20.25" customHeight="1">
      <c r="A38" s="1259">
        <v>45766</v>
      </c>
      <c r="B38" s="1260" t="s">
        <v>199</v>
      </c>
      <c r="C38" s="1261" t="s">
        <v>276</v>
      </c>
      <c r="D38" s="1262" t="s">
        <v>39</v>
      </c>
      <c r="E38" s="1260">
        <v>9.15</v>
      </c>
      <c r="F38" s="1266">
        <v>0.89</v>
      </c>
      <c r="G38" s="1267">
        <f>E38-F38</f>
        <v>8.26</v>
      </c>
      <c r="H38" s="1264"/>
      <c r="I38" s="1266">
        <f>G38-L39</f>
        <v>3.419999999999999</v>
      </c>
      <c r="J38" s="1266">
        <f>'20250419_PitCore_D'!I3</f>
        <v>3.3180000000000001</v>
      </c>
      <c r="K38" s="1265">
        <f>'20250419_PitCore_D'!I4</f>
        <v>0.41099187612009774</v>
      </c>
      <c r="L38" s="1260"/>
      <c r="M38" s="1260"/>
      <c r="N38" s="1263"/>
      <c r="O38" s="1266"/>
      <c r="P38" s="1266">
        <f>I38*K38</f>
        <v>1.4055922163307339</v>
      </c>
      <c r="Q38" s="1266"/>
      <c r="R38" s="1266"/>
      <c r="S38" s="1267"/>
      <c r="T38" s="1266">
        <v>581040.62</v>
      </c>
      <c r="U38" s="1266">
        <v>7018313.6560000004</v>
      </c>
      <c r="V38" s="1267">
        <v>1850.56</v>
      </c>
      <c r="W38" s="1268"/>
      <c r="X38" s="1268"/>
      <c r="Y38" s="1268"/>
      <c r="Z38" s="1268"/>
      <c r="AA38" s="1268"/>
      <c r="AB38" s="1268"/>
      <c r="AC38" s="1268"/>
      <c r="AD38" s="1268"/>
      <c r="AE38" s="1268"/>
      <c r="AF38" s="1268"/>
      <c r="AG38" s="1268"/>
      <c r="AH38" s="1268"/>
      <c r="AI38" s="1268"/>
      <c r="AJ38" s="1268"/>
      <c r="AK38" s="1268"/>
      <c r="AL38" s="1268"/>
      <c r="AM38" s="1268"/>
      <c r="AN38" s="1268"/>
      <c r="AO38" s="1268"/>
      <c r="AP38" s="1268"/>
      <c r="AQ38" s="1268"/>
      <c r="AR38" s="1268"/>
      <c r="AS38" s="1268"/>
      <c r="AT38" s="1268"/>
      <c r="AU38" s="1268"/>
      <c r="AV38" s="1268"/>
      <c r="AW38" s="1268"/>
      <c r="AX38" s="1268"/>
      <c r="AY38" s="1268"/>
    </row>
    <row r="39" spans="1:51" s="1269" customFormat="1" ht="20.25" customHeight="1">
      <c r="A39" s="1259">
        <v>45891</v>
      </c>
      <c r="B39" s="1260" t="s">
        <v>199</v>
      </c>
      <c r="C39" s="1261" t="s">
        <v>276</v>
      </c>
      <c r="D39" s="1262" t="s">
        <v>68</v>
      </c>
      <c r="E39" s="1260">
        <v>9.15</v>
      </c>
      <c r="F39" s="1266">
        <v>3.92</v>
      </c>
      <c r="G39" s="1267">
        <f>E39-F39</f>
        <v>5.23</v>
      </c>
      <c r="H39" s="1264"/>
      <c r="I39" s="1260">
        <v>0.39</v>
      </c>
      <c r="J39" s="1260"/>
      <c r="K39" s="1265">
        <v>0.52</v>
      </c>
      <c r="L39" s="1266">
        <f>G39-I39</f>
        <v>4.8400000000000007</v>
      </c>
      <c r="M39" s="1260"/>
      <c r="N39" s="1263"/>
      <c r="O39" s="1266">
        <f>Q39-P38</f>
        <v>-1.2027922163307339</v>
      </c>
      <c r="P39" s="1266"/>
      <c r="Q39" s="1266">
        <f>K39*I39</f>
        <v>0.20280000000000001</v>
      </c>
      <c r="R39" s="1266"/>
      <c r="S39" s="1267"/>
      <c r="T39" s="1266">
        <v>581028.44200000004</v>
      </c>
      <c r="U39" s="1266">
        <v>7018321.6579999998</v>
      </c>
      <c r="V39" s="1267">
        <v>1845.895</v>
      </c>
      <c r="W39" s="1268"/>
      <c r="X39" s="1268"/>
      <c r="Y39" s="1268"/>
      <c r="Z39" s="1268"/>
      <c r="AA39" s="1268"/>
      <c r="AB39" s="1268"/>
      <c r="AC39" s="1268"/>
      <c r="AD39" s="1268"/>
      <c r="AE39" s="1268"/>
      <c r="AF39" s="1268"/>
      <c r="AG39" s="1268"/>
      <c r="AH39" s="1268"/>
      <c r="AI39" s="1268"/>
      <c r="AJ39" s="1268"/>
      <c r="AK39" s="1268"/>
      <c r="AL39" s="1268"/>
      <c r="AM39" s="1268"/>
      <c r="AN39" s="1268"/>
      <c r="AO39" s="1268"/>
      <c r="AP39" s="1268"/>
      <c r="AQ39" s="1268"/>
      <c r="AR39" s="1268"/>
      <c r="AS39" s="1268"/>
      <c r="AT39" s="1268"/>
      <c r="AU39" s="1268"/>
      <c r="AV39" s="1268"/>
      <c r="AW39" s="1268"/>
      <c r="AX39" s="1268"/>
      <c r="AY39" s="1268"/>
    </row>
    <row r="40" spans="1:51" s="1269" customFormat="1" ht="20.25" customHeight="1">
      <c r="A40" s="1259"/>
      <c r="B40" s="1260"/>
      <c r="C40" s="1261"/>
      <c r="D40" s="1262"/>
      <c r="E40" s="1260"/>
      <c r="F40" s="1266"/>
      <c r="G40" s="1267"/>
      <c r="H40" s="1264"/>
      <c r="I40" s="1260"/>
      <c r="J40" s="1260"/>
      <c r="K40" s="1265"/>
      <c r="L40" s="1260"/>
      <c r="M40" s="1260"/>
      <c r="N40" s="1263"/>
      <c r="O40" s="1266"/>
      <c r="P40" s="1266"/>
      <c r="Q40" s="1266"/>
      <c r="R40" s="1266"/>
      <c r="S40" s="1267"/>
      <c r="T40" s="1266"/>
      <c r="U40" s="1266"/>
      <c r="V40" s="1267"/>
      <c r="W40" s="1268"/>
      <c r="X40" s="1268"/>
      <c r="Y40" s="1268"/>
      <c r="Z40" s="1268"/>
      <c r="AA40" s="1268"/>
      <c r="AB40" s="1268"/>
      <c r="AC40" s="1268"/>
      <c r="AD40" s="1268"/>
      <c r="AE40" s="1268"/>
      <c r="AF40" s="1268"/>
      <c r="AG40" s="1268"/>
      <c r="AH40" s="1268"/>
      <c r="AI40" s="1268"/>
      <c r="AJ40" s="1268"/>
      <c r="AK40" s="1268"/>
      <c r="AL40" s="1268"/>
      <c r="AM40" s="1268"/>
      <c r="AN40" s="1268"/>
      <c r="AO40" s="1268"/>
      <c r="AP40" s="1268"/>
      <c r="AQ40" s="1268"/>
      <c r="AR40" s="1268"/>
      <c r="AS40" s="1268"/>
      <c r="AT40" s="1268"/>
      <c r="AU40" s="1268"/>
      <c r="AV40" s="1268"/>
      <c r="AW40" s="1268"/>
      <c r="AX40" s="1268"/>
      <c r="AY40" s="1268"/>
    </row>
    <row r="41" spans="1:51" s="48" customFormat="1" ht="20.25" customHeight="1">
      <c r="A41" s="278"/>
      <c r="B41" s="279"/>
      <c r="C41" s="286"/>
      <c r="D41" s="289"/>
      <c r="E41" s="279"/>
      <c r="F41" s="280"/>
      <c r="G41" s="939"/>
      <c r="H41" s="295"/>
      <c r="I41" s="279"/>
      <c r="J41" s="279"/>
      <c r="K41" s="291"/>
      <c r="L41" s="279"/>
      <c r="M41" s="279"/>
      <c r="N41" s="293"/>
      <c r="O41" s="280"/>
      <c r="P41" s="280"/>
      <c r="Q41" s="280"/>
      <c r="R41" s="280"/>
      <c r="S41" s="939"/>
      <c r="T41" s="280"/>
      <c r="U41" s="280"/>
      <c r="V41" s="939"/>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row>
    <row r="42" spans="1:51" s="1258" customFormat="1" ht="20.25" customHeight="1">
      <c r="A42" s="1248">
        <v>45766</v>
      </c>
      <c r="B42" s="1249" t="s">
        <v>199</v>
      </c>
      <c r="C42" s="1250" t="s">
        <v>277</v>
      </c>
      <c r="D42" s="1251" t="s">
        <v>39</v>
      </c>
      <c r="E42" s="1249">
        <v>9.15</v>
      </c>
      <c r="F42" s="1255">
        <v>0.5</v>
      </c>
      <c r="G42" s="1256">
        <f>E42-F42</f>
        <v>8.65</v>
      </c>
      <c r="H42" s="1253"/>
      <c r="I42" s="1255">
        <f>AVERAGE(3.35,3.27,3.22,3.33)</f>
        <v>3.2925</v>
      </c>
      <c r="J42" s="1249"/>
      <c r="K42" s="1254">
        <f>'20250419_PitCore_D'!I4</f>
        <v>0.41099187612009774</v>
      </c>
      <c r="L42" s="1255">
        <f>G42-I42</f>
        <v>5.3574999999999999</v>
      </c>
      <c r="M42" s="1249"/>
      <c r="N42" s="1252"/>
      <c r="O42" s="1255"/>
      <c r="P42" s="1255">
        <f>I42*K42</f>
        <v>1.3531907521254218</v>
      </c>
      <c r="Q42" s="1255"/>
      <c r="R42" s="1255"/>
      <c r="S42" s="1256"/>
      <c r="T42" s="1255">
        <v>581055.272</v>
      </c>
      <c r="U42" s="1255">
        <v>7018308.3909999998</v>
      </c>
      <c r="V42" s="1256">
        <v>1852.306</v>
      </c>
      <c r="W42" s="1257"/>
      <c r="X42" s="1257"/>
      <c r="Y42" s="1257"/>
      <c r="Z42" s="1257"/>
      <c r="AA42" s="1257"/>
      <c r="AB42" s="1257"/>
      <c r="AC42" s="1257"/>
      <c r="AD42" s="1257"/>
      <c r="AE42" s="1257"/>
      <c r="AF42" s="1257"/>
      <c r="AG42" s="1257"/>
      <c r="AH42" s="1257"/>
      <c r="AI42" s="1257"/>
      <c r="AJ42" s="1257"/>
      <c r="AK42" s="1257"/>
      <c r="AL42" s="1257"/>
      <c r="AM42" s="1257"/>
      <c r="AN42" s="1257"/>
      <c r="AO42" s="1257"/>
      <c r="AP42" s="1257"/>
      <c r="AQ42" s="1257"/>
      <c r="AR42" s="1257"/>
      <c r="AS42" s="1257"/>
      <c r="AT42" s="1257"/>
      <c r="AU42" s="1257"/>
      <c r="AV42" s="1257"/>
      <c r="AW42" s="1257"/>
      <c r="AX42" s="1257"/>
      <c r="AY42" s="1257"/>
    </row>
    <row r="43" spans="1:51" s="1258" customFormat="1" ht="15.75" customHeight="1">
      <c r="A43" s="1248">
        <v>45891</v>
      </c>
      <c r="B43" s="1249" t="s">
        <v>199</v>
      </c>
      <c r="C43" s="1250" t="s">
        <v>277</v>
      </c>
      <c r="D43" s="1251" t="s">
        <v>68</v>
      </c>
      <c r="E43" s="1249">
        <v>9.15</v>
      </c>
      <c r="F43" s="1255">
        <v>3.48</v>
      </c>
      <c r="G43" s="1256">
        <f>E43-F43</f>
        <v>5.67</v>
      </c>
      <c r="H43" s="1253"/>
      <c r="I43" s="1249">
        <v>0.28000000000000003</v>
      </c>
      <c r="J43" s="1249"/>
      <c r="K43" s="1254">
        <v>0.52</v>
      </c>
      <c r="L43" s="1255">
        <f>G43-I43</f>
        <v>5.39</v>
      </c>
      <c r="M43" s="1249"/>
      <c r="N43" s="1252"/>
      <c r="O43" s="1255">
        <f>Q43-P42</f>
        <v>-1.2075907521254219</v>
      </c>
      <c r="P43" s="1255"/>
      <c r="Q43" s="1255">
        <f>K43*I43</f>
        <v>0.14560000000000001</v>
      </c>
      <c r="R43" s="1255"/>
      <c r="S43" s="1256"/>
      <c r="T43" s="1255">
        <v>581042.81700000004</v>
      </c>
      <c r="U43" s="1255">
        <v>7018316.1689999998</v>
      </c>
      <c r="V43" s="1256">
        <v>1847.6289999999999</v>
      </c>
      <c r="W43" s="1257"/>
      <c r="X43" s="1257"/>
      <c r="Y43" s="1257"/>
      <c r="Z43" s="1257"/>
      <c r="AA43" s="1257"/>
      <c r="AB43" s="1257"/>
      <c r="AC43" s="1257"/>
      <c r="AD43" s="1257"/>
      <c r="AE43" s="1257"/>
      <c r="AF43" s="1257"/>
      <c r="AG43" s="1257"/>
      <c r="AH43" s="1257"/>
      <c r="AI43" s="1257"/>
      <c r="AJ43" s="1257"/>
      <c r="AK43" s="1257"/>
      <c r="AL43" s="1257"/>
      <c r="AM43" s="1257"/>
      <c r="AN43" s="1257"/>
      <c r="AO43" s="1257"/>
      <c r="AP43" s="1257"/>
      <c r="AQ43" s="1257"/>
      <c r="AR43" s="1257"/>
      <c r="AS43" s="1257"/>
      <c r="AT43" s="1257"/>
      <c r="AU43" s="1257"/>
      <c r="AV43" s="1257"/>
      <c r="AW43" s="1257"/>
      <c r="AX43" s="1257"/>
      <c r="AY43" s="1257"/>
    </row>
    <row r="44" spans="1:51" ht="15.75" customHeight="1" thickBot="1">
      <c r="A44" s="974"/>
      <c r="B44" s="150"/>
      <c r="C44" s="150"/>
      <c r="D44" s="150"/>
      <c r="E44" s="151"/>
      <c r="F44" s="151"/>
      <c r="G44" s="150"/>
      <c r="H44" s="150"/>
      <c r="I44" s="150"/>
      <c r="J44" s="150"/>
      <c r="K44" s="150"/>
      <c r="L44" s="150"/>
      <c r="M44" s="150"/>
      <c r="N44" s="150"/>
      <c r="O44" s="150"/>
      <c r="P44" s="150"/>
      <c r="Q44" s="150"/>
      <c r="R44" s="152"/>
      <c r="S44" s="297"/>
      <c r="T44" s="152"/>
      <c r="U44" s="152"/>
      <c r="V44" s="127"/>
      <c r="W44" s="127"/>
      <c r="X44" s="127"/>
      <c r="Y44" s="127"/>
      <c r="Z44" s="127"/>
      <c r="AA44" s="127"/>
      <c r="AB44" s="127"/>
      <c r="AC44" s="127"/>
      <c r="AD44" s="127"/>
      <c r="AE44" s="127"/>
      <c r="AF44" s="127"/>
      <c r="AG44" s="127"/>
      <c r="AH44" s="127"/>
      <c r="AI44" s="127"/>
      <c r="AJ44" s="127"/>
      <c r="AK44" s="127"/>
      <c r="AL44" s="127"/>
      <c r="AM44" s="127"/>
      <c r="AN44" s="127"/>
      <c r="AO44" s="127"/>
      <c r="AP44" s="127"/>
      <c r="AQ44" s="127"/>
      <c r="AR44" s="127"/>
      <c r="AS44" s="127"/>
      <c r="AT44" s="127"/>
      <c r="AU44" s="127"/>
      <c r="AV44" s="127"/>
      <c r="AW44" s="127"/>
      <c r="AX44" s="127"/>
      <c r="AY44" s="127"/>
    </row>
    <row r="45" spans="1:51" ht="15.75" customHeight="1">
      <c r="A45" s="250" t="s">
        <v>42</v>
      </c>
      <c r="B45" s="251"/>
      <c r="C45" s="254" t="s">
        <v>43</v>
      </c>
      <c r="D45" s="254"/>
      <c r="E45" s="153" t="s">
        <v>44</v>
      </c>
      <c r="F45" s="154"/>
      <c r="G45" s="153" t="s">
        <v>45</v>
      </c>
      <c r="H45" s="154"/>
      <c r="I45" s="155" t="s">
        <v>46</v>
      </c>
      <c r="J45" s="127"/>
      <c r="K45" s="127"/>
      <c r="L45" s="127"/>
      <c r="M45" s="127"/>
      <c r="N45" s="127"/>
      <c r="O45" s="127"/>
      <c r="P45" s="127"/>
      <c r="Q45" s="146"/>
      <c r="R45" s="147"/>
      <c r="S45" s="147"/>
      <c r="T45" s="147"/>
      <c r="U45" s="152"/>
      <c r="V45" s="127"/>
      <c r="W45" s="127"/>
      <c r="X45" s="127"/>
      <c r="Y45" s="127"/>
      <c r="Z45" s="127"/>
      <c r="AA45" s="127"/>
      <c r="AB45" s="127"/>
      <c r="AC45" s="127"/>
      <c r="AD45" s="127"/>
      <c r="AE45" s="127"/>
      <c r="AF45" s="127"/>
      <c r="AG45" s="127"/>
      <c r="AH45" s="127"/>
      <c r="AI45" s="127"/>
      <c r="AJ45" s="127"/>
      <c r="AK45" s="127"/>
      <c r="AL45" s="127"/>
      <c r="AM45" s="127"/>
      <c r="AN45" s="127"/>
      <c r="AO45" s="127"/>
      <c r="AP45" s="127"/>
      <c r="AQ45" s="127"/>
      <c r="AR45" s="127"/>
      <c r="AS45" s="127"/>
      <c r="AT45" s="127"/>
      <c r="AU45" s="127"/>
      <c r="AV45" s="127"/>
      <c r="AW45" s="127"/>
      <c r="AX45" s="127"/>
      <c r="AY45" s="127"/>
    </row>
    <row r="46" spans="1:51" ht="15.75" customHeight="1">
      <c r="A46" s="252"/>
      <c r="B46" s="253"/>
      <c r="C46" s="156" t="s">
        <v>47</v>
      </c>
      <c r="D46" s="156" t="s">
        <v>48</v>
      </c>
      <c r="E46" s="157">
        <f>A32</f>
        <v>45525</v>
      </c>
      <c r="F46" s="158"/>
      <c r="G46" s="159">
        <f>A33</f>
        <v>45766</v>
      </c>
      <c r="H46" s="158"/>
      <c r="I46" s="160">
        <f>A34</f>
        <v>45891</v>
      </c>
      <c r="J46" s="127"/>
      <c r="K46" s="127"/>
      <c r="L46" s="127"/>
      <c r="M46" s="127"/>
      <c r="N46" s="127"/>
      <c r="O46" s="127"/>
      <c r="P46" s="127"/>
      <c r="Q46" s="146"/>
      <c r="R46" s="147"/>
      <c r="S46" s="147"/>
      <c r="T46" s="147"/>
      <c r="U46" s="152"/>
      <c r="V46" s="127"/>
      <c r="W46" s="127"/>
      <c r="X46" s="127"/>
      <c r="Y46" s="127"/>
      <c r="Z46" s="127"/>
      <c r="AA46" s="127"/>
      <c r="AB46" s="127"/>
      <c r="AC46" s="127"/>
      <c r="AD46" s="127"/>
      <c r="AE46" s="127"/>
      <c r="AF46" s="127"/>
      <c r="AG46" s="127"/>
      <c r="AH46" s="127"/>
      <c r="AI46" s="127"/>
      <c r="AJ46" s="127"/>
      <c r="AK46" s="127"/>
      <c r="AL46" s="127"/>
      <c r="AM46" s="127"/>
      <c r="AN46" s="127"/>
      <c r="AO46" s="127"/>
      <c r="AP46" s="127"/>
      <c r="AQ46" s="127"/>
      <c r="AR46" s="127"/>
      <c r="AS46" s="127"/>
      <c r="AT46" s="127"/>
      <c r="AU46" s="127"/>
      <c r="AV46" s="127"/>
      <c r="AW46" s="127"/>
      <c r="AX46" s="127"/>
      <c r="AY46" s="127"/>
    </row>
    <row r="47" spans="1:51" ht="15.75" customHeight="1">
      <c r="A47" s="161"/>
      <c r="B47" s="162" t="s">
        <v>50</v>
      </c>
      <c r="C47" s="1012">
        <f>AVERAGE(P26,P33,P38,P42,3.37*K33)</f>
        <v>1.3786065936912313</v>
      </c>
      <c r="D47" s="163"/>
      <c r="E47" s="164"/>
      <c r="F47" s="164"/>
      <c r="G47" s="165"/>
      <c r="H47" s="163"/>
      <c r="I47" s="166"/>
      <c r="J47" s="127"/>
      <c r="K47" s="127"/>
      <c r="L47" s="127"/>
      <c r="M47" s="127"/>
      <c r="N47" s="127"/>
      <c r="O47" s="127"/>
      <c r="P47" s="127"/>
      <c r="Q47" s="146"/>
      <c r="R47" s="147"/>
      <c r="S47" s="147"/>
      <c r="T47" s="147"/>
      <c r="U47" s="152"/>
      <c r="V47" s="127"/>
      <c r="W47" s="127"/>
      <c r="X47" s="127"/>
      <c r="Y47" s="127"/>
      <c r="Z47" s="127"/>
      <c r="AA47" s="127"/>
      <c r="AB47" s="127"/>
      <c r="AC47" s="127"/>
      <c r="AD47" s="127"/>
      <c r="AE47" s="127"/>
      <c r="AF47" s="127"/>
      <c r="AG47" s="127"/>
      <c r="AH47" s="127"/>
      <c r="AI47" s="127"/>
      <c r="AJ47" s="127"/>
      <c r="AK47" s="127"/>
      <c r="AL47" s="127"/>
      <c r="AM47" s="127"/>
      <c r="AN47" s="127"/>
      <c r="AO47" s="127"/>
      <c r="AP47" s="127"/>
      <c r="AQ47" s="127"/>
      <c r="AR47" s="127"/>
      <c r="AS47" s="127"/>
      <c r="AT47" s="127"/>
      <c r="AU47" s="127"/>
      <c r="AV47" s="127"/>
      <c r="AW47" s="127"/>
      <c r="AX47" s="127"/>
      <c r="AY47" s="127"/>
    </row>
    <row r="48" spans="1:51" ht="15.75" customHeight="1">
      <c r="A48" s="161"/>
      <c r="B48" s="162" t="s">
        <v>51</v>
      </c>
      <c r="C48" s="1012">
        <f>C49-C47</f>
        <v>-1.2371665936912313</v>
      </c>
      <c r="D48" s="163"/>
      <c r="E48" s="164"/>
      <c r="F48" s="164"/>
      <c r="G48" s="165"/>
      <c r="H48" s="163"/>
      <c r="I48" s="166"/>
      <c r="J48" s="127"/>
      <c r="K48" s="127"/>
      <c r="L48" s="127"/>
      <c r="M48" s="127"/>
      <c r="N48" s="127"/>
      <c r="O48" s="127"/>
      <c r="P48" s="127"/>
      <c r="Q48" s="146"/>
      <c r="R48" s="147"/>
      <c r="S48" s="147"/>
      <c r="T48" s="147"/>
      <c r="U48" s="152"/>
      <c r="V48" s="127"/>
      <c r="W48" s="127"/>
      <c r="X48" s="127"/>
      <c r="Y48" s="127"/>
      <c r="Z48" s="127"/>
      <c r="AA48" s="127"/>
      <c r="AB48" s="127"/>
      <c r="AC48" s="127"/>
      <c r="AD48" s="127"/>
      <c r="AE48" s="127"/>
      <c r="AF48" s="127"/>
      <c r="AG48" s="127"/>
      <c r="AH48" s="127"/>
      <c r="AI48" s="127"/>
      <c r="AJ48" s="127"/>
      <c r="AK48" s="127"/>
      <c r="AL48" s="127"/>
      <c r="AM48" s="127"/>
      <c r="AN48" s="127"/>
      <c r="AO48" s="127"/>
      <c r="AP48" s="127"/>
      <c r="AQ48" s="127"/>
      <c r="AR48" s="127"/>
      <c r="AS48" s="127"/>
      <c r="AT48" s="127"/>
      <c r="AU48" s="127"/>
      <c r="AV48" s="127"/>
      <c r="AW48" s="127"/>
      <c r="AX48" s="127"/>
      <c r="AY48" s="127"/>
    </row>
    <row r="49" spans="1:51" ht="15.75" customHeight="1">
      <c r="A49" s="161"/>
      <c r="B49" s="162" t="s">
        <v>52</v>
      </c>
      <c r="C49" s="1012">
        <f>AVERAGE(Q28,Q34,Q39,Q43,0.33*K34)</f>
        <v>0.14144000000000001</v>
      </c>
      <c r="D49" s="163"/>
      <c r="E49" s="164"/>
      <c r="F49" s="164"/>
      <c r="G49" s="165"/>
      <c r="H49" s="163"/>
      <c r="I49" s="166"/>
      <c r="J49" s="127"/>
      <c r="K49" s="127"/>
      <c r="L49" s="127"/>
      <c r="M49" s="127"/>
      <c r="N49" s="127"/>
      <c r="O49" s="127"/>
      <c r="P49" s="127"/>
      <c r="Q49" s="146"/>
      <c r="R49" s="147"/>
      <c r="S49" s="147"/>
      <c r="T49" s="147"/>
      <c r="U49" s="152"/>
      <c r="V49" s="127"/>
      <c r="W49" s="127"/>
      <c r="X49" s="127"/>
      <c r="Y49" s="127"/>
      <c r="Z49" s="127"/>
      <c r="AA49" s="127"/>
      <c r="AB49" s="127"/>
      <c r="AC49" s="127"/>
      <c r="AD49" s="127"/>
      <c r="AE49" s="127"/>
      <c r="AF49" s="127"/>
      <c r="AG49" s="127"/>
      <c r="AH49" s="127"/>
      <c r="AI49" s="127"/>
      <c r="AJ49" s="127"/>
      <c r="AK49" s="127"/>
      <c r="AL49" s="127"/>
      <c r="AM49" s="127"/>
      <c r="AN49" s="127"/>
      <c r="AO49" s="127"/>
      <c r="AP49" s="127"/>
      <c r="AQ49" s="127"/>
      <c r="AR49" s="127"/>
      <c r="AS49" s="127"/>
      <c r="AT49" s="127"/>
      <c r="AU49" s="127"/>
      <c r="AV49" s="127"/>
      <c r="AW49" s="127"/>
      <c r="AX49" s="127"/>
      <c r="AY49" s="127"/>
    </row>
    <row r="50" spans="1:51" ht="15.75" customHeight="1">
      <c r="A50" s="161"/>
      <c r="B50" s="113" t="s">
        <v>53</v>
      </c>
      <c r="C50" s="1012">
        <v>0</v>
      </c>
      <c r="D50" s="163"/>
      <c r="E50" s="164"/>
      <c r="F50" s="164"/>
      <c r="G50" s="163"/>
      <c r="H50" s="163"/>
      <c r="I50" s="166"/>
      <c r="J50" s="127"/>
      <c r="K50" s="127"/>
      <c r="L50" s="127"/>
      <c r="M50" s="127"/>
      <c r="N50" s="127"/>
      <c r="O50" s="127"/>
      <c r="P50" s="127"/>
      <c r="Q50" s="146"/>
      <c r="R50" s="147"/>
      <c r="S50" s="147"/>
      <c r="T50" s="147"/>
      <c r="U50" s="152"/>
      <c r="V50" s="127"/>
      <c r="W50" s="127"/>
      <c r="X50" s="127"/>
      <c r="Y50" s="127"/>
      <c r="Z50" s="127"/>
      <c r="AA50" s="127"/>
      <c r="AB50" s="127"/>
      <c r="AC50" s="127"/>
      <c r="AD50" s="127"/>
      <c r="AE50" s="127"/>
      <c r="AF50" s="127"/>
      <c r="AG50" s="127"/>
      <c r="AH50" s="127"/>
      <c r="AI50" s="127"/>
      <c r="AJ50" s="127"/>
      <c r="AK50" s="127"/>
      <c r="AL50" s="127"/>
      <c r="AM50" s="127"/>
      <c r="AN50" s="127"/>
      <c r="AO50" s="127"/>
      <c r="AP50" s="127"/>
      <c r="AQ50" s="127"/>
      <c r="AR50" s="127"/>
      <c r="AS50" s="127"/>
      <c r="AT50" s="127"/>
      <c r="AU50" s="127"/>
      <c r="AV50" s="127"/>
      <c r="AW50" s="127"/>
      <c r="AX50" s="127"/>
      <c r="AY50" s="127"/>
    </row>
    <row r="51" spans="1:51" ht="15.75" customHeight="1">
      <c r="A51" s="161"/>
      <c r="B51" s="113" t="s">
        <v>54</v>
      </c>
      <c r="C51" s="1012">
        <v>0</v>
      </c>
      <c r="D51" s="163"/>
      <c r="E51" s="164"/>
      <c r="F51" s="164"/>
      <c r="G51" s="163"/>
      <c r="H51" s="163"/>
      <c r="I51" s="166"/>
      <c r="J51" s="127"/>
      <c r="K51" s="127"/>
      <c r="L51" s="127"/>
      <c r="M51" s="127"/>
      <c r="N51" s="127"/>
      <c r="O51" s="127"/>
      <c r="P51" s="127"/>
      <c r="Q51" s="146"/>
      <c r="R51" s="147"/>
      <c r="S51" s="147"/>
      <c r="T51" s="147"/>
      <c r="U51" s="152"/>
      <c r="V51" s="127"/>
      <c r="W51" s="127"/>
      <c r="X51" s="127"/>
      <c r="Y51" s="127"/>
      <c r="Z51" s="127"/>
      <c r="AA51" s="127"/>
      <c r="AB51" s="127"/>
      <c r="AC51" s="127"/>
      <c r="AD51" s="127"/>
      <c r="AE51" s="127"/>
      <c r="AF51" s="127"/>
      <c r="AG51" s="127"/>
      <c r="AH51" s="127"/>
      <c r="AI51" s="127"/>
      <c r="AJ51" s="127"/>
      <c r="AK51" s="127"/>
      <c r="AL51" s="127"/>
      <c r="AM51" s="127"/>
      <c r="AN51" s="127"/>
      <c r="AO51" s="127"/>
      <c r="AP51" s="127"/>
      <c r="AQ51" s="127"/>
      <c r="AR51" s="127"/>
      <c r="AS51" s="127"/>
      <c r="AT51" s="127"/>
      <c r="AU51" s="127"/>
      <c r="AV51" s="127"/>
      <c r="AW51" s="127"/>
      <c r="AX51" s="127"/>
      <c r="AY51" s="127"/>
    </row>
    <row r="52" spans="1:51" ht="15.75" customHeight="1" thickBot="1">
      <c r="A52" s="91"/>
      <c r="B52" s="114" t="s">
        <v>55</v>
      </c>
      <c r="C52" s="229">
        <v>0</v>
      </c>
      <c r="D52" s="93"/>
      <c r="E52" s="94"/>
      <c r="F52" s="94"/>
      <c r="G52" s="95"/>
      <c r="H52" s="95"/>
      <c r="I52" s="96"/>
      <c r="Q52" s="48"/>
      <c r="R52" s="21"/>
      <c r="S52" s="21"/>
      <c r="T52" s="16"/>
      <c r="U52" s="7"/>
    </row>
    <row r="53" spans="1:51" ht="15.75" customHeight="1">
      <c r="A53" s="7"/>
      <c r="B53" s="7"/>
      <c r="C53" s="7"/>
      <c r="D53" s="7"/>
      <c r="E53" s="7"/>
      <c r="F53" s="7"/>
      <c r="G53" s="7"/>
      <c r="H53" s="7"/>
      <c r="I53" s="7"/>
      <c r="J53" s="7"/>
      <c r="K53" s="7"/>
      <c r="L53" s="7"/>
      <c r="M53" s="7"/>
      <c r="N53" s="7"/>
      <c r="O53" s="7"/>
      <c r="P53" s="7"/>
      <c r="Q53" s="16"/>
      <c r="R53" s="16"/>
      <c r="S53" s="16"/>
      <c r="T53" s="16"/>
      <c r="U53" s="7"/>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1"/>
  <sheetViews>
    <sheetView zoomScale="90" zoomScaleNormal="90" workbookViewId="0">
      <pane xSplit="3" ySplit="4" topLeftCell="D5" activePane="bottomRight" state="frozen"/>
      <selection pane="topRight" activeCell="D1" sqref="D1"/>
      <selection pane="bottomLeft" activeCell="A5" sqref="A5"/>
      <selection pane="bottomRight" activeCell="Q31" sqref="Q31"/>
    </sheetView>
  </sheetViews>
  <sheetFormatPr defaultColWidth="17.33203125" defaultRowHeight="15.75" customHeight="1"/>
  <cols>
    <col min="1" max="1" width="11.88671875" style="20" bestFit="1" customWidth="1"/>
    <col min="2" max="2" width="19.88671875" style="210" customWidth="1"/>
    <col min="3" max="3" width="10.88671875" style="210" customWidth="1"/>
    <col min="4" max="4" width="13.88671875" style="210" customWidth="1"/>
    <col min="5" max="5" width="11.6640625" style="583" customWidth="1"/>
    <col min="6" max="6" width="12.5546875" style="20" customWidth="1"/>
    <col min="7" max="7" width="13.5546875" style="20" customWidth="1"/>
    <col min="8" max="8" width="9.6640625" style="20" customWidth="1"/>
    <col min="9" max="9" width="15.33203125" style="20" customWidth="1"/>
    <col min="10" max="10" width="17.88671875" style="20" customWidth="1"/>
    <col min="11" max="11" width="14.6640625" style="20" bestFit="1" customWidth="1"/>
    <col min="12" max="12" width="15.5546875" style="20" customWidth="1"/>
    <col min="13" max="13" width="17.109375" style="20" customWidth="1"/>
    <col min="14" max="14" width="10" style="20" customWidth="1"/>
    <col min="15" max="17" width="7.109375" style="20" bestFit="1" customWidth="1"/>
    <col min="18" max="18" width="10.5546875" style="20" customWidth="1"/>
    <col min="19" max="19" width="13.6640625" style="20" customWidth="1"/>
    <col min="20" max="20" width="12.109375" style="20" customWidth="1"/>
    <col min="21" max="21" width="13.109375" style="20" customWidth="1"/>
    <col min="22" max="22" width="10.6640625" style="20" bestFit="1" customWidth="1"/>
    <col min="23" max="23" width="26.33203125" style="20" bestFit="1" customWidth="1"/>
    <col min="24" max="16384" width="17.33203125" style="20"/>
  </cols>
  <sheetData>
    <row r="1" spans="1:24" ht="15" customHeight="1">
      <c r="A1" s="167"/>
      <c r="B1" s="168"/>
      <c r="C1" s="169"/>
      <c r="D1" s="170"/>
      <c r="E1" s="1018"/>
      <c r="F1" s="172"/>
      <c r="G1" s="173"/>
      <c r="H1" s="174"/>
      <c r="I1" s="173"/>
      <c r="J1" s="175"/>
      <c r="K1" s="172"/>
      <c r="L1" s="176"/>
      <c r="M1" s="177"/>
      <c r="N1" s="173"/>
      <c r="O1" s="178"/>
      <c r="P1" s="179"/>
      <c r="Q1" s="179"/>
      <c r="R1" s="179"/>
      <c r="S1" s="180"/>
      <c r="T1" s="1384" t="s">
        <v>11</v>
      </c>
      <c r="U1" s="1385"/>
      <c r="V1" s="1386"/>
      <c r="W1" s="181"/>
      <c r="X1" s="127"/>
    </row>
    <row r="2" spans="1:24" ht="15" customHeight="1">
      <c r="A2" s="115"/>
      <c r="B2" s="116"/>
      <c r="C2" s="117"/>
      <c r="D2" s="182"/>
      <c r="E2" s="1019"/>
      <c r="F2" s="247"/>
      <c r="G2" s="183"/>
      <c r="H2" s="184"/>
      <c r="I2" s="183"/>
      <c r="J2" s="120"/>
      <c r="K2" s="150"/>
      <c r="L2" s="185"/>
      <c r="M2" s="186"/>
      <c r="N2" s="120"/>
      <c r="O2" s="149"/>
      <c r="P2" s="127"/>
      <c r="Q2" s="127"/>
      <c r="R2" s="127"/>
      <c r="S2" s="148"/>
      <c r="T2" s="1387" t="s">
        <v>12</v>
      </c>
      <c r="U2" s="1388"/>
      <c r="V2" s="248"/>
      <c r="W2" s="187"/>
      <c r="X2" s="127"/>
    </row>
    <row r="3" spans="1:24" ht="15" customHeight="1">
      <c r="A3" s="115"/>
      <c r="B3" s="116"/>
      <c r="C3" s="117"/>
      <c r="D3" s="118"/>
      <c r="E3" s="1389" t="s">
        <v>13</v>
      </c>
      <c r="F3" s="1390"/>
      <c r="G3" s="1391"/>
      <c r="H3" s="119"/>
      <c r="I3" s="247"/>
      <c r="J3" s="120"/>
      <c r="K3" s="247"/>
      <c r="L3" s="121"/>
      <c r="M3" s="122"/>
      <c r="N3" s="120"/>
      <c r="O3" s="123"/>
      <c r="P3" s="120"/>
      <c r="Q3" s="120"/>
      <c r="R3" s="124"/>
      <c r="S3" s="125"/>
      <c r="T3" s="1392" t="s">
        <v>14</v>
      </c>
      <c r="U3" s="1393"/>
      <c r="V3" s="248"/>
      <c r="W3" s="126"/>
      <c r="X3" s="127"/>
    </row>
    <row r="4" spans="1:24" s="719" customFormat="1" ht="60">
      <c r="A4" s="708" t="s">
        <v>15</v>
      </c>
      <c r="B4" s="707" t="s">
        <v>16</v>
      </c>
      <c r="C4" s="706" t="s">
        <v>17</v>
      </c>
      <c r="D4" s="709" t="s">
        <v>18</v>
      </c>
      <c r="E4" s="1020" t="s">
        <v>19</v>
      </c>
      <c r="F4" s="707" t="s">
        <v>20</v>
      </c>
      <c r="G4" s="711" t="s">
        <v>21</v>
      </c>
      <c r="H4" s="712" t="s">
        <v>22</v>
      </c>
      <c r="I4" s="711" t="s">
        <v>23</v>
      </c>
      <c r="J4" s="711" t="s">
        <v>24</v>
      </c>
      <c r="K4" s="707" t="s">
        <v>25</v>
      </c>
      <c r="L4" s="188" t="s">
        <v>26</v>
      </c>
      <c r="M4" s="189" t="s">
        <v>27</v>
      </c>
      <c r="N4" s="711" t="s">
        <v>28</v>
      </c>
      <c r="O4" s="713" t="s">
        <v>60</v>
      </c>
      <c r="P4" s="711" t="s">
        <v>61</v>
      </c>
      <c r="Q4" s="711" t="s">
        <v>62</v>
      </c>
      <c r="R4" s="714" t="s">
        <v>3</v>
      </c>
      <c r="S4" s="715" t="s">
        <v>4</v>
      </c>
      <c r="T4" s="716" t="s">
        <v>32</v>
      </c>
      <c r="U4" s="716" t="s">
        <v>33</v>
      </c>
      <c r="V4" s="717" t="s">
        <v>0</v>
      </c>
      <c r="W4" s="706" t="s">
        <v>34</v>
      </c>
      <c r="X4" s="718"/>
    </row>
    <row r="5" spans="1:24" ht="15.75" customHeight="1" thickBot="1">
      <c r="A5" s="129" t="s">
        <v>35</v>
      </c>
      <c r="B5" s="130"/>
      <c r="C5" s="131"/>
      <c r="D5" s="132"/>
      <c r="E5" s="143" t="s">
        <v>36</v>
      </c>
      <c r="F5" s="133" t="s">
        <v>36</v>
      </c>
      <c r="G5" s="133" t="s">
        <v>36</v>
      </c>
      <c r="H5" s="190" t="s">
        <v>36</v>
      </c>
      <c r="I5" s="190" t="s">
        <v>36</v>
      </c>
      <c r="J5" s="133" t="s">
        <v>36</v>
      </c>
      <c r="K5" s="136" t="s">
        <v>37</v>
      </c>
      <c r="L5" s="191" t="s">
        <v>36</v>
      </c>
      <c r="M5" s="138" t="s">
        <v>36</v>
      </c>
      <c r="N5" s="138" t="s">
        <v>37</v>
      </c>
      <c r="O5" s="139" t="s">
        <v>38</v>
      </c>
      <c r="P5" s="140" t="s">
        <v>38</v>
      </c>
      <c r="Q5" s="140" t="s">
        <v>38</v>
      </c>
      <c r="R5" s="141" t="s">
        <v>38</v>
      </c>
      <c r="S5" s="142" t="s">
        <v>38</v>
      </c>
      <c r="T5" s="143" t="s">
        <v>36</v>
      </c>
      <c r="U5" s="143" t="s">
        <v>36</v>
      </c>
      <c r="V5" s="144" t="s">
        <v>36</v>
      </c>
      <c r="W5" s="145"/>
      <c r="X5" s="127"/>
    </row>
    <row r="6" spans="1:24" s="331" customFormat="1" ht="15" customHeight="1">
      <c r="A6" s="316">
        <v>44670</v>
      </c>
      <c r="B6" s="317" t="s">
        <v>79</v>
      </c>
      <c r="C6" s="318" t="s">
        <v>87</v>
      </c>
      <c r="D6" s="319" t="s">
        <v>83</v>
      </c>
      <c r="E6" s="320">
        <v>9.15</v>
      </c>
      <c r="F6" s="320">
        <v>0.12</v>
      </c>
      <c r="G6" s="321">
        <f>E6-F6</f>
        <v>9.0300000000000011</v>
      </c>
      <c r="H6" s="322"/>
      <c r="I6" s="323"/>
      <c r="J6" s="324">
        <v>4</v>
      </c>
      <c r="K6" s="325">
        <v>0.39</v>
      </c>
      <c r="L6" s="326">
        <f>G6-J6</f>
        <v>5.0300000000000011</v>
      </c>
      <c r="M6" s="324"/>
      <c r="N6" s="327"/>
      <c r="O6" s="325"/>
      <c r="P6" s="324">
        <f>J6*K6</f>
        <v>1.56</v>
      </c>
      <c r="Q6" s="325"/>
      <c r="R6" s="324"/>
      <c r="S6" s="328"/>
      <c r="T6" s="324"/>
      <c r="U6" s="324"/>
      <c r="V6" s="328"/>
      <c r="W6" s="329"/>
      <c r="X6" s="330"/>
    </row>
    <row r="7" spans="1:24" s="331" customFormat="1" ht="15" customHeight="1">
      <c r="A7" s="316">
        <v>44795</v>
      </c>
      <c r="B7" s="317" t="s">
        <v>91</v>
      </c>
      <c r="C7" s="318" t="s">
        <v>87</v>
      </c>
      <c r="D7" s="319" t="s">
        <v>57</v>
      </c>
      <c r="E7" s="320">
        <v>9.15</v>
      </c>
      <c r="F7" s="320">
        <f>E7-G7</f>
        <v>2.7200000000000006</v>
      </c>
      <c r="G7" s="321">
        <v>6.43</v>
      </c>
      <c r="H7" s="322"/>
      <c r="I7" s="323"/>
      <c r="J7" s="324">
        <v>0.56000000000000005</v>
      </c>
      <c r="K7" s="325">
        <v>0.5</v>
      </c>
      <c r="L7" s="326"/>
      <c r="M7" s="324"/>
      <c r="N7" s="327"/>
      <c r="O7" s="325"/>
      <c r="P7" s="324"/>
      <c r="Q7" s="325"/>
      <c r="R7" s="324"/>
      <c r="S7" s="328">
        <f>J7*K7</f>
        <v>0.28000000000000003</v>
      </c>
      <c r="T7" s="324"/>
      <c r="U7" s="324"/>
      <c r="V7" s="328"/>
      <c r="W7" s="329"/>
      <c r="X7" s="330"/>
    </row>
    <row r="8" spans="1:24" s="349" customFormat="1" ht="15" customHeight="1">
      <c r="A8" s="340">
        <v>44795</v>
      </c>
      <c r="B8" s="341" t="s">
        <v>91</v>
      </c>
      <c r="C8" s="342" t="s">
        <v>87</v>
      </c>
      <c r="D8" s="343" t="s">
        <v>63</v>
      </c>
      <c r="E8" s="347">
        <v>9.15</v>
      </c>
      <c r="F8" s="347">
        <f>E8-G8</f>
        <v>3.2800000000000011</v>
      </c>
      <c r="G8" s="348">
        <f>G7-J7</f>
        <v>5.8699999999999992</v>
      </c>
      <c r="H8" s="345"/>
      <c r="I8" s="341"/>
      <c r="J8" s="341">
        <v>0.87</v>
      </c>
      <c r="K8" s="346">
        <v>0.72</v>
      </c>
      <c r="L8" s="368">
        <f>G8-J8</f>
        <v>4.9999999999999991</v>
      </c>
      <c r="M8" s="341"/>
      <c r="N8" s="344"/>
      <c r="O8" s="346">
        <f>Q8-P6</f>
        <v>-0.9336000000000001</v>
      </c>
      <c r="P8" s="347"/>
      <c r="Q8" s="346">
        <f>J8*K8</f>
        <v>0.62639999999999996</v>
      </c>
      <c r="R8" s="347"/>
      <c r="S8" s="348"/>
      <c r="T8" s="347"/>
      <c r="U8" s="347"/>
      <c r="V8" s="348"/>
      <c r="W8" s="342"/>
      <c r="X8" s="341"/>
    </row>
    <row r="9" spans="1:24" s="331" customFormat="1" ht="15" customHeight="1">
      <c r="A9" s="340">
        <v>45161</v>
      </c>
      <c r="B9" s="341" t="s">
        <v>94</v>
      </c>
      <c r="C9" s="342" t="s">
        <v>87</v>
      </c>
      <c r="D9" s="343" t="s">
        <v>68</v>
      </c>
      <c r="E9" s="347">
        <v>10.5</v>
      </c>
      <c r="F9" s="341">
        <f>1.35+0.56</f>
        <v>1.9100000000000001</v>
      </c>
      <c r="G9" s="344">
        <f>E9-F9</f>
        <v>8.59</v>
      </c>
      <c r="H9" s="367">
        <f>G9-G8</f>
        <v>2.7200000000000006</v>
      </c>
      <c r="I9" s="330"/>
      <c r="J9" s="341">
        <v>2.0699999999999998</v>
      </c>
      <c r="K9" s="332"/>
      <c r="L9" s="343">
        <f>G9-J9</f>
        <v>6.52</v>
      </c>
      <c r="M9" s="330"/>
      <c r="N9" s="334"/>
      <c r="O9" s="336"/>
      <c r="P9" s="337"/>
      <c r="Q9" s="336"/>
      <c r="R9" s="347"/>
      <c r="S9" s="348"/>
      <c r="T9" s="347"/>
      <c r="U9" s="347"/>
      <c r="V9" s="348"/>
      <c r="W9" s="332"/>
      <c r="X9" s="330"/>
    </row>
    <row r="10" spans="1:24" s="349" customFormat="1" ht="15" customHeight="1">
      <c r="A10" s="340">
        <v>45161</v>
      </c>
      <c r="B10" s="341" t="s">
        <v>94</v>
      </c>
      <c r="C10" s="342" t="s">
        <v>87</v>
      </c>
      <c r="D10" s="343" t="s">
        <v>68</v>
      </c>
      <c r="E10" s="347">
        <v>12.2</v>
      </c>
      <c r="F10" s="341">
        <f>E10-G10</f>
        <v>3.6099999999999994</v>
      </c>
      <c r="G10" s="344">
        <f>G9</f>
        <v>8.59</v>
      </c>
      <c r="H10" s="345"/>
      <c r="I10" s="341"/>
      <c r="J10" s="341"/>
      <c r="K10" s="342">
        <v>0.56999999999999995</v>
      </c>
      <c r="L10" s="343"/>
      <c r="M10" s="341"/>
      <c r="N10" s="344"/>
      <c r="O10" s="346"/>
      <c r="P10" s="347"/>
      <c r="Q10" s="346">
        <f>J9*K10</f>
        <v>1.1798999999999997</v>
      </c>
      <c r="R10" s="347">
        <v>0</v>
      </c>
      <c r="S10" s="348">
        <v>0</v>
      </c>
      <c r="T10" s="347"/>
      <c r="U10" s="347"/>
      <c r="V10" s="348"/>
      <c r="W10" s="342"/>
      <c r="X10" s="341"/>
    </row>
    <row r="11" spans="1:24" s="331" customFormat="1" ht="15" customHeight="1">
      <c r="A11" s="340">
        <v>45401</v>
      </c>
      <c r="B11" s="341" t="s">
        <v>171</v>
      </c>
      <c r="C11" s="342" t="s">
        <v>87</v>
      </c>
      <c r="D11" s="343" t="s">
        <v>39</v>
      </c>
      <c r="E11" s="347">
        <v>12.2</v>
      </c>
      <c r="F11" s="341">
        <v>0.16</v>
      </c>
      <c r="G11" s="344">
        <f>E11-F11</f>
        <v>12.04</v>
      </c>
      <c r="H11" s="345">
        <f>G11-G10</f>
        <v>3.4499999999999993</v>
      </c>
      <c r="I11" s="330"/>
      <c r="J11" s="341">
        <v>3.94</v>
      </c>
      <c r="K11" s="332"/>
      <c r="L11" s="333">
        <f>G11-J11</f>
        <v>8.1</v>
      </c>
      <c r="M11" s="330"/>
      <c r="N11" s="334"/>
      <c r="O11" s="336"/>
      <c r="P11" s="337"/>
      <c r="Q11" s="336"/>
      <c r="R11" s="347">
        <f>(H11-J11)*K10</f>
        <v>-0.27930000000000033</v>
      </c>
      <c r="S11" s="348"/>
      <c r="T11" s="347">
        <v>577242.46400000004</v>
      </c>
      <c r="U11" s="347">
        <v>7017562.3720000004</v>
      </c>
      <c r="V11" s="348">
        <v>1868.075</v>
      </c>
      <c r="W11" s="332"/>
      <c r="X11" s="330"/>
    </row>
    <row r="12" spans="1:24" s="331" customFormat="1" ht="15" customHeight="1">
      <c r="A12" s="340">
        <v>45524</v>
      </c>
      <c r="B12" s="341" t="s">
        <v>101</v>
      </c>
      <c r="C12" s="342" t="s">
        <v>87</v>
      </c>
      <c r="D12" s="343" t="s">
        <v>179</v>
      </c>
      <c r="E12" s="347">
        <v>12.2</v>
      </c>
      <c r="F12" s="341">
        <v>3.07</v>
      </c>
      <c r="G12" s="344">
        <v>9.1300000000000008</v>
      </c>
      <c r="H12" s="345">
        <f>G12-G11</f>
        <v>-2.9099999999999984</v>
      </c>
      <c r="I12" s="341">
        <v>1.1499999999999999</v>
      </c>
      <c r="J12" s="341">
        <v>1.1000000000000001</v>
      </c>
      <c r="K12" s="342">
        <v>0.53</v>
      </c>
      <c r="L12" s="333"/>
      <c r="M12" s="330"/>
      <c r="N12" s="334"/>
      <c r="O12" s="336"/>
      <c r="P12" s="337"/>
      <c r="Q12" s="346">
        <f>K12*I12</f>
        <v>0.60949999999999993</v>
      </c>
      <c r="R12" s="347"/>
      <c r="S12" s="348"/>
      <c r="T12" s="347"/>
      <c r="U12" s="347"/>
      <c r="V12" s="348"/>
      <c r="W12" s="332"/>
      <c r="X12" s="330"/>
    </row>
    <row r="13" spans="1:24" s="331" customFormat="1" ht="15" customHeight="1">
      <c r="A13" s="340">
        <v>45524</v>
      </c>
      <c r="B13" s="341" t="s">
        <v>101</v>
      </c>
      <c r="C13" s="342" t="s">
        <v>87</v>
      </c>
      <c r="D13" s="343" t="s">
        <v>57</v>
      </c>
      <c r="E13" s="347">
        <v>12.2</v>
      </c>
      <c r="F13" s="341">
        <f>E13-G13</f>
        <v>3.0399999999999991</v>
      </c>
      <c r="G13" s="344">
        <v>9.16</v>
      </c>
      <c r="H13" s="345">
        <f>G13-G11</f>
        <v>-2.879999999999999</v>
      </c>
      <c r="I13" s="341">
        <v>0.03</v>
      </c>
      <c r="K13" s="342"/>
      <c r="L13" s="333"/>
      <c r="M13" s="330"/>
      <c r="N13" s="334"/>
      <c r="O13" s="336"/>
      <c r="P13" s="337"/>
      <c r="Q13" s="336"/>
      <c r="R13" s="347"/>
      <c r="S13" s="348">
        <f>I13*0.45</f>
        <v>1.35E-2</v>
      </c>
      <c r="T13" s="347">
        <v>577252.79099999997</v>
      </c>
      <c r="U13" s="347">
        <v>7017557.801</v>
      </c>
      <c r="V13" s="348">
        <v>1864.211</v>
      </c>
      <c r="W13" s="332"/>
      <c r="X13" s="330"/>
    </row>
    <row r="14" spans="1:24" s="331" customFormat="1" ht="15" customHeight="1">
      <c r="A14" s="341"/>
      <c r="B14" s="341"/>
      <c r="C14" s="342"/>
      <c r="D14" s="343"/>
      <c r="E14" s="347"/>
      <c r="F14" s="341"/>
      <c r="G14" s="344"/>
      <c r="H14" s="335"/>
      <c r="I14" s="330"/>
      <c r="J14" s="330"/>
      <c r="K14" s="332"/>
      <c r="L14" s="333"/>
      <c r="M14" s="330"/>
      <c r="N14" s="334"/>
      <c r="O14" s="336"/>
      <c r="P14" s="337"/>
      <c r="Q14" s="336"/>
      <c r="R14" s="347"/>
      <c r="S14" s="348"/>
      <c r="T14" s="347"/>
      <c r="U14" s="347"/>
      <c r="V14" s="348"/>
      <c r="W14" s="332"/>
      <c r="X14" s="330"/>
    </row>
    <row r="15" spans="1:24" s="48" customFormat="1" ht="15" customHeight="1">
      <c r="A15" s="146"/>
      <c r="B15" s="279"/>
      <c r="C15" s="286"/>
      <c r="D15" s="289"/>
      <c r="E15" s="280"/>
      <c r="F15" s="279"/>
      <c r="G15" s="293"/>
      <c r="H15" s="742"/>
      <c r="I15" s="146"/>
      <c r="J15" s="146"/>
      <c r="K15" s="740"/>
      <c r="L15" s="741"/>
      <c r="M15" s="146"/>
      <c r="N15" s="298"/>
      <c r="O15" s="743"/>
      <c r="P15" s="744"/>
      <c r="Q15" s="743"/>
      <c r="R15" s="280"/>
      <c r="S15" s="939"/>
      <c r="T15" s="280"/>
      <c r="U15" s="280"/>
      <c r="V15" s="939"/>
      <c r="W15" s="740"/>
      <c r="X15" s="146"/>
    </row>
    <row r="16" spans="1:24" s="746" customFormat="1" ht="15" customHeight="1">
      <c r="A16" s="237">
        <v>45401</v>
      </c>
      <c r="B16" s="236" t="s">
        <v>101</v>
      </c>
      <c r="C16" s="235" t="s">
        <v>173</v>
      </c>
      <c r="D16" s="288" t="s">
        <v>83</v>
      </c>
      <c r="E16" s="240">
        <v>8</v>
      </c>
      <c r="F16" s="236">
        <v>0.7</v>
      </c>
      <c r="G16" s="238">
        <f t="shared" ref="G16:G21" si="0">E16-F16</f>
        <v>7.3</v>
      </c>
      <c r="H16" s="745"/>
      <c r="I16" s="236"/>
      <c r="J16" s="236">
        <v>3.94</v>
      </c>
      <c r="K16" s="235">
        <v>0.42</v>
      </c>
      <c r="L16" s="288">
        <f>G16-J16</f>
        <v>3.36</v>
      </c>
      <c r="M16" s="236"/>
      <c r="N16" s="238"/>
      <c r="O16" s="241"/>
      <c r="P16" s="240">
        <f>K16*J16</f>
        <v>1.6547999999999998</v>
      </c>
      <c r="Q16" s="241"/>
      <c r="R16" s="240"/>
      <c r="S16" s="938"/>
      <c r="T16" s="240">
        <v>577206.05299999996</v>
      </c>
      <c r="U16" s="240">
        <v>7017605.5630000001</v>
      </c>
      <c r="V16" s="938">
        <v>1872.2829999999999</v>
      </c>
      <c r="W16" s="1239"/>
      <c r="X16" s="233"/>
    </row>
    <row r="17" spans="1:24" s="963" customFormat="1" ht="15" customHeight="1">
      <c r="A17" s="237">
        <v>45524</v>
      </c>
      <c r="B17" s="236" t="s">
        <v>101</v>
      </c>
      <c r="C17" s="235" t="s">
        <v>173</v>
      </c>
      <c r="D17" s="288" t="s">
        <v>179</v>
      </c>
      <c r="E17" s="240">
        <v>8</v>
      </c>
      <c r="F17" s="236">
        <v>3.46</v>
      </c>
      <c r="G17" s="238">
        <f t="shared" si="0"/>
        <v>4.54</v>
      </c>
      <c r="H17" s="239">
        <f>G17-G16</f>
        <v>-2.76</v>
      </c>
      <c r="I17" s="236">
        <v>1.04</v>
      </c>
      <c r="J17" s="236">
        <v>1.1000000000000001</v>
      </c>
      <c r="K17" s="235">
        <v>0.53</v>
      </c>
      <c r="L17" s="288">
        <f>G17-I17</f>
        <v>3.5</v>
      </c>
      <c r="M17" s="236"/>
      <c r="N17" s="238"/>
      <c r="O17" s="241"/>
      <c r="P17" s="240"/>
      <c r="Q17" s="241">
        <f>I17*K17</f>
        <v>0.55120000000000002</v>
      </c>
      <c r="R17" s="240"/>
      <c r="S17" s="938"/>
      <c r="T17" s="240"/>
      <c r="U17" s="240"/>
      <c r="V17" s="938"/>
      <c r="W17" s="235"/>
      <c r="X17" s="236"/>
    </row>
    <row r="18" spans="1:24" s="746" customFormat="1" ht="15" customHeight="1">
      <c r="A18" s="237">
        <v>45524</v>
      </c>
      <c r="B18" s="236" t="s">
        <v>101</v>
      </c>
      <c r="C18" s="235" t="s">
        <v>173</v>
      </c>
      <c r="D18" s="288" t="s">
        <v>57</v>
      </c>
      <c r="E18" s="240">
        <v>10</v>
      </c>
      <c r="F18" s="236">
        <v>5.33</v>
      </c>
      <c r="G18" s="238">
        <f t="shared" si="0"/>
        <v>4.67</v>
      </c>
      <c r="H18" s="239"/>
      <c r="I18" s="236">
        <v>0.13</v>
      </c>
      <c r="K18" s="235"/>
      <c r="L18" s="288"/>
      <c r="M18" s="236"/>
      <c r="N18" s="238"/>
      <c r="O18" s="241"/>
      <c r="P18" s="240"/>
      <c r="Q18" s="241"/>
      <c r="R18" s="240"/>
      <c r="S18" s="938">
        <f>I18*0.45</f>
        <v>5.8500000000000003E-2</v>
      </c>
      <c r="T18" s="240">
        <v>577215.83100000001</v>
      </c>
      <c r="U18" s="240">
        <v>7017600.3470000001</v>
      </c>
      <c r="V18" s="938">
        <v>1868.3910000000001</v>
      </c>
      <c r="W18" s="1239"/>
      <c r="X18" s="233"/>
    </row>
    <row r="19" spans="1:24" s="746" customFormat="1" ht="15" customHeight="1">
      <c r="A19" s="237">
        <v>45767</v>
      </c>
      <c r="B19" s="236" t="s">
        <v>199</v>
      </c>
      <c r="C19" s="235" t="s">
        <v>173</v>
      </c>
      <c r="D19" s="288" t="s">
        <v>57</v>
      </c>
      <c r="E19" s="240">
        <v>10</v>
      </c>
      <c r="F19" s="236">
        <v>0.57999999999999996</v>
      </c>
      <c r="G19" s="238">
        <f t="shared" si="0"/>
        <v>9.42</v>
      </c>
      <c r="H19" s="239">
        <f>G19-G17</f>
        <v>4.88</v>
      </c>
      <c r="I19" s="236"/>
      <c r="J19" s="1228">
        <f>'20250420_FirnCore_T'!I3</f>
        <v>4.3079999999999998</v>
      </c>
      <c r="K19" s="235"/>
      <c r="L19" s="1227">
        <f>G18</f>
        <v>4.67</v>
      </c>
      <c r="M19" s="236"/>
      <c r="N19" s="238"/>
      <c r="O19" s="241"/>
      <c r="P19" s="240"/>
      <c r="Q19" s="241"/>
      <c r="R19" s="240"/>
      <c r="S19" s="938"/>
      <c r="T19" s="240">
        <v>577235.79299999995</v>
      </c>
      <c r="U19" s="240">
        <v>7017588.7029999997</v>
      </c>
      <c r="V19" s="938">
        <v>1870.2280000000001</v>
      </c>
      <c r="W19" s="1239" t="s">
        <v>263</v>
      </c>
      <c r="X19" s="233"/>
    </row>
    <row r="20" spans="1:24" s="746" customFormat="1" ht="15" customHeight="1">
      <c r="A20" s="237">
        <v>45892</v>
      </c>
      <c r="B20" s="236" t="s">
        <v>199</v>
      </c>
      <c r="C20" s="235" t="s">
        <v>173</v>
      </c>
      <c r="D20" s="288" t="s">
        <v>68</v>
      </c>
      <c r="E20" s="240">
        <v>10</v>
      </c>
      <c r="F20" s="236">
        <v>3.99</v>
      </c>
      <c r="G20" s="238">
        <f t="shared" si="0"/>
        <v>6.01</v>
      </c>
      <c r="H20" s="239"/>
      <c r="I20" s="236"/>
      <c r="J20" s="1228"/>
      <c r="K20" s="235"/>
      <c r="L20" s="1227"/>
      <c r="M20" s="236"/>
      <c r="N20" s="238"/>
      <c r="O20" s="241"/>
      <c r="P20" s="240"/>
      <c r="Q20" s="241"/>
      <c r="R20" s="240"/>
      <c r="S20" s="938"/>
      <c r="T20" s="240">
        <v>577245.94400000002</v>
      </c>
      <c r="U20" s="240">
        <v>7017584.2470000004</v>
      </c>
      <c r="V20" s="938">
        <v>1866.194</v>
      </c>
      <c r="W20" s="1239"/>
      <c r="X20" s="233"/>
    </row>
    <row r="21" spans="1:24" s="746" customFormat="1" ht="15" customHeight="1">
      <c r="A21" s="237">
        <v>45892</v>
      </c>
      <c r="B21" s="236" t="s">
        <v>199</v>
      </c>
      <c r="C21" s="235" t="s">
        <v>173</v>
      </c>
      <c r="D21" s="288" t="s">
        <v>68</v>
      </c>
      <c r="E21" s="240">
        <v>8</v>
      </c>
      <c r="F21" s="236">
        <v>1.99</v>
      </c>
      <c r="G21" s="938">
        <f t="shared" si="0"/>
        <v>6.01</v>
      </c>
      <c r="H21" s="1246">
        <f>G21-L19</f>
        <v>1.3399999999999999</v>
      </c>
      <c r="I21" s="240"/>
      <c r="J21" s="1228">
        <v>1.27</v>
      </c>
      <c r="K21" s="235">
        <v>0.53</v>
      </c>
      <c r="L21" s="1227">
        <f>G21-J21</f>
        <v>4.74</v>
      </c>
      <c r="M21" s="236"/>
      <c r="N21" s="238"/>
      <c r="O21" s="241"/>
      <c r="P21" s="240"/>
      <c r="Q21" s="241"/>
      <c r="R21" s="240"/>
      <c r="S21" s="938"/>
      <c r="T21" s="240"/>
      <c r="U21" s="240"/>
      <c r="V21" s="938"/>
      <c r="W21" s="1239" t="s">
        <v>300</v>
      </c>
      <c r="X21" s="233"/>
    </row>
    <row r="22" spans="1:24" s="210" customFormat="1" ht="15" customHeight="1">
      <c r="A22" s="366"/>
      <c r="B22" s="366"/>
      <c r="C22" s="1014"/>
      <c r="D22" s="1011"/>
      <c r="E22" s="942"/>
      <c r="F22" s="366"/>
      <c r="G22" s="209"/>
      <c r="H22" s="1022"/>
      <c r="I22" s="366"/>
      <c r="J22" s="366"/>
      <c r="K22" s="1014"/>
      <c r="L22" s="1011"/>
      <c r="M22" s="366"/>
      <c r="N22" s="209"/>
      <c r="O22" s="1014"/>
      <c r="P22" s="366"/>
      <c r="Q22" s="1014"/>
      <c r="R22" s="942"/>
      <c r="S22" s="943"/>
      <c r="T22" s="942"/>
      <c r="U22" s="942"/>
      <c r="V22" s="943"/>
      <c r="W22" s="1014"/>
      <c r="X22" s="366"/>
    </row>
    <row r="23" spans="1:24" s="370" customFormat="1" ht="15" customHeight="1">
      <c r="A23" s="1356">
        <v>45401</v>
      </c>
      <c r="B23" s="1357" t="s">
        <v>101</v>
      </c>
      <c r="C23" s="1358" t="s">
        <v>296</v>
      </c>
      <c r="D23" s="1359" t="s">
        <v>39</v>
      </c>
      <c r="E23" s="1360">
        <v>9.15</v>
      </c>
      <c r="F23" s="1357">
        <v>0.18</v>
      </c>
      <c r="G23" s="1361">
        <f>E23-F23</f>
        <v>8.9700000000000006</v>
      </c>
      <c r="H23" s="1362"/>
      <c r="I23" s="1357">
        <v>3.94</v>
      </c>
      <c r="J23" s="1357"/>
      <c r="K23" s="1358"/>
      <c r="L23" s="1363">
        <f>G23-I23</f>
        <v>5.0300000000000011</v>
      </c>
      <c r="M23" s="1357"/>
      <c r="N23" s="1364"/>
      <c r="O23" s="1358"/>
      <c r="P23" s="1357"/>
      <c r="Q23" s="1358"/>
      <c r="R23" s="1360"/>
      <c r="S23" s="1361"/>
      <c r="T23" s="1360"/>
      <c r="U23" s="1360"/>
      <c r="V23" s="1361"/>
      <c r="W23" s="1358"/>
      <c r="X23" s="1357"/>
    </row>
    <row r="24" spans="1:24" s="370" customFormat="1" ht="15" customHeight="1">
      <c r="A24" s="1357" t="s">
        <v>297</v>
      </c>
      <c r="B24" s="1357"/>
      <c r="C24" s="1358" t="s">
        <v>296</v>
      </c>
      <c r="D24" s="1359"/>
      <c r="E24" s="1360"/>
      <c r="F24" s="1357"/>
      <c r="G24" s="1364"/>
      <c r="H24" s="1362"/>
      <c r="I24" s="1357"/>
      <c r="J24" s="1357"/>
      <c r="K24" s="1358"/>
      <c r="L24" s="1359"/>
      <c r="M24" s="1357"/>
      <c r="N24" s="1364"/>
      <c r="O24" s="1358"/>
      <c r="P24" s="1357"/>
      <c r="Q24" s="1358"/>
      <c r="R24" s="1360"/>
      <c r="S24" s="1361"/>
      <c r="T24" s="1360"/>
      <c r="U24" s="1360"/>
      <c r="V24" s="1361"/>
      <c r="W24" s="1358"/>
      <c r="X24" s="1357"/>
    </row>
    <row r="25" spans="1:24" s="370" customFormat="1" ht="15" customHeight="1">
      <c r="A25" s="1356">
        <v>45767</v>
      </c>
      <c r="B25" s="1357"/>
      <c r="C25" s="1358" t="s">
        <v>296</v>
      </c>
      <c r="D25" s="1359" t="s">
        <v>39</v>
      </c>
      <c r="E25" s="1360">
        <v>11.2</v>
      </c>
      <c r="F25" s="1360">
        <f>E25-G25</f>
        <v>0.56999999999999851</v>
      </c>
      <c r="G25" s="1364">
        <v>10.63</v>
      </c>
      <c r="H25" s="1362"/>
      <c r="I25" s="1357"/>
      <c r="J25" s="1357"/>
      <c r="K25" s="1358"/>
      <c r="L25" s="1359"/>
      <c r="M25" s="1357"/>
      <c r="N25" s="1364"/>
      <c r="O25" s="1358"/>
      <c r="P25" s="1357"/>
      <c r="Q25" s="1358"/>
      <c r="R25" s="1360"/>
      <c r="S25" s="1361"/>
      <c r="T25" s="1360">
        <v>577230.88199999998</v>
      </c>
      <c r="U25" s="1360">
        <v>7017592.5949999997</v>
      </c>
      <c r="V25" s="1361">
        <v>1870.5219999999999</v>
      </c>
      <c r="W25" s="1358"/>
      <c r="X25" s="1357"/>
    </row>
    <row r="26" spans="1:24" s="370" customFormat="1" ht="15" customHeight="1">
      <c r="A26" s="1356">
        <v>45892</v>
      </c>
      <c r="B26" s="1357"/>
      <c r="C26" s="1358" t="s">
        <v>296</v>
      </c>
      <c r="D26" s="1359" t="s">
        <v>68</v>
      </c>
      <c r="E26" s="1360">
        <v>11.2</v>
      </c>
      <c r="F26" s="1360">
        <v>3.06</v>
      </c>
      <c r="G26" s="1364">
        <v>8.14</v>
      </c>
      <c r="H26" s="1362"/>
      <c r="I26" s="1357"/>
      <c r="J26" s="1360">
        <f>'20250822_Pit_T'!I3</f>
        <v>1.27</v>
      </c>
      <c r="K26" s="1358"/>
      <c r="L26" s="1359"/>
      <c r="M26" s="1357"/>
      <c r="N26" s="1364"/>
      <c r="O26" s="1358"/>
      <c r="P26" s="1357"/>
      <c r="Q26" s="1358"/>
      <c r="R26" s="1360"/>
      <c r="S26" s="1361"/>
      <c r="T26" s="1360">
        <v>577241.29099999997</v>
      </c>
      <c r="U26" s="1360">
        <v>7017587.1189999999</v>
      </c>
      <c r="V26" s="1361">
        <v>1866.5650000000001</v>
      </c>
      <c r="W26" s="1358"/>
      <c r="X26" s="1357"/>
    </row>
    <row r="27" spans="1:24" s="210" customFormat="1" ht="15" customHeight="1">
      <c r="A27" s="366"/>
      <c r="B27" s="366"/>
      <c r="C27" s="1014"/>
      <c r="D27" s="1011"/>
      <c r="E27" s="942"/>
      <c r="F27" s="366"/>
      <c r="G27" s="209"/>
      <c r="H27" s="1022"/>
      <c r="I27" s="366"/>
      <c r="J27" s="366"/>
      <c r="K27" s="1014"/>
      <c r="L27" s="1011"/>
      <c r="M27" s="366"/>
      <c r="N27" s="209"/>
      <c r="O27" s="1014"/>
      <c r="P27" s="366"/>
      <c r="Q27" s="1014"/>
      <c r="R27" s="942"/>
      <c r="S27" s="943"/>
      <c r="T27" s="942"/>
      <c r="U27" s="942"/>
      <c r="V27" s="943"/>
      <c r="W27" s="1014"/>
      <c r="X27" s="366"/>
    </row>
    <row r="28" spans="1:24" s="1201" customFormat="1" ht="15.75" customHeight="1">
      <c r="A28" s="1200">
        <v>45767</v>
      </c>
      <c r="B28" s="1201" t="s">
        <v>199</v>
      </c>
      <c r="C28" s="1202" t="s">
        <v>205</v>
      </c>
      <c r="D28" s="1203" t="s">
        <v>39</v>
      </c>
      <c r="E28" s="1209">
        <v>8</v>
      </c>
      <c r="F28" s="1201">
        <v>0.11</v>
      </c>
      <c r="G28" s="1204">
        <v>7.89</v>
      </c>
      <c r="H28" s="1205"/>
      <c r="I28" s="1201">
        <v>4.3099999999999996</v>
      </c>
      <c r="J28" s="1207">
        <f>'20250420_FirnCore_T'!I3</f>
        <v>4.3079999999999998</v>
      </c>
      <c r="K28" s="1202">
        <v>0.42</v>
      </c>
      <c r="L28" s="1238">
        <f>G28-J28</f>
        <v>3.5819999999999999</v>
      </c>
      <c r="N28" s="1204"/>
      <c r="O28" s="1202"/>
      <c r="P28" s="1206">
        <f>K28*I28</f>
        <v>1.8101999999999998</v>
      </c>
      <c r="Q28" s="1202"/>
      <c r="R28" s="1207">
        <v>0</v>
      </c>
      <c r="S28" s="1208"/>
      <c r="T28" s="1207">
        <v>577189.14500000002</v>
      </c>
      <c r="U28" s="1207">
        <v>7017609.2070000004</v>
      </c>
      <c r="V28" s="1208">
        <v>1874.0219999999999</v>
      </c>
      <c r="W28" s="1202"/>
    </row>
    <row r="29" spans="1:24" s="1201" customFormat="1" ht="15.75" customHeight="1">
      <c r="A29" s="1200">
        <v>45892</v>
      </c>
      <c r="B29" s="1201" t="s">
        <v>199</v>
      </c>
      <c r="C29" s="1202" t="s">
        <v>205</v>
      </c>
      <c r="D29" s="1203" t="s">
        <v>68</v>
      </c>
      <c r="E29" s="1209">
        <v>8</v>
      </c>
      <c r="F29" s="1201">
        <v>2.94</v>
      </c>
      <c r="G29" s="1208">
        <f>E29-F29</f>
        <v>5.0600000000000005</v>
      </c>
      <c r="H29" s="1245">
        <f>G29-G28</f>
        <v>-2.8299999999999992</v>
      </c>
      <c r="J29" s="1207"/>
      <c r="K29" s="1202"/>
      <c r="L29" s="1238"/>
      <c r="N29" s="1204"/>
      <c r="O29" s="1202"/>
      <c r="P29" s="1206"/>
      <c r="Q29" s="1202"/>
      <c r="R29" s="1207"/>
      <c r="S29" s="1208"/>
      <c r="T29" s="1207">
        <v>577199.10699999996</v>
      </c>
      <c r="U29" s="1207">
        <v>7017603.534</v>
      </c>
      <c r="V29" s="1208">
        <v>1869.933</v>
      </c>
      <c r="W29" s="1202"/>
    </row>
    <row r="30" spans="1:24" s="1201" customFormat="1" ht="15.75" customHeight="1">
      <c r="A30" s="1200">
        <v>45892</v>
      </c>
      <c r="B30" s="1201" t="s">
        <v>199</v>
      </c>
      <c r="C30" s="1202" t="s">
        <v>205</v>
      </c>
      <c r="D30" s="1202" t="s">
        <v>68</v>
      </c>
      <c r="E30" s="1207">
        <v>10</v>
      </c>
      <c r="F30" s="1201">
        <v>4.9400000000000004</v>
      </c>
      <c r="G30" s="1208">
        <f>E30-F30</f>
        <v>5.0599999999999996</v>
      </c>
      <c r="H30" s="1207">
        <f>G30-L28</f>
        <v>1.4779999999999998</v>
      </c>
      <c r="I30" s="1242"/>
      <c r="J30" s="1207">
        <v>1.27</v>
      </c>
      <c r="K30" s="1202">
        <v>0.53</v>
      </c>
      <c r="L30" s="1238"/>
      <c r="N30" s="1204"/>
      <c r="O30" s="1202"/>
      <c r="P30" s="1206"/>
      <c r="Q30" s="1202">
        <f>J30*K30</f>
        <v>0.67310000000000003</v>
      </c>
      <c r="R30" s="1207"/>
      <c r="S30" s="1207">
        <v>0</v>
      </c>
      <c r="T30" s="1242"/>
      <c r="U30" s="1207"/>
      <c r="V30" s="1208"/>
      <c r="W30" s="1202"/>
    </row>
    <row r="31" spans="1:24" s="210" customFormat="1" ht="15.75" customHeight="1" thickBot="1">
      <c r="A31" s="150"/>
      <c r="B31" s="150"/>
      <c r="C31" s="145"/>
      <c r="D31" s="145"/>
      <c r="E31" s="151"/>
      <c r="F31" s="151"/>
      <c r="G31" s="150"/>
      <c r="H31" s="1240"/>
      <c r="I31" s="1240"/>
      <c r="J31" s="150"/>
      <c r="K31" s="187"/>
      <c r="L31" s="182"/>
      <c r="M31" s="150"/>
      <c r="N31" s="150"/>
      <c r="O31" s="1241"/>
      <c r="P31" s="150"/>
      <c r="Q31" s="187"/>
      <c r="R31" s="150"/>
      <c r="S31" s="150"/>
      <c r="T31" s="1243"/>
      <c r="U31" s="150"/>
      <c r="V31" s="366"/>
      <c r="W31" s="1244"/>
      <c r="X31" s="366"/>
    </row>
    <row r="32" spans="1:24" ht="15.75" customHeight="1">
      <c r="A32" s="1394" t="s">
        <v>42</v>
      </c>
      <c r="B32" s="1395"/>
      <c r="C32" s="1398" t="s">
        <v>43</v>
      </c>
      <c r="D32" s="1399"/>
      <c r="E32" s="1021" t="s">
        <v>44</v>
      </c>
      <c r="F32" s="154"/>
      <c r="G32" s="153" t="s">
        <v>45</v>
      </c>
      <c r="H32" s="154"/>
      <c r="I32" s="155" t="s">
        <v>46</v>
      </c>
      <c r="J32" s="127"/>
      <c r="K32" s="127"/>
      <c r="L32" s="127"/>
      <c r="M32" s="127"/>
      <c r="N32" s="127"/>
      <c r="O32" s="127"/>
      <c r="P32" s="127"/>
      <c r="Q32" s="146"/>
      <c r="R32" s="147"/>
      <c r="T32" s="147"/>
      <c r="U32" s="147"/>
      <c r="V32" s="152"/>
      <c r="W32" s="127"/>
      <c r="X32" s="127"/>
    </row>
    <row r="33" spans="1:24" ht="15.75" customHeight="1">
      <c r="A33" s="1396"/>
      <c r="B33" s="1397"/>
      <c r="C33" s="158" t="s">
        <v>47</v>
      </c>
      <c r="D33" s="158" t="s">
        <v>48</v>
      </c>
      <c r="E33" s="1199">
        <f>A17</f>
        <v>45524</v>
      </c>
      <c r="F33" s="158"/>
      <c r="G33" s="159">
        <f>A28</f>
        <v>45767</v>
      </c>
      <c r="H33" s="158"/>
      <c r="I33" s="160">
        <f>A29</f>
        <v>45892</v>
      </c>
      <c r="J33" s="127"/>
      <c r="K33" s="127"/>
      <c r="L33" s="127"/>
      <c r="M33" s="127"/>
      <c r="N33" s="127"/>
      <c r="O33" s="127"/>
      <c r="P33" s="127"/>
      <c r="Q33" s="146"/>
      <c r="R33" s="147"/>
      <c r="S33" s="147"/>
      <c r="T33" s="147"/>
      <c r="U33" s="152"/>
      <c r="V33" s="127"/>
      <c r="W33" s="127"/>
      <c r="X33" s="127"/>
    </row>
    <row r="34" spans="1:24" ht="15.75" customHeight="1">
      <c r="A34" s="161"/>
      <c r="B34" s="1015" t="s">
        <v>50</v>
      </c>
      <c r="C34" s="1012">
        <f>AVERAGE(P28,'20250420_FirnCore_T'!I5)</f>
        <v>1.8140570702840657</v>
      </c>
      <c r="D34" s="1012"/>
      <c r="E34" s="1012"/>
      <c r="F34" s="164"/>
      <c r="G34" s="165"/>
      <c r="H34" s="163"/>
      <c r="I34" s="166"/>
      <c r="J34" s="127"/>
      <c r="K34" s="127"/>
      <c r="L34" s="127"/>
      <c r="M34" s="127"/>
      <c r="N34" s="127"/>
      <c r="O34" s="127"/>
      <c r="P34" s="127"/>
      <c r="Q34" s="146"/>
      <c r="R34" s="147"/>
      <c r="S34" s="147"/>
      <c r="T34" s="147"/>
      <c r="U34" s="152"/>
      <c r="V34" s="127"/>
      <c r="W34" s="127"/>
      <c r="X34" s="127"/>
    </row>
    <row r="35" spans="1:24" ht="15.75" customHeight="1">
      <c r="A35" s="161"/>
      <c r="B35" s="1015" t="s">
        <v>51</v>
      </c>
      <c r="C35" s="1012">
        <f>C36-C34</f>
        <v>-1.1409570702840657</v>
      </c>
      <c r="D35" s="1012"/>
      <c r="E35" s="1012"/>
      <c r="F35" s="164"/>
      <c r="G35" s="165"/>
      <c r="H35" s="163"/>
      <c r="I35" s="166"/>
      <c r="J35" s="127"/>
      <c r="K35" s="127"/>
      <c r="L35" s="127"/>
      <c r="M35" s="127"/>
      <c r="N35" s="127"/>
      <c r="O35" s="127"/>
      <c r="P35" s="127"/>
      <c r="Q35" s="146"/>
      <c r="R35" s="147"/>
      <c r="S35" s="147"/>
      <c r="V35" s="152"/>
      <c r="W35" s="147"/>
      <c r="X35" s="127"/>
    </row>
    <row r="36" spans="1:24" ht="15.75" customHeight="1">
      <c r="A36" s="161"/>
      <c r="B36" s="1015" t="s">
        <v>52</v>
      </c>
      <c r="C36" s="1012">
        <f>Q30</f>
        <v>0.67310000000000003</v>
      </c>
      <c r="D36" s="1012"/>
      <c r="E36" s="1012"/>
      <c r="F36" s="164"/>
      <c r="G36" s="165"/>
      <c r="H36" s="163"/>
      <c r="I36" s="166"/>
      <c r="J36" s="127"/>
      <c r="K36" s="127"/>
      <c r="L36" s="127"/>
      <c r="M36" s="127"/>
      <c r="N36" s="127"/>
      <c r="O36" s="127"/>
      <c r="P36" s="127"/>
      <c r="Q36" s="146"/>
      <c r="R36" s="147"/>
      <c r="S36" s="147"/>
      <c r="T36" s="147"/>
      <c r="U36" s="152"/>
      <c r="V36" s="127"/>
      <c r="W36" s="127"/>
      <c r="X36" s="127"/>
    </row>
    <row r="37" spans="1:24" ht="15.75" customHeight="1">
      <c r="A37" s="161"/>
      <c r="B37" s="1016" t="s">
        <v>53</v>
      </c>
      <c r="C37" s="1012">
        <f>S18</f>
        <v>5.8500000000000003E-2</v>
      </c>
      <c r="D37" s="1012"/>
      <c r="E37" s="1012"/>
      <c r="F37" s="164"/>
      <c r="G37" s="163"/>
      <c r="H37" s="163"/>
      <c r="I37" s="166"/>
      <c r="J37" s="127"/>
      <c r="K37" s="127"/>
      <c r="L37" s="127"/>
      <c r="M37" s="127"/>
      <c r="N37" s="127"/>
      <c r="O37" s="127"/>
      <c r="P37" s="127"/>
      <c r="Q37" s="146"/>
      <c r="R37" s="147"/>
      <c r="S37" s="147"/>
      <c r="T37" s="147"/>
      <c r="U37" s="152"/>
      <c r="V37" s="127"/>
      <c r="W37" s="127"/>
      <c r="X37" s="127"/>
    </row>
    <row r="38" spans="1:24" ht="15.75" customHeight="1">
      <c r="A38" s="161"/>
      <c r="B38" s="1016" t="s">
        <v>54</v>
      </c>
      <c r="C38" s="1012">
        <f>R28</f>
        <v>0</v>
      </c>
      <c r="D38" s="1012"/>
      <c r="E38" s="1012"/>
      <c r="F38" s="164"/>
      <c r="G38" s="163"/>
      <c r="H38" s="163"/>
      <c r="I38" s="166"/>
      <c r="J38" s="127"/>
      <c r="K38" s="127"/>
      <c r="L38" s="127"/>
      <c r="M38" s="127"/>
      <c r="N38" s="127"/>
      <c r="O38" s="127"/>
      <c r="P38" s="127"/>
      <c r="Q38" s="146"/>
      <c r="R38" s="147"/>
      <c r="S38" s="147"/>
      <c r="T38" s="147"/>
      <c r="U38" s="152"/>
      <c r="V38" s="127"/>
      <c r="W38" s="127"/>
      <c r="X38" s="127"/>
    </row>
    <row r="39" spans="1:24" ht="15.75" customHeight="1" thickBot="1">
      <c r="A39" s="204"/>
      <c r="B39" s="1017" t="s">
        <v>55</v>
      </c>
      <c r="C39" s="1013">
        <v>0</v>
      </c>
      <c r="D39" s="1013"/>
      <c r="E39" s="1013"/>
      <c r="F39" s="206"/>
      <c r="G39" s="207"/>
      <c r="H39" s="207"/>
      <c r="I39" s="208"/>
      <c r="J39" s="127"/>
      <c r="K39" s="127"/>
      <c r="L39" s="127"/>
      <c r="M39" s="127"/>
      <c r="N39" s="127"/>
      <c r="O39" s="127"/>
      <c r="P39" s="127"/>
      <c r="Q39" s="146"/>
      <c r="R39" s="147"/>
      <c r="S39" s="147"/>
      <c r="T39" s="147"/>
      <c r="U39" s="152"/>
      <c r="V39" s="127"/>
      <c r="W39" s="127"/>
      <c r="X39" s="127"/>
    </row>
    <row r="40" spans="1:24" ht="15.75" customHeight="1">
      <c r="A40" s="152"/>
      <c r="B40" s="150"/>
      <c r="C40" s="150"/>
      <c r="D40" s="150"/>
      <c r="E40" s="151"/>
      <c r="F40" s="152"/>
      <c r="G40" s="152"/>
      <c r="H40" s="152"/>
      <c r="I40" s="152"/>
      <c r="J40" s="152"/>
      <c r="K40" s="152"/>
      <c r="L40" s="152"/>
      <c r="M40" s="152"/>
      <c r="N40" s="152"/>
      <c r="O40" s="152"/>
      <c r="P40" s="152"/>
      <c r="Q40" s="147"/>
      <c r="R40" s="147"/>
      <c r="S40" s="147"/>
      <c r="T40" s="147"/>
      <c r="U40" s="152"/>
      <c r="V40" s="127"/>
      <c r="W40" s="127"/>
      <c r="X40" s="127"/>
    </row>
    <row r="41" spans="1:24" ht="15.75" customHeight="1">
      <c r="A41" s="127"/>
      <c r="B41" s="366"/>
      <c r="C41" s="366"/>
      <c r="D41" s="366"/>
      <c r="E41" s="942"/>
      <c r="F41" s="127"/>
      <c r="G41" s="127"/>
      <c r="H41" s="127"/>
      <c r="I41" s="127"/>
      <c r="J41" s="127"/>
      <c r="K41" s="127"/>
      <c r="L41" s="127"/>
      <c r="M41" s="127"/>
      <c r="N41" s="127"/>
      <c r="O41" s="127"/>
      <c r="P41" s="127"/>
      <c r="Q41" s="127"/>
      <c r="R41" s="127"/>
      <c r="S41" s="127"/>
      <c r="T41" s="127"/>
      <c r="U41" s="127"/>
      <c r="V41" s="127"/>
      <c r="W41" s="127"/>
      <c r="X41" s="127"/>
    </row>
  </sheetData>
  <mergeCells count="6">
    <mergeCell ref="T1:V1"/>
    <mergeCell ref="T2:U2"/>
    <mergeCell ref="E3:G3"/>
    <mergeCell ref="T3:U3"/>
    <mergeCell ref="A32:B33"/>
    <mergeCell ref="C32:D32"/>
  </mergeCells>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7"/>
  <sheetViews>
    <sheetView zoomScaleNormal="100" workbookViewId="0">
      <selection activeCell="L10" sqref="L10"/>
    </sheetView>
  </sheetViews>
  <sheetFormatPr defaultColWidth="17.33203125" defaultRowHeight="15.75" customHeight="1"/>
  <cols>
    <col min="1" max="1" width="11.88671875" style="20" bestFit="1" customWidth="1"/>
    <col min="2" max="2" width="9.88671875" style="20" customWidth="1"/>
    <col min="3" max="3" width="9.6640625" style="20" customWidth="1"/>
    <col min="4" max="4" width="13.109375" style="20" customWidth="1"/>
    <col min="5" max="5" width="14.109375" style="20" customWidth="1"/>
    <col min="6" max="6" width="9" style="20" customWidth="1"/>
    <col min="7" max="7" width="12" style="20" customWidth="1"/>
    <col min="8" max="8" width="9.33203125" style="20" customWidth="1"/>
    <col min="9" max="9" width="10.6640625" style="20" customWidth="1"/>
    <col min="10" max="10" width="9.109375" style="20" customWidth="1"/>
    <col min="11" max="11" width="12.33203125" style="20" bestFit="1" customWidth="1"/>
    <col min="12" max="12" width="16.88671875" style="20" bestFit="1" customWidth="1"/>
    <col min="13" max="13" width="14.44140625" style="20" customWidth="1"/>
    <col min="14" max="14" width="10.88671875" style="20" bestFit="1" customWidth="1"/>
    <col min="15" max="15" width="7.109375" style="20" bestFit="1" customWidth="1"/>
    <col min="16" max="16" width="9.33203125" style="20" customWidth="1"/>
    <col min="17" max="17" width="9.44140625" style="20" bestFit="1" customWidth="1"/>
    <col min="18" max="18" width="10.44140625" style="20" customWidth="1"/>
    <col min="19" max="19" width="9.5546875" style="20" customWidth="1"/>
    <col min="20" max="20" width="12" style="20" customWidth="1"/>
    <col min="21" max="21" width="12.109375" style="20" customWidth="1"/>
    <col min="22" max="22" width="12" style="20" customWidth="1"/>
    <col min="23" max="23" width="89.6640625" style="20" bestFit="1" customWidth="1"/>
    <col min="24" max="16384" width="17.33203125" style="20"/>
  </cols>
  <sheetData>
    <row r="1" spans="1:29" ht="15" customHeight="1">
      <c r="A1" s="167"/>
      <c r="B1" s="168"/>
      <c r="C1" s="169"/>
      <c r="D1" s="170"/>
      <c r="E1" s="171"/>
      <c r="F1" s="172"/>
      <c r="G1" s="173"/>
      <c r="H1" s="174"/>
      <c r="I1" s="173"/>
      <c r="J1" s="175"/>
      <c r="K1" s="172"/>
      <c r="L1" s="176"/>
      <c r="M1" s="177"/>
      <c r="N1" s="173"/>
      <c r="O1" s="178"/>
      <c r="P1" s="179"/>
      <c r="Q1" s="179"/>
      <c r="R1" s="179"/>
      <c r="S1" s="180"/>
      <c r="T1" s="1384" t="s">
        <v>11</v>
      </c>
      <c r="U1" s="1385"/>
      <c r="V1" s="1386"/>
      <c r="W1" s="181"/>
      <c r="X1" s="127"/>
      <c r="Y1" s="127"/>
      <c r="Z1" s="127"/>
      <c r="AA1" s="127"/>
      <c r="AB1" s="127"/>
      <c r="AC1" s="127"/>
    </row>
    <row r="2" spans="1:29" ht="15" customHeight="1">
      <c r="A2" s="115"/>
      <c r="B2" s="116"/>
      <c r="C2" s="117"/>
      <c r="D2" s="182"/>
      <c r="E2" s="246"/>
      <c r="F2" s="247"/>
      <c r="G2" s="183"/>
      <c r="H2" s="184"/>
      <c r="I2" s="183"/>
      <c r="J2" s="120"/>
      <c r="K2" s="150"/>
      <c r="L2" s="185"/>
      <c r="M2" s="186"/>
      <c r="N2" s="120"/>
      <c r="O2" s="149"/>
      <c r="P2" s="127"/>
      <c r="Q2" s="127"/>
      <c r="R2" s="127"/>
      <c r="S2" s="148"/>
      <c r="T2" s="1387" t="s">
        <v>12</v>
      </c>
      <c r="U2" s="1388"/>
      <c r="V2" s="248"/>
      <c r="W2" s="187"/>
      <c r="X2" s="127"/>
      <c r="Y2" s="127"/>
      <c r="Z2" s="127"/>
      <c r="AA2" s="127"/>
      <c r="AB2" s="127"/>
      <c r="AC2" s="127"/>
    </row>
    <row r="3" spans="1:29" ht="15" customHeight="1">
      <c r="A3" s="115"/>
      <c r="B3" s="116"/>
      <c r="C3" s="117"/>
      <c r="D3" s="118"/>
      <c r="E3" s="1389" t="s">
        <v>13</v>
      </c>
      <c r="F3" s="1390"/>
      <c r="G3" s="1391"/>
      <c r="H3" s="119"/>
      <c r="I3" s="247"/>
      <c r="J3" s="120"/>
      <c r="K3" s="247"/>
      <c r="L3" s="121"/>
      <c r="M3" s="122"/>
      <c r="N3" s="120"/>
      <c r="O3" s="123"/>
      <c r="P3" s="120"/>
      <c r="Q3" s="120"/>
      <c r="R3" s="124"/>
      <c r="S3" s="125"/>
      <c r="T3" s="1392" t="s">
        <v>14</v>
      </c>
      <c r="U3" s="1393"/>
      <c r="V3" s="248"/>
      <c r="W3" s="126"/>
      <c r="X3" s="127"/>
      <c r="Y3" s="127"/>
      <c r="Z3" s="127"/>
      <c r="AA3" s="127"/>
      <c r="AB3" s="127"/>
      <c r="AC3" s="127"/>
    </row>
    <row r="4" spans="1:29" s="719" customFormat="1" ht="75">
      <c r="A4" s="708" t="s">
        <v>15</v>
      </c>
      <c r="B4" s="707" t="s">
        <v>16</v>
      </c>
      <c r="C4" s="706" t="s">
        <v>17</v>
      </c>
      <c r="D4" s="709" t="s">
        <v>18</v>
      </c>
      <c r="E4" s="710" t="s">
        <v>19</v>
      </c>
      <c r="F4" s="707" t="s">
        <v>20</v>
      </c>
      <c r="G4" s="711" t="s">
        <v>21</v>
      </c>
      <c r="H4" s="712" t="s">
        <v>22</v>
      </c>
      <c r="I4" s="711" t="s">
        <v>23</v>
      </c>
      <c r="J4" s="711" t="s">
        <v>24</v>
      </c>
      <c r="K4" s="707" t="s">
        <v>25</v>
      </c>
      <c r="L4" s="128" t="s">
        <v>26</v>
      </c>
      <c r="M4" s="128" t="s">
        <v>27</v>
      </c>
      <c r="N4" s="711" t="s">
        <v>28</v>
      </c>
      <c r="O4" s="713" t="s">
        <v>60</v>
      </c>
      <c r="P4" s="711" t="s">
        <v>61</v>
      </c>
      <c r="Q4" s="711" t="s">
        <v>62</v>
      </c>
      <c r="R4" s="714" t="s">
        <v>3</v>
      </c>
      <c r="S4" s="715" t="s">
        <v>4</v>
      </c>
      <c r="T4" s="716" t="s">
        <v>32</v>
      </c>
      <c r="U4" s="716" t="s">
        <v>33</v>
      </c>
      <c r="V4" s="717" t="s">
        <v>0</v>
      </c>
      <c r="W4" s="706" t="s">
        <v>34</v>
      </c>
      <c r="X4" s="718"/>
      <c r="Y4" s="718"/>
      <c r="Z4" s="718"/>
      <c r="AA4" s="718"/>
      <c r="AB4" s="718"/>
      <c r="AC4" s="718"/>
    </row>
    <row r="5" spans="1:29" ht="15.75" customHeight="1" thickBot="1">
      <c r="A5" s="129" t="s">
        <v>35</v>
      </c>
      <c r="B5" s="130"/>
      <c r="C5" s="131"/>
      <c r="D5" s="132"/>
      <c r="E5" s="133" t="s">
        <v>36</v>
      </c>
      <c r="F5" s="133" t="s">
        <v>36</v>
      </c>
      <c r="G5" s="133" t="s">
        <v>36</v>
      </c>
      <c r="H5" s="190" t="s">
        <v>36</v>
      </c>
      <c r="I5" s="190" t="s">
        <v>36</v>
      </c>
      <c r="J5" s="133" t="s">
        <v>36</v>
      </c>
      <c r="K5" s="136" t="s">
        <v>37</v>
      </c>
      <c r="L5" s="137" t="s">
        <v>36</v>
      </c>
      <c r="M5" s="138" t="s">
        <v>36</v>
      </c>
      <c r="N5" s="138" t="s">
        <v>37</v>
      </c>
      <c r="O5" s="139" t="s">
        <v>38</v>
      </c>
      <c r="P5" s="140" t="s">
        <v>38</v>
      </c>
      <c r="Q5" s="140" t="s">
        <v>38</v>
      </c>
      <c r="R5" s="141" t="s">
        <v>38</v>
      </c>
      <c r="S5" s="142" t="s">
        <v>38</v>
      </c>
      <c r="T5" s="143" t="s">
        <v>36</v>
      </c>
      <c r="U5" s="143" t="s">
        <v>36</v>
      </c>
      <c r="V5" s="144" t="s">
        <v>36</v>
      </c>
      <c r="W5" s="145"/>
      <c r="X5" s="127"/>
      <c r="Y5" s="127"/>
      <c r="Z5" s="127"/>
      <c r="AA5" s="127"/>
      <c r="AB5" s="127"/>
      <c r="AC5" s="127"/>
    </row>
    <row r="6" spans="1:29" ht="15" customHeight="1">
      <c r="A6" s="192">
        <v>44669</v>
      </c>
      <c r="B6" s="193" t="s">
        <v>79</v>
      </c>
      <c r="C6" s="194" t="s">
        <v>84</v>
      </c>
      <c r="D6" s="195" t="s">
        <v>39</v>
      </c>
      <c r="E6" s="196">
        <v>9.15</v>
      </c>
      <c r="F6" s="196">
        <v>-0.09</v>
      </c>
      <c r="G6" s="196">
        <f>E6-F6</f>
        <v>9.24</v>
      </c>
      <c r="H6" s="197"/>
      <c r="I6" s="198">
        <v>3.03</v>
      </c>
      <c r="J6" s="199">
        <v>3.02</v>
      </c>
      <c r="K6" s="200">
        <v>0.41</v>
      </c>
      <c r="L6" s="199">
        <f>G6-I6</f>
        <v>6.2100000000000009</v>
      </c>
      <c r="M6" s="199"/>
      <c r="N6" s="201"/>
      <c r="O6" s="202"/>
      <c r="P6" s="199">
        <f>I6*K6</f>
        <v>1.2422999999999997</v>
      </c>
      <c r="Q6" s="202">
        <f>(G8-L6)*0.9</f>
        <v>-0.27000000000000063</v>
      </c>
      <c r="R6" s="202"/>
      <c r="S6" s="748"/>
      <c r="T6" s="944"/>
      <c r="U6" s="944"/>
      <c r="V6" s="945"/>
      <c r="W6" s="203" t="s">
        <v>95</v>
      </c>
      <c r="X6" s="127"/>
      <c r="Y6" s="127"/>
      <c r="Z6" s="127"/>
      <c r="AA6" s="127"/>
      <c r="AB6" s="127"/>
      <c r="AC6" s="127"/>
    </row>
    <row r="7" spans="1:29" ht="15" customHeight="1">
      <c r="A7" s="192">
        <v>45160</v>
      </c>
      <c r="B7" s="193" t="s">
        <v>94</v>
      </c>
      <c r="C7" s="194" t="s">
        <v>84</v>
      </c>
      <c r="D7" s="195" t="s">
        <v>68</v>
      </c>
      <c r="E7" s="196">
        <v>9.15</v>
      </c>
      <c r="F7" s="196">
        <f>E7-G7</f>
        <v>3.1100000000000003</v>
      </c>
      <c r="G7" s="196">
        <v>6.04</v>
      </c>
      <c r="H7" s="197"/>
      <c r="I7" s="198"/>
      <c r="J7" s="199">
        <f>(0.14+0.16+0.11+0.11)/4</f>
        <v>0.13</v>
      </c>
      <c r="K7" s="200">
        <v>0.56000000000000005</v>
      </c>
      <c r="L7" s="199">
        <f>G7-J7</f>
        <v>5.91</v>
      </c>
      <c r="M7" s="199"/>
      <c r="N7" s="201"/>
      <c r="O7" s="202"/>
      <c r="P7" s="199"/>
      <c r="Q7" s="199">
        <f>K7*J7</f>
        <v>7.2800000000000004E-2</v>
      </c>
      <c r="R7" s="202"/>
      <c r="S7" s="201"/>
      <c r="T7" s="944"/>
      <c r="U7" s="944"/>
      <c r="V7" s="945"/>
      <c r="W7" s="203" t="s">
        <v>96</v>
      </c>
      <c r="X7" s="127"/>
      <c r="Y7" s="127"/>
      <c r="Z7" s="127"/>
      <c r="AA7" s="127"/>
      <c r="AB7" s="127"/>
      <c r="AC7" s="127"/>
    </row>
    <row r="8" spans="1:29" ht="15" customHeight="1">
      <c r="A8" s="192">
        <v>45160</v>
      </c>
      <c r="B8" s="193" t="s">
        <v>94</v>
      </c>
      <c r="C8" s="194" t="s">
        <v>84</v>
      </c>
      <c r="D8" s="195" t="s">
        <v>40</v>
      </c>
      <c r="E8" s="196">
        <v>10.1</v>
      </c>
      <c r="F8" s="196">
        <f>E8-G8</f>
        <v>4.1899999999999995</v>
      </c>
      <c r="G8" s="196">
        <v>5.91</v>
      </c>
      <c r="H8" s="197"/>
      <c r="I8" s="198"/>
      <c r="J8" s="199"/>
      <c r="K8" s="200"/>
      <c r="L8" s="199"/>
      <c r="M8" s="199"/>
      <c r="N8" s="201"/>
      <c r="O8" s="202"/>
      <c r="P8" s="199"/>
      <c r="Q8" s="202"/>
      <c r="R8" s="202"/>
      <c r="S8" s="201">
        <v>0</v>
      </c>
      <c r="T8" s="944"/>
      <c r="U8" s="944"/>
      <c r="V8" s="945"/>
      <c r="W8" s="203"/>
      <c r="X8" s="127"/>
      <c r="Y8" s="127"/>
      <c r="Z8" s="127"/>
      <c r="AA8" s="127"/>
      <c r="AB8" s="127"/>
      <c r="AC8" s="127"/>
    </row>
    <row r="9" spans="1:29" ht="15" customHeight="1">
      <c r="A9" s="192">
        <v>45401</v>
      </c>
      <c r="B9" s="193" t="s">
        <v>101</v>
      </c>
      <c r="C9" s="194" t="s">
        <v>84</v>
      </c>
      <c r="D9" s="195" t="s">
        <v>39</v>
      </c>
      <c r="E9" s="196">
        <v>10.1</v>
      </c>
      <c r="F9" s="196">
        <f>E9-G9</f>
        <v>1.4900000000000002</v>
      </c>
      <c r="G9" s="196">
        <f>9.15-0.54</f>
        <v>8.61</v>
      </c>
      <c r="H9" s="747">
        <f>G9-G8</f>
        <v>2.6999999999999993</v>
      </c>
      <c r="I9" s="198">
        <f>AVERAGE(3.1,3.12,3.19,3.11)</f>
        <v>3.13</v>
      </c>
      <c r="J9" s="199">
        <f>I9</f>
        <v>3.13</v>
      </c>
      <c r="K9" s="200">
        <f>0.43</f>
        <v>0.43</v>
      </c>
      <c r="L9" s="199">
        <f>G9-I9</f>
        <v>5.4799999999999995</v>
      </c>
      <c r="M9" s="199">
        <f>G9-I9</f>
        <v>5.4799999999999995</v>
      </c>
      <c r="N9" s="201"/>
      <c r="O9" s="202"/>
      <c r="P9" s="199">
        <f>K9*I9</f>
        <v>1.3458999999999999</v>
      </c>
      <c r="Q9" s="202"/>
      <c r="R9" s="199">
        <f>((L9-G8)*0.9)-Q7</f>
        <v>-0.45980000000000054</v>
      </c>
      <c r="S9" s="201"/>
      <c r="T9" s="944">
        <v>579190.68099999998</v>
      </c>
      <c r="U9" s="944">
        <v>7019421.8990000002</v>
      </c>
      <c r="V9" s="945">
        <v>1879.1189999999999</v>
      </c>
      <c r="W9" s="203"/>
      <c r="X9" s="127"/>
      <c r="Y9" s="127"/>
      <c r="Z9" s="127"/>
      <c r="AA9" s="127"/>
      <c r="AB9" s="127"/>
      <c r="AC9" s="127"/>
    </row>
    <row r="10" spans="1:29" ht="15" customHeight="1">
      <c r="A10" s="192">
        <v>45525</v>
      </c>
      <c r="B10" s="193" t="s">
        <v>146</v>
      </c>
      <c r="C10" s="194" t="s">
        <v>84</v>
      </c>
      <c r="D10" s="195" t="s">
        <v>40</v>
      </c>
      <c r="E10" s="196">
        <v>10.1</v>
      </c>
      <c r="F10" s="196">
        <f>0.66+(10.1-6.1)</f>
        <v>4.66</v>
      </c>
      <c r="G10" s="196">
        <f>E10-F10</f>
        <v>5.4399999999999995</v>
      </c>
      <c r="H10" s="747">
        <f>G10-L10</f>
        <v>-4.0000000000000036E-2</v>
      </c>
      <c r="I10" s="198"/>
      <c r="J10" s="199"/>
      <c r="K10" s="200"/>
      <c r="L10" s="199">
        <f>L9</f>
        <v>5.4799999999999995</v>
      </c>
      <c r="M10" s="199"/>
      <c r="N10" s="201"/>
      <c r="O10" s="202"/>
      <c r="P10" s="199"/>
      <c r="Q10" s="199">
        <f>H10*0.9</f>
        <v>-3.6000000000000032E-2</v>
      </c>
      <c r="R10" s="199"/>
      <c r="S10" s="201"/>
      <c r="T10" s="944">
        <v>579190.83700000006</v>
      </c>
      <c r="U10" s="944">
        <v>7019421.5269999998</v>
      </c>
      <c r="V10" s="945">
        <v>1875.867</v>
      </c>
      <c r="W10" s="203"/>
      <c r="X10" s="127"/>
      <c r="Y10" s="127"/>
      <c r="Z10" s="127"/>
      <c r="AA10" s="127"/>
      <c r="AB10" s="127"/>
      <c r="AC10" s="127"/>
    </row>
    <row r="11" spans="1:29" ht="15" customHeight="1">
      <c r="A11" s="192">
        <v>45768</v>
      </c>
      <c r="B11" s="193" t="s">
        <v>185</v>
      </c>
      <c r="C11" s="194" t="s">
        <v>84</v>
      </c>
      <c r="D11" s="195" t="s">
        <v>39</v>
      </c>
      <c r="E11" s="196">
        <v>9.15</v>
      </c>
      <c r="F11" s="196">
        <v>0.2</v>
      </c>
      <c r="G11" s="196">
        <f>E11-F11</f>
        <v>8.9500000000000011</v>
      </c>
      <c r="H11" s="747"/>
      <c r="I11" s="199">
        <f>AVERAGE(3.56,3.17,3.02,3.36)</f>
        <v>3.2774999999999999</v>
      </c>
      <c r="J11" s="199">
        <f>I11</f>
        <v>3.2774999999999999</v>
      </c>
      <c r="K11" s="200">
        <v>0.41</v>
      </c>
      <c r="L11" s="199">
        <f>G11-I11</f>
        <v>5.6725000000000012</v>
      </c>
      <c r="M11" s="199"/>
      <c r="N11" s="201"/>
      <c r="O11" s="202"/>
      <c r="P11" s="199">
        <f>I11*K11</f>
        <v>1.3437749999999999</v>
      </c>
      <c r="Q11" s="202"/>
      <c r="R11" s="199"/>
      <c r="S11" s="201"/>
      <c r="T11" s="944">
        <v>579191.54299999995</v>
      </c>
      <c r="U11" s="944">
        <v>7019419.7649999997</v>
      </c>
      <c r="V11" s="945">
        <v>1878.982</v>
      </c>
      <c r="W11" s="203"/>
      <c r="X11" s="127"/>
      <c r="Y11" s="127"/>
      <c r="Z11" s="127"/>
      <c r="AA11" s="127"/>
      <c r="AB11" s="127"/>
      <c r="AC11" s="127"/>
    </row>
    <row r="12" spans="1:29" ht="15" customHeight="1">
      <c r="A12" s="192">
        <v>45891</v>
      </c>
      <c r="B12" s="193" t="s">
        <v>195</v>
      </c>
      <c r="C12" s="194" t="s">
        <v>84</v>
      </c>
      <c r="D12" s="195" t="s">
        <v>40</v>
      </c>
      <c r="E12" s="196">
        <v>9.15</v>
      </c>
      <c r="F12" s="196">
        <f>E12-G12</f>
        <v>3.79</v>
      </c>
      <c r="G12" s="196">
        <v>5.36</v>
      </c>
      <c r="H12" s="747"/>
      <c r="I12" s="198">
        <v>0</v>
      </c>
      <c r="J12" s="199">
        <v>0</v>
      </c>
      <c r="K12" s="200"/>
      <c r="L12" s="199" t="s">
        <v>271</v>
      </c>
      <c r="M12" s="199"/>
      <c r="N12" s="201"/>
      <c r="O12" s="202"/>
      <c r="P12" s="199"/>
      <c r="Q12" s="202">
        <f>0.9*(G12-L10)</f>
        <v>-0.1079999999999993</v>
      </c>
      <c r="R12" s="199"/>
      <c r="S12" s="201"/>
      <c r="T12" s="944">
        <v>579191.35900000005</v>
      </c>
      <c r="U12" s="944">
        <v>7019420.0619999999</v>
      </c>
      <c r="V12" s="945">
        <v>1875.596</v>
      </c>
      <c r="W12" s="203"/>
      <c r="X12" s="127"/>
      <c r="Y12" s="127"/>
      <c r="Z12" s="127"/>
      <c r="AA12" s="127"/>
      <c r="AB12" s="127"/>
      <c r="AC12" s="127"/>
    </row>
    <row r="13" spans="1:29" ht="15" customHeight="1">
      <c r="A13" s="192"/>
      <c r="B13" s="193"/>
      <c r="C13" s="194"/>
      <c r="D13" s="195"/>
      <c r="E13" s="196"/>
      <c r="F13" s="196"/>
      <c r="G13" s="196"/>
      <c r="H13" s="747"/>
      <c r="I13" s="198"/>
      <c r="J13" s="199"/>
      <c r="K13" s="200"/>
      <c r="L13" s="199"/>
      <c r="M13" s="199"/>
      <c r="N13" s="201"/>
      <c r="O13" s="202"/>
      <c r="P13" s="199"/>
      <c r="Q13" s="202"/>
      <c r="R13" s="199"/>
      <c r="S13" s="201"/>
      <c r="T13" s="944"/>
      <c r="U13" s="944"/>
      <c r="V13" s="945"/>
      <c r="W13" s="203"/>
      <c r="X13" s="127"/>
      <c r="Y13" s="127"/>
      <c r="Z13" s="127"/>
      <c r="AA13" s="127"/>
      <c r="AB13" s="127"/>
      <c r="AC13" s="127"/>
    </row>
    <row r="14" spans="1:29" s="48" customFormat="1" ht="15" customHeight="1">
      <c r="A14" s="764"/>
      <c r="B14" s="765"/>
      <c r="C14" s="766"/>
      <c r="D14" s="767"/>
      <c r="E14" s="768"/>
      <c r="F14" s="768"/>
      <c r="G14" s="768"/>
      <c r="H14" s="769"/>
      <c r="I14" s="765"/>
      <c r="J14" s="768"/>
      <c r="K14" s="770"/>
      <c r="L14" s="768"/>
      <c r="M14" s="768"/>
      <c r="N14" s="771"/>
      <c r="O14" s="765"/>
      <c r="P14" s="768"/>
      <c r="Q14" s="765"/>
      <c r="R14" s="768"/>
      <c r="S14" s="771"/>
      <c r="T14" s="147"/>
      <c r="U14" s="147"/>
      <c r="V14" s="772"/>
      <c r="W14" s="773"/>
      <c r="X14" s="146"/>
      <c r="Y14" s="146"/>
      <c r="Z14" s="146"/>
      <c r="AA14" s="146"/>
      <c r="AB14" s="146"/>
      <c r="AC14" s="146"/>
    </row>
    <row r="15" spans="1:29" s="763" customFormat="1" ht="15" customHeight="1">
      <c r="A15" s="749"/>
      <c r="B15" s="750"/>
      <c r="C15" s="751"/>
      <c r="D15" s="752"/>
      <c r="E15" s="753"/>
      <c r="F15" s="753"/>
      <c r="G15" s="753"/>
      <c r="H15" s="754"/>
      <c r="I15" s="755"/>
      <c r="J15" s="756"/>
      <c r="K15" s="757"/>
      <c r="L15" s="756"/>
      <c r="M15" s="756"/>
      <c r="N15" s="758"/>
      <c r="O15" s="755"/>
      <c r="P15" s="756"/>
      <c r="Q15" s="755"/>
      <c r="R15" s="755"/>
      <c r="S15" s="758"/>
      <c r="T15" s="759"/>
      <c r="U15" s="759"/>
      <c r="V15" s="760"/>
      <c r="W15" s="761"/>
      <c r="X15" s="762"/>
      <c r="Y15" s="762"/>
      <c r="Z15" s="762"/>
      <c r="AA15" s="762"/>
      <c r="AB15" s="762"/>
      <c r="AC15" s="762"/>
    </row>
    <row r="16" spans="1:29" ht="15" customHeight="1" thickBot="1">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row>
    <row r="17" spans="1:29" ht="15.75" customHeight="1">
      <c r="A17" s="1394" t="s">
        <v>42</v>
      </c>
      <c r="B17" s="1395"/>
      <c r="C17" s="1398" t="s">
        <v>43</v>
      </c>
      <c r="D17" s="1399"/>
      <c r="E17" s="153" t="s">
        <v>44</v>
      </c>
      <c r="F17" s="154"/>
      <c r="G17" s="153" t="s">
        <v>45</v>
      </c>
      <c r="H17" s="154"/>
      <c r="I17" s="155" t="s">
        <v>46</v>
      </c>
      <c r="J17" s="127"/>
      <c r="K17" s="127"/>
      <c r="L17" s="127"/>
      <c r="M17" s="127"/>
      <c r="N17" s="127"/>
      <c r="O17" s="127"/>
      <c r="P17" s="127"/>
      <c r="Q17" s="146"/>
      <c r="R17" s="147"/>
      <c r="S17" s="147"/>
      <c r="T17" s="147"/>
      <c r="U17" s="152"/>
      <c r="V17" s="127"/>
      <c r="W17" s="127"/>
      <c r="X17" s="127"/>
      <c r="Y17" s="127"/>
      <c r="Z17" s="127"/>
      <c r="AA17" s="127"/>
      <c r="AB17" s="127"/>
      <c r="AC17" s="127"/>
    </row>
    <row r="18" spans="1:29" ht="15.75" customHeight="1">
      <c r="A18" s="1396"/>
      <c r="B18" s="1397"/>
      <c r="C18" s="156" t="s">
        <v>47</v>
      </c>
      <c r="D18" s="156" t="s">
        <v>48</v>
      </c>
      <c r="E18" s="157">
        <f>A10</f>
        <v>45525</v>
      </c>
      <c r="F18" s="158" t="s">
        <v>49</v>
      </c>
      <c r="G18" s="159">
        <f>A11</f>
        <v>45768</v>
      </c>
      <c r="H18" s="158" t="s">
        <v>49</v>
      </c>
      <c r="I18" s="160">
        <f>A12</f>
        <v>45891</v>
      </c>
      <c r="J18" s="127"/>
      <c r="K18" s="127"/>
      <c r="L18" s="127"/>
      <c r="M18" s="127"/>
      <c r="N18" s="127"/>
      <c r="O18" s="127"/>
      <c r="P18" s="127"/>
      <c r="Q18" s="146"/>
      <c r="R18" s="147"/>
      <c r="S18" s="147"/>
      <c r="T18" s="147"/>
      <c r="U18" s="152"/>
      <c r="V18" s="127"/>
      <c r="W18" s="127"/>
      <c r="X18" s="127"/>
      <c r="Y18" s="127"/>
      <c r="Z18" s="127"/>
      <c r="AA18" s="127"/>
      <c r="AB18" s="127"/>
      <c r="AC18" s="127"/>
    </row>
    <row r="19" spans="1:29" ht="15.75" customHeight="1">
      <c r="A19" s="161"/>
      <c r="B19" s="162" t="s">
        <v>50</v>
      </c>
      <c r="C19" s="163">
        <f>P11</f>
        <v>1.3437749999999999</v>
      </c>
      <c r="D19" s="163"/>
      <c r="E19" s="164"/>
      <c r="F19" s="164"/>
      <c r="G19" s="165"/>
      <c r="H19" s="163"/>
      <c r="I19" s="166"/>
      <c r="J19" s="127"/>
      <c r="K19" s="127"/>
      <c r="L19" s="127"/>
      <c r="M19" s="127"/>
      <c r="N19" s="127"/>
      <c r="O19" s="127"/>
      <c r="P19" s="127"/>
      <c r="Q19" s="146"/>
      <c r="R19" s="147"/>
      <c r="S19" s="147"/>
      <c r="T19" s="147"/>
      <c r="U19" s="152"/>
      <c r="V19" s="127"/>
      <c r="W19" s="127"/>
      <c r="X19" s="127"/>
      <c r="Y19" s="127"/>
      <c r="Z19" s="127"/>
      <c r="AA19" s="127"/>
      <c r="AB19" s="127"/>
      <c r="AC19" s="127"/>
    </row>
    <row r="20" spans="1:29" ht="15.75" customHeight="1">
      <c r="A20" s="161"/>
      <c r="B20" s="162" t="s">
        <v>51</v>
      </c>
      <c r="C20" s="163">
        <f>C21-C19</f>
        <v>-1.4517749999999991</v>
      </c>
      <c r="D20" s="163"/>
      <c r="E20" s="164"/>
      <c r="F20" s="164"/>
      <c r="G20" s="165"/>
      <c r="H20" s="163"/>
      <c r="I20" s="166"/>
      <c r="J20" s="127"/>
      <c r="K20" s="127"/>
      <c r="L20" s="127"/>
      <c r="M20" s="937"/>
      <c r="N20" s="937"/>
      <c r="O20" s="127"/>
      <c r="P20" s="127"/>
      <c r="Q20" s="744"/>
      <c r="R20" s="147"/>
      <c r="S20" s="147"/>
      <c r="T20" s="147"/>
      <c r="U20" s="152"/>
      <c r="V20" s="127"/>
      <c r="W20" s="127"/>
      <c r="X20" s="127"/>
      <c r="Y20" s="127"/>
      <c r="Z20" s="127"/>
      <c r="AA20" s="127"/>
      <c r="AB20" s="127"/>
      <c r="AC20" s="127"/>
    </row>
    <row r="21" spans="1:29" ht="15.75" customHeight="1">
      <c r="A21" s="161"/>
      <c r="B21" s="162" t="s">
        <v>52</v>
      </c>
      <c r="C21" s="163">
        <f>Q12</f>
        <v>-0.1079999999999993</v>
      </c>
      <c r="D21" s="163"/>
      <c r="E21" s="164"/>
      <c r="F21" s="164"/>
      <c r="G21" s="165"/>
      <c r="H21" s="163"/>
      <c r="I21" s="166"/>
      <c r="J21" s="127"/>
      <c r="K21" s="127"/>
      <c r="L21" s="127"/>
      <c r="M21" s="127"/>
      <c r="N21" s="127"/>
      <c r="O21" s="127"/>
      <c r="P21" s="127"/>
      <c r="Q21" s="146"/>
      <c r="R21" s="147"/>
      <c r="S21" s="147"/>
      <c r="T21" s="147"/>
      <c r="U21" s="152"/>
      <c r="V21" s="127"/>
      <c r="W21" s="127"/>
      <c r="X21" s="127"/>
      <c r="Y21" s="127"/>
      <c r="Z21" s="127"/>
      <c r="AA21" s="127"/>
      <c r="AB21" s="127"/>
      <c r="AC21" s="127"/>
    </row>
    <row r="22" spans="1:29" ht="15.75" customHeight="1">
      <c r="A22" s="161"/>
      <c r="B22" s="113" t="s">
        <v>53</v>
      </c>
      <c r="C22" s="163">
        <f>S8</f>
        <v>0</v>
      </c>
      <c r="D22" s="163"/>
      <c r="E22" s="164"/>
      <c r="F22" s="164"/>
      <c r="G22" s="163"/>
      <c r="H22" s="163"/>
      <c r="I22" s="166"/>
      <c r="J22" s="127"/>
      <c r="K22" s="127"/>
      <c r="L22" s="127"/>
      <c r="M22" s="127"/>
      <c r="N22" s="127"/>
      <c r="O22" s="127"/>
      <c r="P22" s="127"/>
      <c r="Q22" s="146"/>
      <c r="R22" s="147"/>
      <c r="S22" s="147"/>
      <c r="T22" s="147"/>
      <c r="U22" s="152"/>
      <c r="V22" s="127"/>
      <c r="W22" s="127"/>
      <c r="X22" s="127"/>
      <c r="Y22" s="127"/>
      <c r="Z22" s="127"/>
      <c r="AA22" s="127"/>
      <c r="AB22" s="127"/>
      <c r="AC22" s="127"/>
    </row>
    <row r="23" spans="1:29" ht="15.75" customHeight="1">
      <c r="A23" s="161"/>
      <c r="B23" s="113" t="s">
        <v>54</v>
      </c>
      <c r="C23" s="163" t="s">
        <v>211</v>
      </c>
      <c r="D23" s="163"/>
      <c r="E23" s="164"/>
      <c r="F23" s="164"/>
      <c r="G23" s="163"/>
      <c r="H23" s="163"/>
      <c r="I23" s="166"/>
      <c r="J23" s="127"/>
      <c r="K23" s="127"/>
      <c r="L23" s="127"/>
      <c r="M23" s="127"/>
      <c r="N23" s="127"/>
      <c r="O23" s="127"/>
      <c r="P23" s="127"/>
      <c r="Q23" s="146"/>
      <c r="R23" s="147"/>
      <c r="S23" s="147"/>
      <c r="T23" s="147"/>
      <c r="U23" s="152"/>
      <c r="V23" s="127"/>
      <c r="W23" s="127"/>
      <c r="X23" s="127"/>
      <c r="Y23" s="127"/>
      <c r="Z23" s="127"/>
      <c r="AA23" s="127"/>
      <c r="AB23" s="127"/>
      <c r="AC23" s="127"/>
    </row>
    <row r="24" spans="1:29" ht="15.75" customHeight="1" thickBot="1">
      <c r="A24" s="204"/>
      <c r="B24" s="114" t="s">
        <v>55</v>
      </c>
      <c r="C24" s="205">
        <v>0</v>
      </c>
      <c r="D24" s="205"/>
      <c r="E24" s="206"/>
      <c r="F24" s="206"/>
      <c r="G24" s="207"/>
      <c r="H24" s="207"/>
      <c r="I24" s="208"/>
      <c r="J24" s="127"/>
      <c r="K24" s="127"/>
      <c r="L24" s="127"/>
      <c r="M24" s="127"/>
      <c r="N24" s="127"/>
      <c r="O24" s="127"/>
      <c r="P24" s="127"/>
      <c r="Q24" s="146"/>
      <c r="R24" s="147"/>
      <c r="S24" s="147"/>
      <c r="T24" s="147"/>
      <c r="U24" s="152"/>
      <c r="V24" s="127"/>
      <c r="W24" s="127"/>
      <c r="X24" s="127"/>
      <c r="Y24" s="127"/>
      <c r="Z24" s="127"/>
      <c r="AA24" s="127"/>
      <c r="AB24" s="127"/>
      <c r="AC24" s="127"/>
    </row>
    <row r="25" spans="1:29" ht="15.75" customHeight="1">
      <c r="A25" s="152"/>
      <c r="B25" s="152"/>
      <c r="C25" s="152"/>
      <c r="D25" s="152"/>
      <c r="E25" s="152"/>
      <c r="F25" s="152"/>
      <c r="G25" s="152"/>
      <c r="H25" s="152"/>
      <c r="I25" s="152"/>
      <c r="J25" s="152"/>
      <c r="K25" s="152"/>
      <c r="L25" s="152"/>
      <c r="M25" s="152"/>
      <c r="N25" s="152"/>
      <c r="O25" s="152"/>
      <c r="P25" s="152"/>
      <c r="Q25" s="147"/>
      <c r="R25" s="147"/>
      <c r="S25" s="147"/>
      <c r="T25" s="147"/>
      <c r="U25" s="152"/>
      <c r="V25" s="127"/>
      <c r="W25" s="127"/>
      <c r="X25" s="127"/>
      <c r="Y25" s="127"/>
      <c r="Z25" s="127"/>
      <c r="AA25" s="127"/>
      <c r="AB25" s="127"/>
      <c r="AC25" s="127"/>
    </row>
    <row r="26" spans="1:29" ht="15.75" customHeight="1">
      <c r="A26" s="127"/>
      <c r="B26" s="127"/>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row>
    <row r="27" spans="1:29" ht="15.75" customHeight="1">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row>
  </sheetData>
  <mergeCells count="6">
    <mergeCell ref="T1:V1"/>
    <mergeCell ref="T2:U2"/>
    <mergeCell ref="E3:G3"/>
    <mergeCell ref="T3:U3"/>
    <mergeCell ref="A17:B18"/>
    <mergeCell ref="C17:D1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GUI Input</vt:lpstr>
      <vt:lpstr>AU</vt:lpstr>
      <vt:lpstr>AB</vt:lpstr>
      <vt:lpstr>ABB</vt:lpstr>
      <vt:lpstr>B</vt:lpstr>
      <vt:lpstr>BD</vt:lpstr>
      <vt:lpstr>D</vt:lpstr>
      <vt:lpstr>T</vt:lpstr>
      <vt:lpstr>V</vt:lpstr>
      <vt:lpstr>Z</vt:lpstr>
      <vt:lpstr>20250421_Probes_AU</vt:lpstr>
      <vt:lpstr>20250421_Pit_AB</vt:lpstr>
      <vt:lpstr>20250419_Pit_B</vt:lpstr>
      <vt:lpstr>20250419_PitCore_D</vt:lpstr>
      <vt:lpstr>20250420_FirnCore_T</vt:lpstr>
      <vt:lpstr>20250420_FirnCore_Z</vt:lpstr>
      <vt:lpstr>20250822_Pit_D</vt:lpstr>
      <vt:lpstr>20250822_Pit_T</vt:lpstr>
      <vt:lpstr>20250823_Pit_Z</vt:lpstr>
      <vt:lpstr>QAQC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dc:creator>
  <cp:keywords/>
  <dc:description/>
  <cp:lastModifiedBy>Mcneil, Christopher J</cp:lastModifiedBy>
  <cp:revision/>
  <dcterms:created xsi:type="dcterms:W3CDTF">2014-09-30T04:14:01Z</dcterms:created>
  <dcterms:modified xsi:type="dcterms:W3CDTF">2025-08-29T20:02:25Z</dcterms:modified>
  <cp:category/>
  <cp:contentStatus/>
</cp:coreProperties>
</file>