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charts/chart2.xml" ContentType="application/vnd.openxmlformats-officedocument.drawingml.chart+xml"/>
  <Override PartName="/xl/drawings/drawing9.xml" ContentType="application/vnd.openxmlformats-officedocument.drawing+xml"/>
  <Override PartName="/xl/comments8.xml" ContentType="application/vnd.openxmlformats-officedocument.spreadsheetml.comments+xml"/>
  <Override PartName="/xl/charts/chart3.xml" ContentType="application/vnd.openxmlformats-officedocument.drawingml.chart+xml"/>
  <Override PartName="/xl/drawings/drawing10.xml" ContentType="application/vnd.openxmlformats-officedocument.drawing+xml"/>
  <Override PartName="/xl/comments9.xml" ContentType="application/vnd.openxmlformats-officedocument.spreadsheetml.comments+xml"/>
  <Override PartName="/xl/charts/chart4.xml" ContentType="application/vnd.openxmlformats-officedocument.drawingml.chart+xml"/>
  <Override PartName="/xl/drawings/drawing11.xml" ContentType="application/vnd.openxmlformats-officedocument.drawing+xml"/>
  <Override PartName="/xl/comments10.xml" ContentType="application/vnd.openxmlformats-officedocument.spreadsheetml.comments+xml"/>
  <Override PartName="/xl/charts/chart5.xml" ContentType="application/vnd.openxmlformats-officedocument.drawingml.chart+xml"/>
  <Override PartName="/xl/drawings/drawing12.xml" ContentType="application/vnd.openxmlformats-officedocument.drawing+xml"/>
  <Override PartName="/xl/comments11.xml" ContentType="application/vnd.openxmlformats-officedocument.spreadsheetml.comments+xml"/>
  <Override PartName="/xl/charts/chart6.xml" ContentType="application/vnd.openxmlformats-officedocument.drawingml.chart+xml"/>
  <Override PartName="/xl/drawings/drawing13.xml" ContentType="application/vnd.openxmlformats-officedocument.drawing+xml"/>
  <Override PartName="/xl/comments12.xml" ContentType="application/vnd.openxmlformats-officedocument.spreadsheetml.comments+xml"/>
  <Override PartName="/xl/charts/chart7.xml" ContentType="application/vnd.openxmlformats-officedocument.drawingml.chart+xml"/>
  <Override PartName="/xl/drawings/drawing14.xml" ContentType="application/vnd.openxmlformats-officedocument.drawing+xml"/>
  <Override PartName="/xl/comments13.xml" ContentType="application/vnd.openxmlformats-officedocument.spreadsheetml.comments+xml"/>
  <Override PartName="/xl/charts/chart8.xml" ContentType="application/vnd.openxmlformats-officedocument.drawingml.chart+xml"/>
  <Override PartName="/xl/drawings/drawing15.xml" ContentType="application/vnd.openxmlformats-officedocument.drawing+xml"/>
  <Override PartName="/xl/comments14.xml" ContentType="application/vnd.openxmlformats-officedocument.spreadsheetml.comments+xml"/>
  <Override PartName="/xl/charts/chart9.xml" ContentType="application/vnd.openxmlformats-officedocument.drawingml.chart+xml"/>
  <Override PartName="/xl/drawings/drawing16.xml" ContentType="application/vnd.openxmlformats-officedocument.drawing+xml"/>
  <Override PartName="/xl/comments15.xml" ContentType="application/vnd.openxmlformats-officedocument.spreadsheetml.comments+xml"/>
  <Override PartName="/xl/charts/chart10.xml" ContentType="application/vnd.openxmlformats-officedocument.drawingml.chart+xml"/>
  <Override PartName="/xl/drawings/drawing17.xml" ContentType="application/vnd.openxmlformats-officedocument.drawing+xml"/>
  <Override PartName="/xl/comments16.xml" ContentType="application/vnd.openxmlformats-officedocument.spreadsheetml.comments+xml"/>
  <Override PartName="/xl/charts/chart1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Q:\Project Data\GlacierData\Benchmark_Program\Data\Kahiltna\2024\"/>
    </mc:Choice>
  </mc:AlternateContent>
  <xr:revisionPtr revIDLastSave="0" documentId="13_ncr:1_{EA8AC64F-199A-45E1-9386-776A733710CE}" xr6:coauthVersionLast="47" xr6:coauthVersionMax="47" xr10:uidLastSave="{00000000-0000-0000-0000-000000000000}"/>
  <bookViews>
    <workbookView xWindow="-36960" yWindow="-9540" windowWidth="17500" windowHeight="11630" firstSheet="12" activeTab="14" xr2:uid="{00000000-000D-0000-FFFF-FFFF00000000}"/>
  </bookViews>
  <sheets>
    <sheet name="Stake_Summary" sheetId="19" r:id="rId1"/>
    <sheet name="K53" sheetId="31" r:id="rId2"/>
    <sheet name="K17b" sheetId="32" r:id="rId3"/>
    <sheet name="KIA" sheetId="33" r:id="rId4"/>
    <sheet name="KQU" sheetId="2" r:id="rId5"/>
    <sheet name="KPS" sheetId="34" r:id="rId6"/>
    <sheet name="KPSL" sheetId="41" r:id="rId7"/>
    <sheet name="Pit_K53_20240525" sheetId="36" r:id="rId8"/>
    <sheet name="PitCore_K17b_20240525" sheetId="29" r:id="rId9"/>
    <sheet name="Pit_KIA_20240525" sheetId="37" r:id="rId10"/>
    <sheet name="PitCore_KQU_20240525" sheetId="35" r:id="rId11"/>
    <sheet name="FirnCore_KPS_20240526" sheetId="38" r:id="rId12"/>
    <sheet name="Pit_K17b_20240930" sheetId="39" r:id="rId13"/>
    <sheet name="Pit_KQU_20240930" sheetId="43" r:id="rId14"/>
    <sheet name="FirnCore_KPSL_20240930" sheetId="40" r:id="rId15"/>
    <sheet name="Pit_Sheet" sheetId="27" r:id="rId16"/>
    <sheet name="FirnCore_Sheet" sheetId="30" r:id="rId17"/>
  </sheets>
  <externalReferences>
    <externalReference r:id="rId18"/>
    <externalReference r:id="rId19"/>
    <externalReference r:id="rId20"/>
  </externalReferences>
  <definedNames>
    <definedName name="a">#REF!</definedName>
    <definedName name="b">#REF!</definedName>
    <definedName name="BasAlt">{1181,1250,1350,1450,1550,1650,1750,1850,1950,2050,2150,2250,2350,2436.5}</definedName>
    <definedName name="BasAlt2009">{1181,1250,1350,1450,1550,1650,1750,1850,1950,2050,2150,2250,2350,2436.5}</definedName>
    <definedName name="Cerr">5</definedName>
    <definedName name="CSerr">10</definedName>
    <definedName name="DATA">'[1]Stake A'!$A$103:$CC$165</definedName>
    <definedName name="_xlnm.Data_Form">#NAME?</definedName>
    <definedName name="GlacAlt">{1181,1250,1350,1450,1550,1650,1750,1850,1950,2050,2150,2250,2350,2436.5}</definedName>
    <definedName name="LapPer100mAvg">-0.55</definedName>
    <definedName name="LapPer100mDry">-0.986</definedName>
    <definedName name="LapPer100mWet">-0.66</definedName>
    <definedName name="name">{1181,1250,1350,1450,1550,1650,1750,1850,1950,2050,2150,2250,2350,2436.5}</definedName>
    <definedName name="Print_Area_A">'[1]Stake A'!$F$103:$CC$199</definedName>
    <definedName name="Radiuserr">0.1</definedName>
    <definedName name="Sample_TypeAu" localSheetId="12">Pit_K17b_20240930!#REF!</definedName>
    <definedName name="Sample_TypeAu" localSheetId="7">Pit_K53_20240525!#REF!</definedName>
    <definedName name="Sample_TypeAu" localSheetId="9">Pit_KIA_20240525!#REF!</definedName>
    <definedName name="Sample_TypeAu" localSheetId="13">Pit_KQU_20240930!#REF!</definedName>
    <definedName name="Sample_TypeAu">Pit_Sheet!#REF!</definedName>
    <definedName name="SampleType">#REF!</definedName>
    <definedName name="SampleType1">#REF!</definedName>
    <definedName name="SampleTypeAU">#REF!</definedName>
    <definedName name="SampletypeD">#REF!</definedName>
    <definedName name="SampleTypeX">#REF!</definedName>
    <definedName name="SBDerr">0.5</definedName>
    <definedName name="Serr">5</definedName>
    <definedName name="Sipri_xsection">'[2]99.05.14'!$M$3</definedName>
    <definedName name="SipriXsection">'[2]00.05.12'!$M$3</definedName>
    <definedName name="SiteA">'[1]Stake A'!$A$103:$CC$165</definedName>
    <definedName name="SKit_XSection">'[3]SCD May 97, 1998'!$K$4</definedName>
    <definedName name="TempArray">[2]SNOWPIT!$P$9:$Q$20</definedName>
    <definedName name="TempArray2006">'[3]2006.5.12 Pit'!$P$9:$Q$23</definedName>
    <definedName name="TempArray2008">'[3]2008.09.28 Pit'!$P$9:$Q$23</definedName>
    <definedName name="XSECTAREA">[2]SNOWPIT!$Q$1</definedName>
    <definedName name="XSECTION">'[2]98.05.27'!$K$3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 i="2" l="1"/>
  <c r="AB37" i="40" l="1"/>
  <c r="AB24" i="40"/>
  <c r="N24" i="40"/>
  <c r="O21" i="40"/>
  <c r="O24" i="40"/>
  <c r="N27" i="40"/>
  <c r="N26" i="40"/>
  <c r="AB55" i="38" l="1"/>
  <c r="AC69" i="38"/>
  <c r="AB69" i="38"/>
  <c r="R40" i="38"/>
  <c r="S40" i="38" s="1"/>
  <c r="R41" i="38"/>
  <c r="S41" i="38" s="1"/>
  <c r="R42" i="38"/>
  <c r="S42" i="38" s="1"/>
  <c r="R43" i="38"/>
  <c r="S43" i="38" s="1"/>
  <c r="R44" i="38"/>
  <c r="S44" i="38" s="1"/>
  <c r="R45" i="38"/>
  <c r="S45" i="38" s="1"/>
  <c r="R46" i="38"/>
  <c r="S46" i="38" s="1"/>
  <c r="R47" i="38"/>
  <c r="S47" i="38" s="1"/>
  <c r="R48" i="38"/>
  <c r="S48" i="38" s="1"/>
  <c r="R49" i="38"/>
  <c r="S49" i="38" s="1"/>
  <c r="R50" i="38"/>
  <c r="S50" i="38" s="1"/>
  <c r="R51" i="38"/>
  <c r="S51" i="38" s="1"/>
  <c r="R52" i="38"/>
  <c r="S52" i="38" s="1"/>
  <c r="R53" i="38"/>
  <c r="S53" i="38" s="1"/>
  <c r="R54" i="38"/>
  <c r="S54" i="38" s="1"/>
  <c r="R55" i="38"/>
  <c r="S55" i="38" s="1"/>
  <c r="R56" i="38"/>
  <c r="S56" i="38" s="1"/>
  <c r="R57" i="38"/>
  <c r="S57" i="38" s="1"/>
  <c r="R58" i="38"/>
  <c r="S58" i="38" s="1"/>
  <c r="R59" i="38"/>
  <c r="S59" i="38" s="1"/>
  <c r="R60" i="38"/>
  <c r="S60" i="38" s="1"/>
  <c r="R61" i="38"/>
  <c r="S61" i="38" s="1"/>
  <c r="S39" i="38"/>
  <c r="R39" i="38"/>
  <c r="AB38" i="38"/>
  <c r="S17" i="35" l="1"/>
  <c r="P8" i="33"/>
  <c r="C28" i="33"/>
  <c r="I4" i="35"/>
  <c r="I5" i="39"/>
  <c r="I4" i="39"/>
  <c r="I6" i="40"/>
  <c r="J5" i="40"/>
  <c r="I4" i="40"/>
  <c r="I5" i="40"/>
  <c r="P54" i="40"/>
  <c r="Q54" i="40" s="1"/>
  <c r="G54" i="40"/>
  <c r="X54" i="40"/>
  <c r="I3" i="40"/>
  <c r="AA37" i="40"/>
  <c r="Z29" i="39"/>
  <c r="G9" i="33"/>
  <c r="I9" i="33" s="1"/>
  <c r="L7" i="33"/>
  <c r="H9" i="33" l="1"/>
  <c r="P13" i="29" l="1"/>
  <c r="C27" i="35"/>
  <c r="N23" i="35"/>
  <c r="C26" i="35"/>
  <c r="O14" i="36"/>
  <c r="P14" i="36"/>
  <c r="O15" i="36"/>
  <c r="P15" i="36"/>
  <c r="O16" i="36"/>
  <c r="P16" i="36"/>
  <c r="O17" i="36"/>
  <c r="P17" i="36"/>
  <c r="O18" i="36"/>
  <c r="P18" i="36"/>
  <c r="O19" i="36"/>
  <c r="P19" i="36"/>
  <c r="O20" i="36"/>
  <c r="P20" i="36"/>
  <c r="O21" i="36"/>
  <c r="P21" i="36"/>
  <c r="O22" i="36"/>
  <c r="P22" i="36"/>
  <c r="O23" i="36"/>
  <c r="P23" i="36"/>
  <c r="O24" i="36"/>
  <c r="P24" i="36"/>
  <c r="O25" i="36"/>
  <c r="P25" i="36"/>
  <c r="O26" i="36"/>
  <c r="P26" i="36"/>
  <c r="O27" i="36"/>
  <c r="P27" i="36"/>
  <c r="O28" i="36"/>
  <c r="P28" i="36"/>
  <c r="O29" i="36"/>
  <c r="P29" i="36"/>
  <c r="O30" i="36"/>
  <c r="P13" i="36"/>
  <c r="O13" i="36"/>
  <c r="K23" i="33"/>
  <c r="I15" i="32"/>
  <c r="K11" i="32"/>
  <c r="S10" i="32"/>
  <c r="I19" i="39"/>
  <c r="J19" i="39" s="1"/>
  <c r="I10" i="32"/>
  <c r="F11" i="32"/>
  <c r="G11" i="32" s="1"/>
  <c r="J10" i="32"/>
  <c r="H9" i="31"/>
  <c r="M53" i="36"/>
  <c r="F16" i="33"/>
  <c r="G16" i="33"/>
  <c r="I16" i="33"/>
  <c r="M57" i="43"/>
  <c r="M56" i="43"/>
  <c r="M54" i="43"/>
  <c r="M55" i="43" s="1"/>
  <c r="G54" i="43"/>
  <c r="H54" i="43" s="1"/>
  <c r="F54" i="43"/>
  <c r="E54" i="43"/>
  <c r="M53" i="43"/>
  <c r="G53" i="43"/>
  <c r="H53" i="43" s="1"/>
  <c r="F53" i="43"/>
  <c r="E53" i="43"/>
  <c r="H52" i="43"/>
  <c r="G52" i="43"/>
  <c r="F52" i="43"/>
  <c r="E52" i="43"/>
  <c r="G51" i="43"/>
  <c r="H51" i="43" s="1"/>
  <c r="F51" i="43"/>
  <c r="E51" i="43"/>
  <c r="G50" i="43"/>
  <c r="H50" i="43" s="1"/>
  <c r="F50" i="43"/>
  <c r="E50" i="43"/>
  <c r="G49" i="43"/>
  <c r="H49" i="43" s="1"/>
  <c r="F49" i="43"/>
  <c r="E49" i="43"/>
  <c r="H48" i="43"/>
  <c r="G48" i="43"/>
  <c r="F48" i="43"/>
  <c r="E48" i="43"/>
  <c r="G47" i="43"/>
  <c r="H47" i="43" s="1"/>
  <c r="F47" i="43"/>
  <c r="E47" i="43"/>
  <c r="G46" i="43"/>
  <c r="H46" i="43" s="1"/>
  <c r="F46" i="43"/>
  <c r="E46" i="43"/>
  <c r="G45" i="43"/>
  <c r="H45" i="43" s="1"/>
  <c r="F45" i="43"/>
  <c r="E45" i="43"/>
  <c r="H44" i="43"/>
  <c r="G44" i="43"/>
  <c r="F44" i="43"/>
  <c r="E44" i="43"/>
  <c r="G43" i="43"/>
  <c r="H43" i="43" s="1"/>
  <c r="F43" i="43"/>
  <c r="E43" i="43"/>
  <c r="G42" i="43"/>
  <c r="F42" i="43"/>
  <c r="E42" i="43"/>
  <c r="G41" i="43"/>
  <c r="H41" i="43" s="1"/>
  <c r="F41" i="43"/>
  <c r="E41" i="43"/>
  <c r="H40" i="43"/>
  <c r="G40" i="43"/>
  <c r="F40" i="43"/>
  <c r="E40" i="43"/>
  <c r="G39" i="43"/>
  <c r="H39" i="43" s="1"/>
  <c r="F39" i="43"/>
  <c r="E39" i="43"/>
  <c r="G38" i="43"/>
  <c r="F38" i="43"/>
  <c r="E38" i="43"/>
  <c r="G37" i="43"/>
  <c r="H37" i="43" s="1"/>
  <c r="F37" i="43"/>
  <c r="E37" i="43"/>
  <c r="H36" i="43"/>
  <c r="G36" i="43"/>
  <c r="F36" i="43"/>
  <c r="E36" i="43"/>
  <c r="G35" i="43"/>
  <c r="H35" i="43" s="1"/>
  <c r="F35" i="43"/>
  <c r="E35" i="43"/>
  <c r="G34" i="43"/>
  <c r="H34" i="43" s="1"/>
  <c r="F34" i="43"/>
  <c r="E34" i="43"/>
  <c r="G33" i="43"/>
  <c r="H33" i="43" s="1"/>
  <c r="F33" i="43"/>
  <c r="E33" i="43"/>
  <c r="H32" i="43"/>
  <c r="G32" i="43"/>
  <c r="F32" i="43"/>
  <c r="E32" i="43"/>
  <c r="G31" i="43"/>
  <c r="H31" i="43" s="1"/>
  <c r="F31" i="43"/>
  <c r="E31" i="43"/>
  <c r="G30" i="43"/>
  <c r="H30" i="43" s="1"/>
  <c r="F30" i="43"/>
  <c r="E30" i="43"/>
  <c r="G29" i="43"/>
  <c r="H29" i="43" s="1"/>
  <c r="F29" i="43"/>
  <c r="E29" i="43"/>
  <c r="H28" i="43"/>
  <c r="G28" i="43"/>
  <c r="F28" i="43"/>
  <c r="E28" i="43"/>
  <c r="G27" i="43"/>
  <c r="H27" i="43" s="1"/>
  <c r="F27" i="43"/>
  <c r="E27" i="43"/>
  <c r="G26" i="43"/>
  <c r="F26" i="43"/>
  <c r="E26" i="43"/>
  <c r="G25" i="43"/>
  <c r="H25" i="43" s="1"/>
  <c r="F25" i="43"/>
  <c r="E25" i="43"/>
  <c r="H24" i="43"/>
  <c r="G24" i="43"/>
  <c r="F24" i="43"/>
  <c r="E24" i="43"/>
  <c r="G23" i="43"/>
  <c r="H23" i="43" s="1"/>
  <c r="F23" i="43"/>
  <c r="E23" i="43"/>
  <c r="G22" i="43"/>
  <c r="F22" i="43"/>
  <c r="E22" i="43"/>
  <c r="G21" i="43"/>
  <c r="H21" i="43" s="1"/>
  <c r="F21" i="43"/>
  <c r="E21" i="43"/>
  <c r="H20" i="43"/>
  <c r="G20" i="43"/>
  <c r="F20" i="43"/>
  <c r="E20" i="43"/>
  <c r="G19" i="43"/>
  <c r="H19" i="43" s="1"/>
  <c r="F19" i="43"/>
  <c r="E19" i="43"/>
  <c r="G18" i="43"/>
  <c r="F18" i="43"/>
  <c r="E18" i="43"/>
  <c r="G17" i="43"/>
  <c r="H17" i="43" s="1"/>
  <c r="F17" i="43"/>
  <c r="E17" i="43"/>
  <c r="H16" i="43"/>
  <c r="G16" i="43"/>
  <c r="F16" i="43"/>
  <c r="E16" i="43"/>
  <c r="G15" i="43"/>
  <c r="F15" i="43"/>
  <c r="E15" i="43"/>
  <c r="G14" i="43"/>
  <c r="F14" i="43"/>
  <c r="E14" i="43"/>
  <c r="G13" i="43"/>
  <c r="F13" i="43"/>
  <c r="E13" i="43"/>
  <c r="G24" i="34"/>
  <c r="I6" i="19"/>
  <c r="H6" i="19"/>
  <c r="D6" i="19"/>
  <c r="G6" i="19"/>
  <c r="C27" i="41"/>
  <c r="Q7" i="41"/>
  <c r="C30" i="41"/>
  <c r="I24" i="41"/>
  <c r="S6" i="41"/>
  <c r="C29" i="41"/>
  <c r="G24" i="41"/>
  <c r="E24" i="41"/>
  <c r="P16" i="41"/>
  <c r="O16" i="41"/>
  <c r="G16" i="41"/>
  <c r="P14" i="41"/>
  <c r="O14" i="41"/>
  <c r="H14" i="41"/>
  <c r="G14" i="41"/>
  <c r="P13" i="41"/>
  <c r="O13" i="41"/>
  <c r="H13" i="41"/>
  <c r="G13" i="41"/>
  <c r="P12" i="41"/>
  <c r="O12" i="41"/>
  <c r="G12" i="41"/>
  <c r="P11" i="41"/>
  <c r="O11" i="41"/>
  <c r="G11" i="41"/>
  <c r="H12" i="41" s="1"/>
  <c r="P9" i="41"/>
  <c r="O9" i="41"/>
  <c r="P8" i="41"/>
  <c r="O8" i="41"/>
  <c r="D25" i="41"/>
  <c r="L6" i="41"/>
  <c r="M6" i="41" s="1"/>
  <c r="O53" i="40"/>
  <c r="AA51" i="40"/>
  <c r="C42" i="40"/>
  <c r="N43" i="40" s="1"/>
  <c r="AA24" i="40"/>
  <c r="C25" i="40"/>
  <c r="P13" i="40"/>
  <c r="N21" i="40"/>
  <c r="O20" i="40"/>
  <c r="AE54" i="40"/>
  <c r="AE53" i="40"/>
  <c r="L53" i="40"/>
  <c r="X53" i="40" s="1"/>
  <c r="G53" i="40"/>
  <c r="L52" i="40"/>
  <c r="X52" i="40" s="1"/>
  <c r="G52" i="40"/>
  <c r="AE51" i="40"/>
  <c r="AE52" i="40" s="1"/>
  <c r="L51" i="40"/>
  <c r="G51" i="40"/>
  <c r="AE50" i="40"/>
  <c r="L50" i="40"/>
  <c r="X50" i="40" s="1"/>
  <c r="G50" i="40"/>
  <c r="L49" i="40"/>
  <c r="X49" i="40" s="1"/>
  <c r="G49" i="40"/>
  <c r="N49" i="40" s="1"/>
  <c r="L48" i="40"/>
  <c r="X48" i="40" s="1"/>
  <c r="G48" i="40"/>
  <c r="L47" i="40"/>
  <c r="G47" i="40"/>
  <c r="L46" i="40"/>
  <c r="X46" i="40" s="1"/>
  <c r="G46" i="40"/>
  <c r="N46" i="40" s="1"/>
  <c r="L45" i="40"/>
  <c r="X45" i="40" s="1"/>
  <c r="G45" i="40"/>
  <c r="L44" i="40"/>
  <c r="X44" i="40" s="1"/>
  <c r="G44" i="40"/>
  <c r="L43" i="40"/>
  <c r="X43" i="40" s="1"/>
  <c r="G43" i="40"/>
  <c r="L42" i="40"/>
  <c r="G42" i="40"/>
  <c r="L41" i="40"/>
  <c r="X41" i="40" s="1"/>
  <c r="G41" i="40"/>
  <c r="L40" i="40"/>
  <c r="X40" i="40" s="1"/>
  <c r="G40" i="40"/>
  <c r="L39" i="40"/>
  <c r="X39" i="40" s="1"/>
  <c r="G39" i="40"/>
  <c r="L38" i="40"/>
  <c r="X38" i="40" s="1"/>
  <c r="G38" i="40"/>
  <c r="L37" i="40"/>
  <c r="X37" i="40" s="1"/>
  <c r="G37" i="40"/>
  <c r="L36" i="40"/>
  <c r="X36" i="40" s="1"/>
  <c r="G36" i="40"/>
  <c r="L35" i="40"/>
  <c r="G35" i="40"/>
  <c r="O34" i="40" s="1"/>
  <c r="L34" i="40"/>
  <c r="G34" i="40"/>
  <c r="L33" i="40"/>
  <c r="X33" i="40" s="1"/>
  <c r="G33" i="40"/>
  <c r="L32" i="40"/>
  <c r="X32" i="40" s="1"/>
  <c r="G32" i="40"/>
  <c r="L31" i="40"/>
  <c r="X31" i="40" s="1"/>
  <c r="G31" i="40"/>
  <c r="L30" i="40"/>
  <c r="G30" i="40"/>
  <c r="L29" i="40"/>
  <c r="X29" i="40" s="1"/>
  <c r="G29" i="40"/>
  <c r="L28" i="40"/>
  <c r="X28" i="40" s="1"/>
  <c r="G28" i="40"/>
  <c r="L27" i="40"/>
  <c r="G27" i="40"/>
  <c r="L26" i="40"/>
  <c r="G26" i="40"/>
  <c r="L25" i="40"/>
  <c r="X25" i="40" s="1"/>
  <c r="G25" i="40"/>
  <c r="L24" i="40"/>
  <c r="X24" i="40" s="1"/>
  <c r="G24" i="40"/>
  <c r="X21" i="40"/>
  <c r="Y21" i="40" s="1"/>
  <c r="P21" i="40"/>
  <c r="X20" i="40"/>
  <c r="Y20" i="40" s="1"/>
  <c r="P20" i="40"/>
  <c r="N20" i="40"/>
  <c r="X19" i="40"/>
  <c r="Y19" i="40" s="1"/>
  <c r="P19" i="40"/>
  <c r="O19" i="40"/>
  <c r="N19" i="40"/>
  <c r="X18" i="40"/>
  <c r="Y18" i="40" s="1"/>
  <c r="P18" i="40"/>
  <c r="O18" i="40"/>
  <c r="N18" i="40"/>
  <c r="X17" i="40"/>
  <c r="Y17" i="40" s="1"/>
  <c r="P17" i="40"/>
  <c r="O17" i="40"/>
  <c r="N17" i="40"/>
  <c r="X16" i="40"/>
  <c r="Y16" i="40" s="1"/>
  <c r="P16" i="40"/>
  <c r="O16" i="40"/>
  <c r="N16" i="40"/>
  <c r="X15" i="40"/>
  <c r="Y15" i="40" s="1"/>
  <c r="P15" i="40"/>
  <c r="O15" i="40"/>
  <c r="N15" i="40"/>
  <c r="X14" i="40"/>
  <c r="Y14" i="40" s="1"/>
  <c r="P14" i="40"/>
  <c r="O14" i="40"/>
  <c r="N14" i="40"/>
  <c r="X13" i="40"/>
  <c r="Y13" i="40" s="1"/>
  <c r="O13" i="40"/>
  <c r="N13" i="40"/>
  <c r="V9" i="2"/>
  <c r="U9" i="2"/>
  <c r="T9" i="2"/>
  <c r="H15" i="43" l="1"/>
  <c r="H13" i="43"/>
  <c r="H26" i="43"/>
  <c r="I13" i="43"/>
  <c r="J13" i="43" s="1"/>
  <c r="H22" i="43"/>
  <c r="H38" i="43"/>
  <c r="H42" i="43"/>
  <c r="H14" i="43"/>
  <c r="I52" i="43" s="1"/>
  <c r="J52" i="43" s="1"/>
  <c r="H18" i="43"/>
  <c r="M50" i="40"/>
  <c r="P50" i="40" s="1"/>
  <c r="O48" i="40"/>
  <c r="O45" i="40"/>
  <c r="O25" i="40"/>
  <c r="O42" i="40"/>
  <c r="Q20" i="40"/>
  <c r="M29" i="40"/>
  <c r="P29" i="40" s="1"/>
  <c r="M36" i="40"/>
  <c r="P36" i="40" s="1"/>
  <c r="M37" i="40"/>
  <c r="P37" i="40" s="1"/>
  <c r="Q21" i="40"/>
  <c r="M47" i="40"/>
  <c r="P47" i="40" s="1"/>
  <c r="Q14" i="40"/>
  <c r="M28" i="40"/>
  <c r="P28" i="40" s="1"/>
  <c r="M42" i="40"/>
  <c r="M34" i="40"/>
  <c r="P34" i="40" s="1"/>
  <c r="M53" i="40"/>
  <c r="M30" i="40"/>
  <c r="P30" i="40" s="1"/>
  <c r="Q13" i="40"/>
  <c r="M35" i="40"/>
  <c r="P35" i="40" s="1"/>
  <c r="M31" i="40"/>
  <c r="M45" i="40"/>
  <c r="M54" i="40"/>
  <c r="Y54" i="40" s="1"/>
  <c r="Q19" i="40"/>
  <c r="M27" i="40"/>
  <c r="P27" i="40" s="1"/>
  <c r="Q16" i="40"/>
  <c r="M46" i="40"/>
  <c r="Y46" i="40" s="1"/>
  <c r="M51" i="40"/>
  <c r="Q17" i="40"/>
  <c r="M39" i="40"/>
  <c r="M52" i="40"/>
  <c r="M43" i="40"/>
  <c r="Q18" i="40"/>
  <c r="M26" i="40"/>
  <c r="P26" i="40" s="1"/>
  <c r="M44" i="40"/>
  <c r="P44" i="40" s="1"/>
  <c r="M49" i="40"/>
  <c r="Q15" i="40"/>
  <c r="M38" i="40"/>
  <c r="X51" i="40"/>
  <c r="M33" i="40"/>
  <c r="M24" i="40"/>
  <c r="M32" i="40"/>
  <c r="P32" i="40" s="1"/>
  <c r="X27" i="40"/>
  <c r="Y27" i="40" s="1"/>
  <c r="X35" i="40"/>
  <c r="Y35" i="40" s="1"/>
  <c r="X42" i="40"/>
  <c r="X47" i="40"/>
  <c r="M41" i="40"/>
  <c r="N25" i="40"/>
  <c r="M25" i="40"/>
  <c r="X30" i="40"/>
  <c r="X34" i="40"/>
  <c r="M40" i="40"/>
  <c r="X26" i="40"/>
  <c r="M48" i="40"/>
  <c r="I21" i="43" l="1"/>
  <c r="J21" i="43" s="1"/>
  <c r="I39" i="43"/>
  <c r="J39" i="43" s="1"/>
  <c r="I34" i="43"/>
  <c r="J34" i="43" s="1"/>
  <c r="I24" i="43"/>
  <c r="J24" i="43" s="1"/>
  <c r="I51" i="43"/>
  <c r="J51" i="43" s="1"/>
  <c r="I25" i="43"/>
  <c r="J25" i="43" s="1"/>
  <c r="I20" i="43"/>
  <c r="J20" i="43" s="1"/>
  <c r="I15" i="43"/>
  <c r="J15" i="43" s="1"/>
  <c r="I23" i="43"/>
  <c r="J23" i="43" s="1"/>
  <c r="I18" i="43"/>
  <c r="J18" i="43" s="1"/>
  <c r="I38" i="43"/>
  <c r="J38" i="43" s="1"/>
  <c r="I36" i="43"/>
  <c r="J36" i="43" s="1"/>
  <c r="I16" i="43"/>
  <c r="J16" i="43" s="1"/>
  <c r="I50" i="43"/>
  <c r="J50" i="43" s="1"/>
  <c r="I14" i="43"/>
  <c r="J14" i="43" s="1"/>
  <c r="I43" i="43"/>
  <c r="J43" i="43" s="1"/>
  <c r="I53" i="43"/>
  <c r="J53" i="43" s="1"/>
  <c r="I42" i="43"/>
  <c r="J42" i="43" s="1"/>
  <c r="I33" i="43"/>
  <c r="J33" i="43" s="1"/>
  <c r="I37" i="43"/>
  <c r="J37" i="43" s="1"/>
  <c r="I48" i="43"/>
  <c r="J48" i="43" s="1"/>
  <c r="I29" i="43"/>
  <c r="J29" i="43" s="1"/>
  <c r="I28" i="43"/>
  <c r="J28" i="43" s="1"/>
  <c r="I22" i="43"/>
  <c r="J22" i="43" s="1"/>
  <c r="I54" i="43"/>
  <c r="J54" i="43" s="1"/>
  <c r="I41" i="43"/>
  <c r="J41" i="43" s="1"/>
  <c r="I27" i="43"/>
  <c r="J27" i="43" s="1"/>
  <c r="I47" i="43"/>
  <c r="J47" i="43" s="1"/>
  <c r="I46" i="43"/>
  <c r="J46" i="43" s="1"/>
  <c r="I32" i="43"/>
  <c r="J32" i="43" s="1"/>
  <c r="I19" i="43"/>
  <c r="J19" i="43" s="1"/>
  <c r="I31" i="43"/>
  <c r="J31" i="43" s="1"/>
  <c r="I26" i="43"/>
  <c r="J26" i="43" s="1"/>
  <c r="I45" i="43"/>
  <c r="J45" i="43" s="1"/>
  <c r="I40" i="43"/>
  <c r="J40" i="43" s="1"/>
  <c r="I35" i="43"/>
  <c r="J35" i="43" s="1"/>
  <c r="I30" i="43"/>
  <c r="J30" i="43" s="1"/>
  <c r="I17" i="43"/>
  <c r="J17" i="43" s="1"/>
  <c r="I49" i="43"/>
  <c r="J49" i="43" s="1"/>
  <c r="I44" i="43"/>
  <c r="J44" i="43" s="1"/>
  <c r="Y50" i="40"/>
  <c r="Y34" i="40"/>
  <c r="Y36" i="40"/>
  <c r="Y32" i="40"/>
  <c r="Y29" i="40"/>
  <c r="Y47" i="40"/>
  <c r="P45" i="40"/>
  <c r="Y45" i="40"/>
  <c r="Y28" i="40"/>
  <c r="P43" i="40"/>
  <c r="Y43" i="40"/>
  <c r="P31" i="40"/>
  <c r="Y31" i="40"/>
  <c r="Y30" i="40"/>
  <c r="P24" i="40"/>
  <c r="Q24" i="40" s="1"/>
  <c r="R24" i="40" s="1"/>
  <c r="S24" i="40" s="1"/>
  <c r="Y24" i="40"/>
  <c r="P48" i="40"/>
  <c r="Y48" i="40"/>
  <c r="Y26" i="40"/>
  <c r="P25" i="40"/>
  <c r="Q25" i="40" s="1"/>
  <c r="Y25" i="40"/>
  <c r="P33" i="40"/>
  <c r="Y33" i="40"/>
  <c r="Y44" i="40"/>
  <c r="Y37" i="40"/>
  <c r="P49" i="40"/>
  <c r="Y49" i="40"/>
  <c r="P51" i="40"/>
  <c r="Y51" i="40"/>
  <c r="P52" i="40"/>
  <c r="Y52" i="40"/>
  <c r="P53" i="40"/>
  <c r="Y53" i="40"/>
  <c r="P41" i="40"/>
  <c r="Y41" i="40"/>
  <c r="P42" i="40"/>
  <c r="Y42" i="40"/>
  <c r="P38" i="40"/>
  <c r="Y38" i="40"/>
  <c r="P39" i="40"/>
  <c r="Y39" i="40"/>
  <c r="P40" i="40"/>
  <c r="Y40" i="40"/>
  <c r="R14" i="40"/>
  <c r="S14" i="40" s="1"/>
  <c r="R17" i="40"/>
  <c r="S17" i="40" s="1"/>
  <c r="R13" i="40"/>
  <c r="S13" i="40" s="1"/>
  <c r="R19" i="40"/>
  <c r="S19" i="40" s="1"/>
  <c r="P46" i="40"/>
  <c r="R18" i="40"/>
  <c r="S18" i="40" s="1"/>
  <c r="R21" i="40"/>
  <c r="S21" i="40" s="1"/>
  <c r="R15" i="40"/>
  <c r="S15" i="40" s="1"/>
  <c r="R20" i="40"/>
  <c r="S20" i="40" s="1"/>
  <c r="R16" i="40"/>
  <c r="S16" i="40" s="1"/>
  <c r="I5" i="19"/>
  <c r="G5" i="19"/>
  <c r="D5" i="19"/>
  <c r="C30" i="2"/>
  <c r="C27" i="2"/>
  <c r="I24" i="2"/>
  <c r="Q8" i="2"/>
  <c r="S7" i="2"/>
  <c r="P6" i="2"/>
  <c r="O8" i="2" s="1"/>
  <c r="K8" i="2"/>
  <c r="G8" i="2"/>
  <c r="F8" i="2" s="1"/>
  <c r="I8" i="2"/>
  <c r="P9" i="32"/>
  <c r="G10" i="32"/>
  <c r="L10" i="32" s="1"/>
  <c r="L15" i="32"/>
  <c r="G16" i="32" s="1"/>
  <c r="I4" i="19"/>
  <c r="D4" i="19"/>
  <c r="G4" i="19"/>
  <c r="C33" i="33"/>
  <c r="C29" i="33"/>
  <c r="C30" i="33"/>
  <c r="I27" i="33"/>
  <c r="O16" i="33"/>
  <c r="Q16" i="33"/>
  <c r="S15" i="33"/>
  <c r="G15" i="33"/>
  <c r="L15" i="33" s="1"/>
  <c r="I2" i="19"/>
  <c r="I27" i="32"/>
  <c r="D3" i="19" s="1"/>
  <c r="D2" i="19"/>
  <c r="G2" i="19"/>
  <c r="F15" i="32"/>
  <c r="S15" i="32"/>
  <c r="C33" i="32" s="1"/>
  <c r="I3" i="19" s="1"/>
  <c r="J20" i="39"/>
  <c r="J21" i="39"/>
  <c r="J22" i="39"/>
  <c r="J23" i="39"/>
  <c r="J24" i="39"/>
  <c r="J25" i="39"/>
  <c r="J26" i="39"/>
  <c r="J27" i="39"/>
  <c r="J28" i="39"/>
  <c r="I3" i="39"/>
  <c r="I2" i="39"/>
  <c r="I1" i="39"/>
  <c r="M57" i="39"/>
  <c r="M56" i="39"/>
  <c r="M54" i="39"/>
  <c r="M55" i="39" s="1"/>
  <c r="M53" i="39"/>
  <c r="G28" i="39"/>
  <c r="E28" i="39"/>
  <c r="G27" i="39"/>
  <c r="F27" i="39"/>
  <c r="E27" i="39"/>
  <c r="G26" i="39"/>
  <c r="F26" i="39"/>
  <c r="E26" i="39"/>
  <c r="G25" i="39"/>
  <c r="F25" i="39"/>
  <c r="E25" i="39"/>
  <c r="G24" i="39"/>
  <c r="F24" i="39"/>
  <c r="E24" i="39"/>
  <c r="G23" i="39"/>
  <c r="F23" i="39"/>
  <c r="E23" i="39"/>
  <c r="G22" i="39"/>
  <c r="F22" i="39"/>
  <c r="E22" i="39"/>
  <c r="G21" i="39"/>
  <c r="F21" i="39"/>
  <c r="E21" i="39"/>
  <c r="G20" i="39"/>
  <c r="F20" i="39"/>
  <c r="E20" i="39"/>
  <c r="G19" i="39"/>
  <c r="H19" i="39" s="1"/>
  <c r="F19" i="39"/>
  <c r="E19" i="39"/>
  <c r="G18" i="39"/>
  <c r="F18" i="39"/>
  <c r="E18" i="39"/>
  <c r="G17" i="39"/>
  <c r="F17" i="39"/>
  <c r="E17" i="39"/>
  <c r="G16" i="39"/>
  <c r="F16" i="39"/>
  <c r="E16" i="39"/>
  <c r="G15" i="39"/>
  <c r="F15" i="39"/>
  <c r="E15" i="39"/>
  <c r="G14" i="39"/>
  <c r="H14" i="39" s="1"/>
  <c r="F14" i="39"/>
  <c r="E14" i="39"/>
  <c r="G13" i="39"/>
  <c r="F13" i="39"/>
  <c r="E13" i="39"/>
  <c r="C28" i="31"/>
  <c r="C29" i="31"/>
  <c r="P8" i="31"/>
  <c r="P13" i="31"/>
  <c r="G10" i="31"/>
  <c r="G9" i="31"/>
  <c r="F15" i="31"/>
  <c r="L6" i="2"/>
  <c r="C60" i="38"/>
  <c r="X59" i="38"/>
  <c r="X60" i="38"/>
  <c r="X61" i="38"/>
  <c r="Y61" i="38" s="1"/>
  <c r="X25" i="38"/>
  <c r="Y25" i="38" s="1"/>
  <c r="X26" i="38"/>
  <c r="X27" i="38"/>
  <c r="Y27" i="38" s="1"/>
  <c r="X28" i="38"/>
  <c r="X29" i="38"/>
  <c r="Y29" i="38" s="1"/>
  <c r="X30" i="38"/>
  <c r="X31" i="38"/>
  <c r="X32" i="38"/>
  <c r="X33" i="38"/>
  <c r="Y33" i="38" s="1"/>
  <c r="X34" i="38"/>
  <c r="X35" i="38"/>
  <c r="Y35" i="38" s="1"/>
  <c r="X36" i="38"/>
  <c r="X37" i="38"/>
  <c r="Y37" i="38" s="1"/>
  <c r="X38" i="38"/>
  <c r="X39" i="38"/>
  <c r="X40" i="38"/>
  <c r="X41" i="38"/>
  <c r="Y41" i="38" s="1"/>
  <c r="X42" i="38"/>
  <c r="X43" i="38"/>
  <c r="Y43" i="38" s="1"/>
  <c r="X44" i="38"/>
  <c r="X45" i="38"/>
  <c r="Y45" i="38" s="1"/>
  <c r="X46" i="38"/>
  <c r="X47" i="38"/>
  <c r="X48" i="38"/>
  <c r="X49" i="38"/>
  <c r="Y49" i="38" s="1"/>
  <c r="X50" i="38"/>
  <c r="X51" i="38"/>
  <c r="Y51" i="38" s="1"/>
  <c r="X52" i="38"/>
  <c r="X53" i="38"/>
  <c r="Y53" i="38" s="1"/>
  <c r="X54" i="38"/>
  <c r="X55" i="38"/>
  <c r="X56" i="38"/>
  <c r="X57" i="38"/>
  <c r="Y57" i="38" s="1"/>
  <c r="X58" i="38"/>
  <c r="Y26" i="38"/>
  <c r="Y28" i="38"/>
  <c r="Y30" i="38"/>
  <c r="Y31" i="38"/>
  <c r="Y32" i="38"/>
  <c r="Y34" i="38"/>
  <c r="Y36" i="38"/>
  <c r="Y38" i="38"/>
  <c r="Y39" i="38"/>
  <c r="Y40" i="38"/>
  <c r="Y42" i="38"/>
  <c r="Y44" i="38"/>
  <c r="Y46" i="38"/>
  <c r="Y47" i="38"/>
  <c r="Y48" i="38"/>
  <c r="Y50" i="38"/>
  <c r="Y52" i="38"/>
  <c r="Y54" i="38"/>
  <c r="Y55" i="38"/>
  <c r="Y56" i="38"/>
  <c r="Y58" i="38"/>
  <c r="Y59" i="38"/>
  <c r="Y60" i="38"/>
  <c r="Y14" i="38"/>
  <c r="Y15" i="38"/>
  <c r="Y16" i="38"/>
  <c r="Y17" i="38"/>
  <c r="Y18" i="38"/>
  <c r="Y19" i="38"/>
  <c r="Y20" i="38"/>
  <c r="Y21" i="38"/>
  <c r="Y22" i="38"/>
  <c r="Y13" i="38"/>
  <c r="AA71" i="38"/>
  <c r="R27" i="40" l="1"/>
  <c r="S27" i="40" s="1"/>
  <c r="R28" i="40"/>
  <c r="S28" i="40" s="1"/>
  <c r="R29" i="40"/>
  <c r="S29" i="40" s="1"/>
  <c r="R37" i="40"/>
  <c r="S37" i="40" s="1"/>
  <c r="R25" i="40"/>
  <c r="S25" i="40" s="1"/>
  <c r="R35" i="40"/>
  <c r="S35" i="40" s="1"/>
  <c r="R36" i="40"/>
  <c r="S36" i="40" s="1"/>
  <c r="R30" i="40"/>
  <c r="S30" i="40" s="1"/>
  <c r="R31" i="40"/>
  <c r="S31" i="40" s="1"/>
  <c r="R32" i="40"/>
  <c r="S32" i="40" s="1"/>
  <c r="R33" i="40"/>
  <c r="S33" i="40" s="1"/>
  <c r="R34" i="40"/>
  <c r="S34" i="40" s="1"/>
  <c r="R26" i="40"/>
  <c r="S26" i="40" s="1"/>
  <c r="L16" i="32"/>
  <c r="F16" i="32"/>
  <c r="H28" i="39"/>
  <c r="H27" i="39"/>
  <c r="H26" i="39"/>
  <c r="H24" i="39"/>
  <c r="H23" i="39"/>
  <c r="H22" i="39"/>
  <c r="H20" i="39"/>
  <c r="H18" i="39"/>
  <c r="H16" i="39"/>
  <c r="H15" i="39"/>
  <c r="H25" i="39"/>
  <c r="H21" i="39"/>
  <c r="H17" i="39"/>
  <c r="H13" i="39"/>
  <c r="I13" i="39"/>
  <c r="J13" i="39" s="1"/>
  <c r="C29" i="34"/>
  <c r="H7" i="19"/>
  <c r="C4" i="19"/>
  <c r="F7" i="19"/>
  <c r="C7" i="19"/>
  <c r="C25" i="34"/>
  <c r="I1" i="38"/>
  <c r="AA55" i="38"/>
  <c r="AA57" i="38"/>
  <c r="O61" i="38"/>
  <c r="AA39" i="38"/>
  <c r="C34" i="38"/>
  <c r="C32" i="38"/>
  <c r="C30" i="38"/>
  <c r="N25" i="38"/>
  <c r="O22" i="38"/>
  <c r="C28" i="38"/>
  <c r="C26" i="38"/>
  <c r="L61" i="38"/>
  <c r="G61" i="38"/>
  <c r="L60" i="38"/>
  <c r="G60" i="38"/>
  <c r="L59" i="38"/>
  <c r="G59" i="38"/>
  <c r="L58" i="38"/>
  <c r="G58" i="38"/>
  <c r="AE57" i="38"/>
  <c r="L57" i="38"/>
  <c r="G57" i="38"/>
  <c r="AE56" i="38"/>
  <c r="L56" i="38"/>
  <c r="G56" i="38"/>
  <c r="L55" i="38"/>
  <c r="G55" i="38"/>
  <c r="AE54" i="38"/>
  <c r="AE55" i="38" s="1"/>
  <c r="L54" i="38"/>
  <c r="G54" i="38"/>
  <c r="AE53" i="38"/>
  <c r="L53" i="38"/>
  <c r="G53" i="38"/>
  <c r="L52" i="38"/>
  <c r="G52" i="38"/>
  <c r="L51" i="38"/>
  <c r="G51" i="38"/>
  <c r="L50" i="38"/>
  <c r="G50" i="38"/>
  <c r="L49" i="38"/>
  <c r="G49" i="38"/>
  <c r="L48" i="38"/>
  <c r="G48" i="38"/>
  <c r="L47" i="38"/>
  <c r="G47" i="38"/>
  <c r="L46" i="38"/>
  <c r="G46" i="38"/>
  <c r="L45" i="38"/>
  <c r="G45" i="38"/>
  <c r="L44" i="38"/>
  <c r="G44" i="38"/>
  <c r="L43" i="38"/>
  <c r="G43" i="38"/>
  <c r="L42" i="38"/>
  <c r="G42" i="38"/>
  <c r="L41" i="38"/>
  <c r="G41" i="38"/>
  <c r="L40" i="38"/>
  <c r="G40" i="38"/>
  <c r="L39" i="38"/>
  <c r="G39" i="38"/>
  <c r="L38" i="38"/>
  <c r="G38" i="38"/>
  <c r="L37" i="38"/>
  <c r="G37" i="38"/>
  <c r="L36" i="38"/>
  <c r="G36" i="38"/>
  <c r="L35" i="38"/>
  <c r="G35" i="38"/>
  <c r="L34" i="38"/>
  <c r="G34" i="38"/>
  <c r="L33" i="38"/>
  <c r="G33" i="38"/>
  <c r="L32" i="38"/>
  <c r="G32" i="38"/>
  <c r="N32" i="38" s="1"/>
  <c r="L31" i="38"/>
  <c r="G31" i="38"/>
  <c r="L30" i="38"/>
  <c r="G30" i="38"/>
  <c r="L29" i="38"/>
  <c r="G29" i="38"/>
  <c r="L28" i="38"/>
  <c r="G28" i="38"/>
  <c r="L27" i="38"/>
  <c r="G27" i="38"/>
  <c r="L26" i="38"/>
  <c r="G26" i="38"/>
  <c r="L25" i="38"/>
  <c r="X22" i="38"/>
  <c r="P22" i="38"/>
  <c r="N22" i="38"/>
  <c r="X21" i="38"/>
  <c r="P21" i="38"/>
  <c r="O21" i="38"/>
  <c r="N21" i="38"/>
  <c r="X20" i="38"/>
  <c r="P20" i="38"/>
  <c r="O20" i="38"/>
  <c r="N20" i="38"/>
  <c r="X19" i="38"/>
  <c r="P19" i="38"/>
  <c r="O19" i="38"/>
  <c r="N19" i="38"/>
  <c r="X18" i="38"/>
  <c r="P18" i="38"/>
  <c r="O18" i="38"/>
  <c r="N18" i="38"/>
  <c r="X17" i="38"/>
  <c r="P17" i="38"/>
  <c r="O17" i="38"/>
  <c r="N17" i="38"/>
  <c r="X16" i="38"/>
  <c r="P16" i="38"/>
  <c r="O16" i="38"/>
  <c r="N16" i="38"/>
  <c r="X15" i="38"/>
  <c r="P15" i="38"/>
  <c r="O15" i="38"/>
  <c r="N15" i="38"/>
  <c r="X14" i="38"/>
  <c r="P14" i="38"/>
  <c r="O14" i="38"/>
  <c r="N14" i="38"/>
  <c r="X13" i="38"/>
  <c r="P13" i="38"/>
  <c r="O13" i="38"/>
  <c r="N13" i="38"/>
  <c r="G27" i="33"/>
  <c r="C32" i="33"/>
  <c r="H4" i="19" s="1"/>
  <c r="M57" i="37"/>
  <c r="M56" i="37"/>
  <c r="M54" i="37"/>
  <c r="M55" i="37" s="1"/>
  <c r="M53" i="37"/>
  <c r="G38" i="37"/>
  <c r="H38" i="37" s="1"/>
  <c r="E38" i="37"/>
  <c r="G37" i="37"/>
  <c r="H37" i="37" s="1"/>
  <c r="F37" i="37"/>
  <c r="E37" i="37"/>
  <c r="G36" i="37"/>
  <c r="H36" i="37" s="1"/>
  <c r="F36" i="37"/>
  <c r="E36" i="37"/>
  <c r="G35" i="37"/>
  <c r="H35" i="37" s="1"/>
  <c r="F35" i="37"/>
  <c r="E35" i="37"/>
  <c r="G34" i="37"/>
  <c r="H34" i="37" s="1"/>
  <c r="F34" i="37"/>
  <c r="E34" i="37"/>
  <c r="G33" i="37"/>
  <c r="H33" i="37" s="1"/>
  <c r="F33" i="37"/>
  <c r="E33" i="37"/>
  <c r="G32" i="37"/>
  <c r="H32" i="37" s="1"/>
  <c r="F32" i="37"/>
  <c r="E32" i="37"/>
  <c r="G31" i="37"/>
  <c r="H31" i="37" s="1"/>
  <c r="F31" i="37"/>
  <c r="E31" i="37"/>
  <c r="G30" i="37"/>
  <c r="H30" i="37" s="1"/>
  <c r="F30" i="37"/>
  <c r="E30" i="37"/>
  <c r="G29" i="37"/>
  <c r="H29" i="37" s="1"/>
  <c r="F29" i="37"/>
  <c r="E29" i="37"/>
  <c r="G28" i="37"/>
  <c r="F28" i="37"/>
  <c r="E28" i="37"/>
  <c r="G27" i="37"/>
  <c r="H27" i="37" s="1"/>
  <c r="F27" i="37"/>
  <c r="E27" i="37"/>
  <c r="G26" i="37"/>
  <c r="H26" i="37" s="1"/>
  <c r="F26" i="37"/>
  <c r="E26" i="37"/>
  <c r="G25" i="37"/>
  <c r="H25" i="37" s="1"/>
  <c r="F25" i="37"/>
  <c r="E25" i="37"/>
  <c r="G24" i="37"/>
  <c r="F24" i="37"/>
  <c r="E24" i="37"/>
  <c r="H24" i="37" s="1"/>
  <c r="G23" i="37"/>
  <c r="H23" i="37" s="1"/>
  <c r="F23" i="37"/>
  <c r="E23" i="37"/>
  <c r="G22" i="37"/>
  <c r="H22" i="37" s="1"/>
  <c r="F22" i="37"/>
  <c r="E22" i="37"/>
  <c r="G21" i="37"/>
  <c r="H21" i="37" s="1"/>
  <c r="F21" i="37"/>
  <c r="E21" i="37"/>
  <c r="G20" i="37"/>
  <c r="F20" i="37"/>
  <c r="E20" i="37"/>
  <c r="H20" i="37" s="1"/>
  <c r="G19" i="37"/>
  <c r="H19" i="37" s="1"/>
  <c r="F19" i="37"/>
  <c r="E19" i="37"/>
  <c r="G18" i="37"/>
  <c r="H18" i="37" s="1"/>
  <c r="F18" i="37"/>
  <c r="E18" i="37"/>
  <c r="G17" i="37"/>
  <c r="H17" i="37" s="1"/>
  <c r="F17" i="37"/>
  <c r="E17" i="37"/>
  <c r="G16" i="37"/>
  <c r="F16" i="37"/>
  <c r="E16" i="37"/>
  <c r="H16" i="37" s="1"/>
  <c r="G15" i="37"/>
  <c r="H15" i="37" s="1"/>
  <c r="F15" i="37"/>
  <c r="E15" i="37"/>
  <c r="H14" i="37"/>
  <c r="G14" i="37"/>
  <c r="F14" i="37"/>
  <c r="E14" i="37"/>
  <c r="G13" i="37"/>
  <c r="H13" i="37" s="1"/>
  <c r="F13" i="37"/>
  <c r="E13" i="37"/>
  <c r="I3" i="37"/>
  <c r="H2" i="19"/>
  <c r="G26" i="31"/>
  <c r="C2" i="19" s="1"/>
  <c r="G27" i="32"/>
  <c r="C3" i="19" s="1"/>
  <c r="C32" i="32"/>
  <c r="H3" i="19" s="1"/>
  <c r="H5" i="19"/>
  <c r="F5" i="19"/>
  <c r="C5" i="19"/>
  <c r="G24" i="2"/>
  <c r="C25" i="2"/>
  <c r="C26" i="2" s="1"/>
  <c r="N20" i="36"/>
  <c r="N16" i="36"/>
  <c r="M57" i="36"/>
  <c r="M56" i="36"/>
  <c r="M54" i="36"/>
  <c r="M55" i="36" s="1"/>
  <c r="I3" i="36"/>
  <c r="G30" i="36"/>
  <c r="P30" i="36"/>
  <c r="E30" i="36"/>
  <c r="G29" i="36"/>
  <c r="H29" i="36" s="1"/>
  <c r="F29" i="36"/>
  <c r="E29" i="36"/>
  <c r="G28" i="36"/>
  <c r="F28" i="36"/>
  <c r="E28" i="36"/>
  <c r="G27" i="36"/>
  <c r="H27" i="36" s="1"/>
  <c r="F27" i="36"/>
  <c r="E27" i="36"/>
  <c r="G26" i="36"/>
  <c r="H26" i="36" s="1"/>
  <c r="F26" i="36"/>
  <c r="E26" i="36"/>
  <c r="G25" i="36"/>
  <c r="H25" i="36" s="1"/>
  <c r="F25" i="36"/>
  <c r="E25" i="36"/>
  <c r="G24" i="36"/>
  <c r="F24" i="36"/>
  <c r="H24" i="36" s="1"/>
  <c r="E24" i="36"/>
  <c r="G23" i="36"/>
  <c r="H23" i="36" s="1"/>
  <c r="F23" i="36"/>
  <c r="E23" i="36"/>
  <c r="G22" i="36"/>
  <c r="H22" i="36" s="1"/>
  <c r="F22" i="36"/>
  <c r="E22" i="36"/>
  <c r="G21" i="36"/>
  <c r="H21" i="36" s="1"/>
  <c r="F21" i="36"/>
  <c r="E21" i="36"/>
  <c r="G20" i="36"/>
  <c r="F20" i="36"/>
  <c r="E20" i="36"/>
  <c r="G19" i="36"/>
  <c r="H19" i="36" s="1"/>
  <c r="F19" i="36"/>
  <c r="E19" i="36"/>
  <c r="G18" i="36"/>
  <c r="H18" i="36" s="1"/>
  <c r="F18" i="36"/>
  <c r="E18" i="36"/>
  <c r="G17" i="36"/>
  <c r="H17" i="36" s="1"/>
  <c r="F17" i="36"/>
  <c r="E17" i="36"/>
  <c r="G16" i="36"/>
  <c r="F16" i="36"/>
  <c r="H16" i="36" s="1"/>
  <c r="E16" i="36"/>
  <c r="G15" i="36"/>
  <c r="H15" i="36" s="1"/>
  <c r="F15" i="36"/>
  <c r="E15" i="36"/>
  <c r="G14" i="36"/>
  <c r="H14" i="36" s="1"/>
  <c r="F14" i="36"/>
  <c r="E14" i="36"/>
  <c r="G13" i="36"/>
  <c r="H13" i="36" s="1"/>
  <c r="F13" i="36"/>
  <c r="E13" i="36"/>
  <c r="I4" i="29"/>
  <c r="Q20" i="29"/>
  <c r="Q19" i="29"/>
  <c r="O31" i="29"/>
  <c r="O20" i="29"/>
  <c r="N23" i="29"/>
  <c r="C27" i="29"/>
  <c r="C25" i="29"/>
  <c r="C23" i="29"/>
  <c r="Q19" i="35"/>
  <c r="O27" i="35"/>
  <c r="A24" i="35"/>
  <c r="V55" i="35"/>
  <c r="V54" i="35"/>
  <c r="V52" i="35"/>
  <c r="V53" i="35" s="1"/>
  <c r="V51" i="35"/>
  <c r="I3" i="35" s="1"/>
  <c r="L27" i="35"/>
  <c r="G27" i="35"/>
  <c r="L26" i="35"/>
  <c r="G26" i="35"/>
  <c r="L25" i="35"/>
  <c r="G25" i="35"/>
  <c r="L24" i="35"/>
  <c r="G24" i="35"/>
  <c r="O23" i="35" s="1"/>
  <c r="L23" i="35"/>
  <c r="G23" i="35"/>
  <c r="O20" i="35" s="1"/>
  <c r="Q20" i="35" s="1"/>
  <c r="P20" i="35"/>
  <c r="N20" i="35"/>
  <c r="P19" i="35"/>
  <c r="O19" i="35"/>
  <c r="N19" i="35"/>
  <c r="P18" i="35"/>
  <c r="O18" i="35"/>
  <c r="N18" i="35"/>
  <c r="P17" i="35"/>
  <c r="O17" i="35"/>
  <c r="N17" i="35"/>
  <c r="P16" i="35"/>
  <c r="O16" i="35"/>
  <c r="N16" i="35"/>
  <c r="P15" i="35"/>
  <c r="O15" i="35"/>
  <c r="N15" i="35"/>
  <c r="P14" i="35"/>
  <c r="O14" i="35"/>
  <c r="N14" i="35"/>
  <c r="P13" i="35"/>
  <c r="O13" i="35"/>
  <c r="N13" i="35"/>
  <c r="R41" i="40" l="1"/>
  <c r="S41" i="40" s="1"/>
  <c r="R45" i="40"/>
  <c r="S45" i="40" s="1"/>
  <c r="R48" i="40"/>
  <c r="S48" i="40" s="1"/>
  <c r="R49" i="40"/>
  <c r="S49" i="40" s="1"/>
  <c r="R53" i="40"/>
  <c r="S53" i="40" s="1"/>
  <c r="R40" i="40"/>
  <c r="S40" i="40" s="1"/>
  <c r="R42" i="40"/>
  <c r="S42" i="40" s="1"/>
  <c r="R46" i="40"/>
  <c r="S46" i="40" s="1"/>
  <c r="R52" i="40"/>
  <c r="S52" i="40" s="1"/>
  <c r="R50" i="40"/>
  <c r="S50" i="40" s="1"/>
  <c r="R54" i="40"/>
  <c r="S54" i="40" s="1"/>
  <c r="R43" i="40"/>
  <c r="S43" i="40" s="1"/>
  <c r="R39" i="40"/>
  <c r="S39" i="40" s="1"/>
  <c r="R38" i="40"/>
  <c r="S38" i="40" s="1"/>
  <c r="R51" i="40"/>
  <c r="S51" i="40" s="1"/>
  <c r="AB51" i="40" s="1"/>
  <c r="R47" i="40"/>
  <c r="S47" i="40" s="1"/>
  <c r="R44" i="40"/>
  <c r="S44" i="40" s="1"/>
  <c r="H30" i="36"/>
  <c r="I25" i="39"/>
  <c r="I27" i="39"/>
  <c r="I18" i="39"/>
  <c r="J18" i="39" s="1"/>
  <c r="I22" i="39"/>
  <c r="I26" i="39"/>
  <c r="I21" i="39"/>
  <c r="I17" i="39"/>
  <c r="J17" i="39" s="1"/>
  <c r="I15" i="39"/>
  <c r="J15" i="39" s="1"/>
  <c r="I16" i="39"/>
  <c r="J16" i="39" s="1"/>
  <c r="I24" i="39"/>
  <c r="I20" i="39"/>
  <c r="I28" i="39"/>
  <c r="I23" i="39"/>
  <c r="I14" i="39"/>
  <c r="J14" i="39" s="1"/>
  <c r="M47" i="38"/>
  <c r="P47" i="38" s="1"/>
  <c r="M29" i="38"/>
  <c r="P29" i="38" s="1"/>
  <c r="O27" i="38"/>
  <c r="M45" i="38"/>
  <c r="P45" i="38" s="1"/>
  <c r="M53" i="38"/>
  <c r="P53" i="38" s="1"/>
  <c r="Q16" i="38"/>
  <c r="M39" i="38"/>
  <c r="P39" i="38" s="1"/>
  <c r="O28" i="38"/>
  <c r="Q15" i="38"/>
  <c r="Q14" i="38"/>
  <c r="N28" i="38"/>
  <c r="M50" i="38"/>
  <c r="P50" i="38" s="1"/>
  <c r="M59" i="38"/>
  <c r="P59" i="38" s="1"/>
  <c r="M40" i="38"/>
  <c r="P40" i="38" s="1"/>
  <c r="M57" i="38"/>
  <c r="P57" i="38" s="1"/>
  <c r="M37" i="38"/>
  <c r="P37" i="38" s="1"/>
  <c r="N33" i="38"/>
  <c r="O31" i="38"/>
  <c r="O32" i="38"/>
  <c r="N30" i="38"/>
  <c r="N31" i="38"/>
  <c r="O30" i="38"/>
  <c r="O29" i="38"/>
  <c r="M31" i="38"/>
  <c r="P31" i="38" s="1"/>
  <c r="M52" i="38"/>
  <c r="P52" i="38" s="1"/>
  <c r="M55" i="38"/>
  <c r="P55" i="38" s="1"/>
  <c r="M42" i="38"/>
  <c r="P42" i="38" s="1"/>
  <c r="M34" i="38"/>
  <c r="P34" i="38" s="1"/>
  <c r="M48" i="38"/>
  <c r="P48" i="38" s="1"/>
  <c r="M32" i="38"/>
  <c r="P32" i="38" s="1"/>
  <c r="N29" i="38"/>
  <c r="O25" i="38"/>
  <c r="O26" i="38"/>
  <c r="M27" i="38"/>
  <c r="P27" i="38" s="1"/>
  <c r="N27" i="38"/>
  <c r="M26" i="38"/>
  <c r="P26" i="38" s="1"/>
  <c r="M25" i="38"/>
  <c r="P25" i="38" s="1"/>
  <c r="Q22" i="38"/>
  <c r="Q20" i="38"/>
  <c r="Q19" i="38"/>
  <c r="Q18" i="38"/>
  <c r="Q17" i="38"/>
  <c r="Q13" i="38"/>
  <c r="M35" i="38"/>
  <c r="P35" i="38" s="1"/>
  <c r="M43" i="38"/>
  <c r="P43" i="38" s="1"/>
  <c r="M60" i="38"/>
  <c r="P60" i="38" s="1"/>
  <c r="M51" i="38"/>
  <c r="P51" i="38" s="1"/>
  <c r="N26" i="38"/>
  <c r="M30" i="38"/>
  <c r="P30" i="38" s="1"/>
  <c r="M38" i="38"/>
  <c r="P38" i="38" s="1"/>
  <c r="M46" i="38"/>
  <c r="P46" i="38" s="1"/>
  <c r="M33" i="38"/>
  <c r="P33" i="38" s="1"/>
  <c r="M41" i="38"/>
  <c r="P41" i="38" s="1"/>
  <c r="M49" i="38"/>
  <c r="P49" i="38" s="1"/>
  <c r="M54" i="38"/>
  <c r="P54" i="38" s="1"/>
  <c r="M56" i="38"/>
  <c r="P56" i="38" s="1"/>
  <c r="M58" i="38"/>
  <c r="P58" i="38" s="1"/>
  <c r="Q21" i="38"/>
  <c r="M28" i="38"/>
  <c r="P28" i="38" s="1"/>
  <c r="M36" i="38"/>
  <c r="P36" i="38" s="1"/>
  <c r="M44" i="38"/>
  <c r="P44" i="38" s="1"/>
  <c r="M61" i="38"/>
  <c r="P61" i="38" s="1"/>
  <c r="H28" i="37"/>
  <c r="I27" i="37"/>
  <c r="J27" i="37" s="1"/>
  <c r="I23" i="37"/>
  <c r="J23" i="37" s="1"/>
  <c r="I19" i="37"/>
  <c r="J19" i="37" s="1"/>
  <c r="I15" i="37"/>
  <c r="J15" i="37" s="1"/>
  <c r="I32" i="37"/>
  <c r="J32" i="37" s="1"/>
  <c r="I28" i="37"/>
  <c r="J28" i="37" s="1"/>
  <c r="I24" i="37"/>
  <c r="J24" i="37" s="1"/>
  <c r="I20" i="37"/>
  <c r="J20" i="37" s="1"/>
  <c r="I16" i="37"/>
  <c r="J16" i="37" s="1"/>
  <c r="I37" i="37"/>
  <c r="J37" i="37" s="1"/>
  <c r="I33" i="37"/>
  <c r="J33" i="37" s="1"/>
  <c r="I25" i="37"/>
  <c r="J25" i="37" s="1"/>
  <c r="I21" i="37"/>
  <c r="J21" i="37" s="1"/>
  <c r="I17" i="37"/>
  <c r="J17" i="37" s="1"/>
  <c r="I13" i="37"/>
  <c r="J13" i="37" s="1"/>
  <c r="I34" i="37"/>
  <c r="J34" i="37" s="1"/>
  <c r="I26" i="37"/>
  <c r="J26" i="37" s="1"/>
  <c r="I22" i="37"/>
  <c r="J22" i="37" s="1"/>
  <c r="I18" i="37"/>
  <c r="J18" i="37" s="1"/>
  <c r="I14" i="37"/>
  <c r="J14" i="37" s="1"/>
  <c r="H28" i="36"/>
  <c r="H20" i="36"/>
  <c r="I15" i="36"/>
  <c r="J15" i="36" s="1"/>
  <c r="I16" i="36"/>
  <c r="J16" i="36" s="1"/>
  <c r="I14" i="36"/>
  <c r="J14" i="36" s="1"/>
  <c r="I21" i="36"/>
  <c r="J21" i="36" s="1"/>
  <c r="I17" i="36"/>
  <c r="J17" i="36" s="1"/>
  <c r="I13" i="36"/>
  <c r="J13" i="36" s="1"/>
  <c r="I18" i="36"/>
  <c r="J18" i="36" s="1"/>
  <c r="I19" i="36"/>
  <c r="J19" i="36" s="1"/>
  <c r="M27" i="35"/>
  <c r="P27" i="35" s="1"/>
  <c r="M25" i="35"/>
  <c r="P25" i="35" s="1"/>
  <c r="N26" i="35"/>
  <c r="O26" i="35"/>
  <c r="N27" i="35"/>
  <c r="M24" i="35"/>
  <c r="P24" i="35" s="1"/>
  <c r="Q14" i="35"/>
  <c r="N25" i="35"/>
  <c r="Q17" i="35"/>
  <c r="O25" i="35"/>
  <c r="Q15" i="35"/>
  <c r="Q18" i="35"/>
  <c r="N24" i="35"/>
  <c r="M26" i="35"/>
  <c r="P26" i="35" s="1"/>
  <c r="Q13" i="35"/>
  <c r="M23" i="35"/>
  <c r="P23" i="35" s="1"/>
  <c r="Q23" i="35" s="1"/>
  <c r="O24" i="35"/>
  <c r="Q16" i="35"/>
  <c r="R16" i="35"/>
  <c r="S16" i="35" s="1"/>
  <c r="R13" i="35"/>
  <c r="S13" i="35" s="1"/>
  <c r="R14" i="35"/>
  <c r="S14" i="35" s="1"/>
  <c r="R19" i="35"/>
  <c r="S19" i="35" s="1"/>
  <c r="R15" i="35"/>
  <c r="S15" i="35" s="1"/>
  <c r="K7" i="32"/>
  <c r="S7" i="32" s="1"/>
  <c r="C31" i="32" s="1"/>
  <c r="K6" i="32"/>
  <c r="K7" i="33"/>
  <c r="S7" i="33" s="1"/>
  <c r="C31" i="33" s="1"/>
  <c r="Q27" i="35" l="1"/>
  <c r="R14" i="38"/>
  <c r="S14" i="38" s="1"/>
  <c r="Q29" i="38"/>
  <c r="R16" i="38"/>
  <c r="S16" i="38" s="1"/>
  <c r="R15" i="38"/>
  <c r="S15" i="38" s="1"/>
  <c r="Q32" i="38"/>
  <c r="Q28" i="38"/>
  <c r="Q25" i="38"/>
  <c r="R25" i="38" s="1"/>
  <c r="S25" i="38" s="1"/>
  <c r="Q31" i="38"/>
  <c r="Q30" i="38"/>
  <c r="Q27" i="38"/>
  <c r="Q26" i="38"/>
  <c r="R17" i="38"/>
  <c r="S17" i="38" s="1"/>
  <c r="R18" i="38"/>
  <c r="S18" i="38" s="1"/>
  <c r="R19" i="38"/>
  <c r="S19" i="38" s="1"/>
  <c r="R20" i="38"/>
  <c r="S20" i="38" s="1"/>
  <c r="R13" i="38"/>
  <c r="S13" i="38" s="1"/>
  <c r="R21" i="38"/>
  <c r="S21" i="38" s="1"/>
  <c r="R22" i="38"/>
  <c r="S22" i="38" s="1"/>
  <c r="I36" i="37"/>
  <c r="J36" i="37" s="1"/>
  <c r="I30" i="37"/>
  <c r="J30" i="37" s="1"/>
  <c r="I31" i="37"/>
  <c r="J31" i="37" s="1"/>
  <c r="I35" i="37"/>
  <c r="J35" i="37" s="1"/>
  <c r="I38" i="37"/>
  <c r="J38" i="37" s="1"/>
  <c r="I4" i="37" s="1"/>
  <c r="I29" i="37"/>
  <c r="J29" i="37" s="1"/>
  <c r="I29" i="36"/>
  <c r="J29" i="36" s="1"/>
  <c r="I27" i="36"/>
  <c r="J27" i="36" s="1"/>
  <c r="I26" i="36"/>
  <c r="J26" i="36" s="1"/>
  <c r="I30" i="36"/>
  <c r="J30" i="36" s="1"/>
  <c r="I4" i="36" s="1"/>
  <c r="I20" i="36"/>
  <c r="J20" i="36" s="1"/>
  <c r="I25" i="36"/>
  <c r="J25" i="36" s="1"/>
  <c r="I23" i="36"/>
  <c r="J23" i="36" s="1"/>
  <c r="I24" i="36"/>
  <c r="J24" i="36" s="1"/>
  <c r="I22" i="36"/>
  <c r="J22" i="36" s="1"/>
  <c r="I28" i="36"/>
  <c r="J28" i="36" s="1"/>
  <c r="Q26" i="35"/>
  <c r="Q25" i="35"/>
  <c r="R17" i="35"/>
  <c r="Q24" i="35"/>
  <c r="R18" i="35"/>
  <c r="S18" i="35" s="1"/>
  <c r="R20" i="35"/>
  <c r="S20" i="35" s="1"/>
  <c r="R23" i="35"/>
  <c r="S23" i="35" s="1"/>
  <c r="S6" i="31"/>
  <c r="C30" i="31" s="1"/>
  <c r="E27" i="32"/>
  <c r="I6" i="36" l="1"/>
  <c r="I5" i="36"/>
  <c r="R26" i="35"/>
  <c r="S26" i="35" s="1"/>
  <c r="R24" i="35"/>
  <c r="S24" i="35" s="1"/>
  <c r="R25" i="35"/>
  <c r="S25" i="35" s="1"/>
  <c r="I5" i="35" s="1"/>
  <c r="R27" i="35"/>
  <c r="S27" i="35" s="1"/>
  <c r="R29" i="38"/>
  <c r="S29" i="38" s="1"/>
  <c r="R28" i="38"/>
  <c r="S28" i="38" s="1"/>
  <c r="R26" i="38"/>
  <c r="S26" i="38" s="1"/>
  <c r="R32" i="38"/>
  <c r="S32" i="38" s="1"/>
  <c r="R31" i="38"/>
  <c r="S31" i="38" s="1"/>
  <c r="R27" i="38"/>
  <c r="S27" i="38" s="1"/>
  <c r="R30" i="38"/>
  <c r="S30" i="38" s="1"/>
  <c r="E26" i="31"/>
  <c r="G7" i="31"/>
  <c r="Q9" i="31" s="1"/>
  <c r="O9" i="31" s="1"/>
  <c r="C28" i="34"/>
  <c r="P16" i="34"/>
  <c r="O16" i="34" s="1"/>
  <c r="G16" i="34"/>
  <c r="P14" i="34"/>
  <c r="O14" i="34" s="1"/>
  <c r="G14" i="34"/>
  <c r="H14" i="34" s="1"/>
  <c r="P13" i="34"/>
  <c r="O13" i="34" s="1"/>
  <c r="G13" i="34"/>
  <c r="H13" i="34" s="1"/>
  <c r="P12" i="34"/>
  <c r="O12" i="34" s="1"/>
  <c r="G12" i="34"/>
  <c r="H12" i="34" s="1"/>
  <c r="P11" i="34"/>
  <c r="O11" i="34" s="1"/>
  <c r="G11" i="34"/>
  <c r="P9" i="34"/>
  <c r="O9" i="34" s="1"/>
  <c r="G9" i="34"/>
  <c r="H9" i="34" s="1"/>
  <c r="P8" i="34"/>
  <c r="O8" i="34"/>
  <c r="H8" i="34"/>
  <c r="G8" i="34"/>
  <c r="P7" i="34"/>
  <c r="O7" i="34" s="1"/>
  <c r="G7" i="34"/>
  <c r="P6" i="34"/>
  <c r="L6" i="34"/>
  <c r="M6" i="34" s="1"/>
  <c r="E27" i="33"/>
  <c r="P19" i="33"/>
  <c r="O19" i="33"/>
  <c r="P14" i="33"/>
  <c r="O14" i="33"/>
  <c r="G14" i="33"/>
  <c r="P13" i="33"/>
  <c r="G13" i="33"/>
  <c r="P12" i="33"/>
  <c r="O12" i="33"/>
  <c r="G12" i="33"/>
  <c r="P11" i="33"/>
  <c r="O11" i="33"/>
  <c r="G11" i="33"/>
  <c r="P9" i="33"/>
  <c r="O9" i="33" s="1"/>
  <c r="F4" i="19"/>
  <c r="G8" i="33"/>
  <c r="P7" i="33"/>
  <c r="O7" i="33" s="1"/>
  <c r="G7" i="33"/>
  <c r="G6" i="33" s="1"/>
  <c r="P6" i="33"/>
  <c r="O6" i="33" s="1"/>
  <c r="P19" i="32"/>
  <c r="O19" i="32" s="1"/>
  <c r="G19" i="32"/>
  <c r="G17" i="32"/>
  <c r="H17" i="32" s="1"/>
  <c r="H16" i="32"/>
  <c r="G14" i="32"/>
  <c r="I14" i="32" s="1"/>
  <c r="P14" i="32" s="1"/>
  <c r="G9" i="32"/>
  <c r="G8" i="32"/>
  <c r="P7" i="32"/>
  <c r="O7" i="32" s="1"/>
  <c r="G7" i="32"/>
  <c r="L7" i="32" s="1"/>
  <c r="G6" i="32" s="1"/>
  <c r="P6" i="32"/>
  <c r="O6" i="32" s="1"/>
  <c r="I26" i="31"/>
  <c r="P18" i="31"/>
  <c r="O18" i="31"/>
  <c r="G18" i="31"/>
  <c r="P16" i="31"/>
  <c r="O16" i="31"/>
  <c r="G16" i="31"/>
  <c r="P15" i="31"/>
  <c r="P14" i="31"/>
  <c r="O14" i="31"/>
  <c r="C27" i="31"/>
  <c r="F2" i="19" s="1"/>
  <c r="G13" i="31"/>
  <c r="P11" i="31"/>
  <c r="O11" i="31" s="1"/>
  <c r="G11" i="31"/>
  <c r="G8" i="31"/>
  <c r="L8" i="31" s="1"/>
  <c r="P7" i="31"/>
  <c r="O7" i="31" s="1"/>
  <c r="P6" i="31"/>
  <c r="O6" i="31" s="1"/>
  <c r="AB57" i="30"/>
  <c r="AB56" i="30"/>
  <c r="AB54" i="30"/>
  <c r="AB55" i="30" s="1"/>
  <c r="AB53" i="30"/>
  <c r="W14" i="30"/>
  <c r="W16" i="30"/>
  <c r="W17" i="30"/>
  <c r="W21" i="30"/>
  <c r="W78" i="30"/>
  <c r="V32" i="30"/>
  <c r="W32" i="30" s="1"/>
  <c r="V40" i="30"/>
  <c r="V44" i="30"/>
  <c r="W44" i="30" s="1"/>
  <c r="V55" i="30"/>
  <c r="W55" i="30" s="1"/>
  <c r="V56" i="30"/>
  <c r="V58" i="30"/>
  <c r="V63" i="30"/>
  <c r="V64" i="30"/>
  <c r="V66" i="30"/>
  <c r="V67" i="30"/>
  <c r="V68" i="30"/>
  <c r="V75" i="30"/>
  <c r="W75" i="30" s="1"/>
  <c r="V78" i="30"/>
  <c r="V80" i="30"/>
  <c r="V14" i="30"/>
  <c r="V15" i="30"/>
  <c r="W15" i="30" s="1"/>
  <c r="V16" i="30"/>
  <c r="V17" i="30"/>
  <c r="V18" i="30"/>
  <c r="W18" i="30" s="1"/>
  <c r="V19" i="30"/>
  <c r="W19" i="30" s="1"/>
  <c r="V20" i="30"/>
  <c r="W20" i="30" s="1"/>
  <c r="V21" i="30"/>
  <c r="V22" i="30"/>
  <c r="W22" i="30" s="1"/>
  <c r="V13" i="30"/>
  <c r="W13" i="30" s="1"/>
  <c r="G55" i="30"/>
  <c r="M55" i="30" s="1"/>
  <c r="P55" i="30" s="1"/>
  <c r="L55" i="30"/>
  <c r="O55" i="30"/>
  <c r="G56" i="30"/>
  <c r="N56" i="30" s="1"/>
  <c r="L56" i="30"/>
  <c r="O56" i="30"/>
  <c r="G57" i="30"/>
  <c r="L57" i="30"/>
  <c r="V57" i="30" s="1"/>
  <c r="O57" i="30"/>
  <c r="G58" i="30"/>
  <c r="O31" i="30" s="1"/>
  <c r="L58" i="30"/>
  <c r="O58" i="30"/>
  <c r="G59" i="30"/>
  <c r="N59" i="30" s="1"/>
  <c r="L59" i="30"/>
  <c r="V59" i="30" s="1"/>
  <c r="O59" i="30"/>
  <c r="G60" i="30"/>
  <c r="N60" i="30" s="1"/>
  <c r="L60" i="30"/>
  <c r="V60" i="30" s="1"/>
  <c r="O60" i="30"/>
  <c r="G61" i="30"/>
  <c r="M61" i="30" s="1"/>
  <c r="P61" i="30" s="1"/>
  <c r="L61" i="30"/>
  <c r="V61" i="30" s="1"/>
  <c r="W61" i="30" s="1"/>
  <c r="O61" i="30"/>
  <c r="G62" i="30"/>
  <c r="N62" i="30" s="1"/>
  <c r="L62" i="30"/>
  <c r="V62" i="30" s="1"/>
  <c r="O62" i="30"/>
  <c r="G63" i="30"/>
  <c r="N63" i="30" s="1"/>
  <c r="L63" i="30"/>
  <c r="O63" i="30"/>
  <c r="G64" i="30"/>
  <c r="N64" i="30" s="1"/>
  <c r="L64" i="30"/>
  <c r="O64" i="30"/>
  <c r="G65" i="30"/>
  <c r="L65" i="30"/>
  <c r="V65" i="30" s="1"/>
  <c r="O65" i="30"/>
  <c r="G66" i="30"/>
  <c r="O39" i="30" s="1"/>
  <c r="L66" i="30"/>
  <c r="O66" i="30"/>
  <c r="G67" i="30"/>
  <c r="N67" i="30" s="1"/>
  <c r="L67" i="30"/>
  <c r="O67" i="30"/>
  <c r="G68" i="30"/>
  <c r="N68" i="30" s="1"/>
  <c r="L68" i="30"/>
  <c r="O68" i="30"/>
  <c r="G69" i="30"/>
  <c r="M69" i="30" s="1"/>
  <c r="P69" i="30" s="1"/>
  <c r="L69" i="30"/>
  <c r="V69" i="30" s="1"/>
  <c r="W69" i="30" s="1"/>
  <c r="O69" i="30"/>
  <c r="G70" i="30"/>
  <c r="N70" i="30" s="1"/>
  <c r="L70" i="30"/>
  <c r="V70" i="30" s="1"/>
  <c r="O70" i="30"/>
  <c r="G71" i="30"/>
  <c r="N71" i="30" s="1"/>
  <c r="L71" i="30"/>
  <c r="V71" i="30" s="1"/>
  <c r="W71" i="30" s="1"/>
  <c r="M71" i="30"/>
  <c r="P71" i="30" s="1"/>
  <c r="O71" i="30"/>
  <c r="G72" i="30"/>
  <c r="N72" i="30" s="1"/>
  <c r="L72" i="30"/>
  <c r="V72" i="30" s="1"/>
  <c r="O72" i="30"/>
  <c r="G73" i="30"/>
  <c r="L73" i="30"/>
  <c r="V73" i="30" s="1"/>
  <c r="O73" i="30"/>
  <c r="G74" i="30"/>
  <c r="O47" i="30" s="1"/>
  <c r="L74" i="30"/>
  <c r="V74" i="30" s="1"/>
  <c r="O74" i="30"/>
  <c r="G75" i="30"/>
  <c r="N75" i="30" s="1"/>
  <c r="L75" i="30"/>
  <c r="M75" i="30"/>
  <c r="P75" i="30" s="1"/>
  <c r="O75" i="30"/>
  <c r="G76" i="30"/>
  <c r="N76" i="30" s="1"/>
  <c r="L76" i="30"/>
  <c r="V76" i="30" s="1"/>
  <c r="O76" i="30"/>
  <c r="G77" i="30"/>
  <c r="M77" i="30" s="1"/>
  <c r="P77" i="30" s="1"/>
  <c r="L77" i="30"/>
  <c r="V77" i="30" s="1"/>
  <c r="W77" i="30" s="1"/>
  <c r="O77" i="30"/>
  <c r="G78" i="30"/>
  <c r="M78" i="30" s="1"/>
  <c r="P78" i="30" s="1"/>
  <c r="L78" i="30"/>
  <c r="O78" i="30"/>
  <c r="G79" i="30"/>
  <c r="N79" i="30" s="1"/>
  <c r="L79" i="30"/>
  <c r="V79" i="30" s="1"/>
  <c r="W79" i="30" s="1"/>
  <c r="M79" i="30"/>
  <c r="P79" i="30" s="1"/>
  <c r="O79" i="30"/>
  <c r="G80" i="30"/>
  <c r="N80" i="30" s="1"/>
  <c r="L80" i="30"/>
  <c r="O80" i="30"/>
  <c r="G28" i="30"/>
  <c r="L28" i="30"/>
  <c r="V28" i="30" s="1"/>
  <c r="N28" i="30"/>
  <c r="G29" i="30"/>
  <c r="L29" i="30"/>
  <c r="V29" i="30" s="1"/>
  <c r="W29" i="30" s="1"/>
  <c r="M29" i="30"/>
  <c r="P29" i="30" s="1"/>
  <c r="N29" i="30"/>
  <c r="O29" i="30"/>
  <c r="G30" i="30"/>
  <c r="N30" i="30" s="1"/>
  <c r="L30" i="30"/>
  <c r="O30" i="30"/>
  <c r="G31" i="30"/>
  <c r="L31" i="30"/>
  <c r="V31" i="30" s="1"/>
  <c r="G32" i="30"/>
  <c r="M32" i="30" s="1"/>
  <c r="P32" i="30" s="1"/>
  <c r="L32" i="30"/>
  <c r="O32" i="30"/>
  <c r="G33" i="30"/>
  <c r="N33" i="30" s="1"/>
  <c r="L33" i="30"/>
  <c r="V33" i="30" s="1"/>
  <c r="W33" i="30" s="1"/>
  <c r="M33" i="30"/>
  <c r="P33" i="30" s="1"/>
  <c r="G34" i="30"/>
  <c r="L34" i="30"/>
  <c r="V34" i="30" s="1"/>
  <c r="G35" i="30"/>
  <c r="L35" i="30"/>
  <c r="V35" i="30" s="1"/>
  <c r="G36" i="30"/>
  <c r="N36" i="30" s="1"/>
  <c r="L36" i="30"/>
  <c r="M36" i="30" s="1"/>
  <c r="P36" i="30" s="1"/>
  <c r="G37" i="30"/>
  <c r="L37" i="30"/>
  <c r="V37" i="30" s="1"/>
  <c r="O37" i="30"/>
  <c r="G38" i="30"/>
  <c r="M38" i="30" s="1"/>
  <c r="P38" i="30" s="1"/>
  <c r="L38" i="30"/>
  <c r="V38" i="30" s="1"/>
  <c r="W38" i="30" s="1"/>
  <c r="G39" i="30"/>
  <c r="M39" i="30" s="1"/>
  <c r="P39" i="30" s="1"/>
  <c r="L39" i="30"/>
  <c r="V39" i="30" s="1"/>
  <c r="W39" i="30" s="1"/>
  <c r="G40" i="30"/>
  <c r="M40" i="30" s="1"/>
  <c r="P40" i="30" s="1"/>
  <c r="L40" i="30"/>
  <c r="O40" i="30"/>
  <c r="G41" i="30"/>
  <c r="N41" i="30" s="1"/>
  <c r="L41" i="30"/>
  <c r="V41" i="30" s="1"/>
  <c r="G42" i="30"/>
  <c r="L42" i="30"/>
  <c r="V42" i="30" s="1"/>
  <c r="O42" i="30"/>
  <c r="G43" i="30"/>
  <c r="L43" i="30"/>
  <c r="V43" i="30" s="1"/>
  <c r="O43" i="30"/>
  <c r="G44" i="30"/>
  <c r="M44" i="30" s="1"/>
  <c r="P44" i="30" s="1"/>
  <c r="L44" i="30"/>
  <c r="O44" i="30"/>
  <c r="G45" i="30"/>
  <c r="N45" i="30" s="1"/>
  <c r="L45" i="30"/>
  <c r="V45" i="30" s="1"/>
  <c r="G46" i="30"/>
  <c r="L46" i="30"/>
  <c r="V46" i="30" s="1"/>
  <c r="O46" i="30"/>
  <c r="G47" i="30"/>
  <c r="L47" i="30"/>
  <c r="V47" i="30" s="1"/>
  <c r="G48" i="30"/>
  <c r="M48" i="30" s="1"/>
  <c r="P48" i="30" s="1"/>
  <c r="L48" i="30"/>
  <c r="V48" i="30" s="1"/>
  <c r="N48" i="30"/>
  <c r="O48" i="30"/>
  <c r="G49" i="30"/>
  <c r="L49" i="30"/>
  <c r="V49" i="30" s="1"/>
  <c r="N49" i="30"/>
  <c r="G50" i="30"/>
  <c r="L50" i="30"/>
  <c r="V50" i="30" s="1"/>
  <c r="G51" i="30"/>
  <c r="L51" i="30"/>
  <c r="V51" i="30" s="1"/>
  <c r="G52" i="30"/>
  <c r="N52" i="30" s="1"/>
  <c r="L52" i="30"/>
  <c r="V52" i="30" s="1"/>
  <c r="O52" i="30"/>
  <c r="G53" i="30"/>
  <c r="M53" i="30" s="1"/>
  <c r="P53" i="30" s="1"/>
  <c r="L53" i="30"/>
  <c r="V53" i="30" s="1"/>
  <c r="W53" i="30" s="1"/>
  <c r="G54" i="30"/>
  <c r="L54" i="30"/>
  <c r="V54" i="30" s="1"/>
  <c r="O54" i="30"/>
  <c r="O27" i="30"/>
  <c r="L27" i="30"/>
  <c r="V27" i="30" s="1"/>
  <c r="G27" i="30"/>
  <c r="N27" i="30" s="1"/>
  <c r="L26" i="30"/>
  <c r="V26" i="30" s="1"/>
  <c r="G26" i="30"/>
  <c r="N26" i="30" s="1"/>
  <c r="N25" i="30"/>
  <c r="L25" i="30"/>
  <c r="V25" i="30" s="1"/>
  <c r="G25" i="30"/>
  <c r="M25" i="30" s="1"/>
  <c r="P25" i="30" s="1"/>
  <c r="P22" i="30"/>
  <c r="O22" i="30"/>
  <c r="Q22" i="30" s="1"/>
  <c r="N22" i="30"/>
  <c r="P21" i="30"/>
  <c r="O21" i="30"/>
  <c r="N21" i="30"/>
  <c r="P20" i="30"/>
  <c r="O20" i="30"/>
  <c r="N20" i="30"/>
  <c r="P19" i="30"/>
  <c r="O19" i="30"/>
  <c r="N19" i="30"/>
  <c r="P18" i="30"/>
  <c r="O18" i="30"/>
  <c r="N18" i="30"/>
  <c r="P17" i="30"/>
  <c r="O17" i="30"/>
  <c r="N17" i="30"/>
  <c r="P16" i="30"/>
  <c r="O16" i="30"/>
  <c r="N16" i="30"/>
  <c r="P15" i="30"/>
  <c r="O15" i="30"/>
  <c r="N15" i="30"/>
  <c r="P14" i="30"/>
  <c r="O14" i="30"/>
  <c r="N14" i="30"/>
  <c r="P13" i="30"/>
  <c r="O13" i="30"/>
  <c r="N13" i="30"/>
  <c r="I3" i="30"/>
  <c r="I1" i="30"/>
  <c r="V55" i="29"/>
  <c r="V54" i="29"/>
  <c r="V51" i="29"/>
  <c r="L23" i="29"/>
  <c r="M23" i="29" s="1"/>
  <c r="P23" i="29" s="1"/>
  <c r="L24" i="29"/>
  <c r="G23" i="29"/>
  <c r="G24" i="29"/>
  <c r="O23" i="29" s="1"/>
  <c r="G25" i="29"/>
  <c r="N25" i="29" s="1"/>
  <c r="N24" i="29"/>
  <c r="P14" i="29"/>
  <c r="P15" i="29"/>
  <c r="P16" i="29"/>
  <c r="P17" i="29"/>
  <c r="P18" i="29"/>
  <c r="P19" i="29"/>
  <c r="P20" i="29"/>
  <c r="L25" i="29"/>
  <c r="L26" i="29"/>
  <c r="L27" i="29"/>
  <c r="L28" i="29"/>
  <c r="L29" i="29"/>
  <c r="L30" i="29"/>
  <c r="L31" i="29"/>
  <c r="G26" i="29"/>
  <c r="O25" i="29" s="1"/>
  <c r="G27" i="29"/>
  <c r="M27" i="29" s="1"/>
  <c r="P27" i="29" s="1"/>
  <c r="G28" i="29"/>
  <c r="O27" i="29" s="1"/>
  <c r="G29" i="29"/>
  <c r="N29" i="29" s="1"/>
  <c r="G30" i="29"/>
  <c r="O29" i="29" s="1"/>
  <c r="G31" i="29"/>
  <c r="M31" i="29" s="1"/>
  <c r="P31" i="29" s="1"/>
  <c r="F54" i="27"/>
  <c r="G54" i="27"/>
  <c r="F6" i="32" l="1"/>
  <c r="L11" i="32"/>
  <c r="H11" i="32" s="1"/>
  <c r="I8" i="32"/>
  <c r="H7" i="32"/>
  <c r="H15" i="32"/>
  <c r="L14" i="32"/>
  <c r="I16" i="32" s="1"/>
  <c r="Q16" i="32" s="1"/>
  <c r="O16" i="32" s="1"/>
  <c r="H13" i="33"/>
  <c r="L13" i="33"/>
  <c r="G14" i="31"/>
  <c r="H14" i="31" s="1"/>
  <c r="L13" i="31"/>
  <c r="Q15" i="31" s="1"/>
  <c r="O15" i="31" s="1"/>
  <c r="L7" i="31"/>
  <c r="G6" i="31"/>
  <c r="H7" i="31" s="1"/>
  <c r="H16" i="31"/>
  <c r="F6" i="33"/>
  <c r="L6" i="33"/>
  <c r="M6" i="33" s="1"/>
  <c r="H12" i="33"/>
  <c r="H7" i="34"/>
  <c r="H14" i="33"/>
  <c r="H9" i="32"/>
  <c r="H8" i="32"/>
  <c r="H11" i="31"/>
  <c r="M29" i="29"/>
  <c r="P29" i="29" s="1"/>
  <c r="Q29" i="29" s="1"/>
  <c r="M28" i="29"/>
  <c r="P28" i="29" s="1"/>
  <c r="O24" i="29"/>
  <c r="N31" i="29"/>
  <c r="Q31" i="29" s="1"/>
  <c r="M30" i="29"/>
  <c r="P30" i="29" s="1"/>
  <c r="N30" i="29"/>
  <c r="O28" i="29"/>
  <c r="N28" i="29"/>
  <c r="N27" i="29"/>
  <c r="O26" i="29"/>
  <c r="D28" i="33"/>
  <c r="H7" i="33"/>
  <c r="L6" i="32"/>
  <c r="H8" i="31"/>
  <c r="D25" i="34"/>
  <c r="H8" i="33"/>
  <c r="D27" i="31"/>
  <c r="W59" i="30"/>
  <c r="W51" i="30"/>
  <c r="W37" i="30"/>
  <c r="W46" i="30"/>
  <c r="W70" i="30"/>
  <c r="W68" i="30"/>
  <c r="W31" i="30"/>
  <c r="W41" i="30"/>
  <c r="W52" i="30"/>
  <c r="W65" i="30"/>
  <c r="W76" i="30"/>
  <c r="W63" i="30"/>
  <c r="W34" i="30"/>
  <c r="W72" i="30"/>
  <c r="W60" i="30"/>
  <c r="W25" i="30"/>
  <c r="W48" i="30"/>
  <c r="N53" i="30"/>
  <c r="M46" i="30"/>
  <c r="P46" i="30" s="1"/>
  <c r="M42" i="30"/>
  <c r="P42" i="30" s="1"/>
  <c r="M45" i="30"/>
  <c r="P45" i="30" s="1"/>
  <c r="M41" i="30"/>
  <c r="P41" i="30" s="1"/>
  <c r="M37" i="30"/>
  <c r="P37" i="30" s="1"/>
  <c r="M67" i="30"/>
  <c r="P67" i="30" s="1"/>
  <c r="Q67" i="30" s="1"/>
  <c r="M26" i="29"/>
  <c r="P26" i="29" s="1"/>
  <c r="Q15" i="30"/>
  <c r="Q19" i="30"/>
  <c r="M49" i="30"/>
  <c r="P49" i="30" s="1"/>
  <c r="O36" i="30"/>
  <c r="Q36" i="30" s="1"/>
  <c r="O28" i="30"/>
  <c r="M63" i="30"/>
  <c r="P63" i="30" s="1"/>
  <c r="V36" i="30"/>
  <c r="W36" i="30" s="1"/>
  <c r="M25" i="29"/>
  <c r="P25" i="29" s="1"/>
  <c r="Q25" i="29" s="1"/>
  <c r="M59" i="30"/>
  <c r="P59" i="30" s="1"/>
  <c r="N55" i="30"/>
  <c r="Q55" i="30" s="1"/>
  <c r="M24" i="29"/>
  <c r="P24" i="29" s="1"/>
  <c r="Q24" i="29" s="1"/>
  <c r="Q16" i="30"/>
  <c r="Q20" i="30"/>
  <c r="M26" i="30"/>
  <c r="P26" i="30" s="1"/>
  <c r="M31" i="30"/>
  <c r="P31" i="30" s="1"/>
  <c r="M28" i="30"/>
  <c r="P28" i="30" s="1"/>
  <c r="Q28" i="30" s="1"/>
  <c r="M52" i="30"/>
  <c r="P52" i="30" s="1"/>
  <c r="M35" i="30"/>
  <c r="P35" i="30" s="1"/>
  <c r="M30" i="30"/>
  <c r="P30" i="30" s="1"/>
  <c r="M73" i="30"/>
  <c r="P73" i="30" s="1"/>
  <c r="V30" i="30"/>
  <c r="W30" i="30" s="1"/>
  <c r="W40" i="30"/>
  <c r="O30" i="29"/>
  <c r="N26" i="29"/>
  <c r="Q23" i="29"/>
  <c r="M51" i="30"/>
  <c r="P51" i="30" s="1"/>
  <c r="M47" i="30"/>
  <c r="P47" i="30" s="1"/>
  <c r="M43" i="30"/>
  <c r="P43" i="30" s="1"/>
  <c r="M34" i="30"/>
  <c r="P34" i="30" s="1"/>
  <c r="M65" i="30"/>
  <c r="P65" i="30" s="1"/>
  <c r="M54" i="30"/>
  <c r="P54" i="30" s="1"/>
  <c r="M50" i="30"/>
  <c r="P50" i="30" s="1"/>
  <c r="M57" i="30"/>
  <c r="P57" i="30" s="1"/>
  <c r="Q71" i="30"/>
  <c r="Q63" i="30"/>
  <c r="Q59" i="30"/>
  <c r="O53" i="30"/>
  <c r="N44" i="30"/>
  <c r="Q44" i="30" s="1"/>
  <c r="N40" i="30"/>
  <c r="Q40" i="30" s="1"/>
  <c r="N37" i="30"/>
  <c r="Q37" i="30" s="1"/>
  <c r="N32" i="30"/>
  <c r="Q32" i="30" s="1"/>
  <c r="O41" i="30"/>
  <c r="Q41" i="30" s="1"/>
  <c r="O33" i="30"/>
  <c r="Q33" i="30" s="1"/>
  <c r="M80" i="30"/>
  <c r="P80" i="30" s="1"/>
  <c r="Q80" i="30" s="1"/>
  <c r="M76" i="30"/>
  <c r="P76" i="30" s="1"/>
  <c r="M72" i="30"/>
  <c r="P72" i="30" s="1"/>
  <c r="Q72" i="30" s="1"/>
  <c r="M68" i="30"/>
  <c r="P68" i="30" s="1"/>
  <c r="Q68" i="30" s="1"/>
  <c r="M64" i="30"/>
  <c r="M60" i="30"/>
  <c r="P60" i="30" s="1"/>
  <c r="Q60" i="30" s="1"/>
  <c r="Q79" i="30"/>
  <c r="Q75" i="30"/>
  <c r="O45" i="30"/>
  <c r="Q53" i="30"/>
  <c r="O49" i="30"/>
  <c r="M56" i="30"/>
  <c r="P56" i="30" s="1"/>
  <c r="Q76" i="30"/>
  <c r="Q56" i="30"/>
  <c r="N78" i="30"/>
  <c r="Q78" i="30" s="1"/>
  <c r="N66" i="30"/>
  <c r="N58" i="30"/>
  <c r="Q52" i="30"/>
  <c r="O51" i="30"/>
  <c r="O38" i="30"/>
  <c r="O35" i="30"/>
  <c r="Q29" i="30"/>
  <c r="N77" i="30"/>
  <c r="Q77" i="30" s="1"/>
  <c r="M74" i="30"/>
  <c r="P74" i="30" s="1"/>
  <c r="N73" i="30"/>
  <c r="M70" i="30"/>
  <c r="P70" i="30" s="1"/>
  <c r="Q70" i="30" s="1"/>
  <c r="N69" i="30"/>
  <c r="Q69" i="30" s="1"/>
  <c r="M66" i="30"/>
  <c r="N65" i="30"/>
  <c r="Q65" i="30" s="1"/>
  <c r="M62" i="30"/>
  <c r="P62" i="30" s="1"/>
  <c r="Q62" i="30" s="1"/>
  <c r="N61" i="30"/>
  <c r="Q61" i="30" s="1"/>
  <c r="M58" i="30"/>
  <c r="P58" i="30" s="1"/>
  <c r="N57" i="30"/>
  <c r="Q57" i="30" s="1"/>
  <c r="N74" i="30"/>
  <c r="O50" i="30"/>
  <c r="Q48" i="30"/>
  <c r="O34" i="30"/>
  <c r="Q31" i="30"/>
  <c r="Q30" i="30"/>
  <c r="N51" i="30"/>
  <c r="N47" i="30"/>
  <c r="Q47" i="30" s="1"/>
  <c r="N43" i="30"/>
  <c r="N39" i="30"/>
  <c r="Q39" i="30" s="1"/>
  <c r="N35" i="30"/>
  <c r="N31" i="30"/>
  <c r="N54" i="30"/>
  <c r="N50" i="30"/>
  <c r="N46" i="30"/>
  <c r="Q46" i="30" s="1"/>
  <c r="N42" i="30"/>
  <c r="N38" i="30"/>
  <c r="N34" i="30"/>
  <c r="Q14" i="30"/>
  <c r="R14" i="30" s="1"/>
  <c r="S14" i="30" s="1"/>
  <c r="Q18" i="30"/>
  <c r="Q13" i="30"/>
  <c r="R16" i="30" s="1"/>
  <c r="S16" i="30" s="1"/>
  <c r="Q17" i="30"/>
  <c r="Q21" i="30"/>
  <c r="R13" i="30"/>
  <c r="S13" i="30" s="1"/>
  <c r="R18" i="30"/>
  <c r="S18" i="30" s="1"/>
  <c r="O25" i="30"/>
  <c r="Q25" i="30" s="1"/>
  <c r="M27" i="30"/>
  <c r="P27" i="30" s="1"/>
  <c r="Q27" i="30" s="1"/>
  <c r="O26" i="30"/>
  <c r="Q26" i="30" s="1"/>
  <c r="Q27" i="29"/>
  <c r="L8" i="32" l="1"/>
  <c r="I11" i="32" s="1"/>
  <c r="Q11" i="32" s="1"/>
  <c r="P8" i="32"/>
  <c r="F6" i="31"/>
  <c r="L6" i="31"/>
  <c r="M6" i="31" s="1"/>
  <c r="F14" i="31"/>
  <c r="H15" i="31"/>
  <c r="Q30" i="29"/>
  <c r="Q28" i="29"/>
  <c r="W45" i="30"/>
  <c r="W28" i="30"/>
  <c r="R22" i="30"/>
  <c r="S22" i="30" s="1"/>
  <c r="I4" i="30" s="1"/>
  <c r="Q45" i="30"/>
  <c r="W62" i="30"/>
  <c r="W73" i="30"/>
  <c r="R15" i="30"/>
  <c r="S15" i="30" s="1"/>
  <c r="R17" i="30"/>
  <c r="S17" i="30" s="1"/>
  <c r="P64" i="30"/>
  <c r="Q64" i="30" s="1"/>
  <c r="W64" i="30"/>
  <c r="Q26" i="29"/>
  <c r="W54" i="30"/>
  <c r="W50" i="30"/>
  <c r="W74" i="30"/>
  <c r="W27" i="30"/>
  <c r="R20" i="30"/>
  <c r="S20" i="30" s="1"/>
  <c r="Q38" i="30"/>
  <c r="P66" i="30"/>
  <c r="W66" i="30"/>
  <c r="Q42" i="30"/>
  <c r="R19" i="30"/>
  <c r="S19" i="30" s="1"/>
  <c r="Q50" i="30"/>
  <c r="R21" i="30"/>
  <c r="S21" i="30" s="1"/>
  <c r="Q54" i="30"/>
  <c r="W42" i="30"/>
  <c r="Q73" i="30"/>
  <c r="W56" i="30"/>
  <c r="W57" i="30"/>
  <c r="W67" i="30"/>
  <c r="W43" i="30"/>
  <c r="W35" i="30"/>
  <c r="W26" i="30"/>
  <c r="Q43" i="30"/>
  <c r="Q58" i="30"/>
  <c r="Q49" i="30"/>
  <c r="W58" i="30"/>
  <c r="W49" i="30"/>
  <c r="W47" i="30"/>
  <c r="W80" i="30"/>
  <c r="R58" i="30"/>
  <c r="S58" i="30" s="1"/>
  <c r="R61" i="30"/>
  <c r="S61" i="30" s="1"/>
  <c r="R62" i="30"/>
  <c r="S62" i="30" s="1"/>
  <c r="R65" i="30"/>
  <c r="S65" i="30" s="1"/>
  <c r="R66" i="30"/>
  <c r="S66" i="30" s="1"/>
  <c r="R69" i="30"/>
  <c r="S69" i="30" s="1"/>
  <c r="R70" i="30"/>
  <c r="S70" i="30" s="1"/>
  <c r="R73" i="30"/>
  <c r="S73" i="30" s="1"/>
  <c r="R74" i="30"/>
  <c r="S74" i="30" s="1"/>
  <c r="R77" i="30"/>
  <c r="S77" i="30" s="1"/>
  <c r="R78" i="30"/>
  <c r="S78" i="30" s="1"/>
  <c r="R32" i="30"/>
  <c r="S32" i="30" s="1"/>
  <c r="R35" i="30"/>
  <c r="S35" i="30" s="1"/>
  <c r="R37" i="30"/>
  <c r="S37" i="30" s="1"/>
  <c r="R40" i="30"/>
  <c r="S40" i="30" s="1"/>
  <c r="R44" i="30"/>
  <c r="S44" i="30" s="1"/>
  <c r="R50" i="30"/>
  <c r="S50" i="30" s="1"/>
  <c r="R49" i="30"/>
  <c r="S49" i="30" s="1"/>
  <c r="R52" i="30"/>
  <c r="S52" i="30" s="1"/>
  <c r="R30" i="30"/>
  <c r="S30" i="30" s="1"/>
  <c r="R55" i="30"/>
  <c r="S55" i="30" s="1"/>
  <c r="R28" i="30"/>
  <c r="S28" i="30" s="1"/>
  <c r="R34" i="30"/>
  <c r="S34" i="30" s="1"/>
  <c r="R47" i="30"/>
  <c r="S47" i="30" s="1"/>
  <c r="R29" i="30"/>
  <c r="S29" i="30" s="1"/>
  <c r="R38" i="30"/>
  <c r="S38" i="30" s="1"/>
  <c r="R53" i="30"/>
  <c r="S53" i="30" s="1"/>
  <c r="R56" i="30"/>
  <c r="S56" i="30" s="1"/>
  <c r="R59" i="30"/>
  <c r="S59" i="30" s="1"/>
  <c r="R63" i="30"/>
  <c r="S63" i="30" s="1"/>
  <c r="R67" i="30"/>
  <c r="S67" i="30" s="1"/>
  <c r="R71" i="30"/>
  <c r="S71" i="30" s="1"/>
  <c r="R75" i="30"/>
  <c r="S75" i="30" s="1"/>
  <c r="R79" i="30"/>
  <c r="S79" i="30" s="1"/>
  <c r="R31" i="30"/>
  <c r="S31" i="30" s="1"/>
  <c r="R33" i="30"/>
  <c r="S33" i="30" s="1"/>
  <c r="R36" i="30"/>
  <c r="S36" i="30" s="1"/>
  <c r="R39" i="30"/>
  <c r="S39" i="30" s="1"/>
  <c r="R41" i="30"/>
  <c r="S41" i="30" s="1"/>
  <c r="R42" i="30"/>
  <c r="S42" i="30" s="1"/>
  <c r="R43" i="30"/>
  <c r="S43" i="30" s="1"/>
  <c r="R45" i="30"/>
  <c r="S45" i="30" s="1"/>
  <c r="R46" i="30"/>
  <c r="S46" i="30" s="1"/>
  <c r="R57" i="30"/>
  <c r="S57" i="30" s="1"/>
  <c r="R60" i="30"/>
  <c r="S60" i="30" s="1"/>
  <c r="R64" i="30"/>
  <c r="S64" i="30" s="1"/>
  <c r="R68" i="30"/>
  <c r="S68" i="30" s="1"/>
  <c r="R72" i="30"/>
  <c r="S72" i="30" s="1"/>
  <c r="R76" i="30"/>
  <c r="S76" i="30" s="1"/>
  <c r="R80" i="30"/>
  <c r="S80" i="30" s="1"/>
  <c r="R48" i="30"/>
  <c r="S48" i="30" s="1"/>
  <c r="R51" i="30"/>
  <c r="S51" i="30" s="1"/>
  <c r="R54" i="30"/>
  <c r="S54" i="30" s="1"/>
  <c r="Q66" i="30"/>
  <c r="Q74" i="30"/>
  <c r="Q35" i="30"/>
  <c r="Q51" i="30"/>
  <c r="Q34" i="30"/>
  <c r="R27" i="30"/>
  <c r="S27" i="30" s="1"/>
  <c r="R26" i="30"/>
  <c r="S26" i="30" s="1"/>
  <c r="R25" i="30"/>
  <c r="S25" i="30" s="1"/>
  <c r="F3" i="19" l="1"/>
  <c r="C28" i="32"/>
  <c r="C30" i="32"/>
  <c r="D30" i="32" s="1"/>
  <c r="O9" i="32"/>
  <c r="D28" i="32"/>
  <c r="M6" i="32"/>
  <c r="C29" i="32"/>
  <c r="D29" i="32" s="1"/>
  <c r="G3" i="19"/>
  <c r="E14" i="27"/>
  <c r="E15" i="27"/>
  <c r="V52" i="29"/>
  <c r="V53" i="29" s="1"/>
  <c r="I3" i="29"/>
  <c r="N20" i="29"/>
  <c r="O19" i="29"/>
  <c r="N19" i="29"/>
  <c r="O18" i="29"/>
  <c r="N18" i="29"/>
  <c r="O17" i="29"/>
  <c r="N17" i="29"/>
  <c r="O16" i="29"/>
  <c r="N16" i="29"/>
  <c r="O15" i="29"/>
  <c r="N15" i="29"/>
  <c r="O14" i="29"/>
  <c r="N14" i="29"/>
  <c r="O13" i="29"/>
  <c r="N13" i="29"/>
  <c r="Q13" i="29" l="1"/>
  <c r="R13" i="29" s="1"/>
  <c r="S13" i="29" s="1"/>
  <c r="Q18" i="29"/>
  <c r="Q14" i="29"/>
  <c r="Q16" i="29"/>
  <c r="Q15" i="29"/>
  <c r="Q17" i="29"/>
  <c r="R23" i="29" l="1"/>
  <c r="S23" i="29" s="1"/>
  <c r="R31" i="29"/>
  <c r="S31" i="29" s="1"/>
  <c r="R25" i="29"/>
  <c r="S25" i="29" s="1"/>
  <c r="R27" i="29"/>
  <c r="S27" i="29" s="1"/>
  <c r="R28" i="29"/>
  <c r="S28" i="29" s="1"/>
  <c r="R29" i="29"/>
  <c r="S29" i="29" s="1"/>
  <c r="R30" i="29"/>
  <c r="S30" i="29" s="1"/>
  <c r="R26" i="29"/>
  <c r="S26" i="29" s="1"/>
  <c r="R24" i="29"/>
  <c r="S24" i="29" s="1"/>
  <c r="R19" i="29"/>
  <c r="S19" i="29" s="1"/>
  <c r="R17" i="29"/>
  <c r="S17" i="29" s="1"/>
  <c r="R15" i="29"/>
  <c r="S15" i="29" s="1"/>
  <c r="R20" i="29"/>
  <c r="S20" i="29" s="1"/>
  <c r="R18" i="29"/>
  <c r="S18" i="29" s="1"/>
  <c r="R14" i="29"/>
  <c r="S14" i="29" s="1"/>
  <c r="R16" i="29"/>
  <c r="S16" i="29" s="1"/>
  <c r="P11" i="2" l="1"/>
  <c r="O11" i="2" s="1"/>
  <c r="P12" i="2"/>
  <c r="O12" i="2" s="1"/>
  <c r="P13" i="2"/>
  <c r="O13" i="2" s="1"/>
  <c r="P14" i="2"/>
  <c r="O14" i="2" s="1"/>
  <c r="P16" i="2"/>
  <c r="O7" i="2"/>
  <c r="P9" i="2"/>
  <c r="O9" i="2" s="1"/>
  <c r="O16" i="2"/>
  <c r="G11" i="2"/>
  <c r="G12" i="2"/>
  <c r="H12" i="2" s="1"/>
  <c r="G13" i="2"/>
  <c r="G14" i="2"/>
  <c r="G16" i="2"/>
  <c r="G7" i="2"/>
  <c r="G9" i="2"/>
  <c r="H9" i="2" s="1"/>
  <c r="G6" i="2"/>
  <c r="M6" i="2" s="1"/>
  <c r="H8" i="2" l="1"/>
  <c r="H7" i="2"/>
  <c r="H13" i="2"/>
  <c r="H14" i="2"/>
  <c r="I1" i="27" l="1"/>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H54" i="27" s="1"/>
  <c r="M53" i="27"/>
  <c r="I3" i="27" s="1"/>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13" i="27"/>
  <c r="G19" i="27"/>
  <c r="G20" i="27"/>
  <c r="G21" i="27"/>
  <c r="G22" i="27"/>
  <c r="G23" i="27"/>
  <c r="G24" i="27"/>
  <c r="G25" i="27"/>
  <c r="G26" i="27"/>
  <c r="G27" i="27"/>
  <c r="G28" i="27"/>
  <c r="G29" i="27"/>
  <c r="G30" i="27"/>
  <c r="G31" i="27"/>
  <c r="H31" i="27" s="1"/>
  <c r="G32" i="27"/>
  <c r="G33" i="27"/>
  <c r="G34" i="27"/>
  <c r="G35" i="27"/>
  <c r="G36" i="27"/>
  <c r="G37" i="27"/>
  <c r="G38" i="27"/>
  <c r="G39" i="27"/>
  <c r="G40" i="27"/>
  <c r="G41" i="27"/>
  <c r="G42" i="27"/>
  <c r="G43" i="27"/>
  <c r="G44" i="27"/>
  <c r="G45" i="27"/>
  <c r="G46" i="27"/>
  <c r="G47" i="27"/>
  <c r="G48" i="27"/>
  <c r="G49" i="27"/>
  <c r="G50" i="27"/>
  <c r="G51" i="27"/>
  <c r="G52" i="27"/>
  <c r="G53" i="27"/>
  <c r="H30" i="27" l="1"/>
  <c r="H22" i="27"/>
  <c r="H51" i="27"/>
  <c r="H47" i="27"/>
  <c r="H19" i="27"/>
  <c r="H46" i="27"/>
  <c r="H42" i="27"/>
  <c r="H43" i="27"/>
  <c r="H41" i="27"/>
  <c r="H39" i="27"/>
  <c r="H35" i="27"/>
  <c r="H45" i="27"/>
  <c r="H50" i="27"/>
  <c r="H44" i="27"/>
  <c r="H38" i="27"/>
  <c r="H36" i="27"/>
  <c r="H27" i="27"/>
  <c r="H23" i="27"/>
  <c r="H49" i="27"/>
  <c r="H26" i="27"/>
  <c r="H48" i="27"/>
  <c r="H40" i="27"/>
  <c r="H32" i="27"/>
  <c r="H24" i="27"/>
  <c r="H53" i="27"/>
  <c r="H52" i="27"/>
  <c r="H34" i="27"/>
  <c r="H29" i="27"/>
  <c r="H25" i="27"/>
  <c r="H20" i="27"/>
  <c r="H37" i="27"/>
  <c r="H33" i="27"/>
  <c r="H28" i="27"/>
  <c r="H21" i="27"/>
  <c r="D25" i="2" l="1"/>
  <c r="G14" i="27" l="1"/>
  <c r="G15" i="27"/>
  <c r="G16" i="27"/>
  <c r="G17" i="27"/>
  <c r="G18" i="27"/>
  <c r="G13" i="27"/>
  <c r="M57" i="27" l="1"/>
  <c r="M56" i="27"/>
  <c r="M54" i="27"/>
  <c r="M55" i="27" s="1"/>
  <c r="H18" i="27"/>
  <c r="E13" i="27"/>
  <c r="H13" i="27" l="1"/>
  <c r="H14" i="27"/>
  <c r="H15" i="27"/>
  <c r="H16" i="27"/>
  <c r="H17" i="27"/>
  <c r="I19" i="27" l="1"/>
  <c r="J19" i="27" s="1"/>
  <c r="I24" i="27"/>
  <c r="J24" i="27" s="1"/>
  <c r="I48" i="27"/>
  <c r="J48" i="27" s="1"/>
  <c r="I31" i="27"/>
  <c r="J31" i="27" s="1"/>
  <c r="I52" i="27"/>
  <c r="J52" i="27" s="1"/>
  <c r="I36" i="27"/>
  <c r="J36" i="27" s="1"/>
  <c r="I20" i="27"/>
  <c r="J20" i="27" s="1"/>
  <c r="I51" i="27"/>
  <c r="J51" i="27" s="1"/>
  <c r="I35" i="27"/>
  <c r="J35" i="27" s="1"/>
  <c r="I21" i="27"/>
  <c r="J21" i="27" s="1"/>
  <c r="I38" i="27"/>
  <c r="J38" i="27" s="1"/>
  <c r="I32" i="27"/>
  <c r="J32" i="27" s="1"/>
  <c r="I29" i="27"/>
  <c r="J29" i="27" s="1"/>
  <c r="I42" i="27"/>
  <c r="J42" i="27" s="1"/>
  <c r="I26" i="27"/>
  <c r="J26" i="27" s="1"/>
  <c r="I49" i="27"/>
  <c r="J49" i="27" s="1"/>
  <c r="I33" i="27"/>
  <c r="J33" i="27" s="1"/>
  <c r="I50" i="27"/>
  <c r="J50" i="27" s="1"/>
  <c r="I46" i="27"/>
  <c r="J46" i="27" s="1"/>
  <c r="I30" i="27"/>
  <c r="J30" i="27" s="1"/>
  <c r="I45" i="27"/>
  <c r="J45" i="27" s="1"/>
  <c r="I41" i="27"/>
  <c r="J41" i="27" s="1"/>
  <c r="I54" i="27"/>
  <c r="J54" i="27" s="1"/>
  <c r="I4" i="27" s="1"/>
  <c r="I40" i="27"/>
  <c r="J40" i="27" s="1"/>
  <c r="I37" i="27"/>
  <c r="J37" i="27" s="1"/>
  <c r="I39" i="27"/>
  <c r="J39" i="27" s="1"/>
  <c r="I23" i="27"/>
  <c r="J23" i="27" s="1"/>
  <c r="I44" i="27"/>
  <c r="J44" i="27" s="1"/>
  <c r="I28" i="27"/>
  <c r="J28" i="27" s="1"/>
  <c r="I47" i="27"/>
  <c r="J47" i="27" s="1"/>
  <c r="I43" i="27"/>
  <c r="J43" i="27" s="1"/>
  <c r="I27" i="27"/>
  <c r="J27" i="27" s="1"/>
  <c r="I53" i="27"/>
  <c r="J53" i="27" s="1"/>
  <c r="I34" i="27"/>
  <c r="J34" i="27" s="1"/>
  <c r="I25" i="27"/>
  <c r="J25" i="27" s="1"/>
  <c r="I22" i="27"/>
  <c r="J22" i="27" s="1"/>
  <c r="I14" i="27"/>
  <c r="J14" i="27" s="1"/>
  <c r="I13" i="27"/>
  <c r="J13" i="27" s="1"/>
  <c r="I18" i="27"/>
  <c r="J18" i="27" s="1"/>
  <c r="I15" i="27"/>
  <c r="J15" i="27" s="1"/>
  <c r="I16" i="27"/>
  <c r="J16" i="27" s="1"/>
  <c r="I17" i="27"/>
  <c r="J17" i="27" s="1"/>
  <c r="O59" i="38" l="1"/>
  <c r="O60" i="38"/>
  <c r="N61" i="38"/>
  <c r="Q61" i="38" s="1"/>
  <c r="N60" i="38" l="1"/>
  <c r="Q60" i="38" s="1"/>
  <c r="C58" i="38"/>
  <c r="N54" i="40" l="1"/>
  <c r="O54" i="40"/>
  <c r="AA58" i="38"/>
  <c r="O57" i="38"/>
  <c r="O58" i="38"/>
  <c r="N59" i="38"/>
  <c r="Q59" i="38" s="1"/>
  <c r="C52" i="40" l="1"/>
  <c r="C56" i="38"/>
  <c r="N58" i="38"/>
  <c r="Q58" i="38" s="1"/>
  <c r="N53" i="40" l="1"/>
  <c r="O51" i="40"/>
  <c r="O52" i="40"/>
  <c r="N52" i="40"/>
  <c r="Q53" i="40"/>
  <c r="O55" i="38"/>
  <c r="O56" i="38"/>
  <c r="AA56" i="38"/>
  <c r="N57" i="38"/>
  <c r="Q57" i="38" s="1"/>
  <c r="C50" i="40" l="1"/>
  <c r="Q52" i="40"/>
  <c r="C54" i="38"/>
  <c r="N56" i="38"/>
  <c r="Q56" i="38" s="1"/>
  <c r="O50" i="40" l="1"/>
  <c r="N50" i="40"/>
  <c r="N51" i="40"/>
  <c r="O49" i="40"/>
  <c r="Q51" i="40"/>
  <c r="AA54" i="38"/>
  <c r="O54" i="38"/>
  <c r="O53" i="38"/>
  <c r="N55" i="38"/>
  <c r="Q55" i="38" s="1"/>
  <c r="Q50" i="40" l="1"/>
  <c r="C52" i="38"/>
  <c r="N54" i="38"/>
  <c r="Q54" i="38" s="1"/>
  <c r="Q49" i="40" l="1"/>
  <c r="AA52" i="38"/>
  <c r="O51" i="38"/>
  <c r="O52" i="38"/>
  <c r="N53" i="38"/>
  <c r="Q53" i="38" s="1"/>
  <c r="C47" i="40" l="1"/>
  <c r="C50" i="38"/>
  <c r="N52" i="38"/>
  <c r="Q52" i="38" s="1"/>
  <c r="N47" i="40" l="1"/>
  <c r="N48" i="40"/>
  <c r="O46" i="40"/>
  <c r="O47" i="40"/>
  <c r="Q48" i="40"/>
  <c r="O49" i="38"/>
  <c r="O50" i="38"/>
  <c r="N51" i="38"/>
  <c r="Q51" i="38" s="1"/>
  <c r="Q47" i="40" l="1"/>
  <c r="C48" i="38"/>
  <c r="N50" i="38"/>
  <c r="Q50" i="38" s="1"/>
  <c r="Q46" i="40" l="1"/>
  <c r="O47" i="38"/>
  <c r="O48" i="38"/>
  <c r="N49" i="38"/>
  <c r="Q49" i="38" s="1"/>
  <c r="C44" i="40" l="1"/>
  <c r="C46" i="38"/>
  <c r="O46" i="38" s="1"/>
  <c r="N48" i="38"/>
  <c r="Q48" i="38" s="1"/>
  <c r="N45" i="40" l="1"/>
  <c r="N44" i="40"/>
  <c r="O43" i="40"/>
  <c r="O44" i="40"/>
  <c r="Q45" i="40"/>
  <c r="N47" i="38"/>
  <c r="Q47" i="38" s="1"/>
  <c r="Q44" i="40" l="1"/>
  <c r="O45" i="38"/>
  <c r="C44" i="38"/>
  <c r="N46" i="38"/>
  <c r="Q46" i="38" s="1"/>
  <c r="Q43" i="40" l="1"/>
  <c r="N45" i="38"/>
  <c r="Q45" i="38" s="1"/>
  <c r="O44" i="38"/>
  <c r="O40" i="40" l="1"/>
  <c r="O41" i="40"/>
  <c r="N42" i="40"/>
  <c r="Q42" i="40" s="1"/>
  <c r="O43" i="38"/>
  <c r="C42" i="38"/>
  <c r="N44" i="38"/>
  <c r="Q44" i="38" s="1"/>
  <c r="O39" i="40" l="1"/>
  <c r="N41" i="40"/>
  <c r="Q41" i="40" s="1"/>
  <c r="N43" i="38"/>
  <c r="Q43" i="38" s="1"/>
  <c r="O42" i="38"/>
  <c r="C38" i="40" l="1"/>
  <c r="N40" i="40"/>
  <c r="Q40" i="40" s="1"/>
  <c r="O41" i="38"/>
  <c r="C40" i="38"/>
  <c r="N42" i="38"/>
  <c r="Q42" i="38" s="1"/>
  <c r="O37" i="40" l="1"/>
  <c r="O38" i="40"/>
  <c r="N39" i="40"/>
  <c r="Q39" i="40"/>
  <c r="O40" i="38"/>
  <c r="N41" i="38"/>
  <c r="Q41" i="38" s="1"/>
  <c r="C36" i="40" l="1"/>
  <c r="N38" i="40"/>
  <c r="Q38" i="40" s="1"/>
  <c r="N40" i="38"/>
  <c r="Q40" i="38" s="1"/>
  <c r="O39" i="38"/>
  <c r="C38" i="38"/>
  <c r="O35" i="40" l="1"/>
  <c r="O36" i="40"/>
  <c r="N37" i="40"/>
  <c r="Q37" i="40" s="1"/>
  <c r="AA38" i="38"/>
  <c r="I3" i="38" s="1"/>
  <c r="O38" i="38"/>
  <c r="N39" i="38"/>
  <c r="Q39" i="38" s="1"/>
  <c r="N36" i="40" l="1"/>
  <c r="Q36" i="40" s="1"/>
  <c r="O37" i="38"/>
  <c r="C36" i="38"/>
  <c r="N38" i="38"/>
  <c r="Q38" i="38" s="1"/>
  <c r="C33" i="40" l="1"/>
  <c r="N35" i="40"/>
  <c r="Q35" i="40" s="1"/>
  <c r="N37" i="38"/>
  <c r="Q37" i="38" s="1"/>
  <c r="O36" i="38"/>
  <c r="O32" i="40" l="1"/>
  <c r="O33" i="40"/>
  <c r="N34" i="40"/>
  <c r="Q34" i="40" s="1"/>
  <c r="O35" i="38"/>
  <c r="N36" i="38"/>
  <c r="Q36" i="38" s="1"/>
  <c r="C31" i="40" l="1"/>
  <c r="N33" i="40"/>
  <c r="Q33" i="40" s="1"/>
  <c r="O34" i="38"/>
  <c r="N34" i="38"/>
  <c r="N35" i="38"/>
  <c r="Q35" i="38" s="1"/>
  <c r="O33" i="38"/>
  <c r="Q33" i="38" s="1"/>
  <c r="O30" i="40" l="1"/>
  <c r="O31" i="40"/>
  <c r="N32" i="40"/>
  <c r="Q32" i="40" s="1"/>
  <c r="R33" i="38"/>
  <c r="S33" i="38" s="1"/>
  <c r="Q34" i="38"/>
  <c r="C29" i="40" l="1"/>
  <c r="N31" i="40"/>
  <c r="Q31" i="40" s="1"/>
  <c r="R35" i="38"/>
  <c r="S35" i="38" s="1"/>
  <c r="R38" i="38"/>
  <c r="S38" i="38" s="1"/>
  <c r="R37" i="38"/>
  <c r="S37" i="38" s="1"/>
  <c r="R34" i="38"/>
  <c r="S34" i="38" s="1"/>
  <c r="R36" i="38"/>
  <c r="S36" i="38" s="1"/>
  <c r="O28" i="40" l="1"/>
  <c r="O29" i="40"/>
  <c r="N30" i="40"/>
  <c r="Q30" i="40" s="1"/>
  <c r="I4" i="38"/>
  <c r="AB52" i="38"/>
  <c r="C27" i="40" l="1"/>
  <c r="N29" i="40"/>
  <c r="Q29" i="40" s="1"/>
  <c r="AB53" i="38"/>
  <c r="AB54" i="38"/>
  <c r="AB71" i="38" l="1"/>
  <c r="AA70" i="38"/>
  <c r="AB70" i="38"/>
  <c r="O26" i="40"/>
  <c r="Q26" i="40" s="1"/>
  <c r="O27" i="40"/>
  <c r="N28" i="40"/>
  <c r="Q28" i="40" s="1"/>
  <c r="Q27" i="4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cmcneil</author>
    <author>tc={D95F26CE-2D57-4247-BB4D-9C012E718FB8}</author>
  </authors>
  <commentList>
    <comment ref="A4" authorId="0" shapeId="0" xr:uid="{B15C040C-4EB4-4114-B544-C5B349C47721}">
      <text>
        <r>
          <rPr>
            <b/>
            <sz val="9"/>
            <color indexed="81"/>
            <rFont val="Tahoma"/>
            <family val="2"/>
          </rPr>
          <t>cmcneil:</t>
        </r>
        <r>
          <rPr>
            <sz val="9"/>
            <color indexed="81"/>
            <rFont val="Tahoma"/>
            <family val="2"/>
          </rPr>
          <t xml:space="preserve">
Date of site visit</t>
        </r>
      </text>
    </comment>
    <comment ref="B4" authorId="0" shapeId="0" xr:uid="{EDBECDCB-2013-4317-A39C-8AA24EDE4D0A}">
      <text>
        <r>
          <rPr>
            <b/>
            <sz val="9"/>
            <color indexed="81"/>
            <rFont val="Tahoma"/>
            <family val="2"/>
          </rPr>
          <t>cmcneil:</t>
        </r>
        <r>
          <rPr>
            <sz val="9"/>
            <color indexed="81"/>
            <rFont val="Tahoma"/>
            <family val="2"/>
          </rPr>
          <t xml:space="preserve">
Notebook field data can be found in</t>
        </r>
      </text>
    </comment>
    <comment ref="C4" authorId="0" shapeId="0" xr:uid="{AA61D4EA-BA2E-41B5-90CC-901BA3CCE96B}">
      <text>
        <r>
          <rPr>
            <b/>
            <sz val="9"/>
            <color indexed="81"/>
            <rFont val="Tahoma"/>
            <family val="2"/>
          </rPr>
          <t>cmcneil:</t>
        </r>
        <r>
          <rPr>
            <sz val="9"/>
            <color indexed="81"/>
            <rFont val="Tahoma"/>
            <family val="2"/>
          </rPr>
          <t xml:space="preserve">
Name of the stake, eg. 17AU</t>
        </r>
      </text>
    </comment>
    <comment ref="D4" authorId="0" shapeId="0" xr:uid="{F10F249F-0C19-4944-A1E7-6287DCFBD983}">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500B33F0-AAA3-47E6-8619-8960EA174673}">
      <text>
        <r>
          <rPr>
            <b/>
            <sz val="9"/>
            <color indexed="81"/>
            <rFont val="Tahoma"/>
            <family val="2"/>
          </rPr>
          <t>cmcneil:</t>
        </r>
        <r>
          <rPr>
            <sz val="9"/>
            <color indexed="81"/>
            <rFont val="Tahoma"/>
            <family val="2"/>
          </rPr>
          <t xml:space="preserve">
Total length of stake</t>
        </r>
      </text>
    </comment>
    <comment ref="F4" authorId="0" shapeId="0" xr:uid="{1488585F-FCBF-4413-83A9-ED09729E3A3A}">
      <text>
        <r>
          <rPr>
            <b/>
            <sz val="9"/>
            <color indexed="81"/>
            <rFont val="Tahoma"/>
            <family val="2"/>
          </rPr>
          <t>cmcneil:</t>
        </r>
        <r>
          <rPr>
            <sz val="9"/>
            <color indexed="81"/>
            <rFont val="Tahoma"/>
            <family val="2"/>
          </rPr>
          <t xml:space="preserve">
Length of stake above the surface noted in column D</t>
        </r>
      </text>
    </comment>
    <comment ref="G4" authorId="0" shapeId="0" xr:uid="{3C9BCF9E-AE0B-4B79-AB69-0EC05996BE94}">
      <text>
        <r>
          <rPr>
            <b/>
            <sz val="9"/>
            <color indexed="81"/>
            <rFont val="Tahoma"/>
            <family val="2"/>
          </rPr>
          <t>cmcneil:</t>
        </r>
        <r>
          <rPr>
            <sz val="9"/>
            <color indexed="81"/>
            <rFont val="Tahoma"/>
            <family val="2"/>
          </rPr>
          <t xml:space="preserve">
Length of stake still below the surface noted in column D</t>
        </r>
      </text>
    </comment>
    <comment ref="H4" authorId="0" shapeId="0" xr:uid="{DC241166-965B-402A-A868-208DC2100B16}">
      <text>
        <r>
          <rPr>
            <b/>
            <sz val="9"/>
            <color indexed="81"/>
            <rFont val="Tahoma"/>
            <family val="2"/>
          </rPr>
          <t>cmcneil:</t>
        </r>
        <r>
          <rPr>
            <sz val="9"/>
            <color indexed="81"/>
            <rFont val="Tahoma"/>
            <family val="2"/>
          </rPr>
          <t xml:space="preserve">
Change in stake since previous site visits</t>
        </r>
      </text>
    </comment>
    <comment ref="I4" authorId="0" shapeId="0" xr:uid="{E98A08CC-BC05-461C-9DC6-3D2808BCF0EF}">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1C83E5A6-90D5-4141-AAED-560CA529C874}">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4F32F570-86A9-4900-8CED-6E3B17C6222E}">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CC1B4AF0-A890-4B57-9366-106006691BC3}">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5D88A1EB-FC7D-4A0F-A667-05B75376C13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BCD601CE-9DAF-436D-87A7-077A24C88E8B}">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2228C8A1-2010-414C-8487-972B4D6894C1}">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C3BA29A8-E4C3-48A9-AAFF-9B30CE52F085}">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DEC91780-DB3E-4DD4-A62D-AABD248BFF5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87F4AE4C-301E-4AD4-B620-B2A087511604}">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88A8AE7C-CBF2-4075-9D02-334F0EF7CFA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A6F850C1-09D0-40A0-8826-1BF36CF83B76}">
      <text>
        <r>
          <rPr>
            <b/>
            <sz val="9"/>
            <color indexed="81"/>
            <rFont val="Tahoma"/>
            <family val="2"/>
          </rPr>
          <t>cmcneil:</t>
        </r>
        <r>
          <rPr>
            <sz val="9"/>
            <color indexed="81"/>
            <rFont val="Tahoma"/>
            <family val="2"/>
          </rPr>
          <t xml:space="preserve">
UTM easting of stake measured with GPS</t>
        </r>
      </text>
    </comment>
    <comment ref="U4" authorId="0" shapeId="0" xr:uid="{6CC28F9A-F252-4FDF-A823-1214BC590D80}">
      <text>
        <r>
          <rPr>
            <b/>
            <sz val="9"/>
            <color indexed="81"/>
            <rFont val="Tahoma"/>
            <family val="2"/>
          </rPr>
          <t>cmcneil:</t>
        </r>
        <r>
          <rPr>
            <sz val="9"/>
            <color indexed="81"/>
            <rFont val="Tahoma"/>
            <family val="2"/>
          </rPr>
          <t xml:space="preserve">
UTM Northing of stake measured with GPS</t>
        </r>
      </text>
    </comment>
    <comment ref="V4" authorId="0" shapeId="0" xr:uid="{03C45D2A-36EF-49B4-8BE2-67CC9B787E5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F6F35AE5-27AF-499A-AA5D-466DC68F2CDC}">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L8" authorId="1" shapeId="0" xr:uid="{D95F26CE-2D57-4247-BB4D-9C012E718FB8}">
      <text>
        <t xml:space="preserve">[Threaded comment]
Your version of Excel allows you to read this threaded comment; however, any edits to it will get removed if the file is opened in a newer version of Excel. Learn more: https://go.microsoft.com/fwlink/?linkid=870924
Comment:
    This makes no sense at all. I suspect someone messed with this stake. I do not expect any winter ablation given the lateness of the fall measurement and the new snow on the ground, but I also don't expect stake punch in solid ice.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58BD84C-CEBA-4C6E-9C8E-6F5CAAA610F8}">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23651046-724B-4113-8D84-82BF8A7C9B6C}">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8B8CD097-7965-4AB1-8E90-F2D349B6107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346C216C-E24B-4264-B2EE-7A3B90BB5364}">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1F6C7BD0-D30C-4678-B870-3969ECA0763D}">
      <text>
        <r>
          <rPr>
            <sz val="8"/>
            <color indexed="81"/>
            <rFont val="Tahoma"/>
            <family val="2"/>
          </rPr>
          <t xml:space="preserve">Sipre coring auger=45.6cm2 
large tube 41.05 cm2       
small tube 25.6   cm2          
Snow Metrics 1000 cm^3
</t>
        </r>
      </text>
    </comment>
    <comment ref="D9" authorId="0" shapeId="0" xr:uid="{D25C2652-A9EB-4BD6-83E2-6DDC579874B2}">
      <text>
        <r>
          <rPr>
            <b/>
            <sz val="9"/>
            <color indexed="81"/>
            <rFont val="Tahoma"/>
            <family val="2"/>
          </rPr>
          <t>cmcneil:</t>
        </r>
        <r>
          <rPr>
            <sz val="9"/>
            <color indexed="81"/>
            <rFont val="Tahoma"/>
            <family val="2"/>
          </rPr>
          <t xml:space="preserve">
Measurements of core lengths.</t>
        </r>
      </text>
    </comment>
    <comment ref="H9" authorId="0" shapeId="0" xr:uid="{41D180CC-5EC1-4903-9FD3-36BED8A181F2}">
      <text>
        <r>
          <rPr>
            <b/>
            <sz val="9"/>
            <color indexed="81"/>
            <rFont val="Tahoma"/>
            <family val="2"/>
          </rPr>
          <t>cmcneil:</t>
        </r>
        <r>
          <rPr>
            <sz val="9"/>
            <color indexed="81"/>
            <rFont val="Tahoma"/>
            <family val="2"/>
          </rPr>
          <t xml:space="preserve">
Measurements of core diameter</t>
        </r>
      </text>
    </comment>
    <comment ref="A10" authorId="0" shapeId="0" xr:uid="{DB201517-7C72-4BBC-9FE0-38E7917DBDAF}">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49E495DF-07A4-4D62-B034-E5FD11DB159E}">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678631C6-BC58-435F-8A6B-A44F1D4B564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26024EC3-4931-43C6-865E-CFDE31FE21E5}">
      <text>
        <r>
          <rPr>
            <b/>
            <sz val="9"/>
            <color indexed="81"/>
            <rFont val="Tahoma"/>
            <family val="2"/>
          </rPr>
          <t>cmcneil:</t>
        </r>
        <r>
          <rPr>
            <sz val="9"/>
            <color indexed="81"/>
            <rFont val="Tahoma"/>
            <family val="2"/>
          </rPr>
          <t xml:space="preserve">
Average of all measured lengths of core section</t>
        </r>
      </text>
    </comment>
    <comment ref="L10" authorId="0" shapeId="0" xr:uid="{E87BAECC-CBC3-40A6-BAD3-E2DAF62AAE6A}">
      <text>
        <r>
          <rPr>
            <b/>
            <sz val="9"/>
            <color indexed="81"/>
            <rFont val="Tahoma"/>
            <family val="2"/>
          </rPr>
          <t>cmcneil:</t>
        </r>
        <r>
          <rPr>
            <sz val="9"/>
            <color indexed="81"/>
            <rFont val="Tahoma"/>
            <family val="2"/>
          </rPr>
          <t xml:space="preserve">
Average of all diameters measured for each core section</t>
        </r>
      </text>
    </comment>
    <comment ref="M10" authorId="0" shapeId="0" xr:uid="{E49ADE1F-B03A-4EC6-A6EC-B73BFE9D4620}">
      <text>
        <r>
          <rPr>
            <b/>
            <sz val="9"/>
            <color indexed="81"/>
            <rFont val="Tahoma"/>
            <family val="2"/>
          </rPr>
          <t>cmcneil:</t>
        </r>
        <r>
          <rPr>
            <sz val="9"/>
            <color indexed="81"/>
            <rFont val="Tahoma"/>
            <family val="2"/>
          </rPr>
          <t xml:space="preserve">
Volume of sample taken</t>
        </r>
      </text>
    </comment>
    <comment ref="N10" authorId="0" shapeId="0" xr:uid="{DD8C9830-1B2A-40F1-9630-73A26765ABC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5CA33DC0-5E3A-448A-BE1A-2AABC4850F32}">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76C916E9-9B38-4ECB-8394-AF22401C3BD0}">
      <text>
        <r>
          <rPr>
            <b/>
            <sz val="9"/>
            <color indexed="81"/>
            <rFont val="Tahoma"/>
            <family val="2"/>
          </rPr>
          <t>cmcneil:</t>
        </r>
        <r>
          <rPr>
            <sz val="9"/>
            <color indexed="81"/>
            <rFont val="Tahoma"/>
            <family val="2"/>
          </rPr>
          <t xml:space="preserve">
Density of sample. Calculated from the mass/volume</t>
        </r>
      </text>
    </comment>
    <comment ref="Q10" authorId="0" shapeId="0" xr:uid="{8782CEB6-A910-481B-8546-749D441FCA97}">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71F6FC9C-EB57-4C40-B69A-AD84D0D35186}">
      <text>
        <r>
          <rPr>
            <b/>
            <sz val="9"/>
            <color indexed="81"/>
            <rFont val="Tahoma"/>
            <family val="2"/>
          </rPr>
          <t>cmcneil:</t>
        </r>
        <r>
          <rPr>
            <sz val="9"/>
            <color indexed="81"/>
            <rFont val="Tahoma"/>
            <family val="2"/>
          </rPr>
          <t xml:space="preserve">
Cummulative s.w.e. of from surface to the depth of each sample</t>
        </r>
      </text>
    </comment>
    <comment ref="S10" authorId="0" shapeId="0" xr:uid="{AAB470A4-DEBC-4AC7-A068-2D2EDC3A91B5}">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214CFA46-8418-4609-BC93-17713E990E1D}">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760B6136-EDAD-4150-99D0-EED6E9764B36}">
      <text>
        <r>
          <rPr>
            <b/>
            <sz val="9"/>
            <color indexed="81"/>
            <rFont val="Tahoma"/>
            <family val="2"/>
          </rPr>
          <t>cmcneil:</t>
        </r>
        <r>
          <rPr>
            <sz val="9"/>
            <color indexed="81"/>
            <rFont val="Tahoma"/>
            <family val="2"/>
          </rPr>
          <t xml:space="preserve">
What was used to measure snow depth</t>
        </r>
      </text>
    </comment>
    <comment ref="V10" authorId="0" shapeId="0" xr:uid="{049AB968-027B-4195-A1B9-9B142A6F0F78}">
      <text>
        <r>
          <rPr>
            <b/>
            <sz val="9"/>
            <color indexed="81"/>
            <rFont val="Tahoma"/>
            <family val="2"/>
          </rPr>
          <t>cmcneil:</t>
        </r>
        <r>
          <rPr>
            <sz val="9"/>
            <color indexed="81"/>
            <rFont val="Tahoma"/>
            <family val="2"/>
          </rPr>
          <t xml:space="preserve">
snow depth observed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6173890B-CB29-4C6B-8ADD-03A112F44CD3}">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I1" authorId="0" shapeId="0" xr:uid="{C3C56284-B0E4-4EAD-83BC-711A06897E6A}">
      <text>
        <r>
          <rPr>
            <b/>
            <sz val="9"/>
            <color indexed="81"/>
            <rFont val="Tahoma"/>
            <family val="2"/>
          </rPr>
          <t>cmcneil:</t>
        </r>
        <r>
          <rPr>
            <sz val="9"/>
            <color indexed="81"/>
            <rFont val="Tahoma"/>
            <family val="2"/>
          </rPr>
          <t xml:space="preserve">
Do not enter value. Link it to the last core sample SBD</t>
        </r>
      </text>
    </comment>
    <comment ref="H2" authorId="0" shapeId="0" xr:uid="{4516375E-0F49-4DAC-8CD1-5EB2AEEC02EB}">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938EA83D-734A-4FC2-9914-85E1FF718336}">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D83C8853-72BF-4574-B356-1BCF26AB06D7}">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5FB0B69-BF8C-4275-8B1C-30266673A4C5}">
      <text>
        <r>
          <rPr>
            <sz val="8"/>
            <color indexed="81"/>
            <rFont val="Tahoma"/>
            <family val="2"/>
          </rPr>
          <t xml:space="preserve">Sipre coring auger=45.6cm2 
large tube 41.05 cm2       
small tube 25.6   cm2          
Snow Metrics 1000 cm^3
</t>
        </r>
      </text>
    </comment>
    <comment ref="D9" authorId="0" shapeId="0" xr:uid="{E7EE62E3-1715-4727-89CA-854B44BAD119}">
      <text>
        <r>
          <rPr>
            <b/>
            <sz val="9"/>
            <color indexed="81"/>
            <rFont val="Tahoma"/>
            <family val="2"/>
          </rPr>
          <t>cmcneil:</t>
        </r>
        <r>
          <rPr>
            <sz val="9"/>
            <color indexed="81"/>
            <rFont val="Tahoma"/>
            <family val="2"/>
          </rPr>
          <t xml:space="preserve">
Measurements of core lengths.</t>
        </r>
      </text>
    </comment>
    <comment ref="H9" authorId="0" shapeId="0" xr:uid="{D097B9E3-63FD-4C1D-855D-B17A92BD05A3}">
      <text>
        <r>
          <rPr>
            <b/>
            <sz val="9"/>
            <color indexed="81"/>
            <rFont val="Tahoma"/>
            <family val="2"/>
          </rPr>
          <t>cmcneil:</t>
        </r>
        <r>
          <rPr>
            <sz val="9"/>
            <color indexed="81"/>
            <rFont val="Tahoma"/>
            <family val="2"/>
          </rPr>
          <t xml:space="preserve">
Measurements of core diameter</t>
        </r>
      </text>
    </comment>
    <comment ref="A10" authorId="0" shapeId="0" xr:uid="{9B1599F7-2B75-4D81-BAF0-E15EABDD1155}">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6E2E416B-BC7C-461A-A82E-C09CA323614D}">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E88BC3ED-6A9D-4C4D-8135-61AD6C5F8CC6}">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3546D02D-6FD3-453B-937C-4E291E1223DE}">
      <text>
        <r>
          <rPr>
            <b/>
            <sz val="9"/>
            <color indexed="81"/>
            <rFont val="Tahoma"/>
            <family val="2"/>
          </rPr>
          <t>cmcneil:</t>
        </r>
        <r>
          <rPr>
            <sz val="9"/>
            <color indexed="81"/>
            <rFont val="Tahoma"/>
            <family val="2"/>
          </rPr>
          <t xml:space="preserve">
Average of all measured lengths of core section</t>
        </r>
      </text>
    </comment>
    <comment ref="L10" authorId="0" shapeId="0" xr:uid="{EFCD1C29-F3E5-4F1C-8614-6A0DE46CCE3E}">
      <text>
        <r>
          <rPr>
            <b/>
            <sz val="9"/>
            <color indexed="81"/>
            <rFont val="Tahoma"/>
            <family val="2"/>
          </rPr>
          <t>cmcneil:</t>
        </r>
        <r>
          <rPr>
            <sz val="9"/>
            <color indexed="81"/>
            <rFont val="Tahoma"/>
            <family val="2"/>
          </rPr>
          <t xml:space="preserve">
Average of all diameters measured for each core section</t>
        </r>
      </text>
    </comment>
    <comment ref="M10" authorId="0" shapeId="0" xr:uid="{8492BC78-5285-4D8B-807E-09F9C5E8B9A9}">
      <text>
        <r>
          <rPr>
            <b/>
            <sz val="9"/>
            <color indexed="81"/>
            <rFont val="Tahoma"/>
            <family val="2"/>
          </rPr>
          <t>cmcneil:</t>
        </r>
        <r>
          <rPr>
            <sz val="9"/>
            <color indexed="81"/>
            <rFont val="Tahoma"/>
            <family val="2"/>
          </rPr>
          <t xml:space="preserve">
Volume of sample taken</t>
        </r>
      </text>
    </comment>
    <comment ref="N10" authorId="0" shapeId="0" xr:uid="{54F333F3-C2F9-488D-8E16-84B9358D7E6B}">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D27C8CDB-2E43-49F3-AA76-EF0C742BE3BB}">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1505181A-63CE-4B41-B9A2-BC03EEE5CB46}">
      <text>
        <r>
          <rPr>
            <b/>
            <sz val="9"/>
            <color indexed="81"/>
            <rFont val="Tahoma"/>
            <family val="2"/>
          </rPr>
          <t>cmcneil:</t>
        </r>
        <r>
          <rPr>
            <sz val="9"/>
            <color indexed="81"/>
            <rFont val="Tahoma"/>
            <family val="2"/>
          </rPr>
          <t xml:space="preserve">
Density of sample. Calculated from the mass/volume</t>
        </r>
      </text>
    </comment>
    <comment ref="Q10" authorId="0" shapeId="0" xr:uid="{675EC7D8-3803-4F06-8616-CF03B0BD56BD}">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5D410D1E-62A3-400A-AEAD-E6E2F444624B}">
      <text>
        <r>
          <rPr>
            <b/>
            <sz val="9"/>
            <color indexed="81"/>
            <rFont val="Tahoma"/>
            <family val="2"/>
          </rPr>
          <t>cmcneil:</t>
        </r>
        <r>
          <rPr>
            <sz val="9"/>
            <color indexed="81"/>
            <rFont val="Tahoma"/>
            <family val="2"/>
          </rPr>
          <t xml:space="preserve">
Cummulative s.w.e. of from surface to the depth of each sample</t>
        </r>
      </text>
    </comment>
    <comment ref="S10" authorId="0" shapeId="0" xr:uid="{1E781605-9808-42A6-9A8B-6892A0DD342C}">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52246503-B7D2-4175-8719-C5E5CD8EBEF4}">
      <text>
        <r>
          <rPr>
            <b/>
            <sz val="9"/>
            <color indexed="81"/>
            <rFont val="Tahoma"/>
            <family val="2"/>
          </rPr>
          <t>cmcneil:</t>
        </r>
        <r>
          <rPr>
            <sz val="9"/>
            <color indexed="81"/>
            <rFont val="Tahoma"/>
            <family val="2"/>
          </rPr>
          <t xml:space="preserve">
Height of first ice lense observed in core. 
</t>
        </r>
      </text>
    </comment>
    <comment ref="U10" authorId="0" shapeId="0" xr:uid="{63DBA1BF-5B37-4D87-9F39-40BC8FD5FDCB}">
      <text>
        <r>
          <rPr>
            <b/>
            <sz val="9"/>
            <color indexed="81"/>
            <rFont val="Tahoma"/>
            <family val="2"/>
          </rPr>
          <t>cmcneil:</t>
        </r>
        <r>
          <rPr>
            <sz val="9"/>
            <color indexed="81"/>
            <rFont val="Tahoma"/>
            <family val="2"/>
          </rPr>
          <t xml:space="preserve">
Thickness of first ice lense observed in core.</t>
        </r>
      </text>
    </comment>
    <comment ref="V10" authorId="0" shapeId="0" xr:uid="{C6443BE1-B4DE-4640-AF3E-36D27458B492}">
      <text>
        <r>
          <rPr>
            <b/>
            <sz val="9"/>
            <color indexed="81"/>
            <rFont val="Tahoma"/>
            <family val="2"/>
          </rPr>
          <t>cmcneil:</t>
        </r>
        <r>
          <rPr>
            <sz val="9"/>
            <color indexed="81"/>
            <rFont val="Tahoma"/>
            <family val="2"/>
          </rPr>
          <t xml:space="preserve">
Height of second ice lenses observed in core. </t>
        </r>
      </text>
    </comment>
    <comment ref="W10" authorId="0" shapeId="0" xr:uid="{0CF6964D-F942-4E0C-A1D4-675759E5C15D}">
      <text>
        <r>
          <rPr>
            <b/>
            <sz val="9"/>
            <color indexed="81"/>
            <rFont val="Tahoma"/>
            <family val="2"/>
          </rPr>
          <t>cmcneil:</t>
        </r>
        <r>
          <rPr>
            <sz val="9"/>
            <color indexed="81"/>
            <rFont val="Tahoma"/>
            <family val="2"/>
          </rPr>
          <t xml:space="preserve">
Thickness of second ice lense observed in core section.</t>
        </r>
      </text>
    </comment>
    <comment ref="X10" authorId="0" shapeId="0" xr:uid="{496BB085-E572-4D71-BA51-72C8382D1C81}">
      <text>
        <r>
          <rPr>
            <b/>
            <sz val="9"/>
            <color indexed="81"/>
            <rFont val="Tahoma"/>
            <family val="2"/>
          </rPr>
          <t>cmcneil:</t>
        </r>
        <r>
          <rPr>
            <sz val="9"/>
            <color indexed="81"/>
            <rFont val="Tahoma"/>
            <family val="2"/>
          </rPr>
          <t xml:space="preserve">
Volume of ice in core</t>
        </r>
      </text>
    </comment>
    <comment ref="Y10" authorId="0" shapeId="0" xr:uid="{81870E54-090F-4184-8DBE-323A285378E1}">
      <text>
        <r>
          <rPr>
            <b/>
            <sz val="9"/>
            <color indexed="81"/>
            <rFont val="Tahoma"/>
            <family val="2"/>
          </rPr>
          <t>cmcneil:</t>
        </r>
        <r>
          <rPr>
            <sz val="9"/>
            <color indexed="81"/>
            <rFont val="Tahoma"/>
            <family val="2"/>
          </rPr>
          <t xml:space="preserve">
estimated density of core without ice</t>
        </r>
      </text>
    </comment>
    <comment ref="Z10" authorId="0" shapeId="0" xr:uid="{015C4B4E-5763-4875-862B-E86C34D9E95E}">
      <text>
        <r>
          <rPr>
            <b/>
            <sz val="9"/>
            <color indexed="81"/>
            <rFont val="Tahoma"/>
            <family val="2"/>
          </rPr>
          <t>cmcneil:</t>
        </r>
        <r>
          <rPr>
            <sz val="9"/>
            <color indexed="81"/>
            <rFont val="Tahoma"/>
            <family val="2"/>
          </rPr>
          <t xml:space="preserve">
height of observed annual layer from bottom of core section</t>
        </r>
      </text>
    </comment>
    <comment ref="AA10" authorId="0" shapeId="0" xr:uid="{7B26DBF1-FA2D-4AD2-A782-8C923429C27B}">
      <text>
        <r>
          <rPr>
            <b/>
            <sz val="9"/>
            <color indexed="81"/>
            <rFont val="Tahoma"/>
            <family val="2"/>
          </rPr>
          <t>cmcneil:</t>
        </r>
        <r>
          <rPr>
            <sz val="9"/>
            <color indexed="81"/>
            <rFont val="Tahoma"/>
            <family val="2"/>
          </rPr>
          <t xml:space="preserve">
Depth of annual layer from surface. Calculated by subracting height from SBD(column x) from SBD (column C)</t>
        </r>
      </text>
    </comment>
    <comment ref="AC10" authorId="0" shapeId="0" xr:uid="{192A79A2-D825-4586-9299-4C4BB81E5C2E}">
      <text>
        <r>
          <rPr>
            <b/>
            <sz val="9"/>
            <color indexed="81"/>
            <rFont val="Tahoma"/>
            <family val="2"/>
          </rPr>
          <t>cmcneil:</t>
        </r>
        <r>
          <rPr>
            <sz val="9"/>
            <color indexed="81"/>
            <rFont val="Tahoma"/>
            <family val="2"/>
          </rPr>
          <t xml:space="preserve">
Any observation about a given sample. Cutting dog bites, dirty layers, ice lenses, etc...</t>
        </r>
      </text>
    </comment>
    <comment ref="AD10" authorId="0" shapeId="0" xr:uid="{BAC942D7-107A-4642-B3C5-0D10497D20C8}">
      <text>
        <r>
          <rPr>
            <b/>
            <sz val="9"/>
            <color indexed="81"/>
            <rFont val="Tahoma"/>
            <family val="2"/>
          </rPr>
          <t>cmcneil:</t>
        </r>
        <r>
          <rPr>
            <sz val="9"/>
            <color indexed="81"/>
            <rFont val="Tahoma"/>
            <family val="2"/>
          </rPr>
          <t xml:space="preserve">
What was used to measure snow depth</t>
        </r>
      </text>
    </comment>
    <comment ref="AE10" authorId="0" shapeId="0" xr:uid="{74F7A848-6AD5-4630-9AFE-1BB21CA81195}">
      <text>
        <r>
          <rPr>
            <b/>
            <sz val="9"/>
            <color indexed="81"/>
            <rFont val="Tahoma"/>
            <family val="2"/>
          </rPr>
          <t>cmcneil:</t>
        </r>
        <r>
          <rPr>
            <sz val="9"/>
            <color indexed="81"/>
            <rFont val="Tahoma"/>
            <family val="2"/>
          </rPr>
          <t xml:space="preserve">
snow depth observed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444F628D-8CFD-4EA4-9714-C0BDB6C4679E}">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178112C1-6919-423A-907F-32B4814E5F1A}">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CDA8DEF4-FC9D-4CAB-8791-E4533BF94E7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361C626-D3F1-4F17-89F8-17DD97EE524D}">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B4862FC-F0E0-496B-BCC5-AED6BE6D648C}">
      <text>
        <r>
          <rPr>
            <sz val="8"/>
            <color indexed="81"/>
            <rFont val="Tahoma"/>
            <family val="2"/>
          </rPr>
          <t xml:space="preserve">Sipre coring auger=45.6cm2 
large tube 41.05 cm2       
small tube 25.6   cm2          
Snow Metrics 1000 cm^3
</t>
        </r>
      </text>
    </comment>
    <comment ref="A10" authorId="0" shapeId="0" xr:uid="{6F39AC77-23D0-4DE6-9E24-59A9F3E1064E}">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6C41C561-167A-45D9-93DA-BD810AEBB914}">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169497D1-5286-4225-95A8-A69809CC21B9}">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FA55FF95-D13D-46FE-A061-35D3B60B59BA}">
      <text>
        <r>
          <rPr>
            <b/>
            <sz val="9"/>
            <color indexed="81"/>
            <rFont val="Tahoma"/>
            <family val="2"/>
          </rPr>
          <t>cmcneil:</t>
        </r>
        <r>
          <rPr>
            <sz val="9"/>
            <color indexed="81"/>
            <rFont val="Tahoma"/>
            <family val="2"/>
          </rPr>
          <t xml:space="preserve">
Volume of sample taken</t>
        </r>
      </text>
    </comment>
    <comment ref="E10" authorId="0" shapeId="0" xr:uid="{C9D2EDE2-6571-4E66-9D17-F654B8F2E2B6}">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D9E2CF90-171A-472B-A105-18F64A247A0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4667CD2-1F7A-4309-A448-5F55D9D84C25}">
      <text>
        <r>
          <rPr>
            <b/>
            <sz val="9"/>
            <color indexed="81"/>
            <rFont val="Tahoma"/>
            <family val="2"/>
          </rPr>
          <t>cmcneil:</t>
        </r>
        <r>
          <rPr>
            <sz val="9"/>
            <color indexed="81"/>
            <rFont val="Tahoma"/>
            <family val="2"/>
          </rPr>
          <t xml:space="preserve">
Density of sample. Calculated from the mass/volume</t>
        </r>
      </text>
    </comment>
    <comment ref="H10" authorId="0" shapeId="0" xr:uid="{114AEF3C-F280-4D27-B7F7-3CFB9FE203A7}">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2B3B25B6-9191-4A0A-9D5D-CD35A4B9196B}">
      <text>
        <r>
          <rPr>
            <b/>
            <sz val="9"/>
            <color indexed="81"/>
            <rFont val="Tahoma"/>
            <family val="2"/>
          </rPr>
          <t>cmcneil:</t>
        </r>
        <r>
          <rPr>
            <sz val="9"/>
            <color indexed="81"/>
            <rFont val="Tahoma"/>
            <family val="2"/>
          </rPr>
          <t xml:space="preserve">
Cummulative s.w.e. of from surface to the depth of each sample</t>
        </r>
      </text>
    </comment>
    <comment ref="J10" authorId="0" shapeId="0" xr:uid="{8389C2D3-BCA1-44E5-A783-6BD152AB0AAA}">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D5F69716-0FA0-4429-83CD-49B646314221}">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EE95FE4C-7E90-475E-B6D6-D02AFA988391}">
      <text>
        <r>
          <rPr>
            <b/>
            <sz val="9"/>
            <color indexed="81"/>
            <rFont val="Tahoma"/>
            <family val="2"/>
          </rPr>
          <t>cmcneil:</t>
        </r>
        <r>
          <rPr>
            <sz val="9"/>
            <color indexed="81"/>
            <rFont val="Tahoma"/>
            <family val="2"/>
          </rPr>
          <t xml:space="preserve">
What was used to measure snow depth</t>
        </r>
      </text>
    </comment>
    <comment ref="M10" authorId="0" shapeId="0" xr:uid="{B2EF6133-16B5-4EC1-BB6A-0063813F177B}">
      <text>
        <r>
          <rPr>
            <b/>
            <sz val="9"/>
            <color indexed="81"/>
            <rFont val="Tahoma"/>
            <family val="2"/>
          </rPr>
          <t>cmcneil:</t>
        </r>
        <r>
          <rPr>
            <sz val="9"/>
            <color indexed="81"/>
            <rFont val="Tahoma"/>
            <family val="2"/>
          </rPr>
          <t xml:space="preserve">
snow depth observed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ABEE71E4-EFB8-4A26-A8F1-DDC5833BE683}">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95000209-531C-40F3-A632-D87ACE24EBB1}">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E6D6B72-72B0-4A52-826D-6F3E9213268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71DA1570-FE59-4AC9-8085-16E9F4F0521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49CBD07-3FED-4122-8773-542554099CCB}">
      <text>
        <r>
          <rPr>
            <sz val="8"/>
            <color indexed="81"/>
            <rFont val="Tahoma"/>
            <family val="2"/>
          </rPr>
          <t xml:space="preserve">Sipre coring auger=45.6cm2 
large tube 41.05 cm2       
small tube 25.6   cm2          
Snow Metrics 1000 cm^3
</t>
        </r>
      </text>
    </comment>
    <comment ref="A10" authorId="0" shapeId="0" xr:uid="{1595D50E-3A8C-4E94-A7A8-9BDCF21FC41C}">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344D240F-AC16-44CA-A221-BAF3A4726428}">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841BE875-77D3-4389-BAC7-5461ABD5D87A}">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B4F57742-86E4-488F-9EC3-D77306362736}">
      <text>
        <r>
          <rPr>
            <b/>
            <sz val="9"/>
            <color indexed="81"/>
            <rFont val="Tahoma"/>
            <family val="2"/>
          </rPr>
          <t>cmcneil:</t>
        </r>
        <r>
          <rPr>
            <sz val="9"/>
            <color indexed="81"/>
            <rFont val="Tahoma"/>
            <family val="2"/>
          </rPr>
          <t xml:space="preserve">
Volume of sample taken</t>
        </r>
      </text>
    </comment>
    <comment ref="E10" authorId="0" shapeId="0" xr:uid="{4E4F6F1E-DACE-45C6-89B0-8B795E862866}">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41525A45-7B30-4737-A43A-A05B4C25CEAB}">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4CAF8011-B1E3-4A69-B031-6DB61A446B2F}">
      <text>
        <r>
          <rPr>
            <b/>
            <sz val="9"/>
            <color indexed="81"/>
            <rFont val="Tahoma"/>
            <family val="2"/>
          </rPr>
          <t>cmcneil:</t>
        </r>
        <r>
          <rPr>
            <sz val="9"/>
            <color indexed="81"/>
            <rFont val="Tahoma"/>
            <family val="2"/>
          </rPr>
          <t xml:space="preserve">
Density of sample. Calculated from the mass/volume</t>
        </r>
      </text>
    </comment>
    <comment ref="H10" authorId="0" shapeId="0" xr:uid="{ED3E5C55-3AD5-48ED-B9B7-90040284246C}">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613D7A62-A711-479F-A284-FD951289CE65}">
      <text>
        <r>
          <rPr>
            <b/>
            <sz val="9"/>
            <color indexed="81"/>
            <rFont val="Tahoma"/>
            <family val="2"/>
          </rPr>
          <t>cmcneil:</t>
        </r>
        <r>
          <rPr>
            <sz val="9"/>
            <color indexed="81"/>
            <rFont val="Tahoma"/>
            <family val="2"/>
          </rPr>
          <t xml:space="preserve">
Cummulative s.w.e. of from surface to the depth of each sample</t>
        </r>
      </text>
    </comment>
    <comment ref="J10" authorId="0" shapeId="0" xr:uid="{EDAE0B77-EA70-41DD-AED0-CD6AD0CC0484}">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22A5ABF7-B1FC-4950-94EE-78ACD714B9F5}">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9E268B4D-A9FE-4AF3-9207-AB7F0B39C231}">
      <text>
        <r>
          <rPr>
            <b/>
            <sz val="9"/>
            <color indexed="81"/>
            <rFont val="Tahoma"/>
            <family val="2"/>
          </rPr>
          <t>cmcneil:</t>
        </r>
        <r>
          <rPr>
            <sz val="9"/>
            <color indexed="81"/>
            <rFont val="Tahoma"/>
            <family val="2"/>
          </rPr>
          <t xml:space="preserve">
What was used to measure snow depth</t>
        </r>
      </text>
    </comment>
    <comment ref="M10" authorId="0" shapeId="0" xr:uid="{1BBAF46B-6492-44C5-91C1-9DE94A9ED578}">
      <text>
        <r>
          <rPr>
            <b/>
            <sz val="9"/>
            <color indexed="81"/>
            <rFont val="Tahoma"/>
            <family val="2"/>
          </rPr>
          <t>cmcneil:</t>
        </r>
        <r>
          <rPr>
            <sz val="9"/>
            <color indexed="81"/>
            <rFont val="Tahoma"/>
            <family val="2"/>
          </rPr>
          <t xml:space="preserve">
snow depth observed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C0EC86BE-95D7-4737-BCFC-925E7A44F0D6}">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I1" authorId="0" shapeId="0" xr:uid="{62B9FBF8-8F91-47D8-B4B7-09451EFF6D1A}">
      <text>
        <r>
          <rPr>
            <b/>
            <sz val="9"/>
            <color indexed="81"/>
            <rFont val="Tahoma"/>
            <family val="2"/>
          </rPr>
          <t>cmcneil:</t>
        </r>
        <r>
          <rPr>
            <sz val="9"/>
            <color indexed="81"/>
            <rFont val="Tahoma"/>
            <family val="2"/>
          </rPr>
          <t xml:space="preserve">
Do not enter value. Link it to the last core sample SBD</t>
        </r>
      </text>
    </comment>
    <comment ref="H2" authorId="0" shapeId="0" xr:uid="{0308E514-DD5F-49E1-B05D-1EC532B1F25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27A76CA9-ECEB-4C6B-A3E3-60B4A19BA87E}">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302883F2-7214-4BA1-898C-25556F08334A}">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AE8836DC-6672-45BB-B6D5-360666D5EC46}">
      <text>
        <r>
          <rPr>
            <sz val="8"/>
            <color indexed="81"/>
            <rFont val="Tahoma"/>
            <family val="2"/>
          </rPr>
          <t xml:space="preserve">Sipre coring auger=45.6cm2 
large tube 41.05 cm2       
small tube 25.6   cm2          
Snow Metrics 1000 cm^3
</t>
        </r>
      </text>
    </comment>
    <comment ref="D9" authorId="0" shapeId="0" xr:uid="{6533F0A5-DE07-4ADE-B1B2-BBB1D6A27A99}">
      <text>
        <r>
          <rPr>
            <b/>
            <sz val="9"/>
            <color indexed="81"/>
            <rFont val="Tahoma"/>
            <family val="2"/>
          </rPr>
          <t>cmcneil:</t>
        </r>
        <r>
          <rPr>
            <sz val="9"/>
            <color indexed="81"/>
            <rFont val="Tahoma"/>
            <family val="2"/>
          </rPr>
          <t xml:space="preserve">
Measurements of core lengths.</t>
        </r>
      </text>
    </comment>
    <comment ref="H9" authorId="0" shapeId="0" xr:uid="{0F724BBC-A29F-460B-80E0-4B33BCB82FCA}">
      <text>
        <r>
          <rPr>
            <b/>
            <sz val="9"/>
            <color indexed="81"/>
            <rFont val="Tahoma"/>
            <family val="2"/>
          </rPr>
          <t>cmcneil:</t>
        </r>
        <r>
          <rPr>
            <sz val="9"/>
            <color indexed="81"/>
            <rFont val="Tahoma"/>
            <family val="2"/>
          </rPr>
          <t xml:space="preserve">
Measurements of core diameter</t>
        </r>
      </text>
    </comment>
    <comment ref="A10" authorId="0" shapeId="0" xr:uid="{4CE00945-B110-4322-91DA-1E4A51CF8A9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EB8BE83-99E4-42B0-ADB6-659C8941DD4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D21F09BF-0552-433A-B8F2-5033654DD1B5}">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D1E0CBED-0568-4FBD-9579-5CFD86E1AE6C}">
      <text>
        <r>
          <rPr>
            <b/>
            <sz val="9"/>
            <color indexed="81"/>
            <rFont val="Tahoma"/>
            <family val="2"/>
          </rPr>
          <t>cmcneil:</t>
        </r>
        <r>
          <rPr>
            <sz val="9"/>
            <color indexed="81"/>
            <rFont val="Tahoma"/>
            <family val="2"/>
          </rPr>
          <t xml:space="preserve">
Average of all measured lengths of core section</t>
        </r>
      </text>
    </comment>
    <comment ref="L10" authorId="0" shapeId="0" xr:uid="{CB02B4FB-4B97-4827-848D-B69DD1CDC972}">
      <text>
        <r>
          <rPr>
            <b/>
            <sz val="9"/>
            <color indexed="81"/>
            <rFont val="Tahoma"/>
            <family val="2"/>
          </rPr>
          <t>cmcneil:</t>
        </r>
        <r>
          <rPr>
            <sz val="9"/>
            <color indexed="81"/>
            <rFont val="Tahoma"/>
            <family val="2"/>
          </rPr>
          <t xml:space="preserve">
Average of all diameters measured for each core section</t>
        </r>
      </text>
    </comment>
    <comment ref="M10" authorId="0" shapeId="0" xr:uid="{F07C969D-FA58-46BD-94CA-DE46F61302D6}">
      <text>
        <r>
          <rPr>
            <b/>
            <sz val="9"/>
            <color indexed="81"/>
            <rFont val="Tahoma"/>
            <family val="2"/>
          </rPr>
          <t>cmcneil:</t>
        </r>
        <r>
          <rPr>
            <sz val="9"/>
            <color indexed="81"/>
            <rFont val="Tahoma"/>
            <family val="2"/>
          </rPr>
          <t xml:space="preserve">
Volume of sample taken</t>
        </r>
      </text>
    </comment>
    <comment ref="N10" authorId="0" shapeId="0" xr:uid="{3B3F99D3-E163-4C62-918B-5FA6294801CE}">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7A82C5E6-2F95-4EB5-AC3A-F6C7A65B4E93}">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9312CB87-1D55-4B26-95D2-EE889B6EE009}">
      <text>
        <r>
          <rPr>
            <b/>
            <sz val="9"/>
            <color indexed="81"/>
            <rFont val="Tahoma"/>
            <family val="2"/>
          </rPr>
          <t>cmcneil:</t>
        </r>
        <r>
          <rPr>
            <sz val="9"/>
            <color indexed="81"/>
            <rFont val="Tahoma"/>
            <family val="2"/>
          </rPr>
          <t xml:space="preserve">
Density of sample. Calculated from the mass/volume</t>
        </r>
      </text>
    </comment>
    <comment ref="Q10" authorId="0" shapeId="0" xr:uid="{792EEE5C-0438-4936-A573-23CC47F012F5}">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1421F5CC-D024-4BF6-9793-1BFF65708BA1}">
      <text>
        <r>
          <rPr>
            <b/>
            <sz val="9"/>
            <color indexed="81"/>
            <rFont val="Tahoma"/>
            <family val="2"/>
          </rPr>
          <t>cmcneil:</t>
        </r>
        <r>
          <rPr>
            <sz val="9"/>
            <color indexed="81"/>
            <rFont val="Tahoma"/>
            <family val="2"/>
          </rPr>
          <t xml:space="preserve">
Cummulative s.w.e. of from surface to the depth of each sample</t>
        </r>
      </text>
    </comment>
    <comment ref="S10" authorId="0" shapeId="0" xr:uid="{72D2A590-D68B-4620-8FFD-8520B7CD324B}">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2BC8A653-2D8B-4244-90B6-54DE3401762B}">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U10" authorId="0" shapeId="0" xr:uid="{17D0E3DE-9AD9-469C-B290-70B3A0C4E216}">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V10" authorId="0" shapeId="0" xr:uid="{223D341E-F062-47EA-ABDF-3A51C40BC186}">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W10" authorId="0" shapeId="0" xr:uid="{2A456519-E4E4-41C9-975A-13FEC0D68854}">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X10" authorId="0" shapeId="0" xr:uid="{72278EDB-30E7-4982-A09B-0B41D4FEAC45}">
      <text>
        <r>
          <rPr>
            <b/>
            <sz val="9"/>
            <color indexed="81"/>
            <rFont val="Tahoma"/>
            <family val="2"/>
          </rPr>
          <t>cmcneil:</t>
        </r>
        <r>
          <rPr>
            <sz val="9"/>
            <color indexed="81"/>
            <rFont val="Tahoma"/>
            <family val="2"/>
          </rPr>
          <t xml:space="preserve">
Volume of ice in core</t>
        </r>
      </text>
    </comment>
    <comment ref="Y10" authorId="0" shapeId="0" xr:uid="{D408A605-1CAA-47A0-AC5E-CB9653061678}">
      <text>
        <r>
          <rPr>
            <b/>
            <sz val="9"/>
            <color indexed="81"/>
            <rFont val="Tahoma"/>
            <family val="2"/>
          </rPr>
          <t>cmcneil:</t>
        </r>
        <r>
          <rPr>
            <sz val="9"/>
            <color indexed="81"/>
            <rFont val="Tahoma"/>
            <family val="2"/>
          </rPr>
          <t xml:space="preserve">
estimated density of core without ice</t>
        </r>
      </text>
    </comment>
    <comment ref="Z10" authorId="0" shapeId="0" xr:uid="{622C66FD-B2DB-4143-BCF3-46D18408E5AB}">
      <text>
        <r>
          <rPr>
            <b/>
            <sz val="9"/>
            <color indexed="81"/>
            <rFont val="Tahoma"/>
            <family val="2"/>
          </rPr>
          <t>cmcneil:</t>
        </r>
        <r>
          <rPr>
            <sz val="9"/>
            <color indexed="81"/>
            <rFont val="Tahoma"/>
            <family val="2"/>
          </rPr>
          <t xml:space="preserve">
height of observed annual layer from bottom of core section</t>
        </r>
      </text>
    </comment>
    <comment ref="AA10" authorId="0" shapeId="0" xr:uid="{6EAB35C9-8B8B-4CB4-B1AC-8F32878BD404}">
      <text>
        <r>
          <rPr>
            <b/>
            <sz val="9"/>
            <color indexed="81"/>
            <rFont val="Tahoma"/>
            <family val="2"/>
          </rPr>
          <t>cmcneil:</t>
        </r>
        <r>
          <rPr>
            <sz val="9"/>
            <color indexed="81"/>
            <rFont val="Tahoma"/>
            <family val="2"/>
          </rPr>
          <t xml:space="preserve">
Depth of annual layer from surface. Calculated by subracting height from SBD(column x) from SBD (column C)</t>
        </r>
      </text>
    </comment>
    <comment ref="AC10" authorId="0" shapeId="0" xr:uid="{79C2A660-4054-4239-BA07-105756CC33BF}">
      <text>
        <r>
          <rPr>
            <b/>
            <sz val="9"/>
            <color indexed="81"/>
            <rFont val="Tahoma"/>
            <family val="2"/>
          </rPr>
          <t>cmcneil:</t>
        </r>
        <r>
          <rPr>
            <sz val="9"/>
            <color indexed="81"/>
            <rFont val="Tahoma"/>
            <family val="2"/>
          </rPr>
          <t xml:space="preserve">
Any observation about a given sample. Cutting dog bites, dirty layers, ice lenses, etc...</t>
        </r>
      </text>
    </comment>
    <comment ref="AD10" authorId="0" shapeId="0" xr:uid="{C139E2F7-6CDA-46EC-9460-A8BADFC17D11}">
      <text>
        <r>
          <rPr>
            <b/>
            <sz val="9"/>
            <color indexed="81"/>
            <rFont val="Tahoma"/>
            <family val="2"/>
          </rPr>
          <t>cmcneil:</t>
        </r>
        <r>
          <rPr>
            <sz val="9"/>
            <color indexed="81"/>
            <rFont val="Tahoma"/>
            <family val="2"/>
          </rPr>
          <t xml:space="preserve">
What was used to measure snow depth</t>
        </r>
      </text>
    </comment>
    <comment ref="AE10" authorId="0" shapeId="0" xr:uid="{756CE7D2-1701-4B61-B27D-98AA1EE0F9ED}">
      <text>
        <r>
          <rPr>
            <b/>
            <sz val="9"/>
            <color indexed="81"/>
            <rFont val="Tahoma"/>
            <family val="2"/>
          </rPr>
          <t>cmcneil:</t>
        </r>
        <r>
          <rPr>
            <sz val="9"/>
            <color indexed="81"/>
            <rFont val="Tahoma"/>
            <family val="2"/>
          </rPr>
          <t xml:space="preserve">
snow depth observed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0000000-0006-0000-0200-0000010000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00000000-0006-0000-0200-000002000000}">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0000000-0006-0000-0200-00000300000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0000000-0006-0000-0200-00000400000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0000000-0006-0000-0200-000005000000}">
      <text>
        <r>
          <rPr>
            <sz val="8"/>
            <color indexed="81"/>
            <rFont val="Tahoma"/>
            <family val="2"/>
          </rPr>
          <t xml:space="preserve">Sipre coring auger=45.6cm2 
large tube 41.05 cm2       
small tube 25.6   cm2          
Snow Metrics 1000 cm^3
</t>
        </r>
      </text>
    </comment>
    <comment ref="A10" authorId="0" shapeId="0" xr:uid="{00000000-0006-0000-0200-00000600000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0000000-0006-0000-0200-00000700000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0000000-0006-0000-0200-00000800000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00000000-0006-0000-0200-000009000000}">
      <text>
        <r>
          <rPr>
            <b/>
            <sz val="9"/>
            <color indexed="81"/>
            <rFont val="Tahoma"/>
            <family val="2"/>
          </rPr>
          <t>cmcneil:</t>
        </r>
        <r>
          <rPr>
            <sz val="9"/>
            <color indexed="81"/>
            <rFont val="Tahoma"/>
            <family val="2"/>
          </rPr>
          <t xml:space="preserve">
Volume of sample taken</t>
        </r>
      </text>
    </comment>
    <comment ref="E10" authorId="0" shapeId="0" xr:uid="{00000000-0006-0000-0200-00000A00000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00000000-0006-0000-0200-00000B00000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00000000-0006-0000-0200-00000C000000}">
      <text>
        <r>
          <rPr>
            <b/>
            <sz val="9"/>
            <color indexed="81"/>
            <rFont val="Tahoma"/>
            <family val="2"/>
          </rPr>
          <t>cmcneil:</t>
        </r>
        <r>
          <rPr>
            <sz val="9"/>
            <color indexed="81"/>
            <rFont val="Tahoma"/>
            <family val="2"/>
          </rPr>
          <t xml:space="preserve">
Density of sample. Calculated from the mass/volume</t>
        </r>
      </text>
    </comment>
    <comment ref="H10" authorId="0" shapeId="0" xr:uid="{00000000-0006-0000-0200-00000D00000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00000000-0006-0000-0200-00000E000000}">
      <text>
        <r>
          <rPr>
            <b/>
            <sz val="9"/>
            <color indexed="81"/>
            <rFont val="Tahoma"/>
            <family val="2"/>
          </rPr>
          <t>cmcneil:</t>
        </r>
        <r>
          <rPr>
            <sz val="9"/>
            <color indexed="81"/>
            <rFont val="Tahoma"/>
            <family val="2"/>
          </rPr>
          <t xml:space="preserve">
Cummulative s.w.e. of from surface to the depth of each sample</t>
        </r>
      </text>
    </comment>
    <comment ref="J10" authorId="0" shapeId="0" xr:uid="{00000000-0006-0000-0200-00000F00000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00000000-0006-0000-0200-000010000000}">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00000000-0006-0000-0200-000011000000}">
      <text>
        <r>
          <rPr>
            <b/>
            <sz val="9"/>
            <color indexed="81"/>
            <rFont val="Tahoma"/>
            <family val="2"/>
          </rPr>
          <t>cmcneil:</t>
        </r>
        <r>
          <rPr>
            <sz val="9"/>
            <color indexed="81"/>
            <rFont val="Tahoma"/>
            <family val="2"/>
          </rPr>
          <t xml:space="preserve">
What was used to measure snow depth</t>
        </r>
      </text>
    </comment>
    <comment ref="M10" authorId="0" shapeId="0" xr:uid="{00000000-0006-0000-0200-000012000000}">
      <text>
        <r>
          <rPr>
            <b/>
            <sz val="9"/>
            <color indexed="81"/>
            <rFont val="Tahoma"/>
            <family val="2"/>
          </rPr>
          <t>cmcneil:</t>
        </r>
        <r>
          <rPr>
            <sz val="9"/>
            <color indexed="81"/>
            <rFont val="Tahoma"/>
            <family val="2"/>
          </rPr>
          <t xml:space="preserve">
snow depth observed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0000000-0006-0000-0400-0000010000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I1" authorId="0" shapeId="0" xr:uid="{00000000-0006-0000-0400-000002000000}">
      <text>
        <r>
          <rPr>
            <b/>
            <sz val="9"/>
            <color indexed="81"/>
            <rFont val="Tahoma"/>
            <family val="2"/>
          </rPr>
          <t>cmcneil:</t>
        </r>
        <r>
          <rPr>
            <sz val="9"/>
            <color indexed="81"/>
            <rFont val="Tahoma"/>
            <family val="2"/>
          </rPr>
          <t xml:space="preserve">
Do not enter value. Link it to the last core sample SBD</t>
        </r>
      </text>
    </comment>
    <comment ref="H2" authorId="0" shapeId="0" xr:uid="{00000000-0006-0000-0400-000003000000}">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0000000-0006-0000-0400-00000400000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0000000-0006-0000-0400-00000500000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0000000-0006-0000-0400-000006000000}">
      <text>
        <r>
          <rPr>
            <sz val="8"/>
            <color indexed="81"/>
            <rFont val="Tahoma"/>
            <family val="2"/>
          </rPr>
          <t xml:space="preserve">Sipre coring auger=45.6cm2 
large tube 41.05 cm2       
small tube 25.6   cm2          
Snow Metrics 1000 cm^3
</t>
        </r>
      </text>
    </comment>
    <comment ref="D9" authorId="0" shapeId="0" xr:uid="{00000000-0006-0000-0400-000007000000}">
      <text>
        <r>
          <rPr>
            <b/>
            <sz val="9"/>
            <color indexed="81"/>
            <rFont val="Tahoma"/>
            <family val="2"/>
          </rPr>
          <t>cmcneil:</t>
        </r>
        <r>
          <rPr>
            <sz val="9"/>
            <color indexed="81"/>
            <rFont val="Tahoma"/>
            <family val="2"/>
          </rPr>
          <t xml:space="preserve">
Measurements of core lengths.</t>
        </r>
      </text>
    </comment>
    <comment ref="H9" authorId="0" shapeId="0" xr:uid="{00000000-0006-0000-0400-000008000000}">
      <text>
        <r>
          <rPr>
            <b/>
            <sz val="9"/>
            <color indexed="81"/>
            <rFont val="Tahoma"/>
            <family val="2"/>
          </rPr>
          <t>cmcneil:</t>
        </r>
        <r>
          <rPr>
            <sz val="9"/>
            <color indexed="81"/>
            <rFont val="Tahoma"/>
            <family val="2"/>
          </rPr>
          <t xml:space="preserve">
Measurements of core diameter</t>
        </r>
      </text>
    </comment>
    <comment ref="A10" authorId="0" shapeId="0" xr:uid="{00000000-0006-0000-0400-00000900000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0000000-0006-0000-0400-00000A00000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0000000-0006-0000-0400-00000B00000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00000000-0006-0000-0400-00000C000000}">
      <text>
        <r>
          <rPr>
            <b/>
            <sz val="9"/>
            <color indexed="81"/>
            <rFont val="Tahoma"/>
            <family val="2"/>
          </rPr>
          <t>cmcneil:</t>
        </r>
        <r>
          <rPr>
            <sz val="9"/>
            <color indexed="81"/>
            <rFont val="Tahoma"/>
            <family val="2"/>
          </rPr>
          <t xml:space="preserve">
Average of all measured lengths of core section</t>
        </r>
      </text>
    </comment>
    <comment ref="L10" authorId="0" shapeId="0" xr:uid="{00000000-0006-0000-0400-00000D000000}">
      <text>
        <r>
          <rPr>
            <b/>
            <sz val="9"/>
            <color indexed="81"/>
            <rFont val="Tahoma"/>
            <family val="2"/>
          </rPr>
          <t>cmcneil:</t>
        </r>
        <r>
          <rPr>
            <sz val="9"/>
            <color indexed="81"/>
            <rFont val="Tahoma"/>
            <family val="2"/>
          </rPr>
          <t xml:space="preserve">
Average of all diameters measured for each core section</t>
        </r>
      </text>
    </comment>
    <comment ref="M10" authorId="0" shapeId="0" xr:uid="{00000000-0006-0000-0400-00000E000000}">
      <text>
        <r>
          <rPr>
            <b/>
            <sz val="9"/>
            <color indexed="81"/>
            <rFont val="Tahoma"/>
            <family val="2"/>
          </rPr>
          <t>cmcneil:</t>
        </r>
        <r>
          <rPr>
            <sz val="9"/>
            <color indexed="81"/>
            <rFont val="Tahoma"/>
            <family val="2"/>
          </rPr>
          <t xml:space="preserve">
Volume of sample taken</t>
        </r>
      </text>
    </comment>
    <comment ref="N10" authorId="0" shapeId="0" xr:uid="{00000000-0006-0000-0400-00000F00000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00000000-0006-0000-0400-00001000000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00000000-0006-0000-0400-000011000000}">
      <text>
        <r>
          <rPr>
            <b/>
            <sz val="9"/>
            <color indexed="81"/>
            <rFont val="Tahoma"/>
            <family val="2"/>
          </rPr>
          <t>cmcneil:</t>
        </r>
        <r>
          <rPr>
            <sz val="9"/>
            <color indexed="81"/>
            <rFont val="Tahoma"/>
            <family val="2"/>
          </rPr>
          <t xml:space="preserve">
Density of sample. Calculated from the mass/volume</t>
        </r>
      </text>
    </comment>
    <comment ref="Q10" authorId="0" shapeId="0" xr:uid="{00000000-0006-0000-0400-00001200000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00000000-0006-0000-0400-000013000000}">
      <text>
        <r>
          <rPr>
            <b/>
            <sz val="9"/>
            <color indexed="81"/>
            <rFont val="Tahoma"/>
            <family val="2"/>
          </rPr>
          <t>cmcneil:</t>
        </r>
        <r>
          <rPr>
            <sz val="9"/>
            <color indexed="81"/>
            <rFont val="Tahoma"/>
            <family val="2"/>
          </rPr>
          <t xml:space="preserve">
Cummulative s.w.e. of from surface to the depth of each sample</t>
        </r>
      </text>
    </comment>
    <comment ref="S10" authorId="0" shapeId="0" xr:uid="{00000000-0006-0000-0400-00001400000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00000000-0006-0000-0400-000015000000}">
      <text>
        <r>
          <rPr>
            <b/>
            <sz val="9"/>
            <color indexed="81"/>
            <rFont val="Tahoma"/>
            <family val="2"/>
          </rPr>
          <t>cmcneil:</t>
        </r>
        <r>
          <rPr>
            <sz val="9"/>
            <color indexed="81"/>
            <rFont val="Tahoma"/>
            <family val="2"/>
          </rPr>
          <t xml:space="preserve">
Height of any ice lenses observed in core. If there was more than one, enter closest to bottom of core section and note additional depths in comments (column Z)</t>
        </r>
      </text>
    </comment>
    <comment ref="U10" authorId="0" shapeId="0" xr:uid="{00000000-0006-0000-0400-000016000000}">
      <text>
        <r>
          <rPr>
            <b/>
            <sz val="9"/>
            <color indexed="81"/>
            <rFont val="Tahoma"/>
            <family val="2"/>
          </rPr>
          <t>cmcneil:</t>
        </r>
        <r>
          <rPr>
            <sz val="9"/>
            <color indexed="81"/>
            <rFont val="Tahoma"/>
            <family val="2"/>
          </rPr>
          <t xml:space="preserve">
Thickness of ice lenses observed in core. If more than one lense was observed enters total thickness of all ice lenses in core section. Make sure to note additional thicknesses in comments (column Z).</t>
        </r>
      </text>
    </comment>
    <comment ref="V10" authorId="0" shapeId="0" xr:uid="{00000000-0006-0000-0400-000017000000}">
      <text>
        <r>
          <rPr>
            <b/>
            <sz val="9"/>
            <color indexed="81"/>
            <rFont val="Tahoma"/>
            <family val="2"/>
          </rPr>
          <t>cmcneil:</t>
        </r>
        <r>
          <rPr>
            <sz val="9"/>
            <color indexed="81"/>
            <rFont val="Tahoma"/>
            <family val="2"/>
          </rPr>
          <t xml:space="preserve">
Volume of ice in core</t>
        </r>
      </text>
    </comment>
    <comment ref="W10" authorId="0" shapeId="0" xr:uid="{00000000-0006-0000-0400-000018000000}">
      <text>
        <r>
          <rPr>
            <b/>
            <sz val="9"/>
            <color indexed="81"/>
            <rFont val="Tahoma"/>
            <family val="2"/>
          </rPr>
          <t>cmcneil:</t>
        </r>
        <r>
          <rPr>
            <sz val="9"/>
            <color indexed="81"/>
            <rFont val="Tahoma"/>
            <family val="2"/>
          </rPr>
          <t xml:space="preserve">
estimated density of core without ice</t>
        </r>
      </text>
    </comment>
    <comment ref="X10" authorId="0" shapeId="0" xr:uid="{00000000-0006-0000-0400-000019000000}">
      <text>
        <r>
          <rPr>
            <b/>
            <sz val="9"/>
            <color indexed="81"/>
            <rFont val="Tahoma"/>
            <family val="2"/>
          </rPr>
          <t>cmcneil:</t>
        </r>
        <r>
          <rPr>
            <sz val="9"/>
            <color indexed="81"/>
            <rFont val="Tahoma"/>
            <family val="2"/>
          </rPr>
          <t xml:space="preserve">
height of observed annual layer from bottom of core section</t>
        </r>
      </text>
    </comment>
    <comment ref="Y10" authorId="0" shapeId="0" xr:uid="{00000000-0006-0000-0400-00001A000000}">
      <text>
        <r>
          <rPr>
            <b/>
            <sz val="9"/>
            <color indexed="81"/>
            <rFont val="Tahoma"/>
            <family val="2"/>
          </rPr>
          <t>cmcneil:</t>
        </r>
        <r>
          <rPr>
            <sz val="9"/>
            <color indexed="81"/>
            <rFont val="Tahoma"/>
            <family val="2"/>
          </rPr>
          <t xml:space="preserve">
Depth of annual layer from surface. Calculated by subracting height from SBD(column x) from SBD (column C)</t>
        </r>
      </text>
    </comment>
    <comment ref="Z10" authorId="0" shapeId="0" xr:uid="{00000000-0006-0000-0400-00001B000000}">
      <text>
        <r>
          <rPr>
            <b/>
            <sz val="9"/>
            <color indexed="81"/>
            <rFont val="Tahoma"/>
            <family val="2"/>
          </rPr>
          <t>cmcneil:</t>
        </r>
        <r>
          <rPr>
            <sz val="9"/>
            <color indexed="81"/>
            <rFont val="Tahoma"/>
            <family val="2"/>
          </rPr>
          <t xml:space="preserve">
Any observation about a given sample. Cutting dog bites, dirty layers, ice lenses, etc...</t>
        </r>
      </text>
    </comment>
    <comment ref="AA10" authorId="0" shapeId="0" xr:uid="{00000000-0006-0000-0400-00001C000000}">
      <text>
        <r>
          <rPr>
            <b/>
            <sz val="9"/>
            <color indexed="81"/>
            <rFont val="Tahoma"/>
            <family val="2"/>
          </rPr>
          <t>cmcneil:</t>
        </r>
        <r>
          <rPr>
            <sz val="9"/>
            <color indexed="81"/>
            <rFont val="Tahoma"/>
            <family val="2"/>
          </rPr>
          <t xml:space="preserve">
What was used to measure snow depth</t>
        </r>
      </text>
    </comment>
    <comment ref="AB10" authorId="0" shapeId="0" xr:uid="{00000000-0006-0000-0400-00001D000000}">
      <text>
        <r>
          <rPr>
            <b/>
            <sz val="9"/>
            <color indexed="81"/>
            <rFont val="Tahoma"/>
            <family val="2"/>
          </rPr>
          <t>cmcneil:</t>
        </r>
        <r>
          <rPr>
            <sz val="9"/>
            <color indexed="81"/>
            <rFont val="Tahoma"/>
            <family val="2"/>
          </rPr>
          <t xml:space="preserve">
snow depth observed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Baker, Emily Hewitt</author>
    <author>tc={02521B79-A61D-4D51-93DD-15575E39F6F1}</author>
  </authors>
  <commentList>
    <comment ref="A4" authorId="0" shapeId="0" xr:uid="{4D12DA3A-D440-454F-BBE5-ABA973BD6D35}">
      <text>
        <r>
          <rPr>
            <b/>
            <sz val="9"/>
            <color indexed="81"/>
            <rFont val="Tahoma"/>
            <family val="2"/>
          </rPr>
          <t>cmcneil:</t>
        </r>
        <r>
          <rPr>
            <sz val="9"/>
            <color indexed="81"/>
            <rFont val="Tahoma"/>
            <family val="2"/>
          </rPr>
          <t xml:space="preserve">
Date of site visit</t>
        </r>
      </text>
    </comment>
    <comment ref="B4" authorId="0" shapeId="0" xr:uid="{35763EE6-FE54-4101-BDDA-4F8E10124375}">
      <text>
        <r>
          <rPr>
            <b/>
            <sz val="9"/>
            <color indexed="81"/>
            <rFont val="Tahoma"/>
            <family val="2"/>
          </rPr>
          <t>cmcneil:</t>
        </r>
        <r>
          <rPr>
            <sz val="9"/>
            <color indexed="81"/>
            <rFont val="Tahoma"/>
            <family val="2"/>
          </rPr>
          <t xml:space="preserve">
Notebook field data can be found in</t>
        </r>
      </text>
    </comment>
    <comment ref="C4" authorId="0" shapeId="0" xr:uid="{5B0ACCA7-9693-44C8-9BA6-7D7E45331E47}">
      <text>
        <r>
          <rPr>
            <b/>
            <sz val="9"/>
            <color indexed="81"/>
            <rFont val="Tahoma"/>
            <family val="2"/>
          </rPr>
          <t>cmcneil:</t>
        </r>
        <r>
          <rPr>
            <sz val="9"/>
            <color indexed="81"/>
            <rFont val="Tahoma"/>
            <family val="2"/>
          </rPr>
          <t xml:space="preserve">
Name of the stake, eg. 17AU</t>
        </r>
      </text>
    </comment>
    <comment ref="D4" authorId="0" shapeId="0" xr:uid="{4316518B-363C-4161-B536-FF28254FBF31}">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DDB26DC6-4085-48AF-B1DC-03FFF67681DB}">
      <text>
        <r>
          <rPr>
            <b/>
            <sz val="9"/>
            <color indexed="81"/>
            <rFont val="Tahoma"/>
            <family val="2"/>
          </rPr>
          <t>cmcneil:</t>
        </r>
        <r>
          <rPr>
            <sz val="9"/>
            <color indexed="81"/>
            <rFont val="Tahoma"/>
            <family val="2"/>
          </rPr>
          <t xml:space="preserve">
Total length of stake</t>
        </r>
      </text>
    </comment>
    <comment ref="F4" authorId="0" shapeId="0" xr:uid="{B9D0AE8E-614D-44B4-AB8F-11EEB8CCAD96}">
      <text>
        <r>
          <rPr>
            <b/>
            <sz val="9"/>
            <color indexed="81"/>
            <rFont val="Tahoma"/>
            <family val="2"/>
          </rPr>
          <t>cmcneil:</t>
        </r>
        <r>
          <rPr>
            <sz val="9"/>
            <color indexed="81"/>
            <rFont val="Tahoma"/>
            <family val="2"/>
          </rPr>
          <t xml:space="preserve">
Length of stake above the surface noted in column D</t>
        </r>
      </text>
    </comment>
    <comment ref="G4" authorId="0" shapeId="0" xr:uid="{C051F0C6-062E-4091-8B78-D0620B6FF3A0}">
      <text>
        <r>
          <rPr>
            <b/>
            <sz val="9"/>
            <color indexed="81"/>
            <rFont val="Tahoma"/>
            <family val="2"/>
          </rPr>
          <t>cmcneil:</t>
        </r>
        <r>
          <rPr>
            <sz val="9"/>
            <color indexed="81"/>
            <rFont val="Tahoma"/>
            <family val="2"/>
          </rPr>
          <t xml:space="preserve">
Length of stake still below the surface noted in column D</t>
        </r>
      </text>
    </comment>
    <comment ref="H4" authorId="0" shapeId="0" xr:uid="{7546A444-D56E-4A76-80AF-1E5151B57211}">
      <text>
        <r>
          <rPr>
            <b/>
            <sz val="9"/>
            <color indexed="81"/>
            <rFont val="Tahoma"/>
            <family val="2"/>
          </rPr>
          <t>cmcneil:</t>
        </r>
        <r>
          <rPr>
            <sz val="9"/>
            <color indexed="81"/>
            <rFont val="Tahoma"/>
            <family val="2"/>
          </rPr>
          <t xml:space="preserve">
Change in stake since previous site visits</t>
        </r>
      </text>
    </comment>
    <comment ref="I4" authorId="0" shapeId="0" xr:uid="{1D53EDAF-168F-492A-9ADC-C25F900BFC7E}">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B256C944-498E-4987-B65E-91CA36095076}">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E9EDFC30-D6D6-43CF-BEEF-FEDEB96C0714}">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F5B0929B-5DA3-4AE2-84D8-AF5636C6BF96}">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B98B6161-41E1-40F1-A1A8-558997AE25F4}">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6385E90-A40B-48FB-9F6C-9A5DAF8EA8EB}">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CFCED528-F21A-4DC1-B065-AB18F4337B6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B4650D39-5AF3-4E79-A7A9-EDA5C41DC7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EDAF2529-73AF-4A64-B2EC-013B5E57AEB2}">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78293063-51EC-4542-922E-BD32569C3232}">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AA739045-D078-490C-8358-BA637380B4F6}">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297BEB6E-224A-48FC-B2F1-5D669FDB9128}">
      <text>
        <r>
          <rPr>
            <b/>
            <sz val="9"/>
            <color indexed="81"/>
            <rFont val="Tahoma"/>
            <family val="2"/>
          </rPr>
          <t>cmcneil:</t>
        </r>
        <r>
          <rPr>
            <sz val="9"/>
            <color indexed="81"/>
            <rFont val="Tahoma"/>
            <family val="2"/>
          </rPr>
          <t xml:space="preserve">
UTM easting of stake measured with GPS</t>
        </r>
      </text>
    </comment>
    <comment ref="U4" authorId="0" shapeId="0" xr:uid="{78CD51E2-26D5-4AF0-8372-0A2C6C3DAF09}">
      <text>
        <r>
          <rPr>
            <b/>
            <sz val="9"/>
            <color indexed="81"/>
            <rFont val="Tahoma"/>
            <family val="2"/>
          </rPr>
          <t>cmcneil:</t>
        </r>
        <r>
          <rPr>
            <sz val="9"/>
            <color indexed="81"/>
            <rFont val="Tahoma"/>
            <family val="2"/>
          </rPr>
          <t xml:space="preserve">
UTM Northing of stake measured with GPS</t>
        </r>
      </text>
    </comment>
    <comment ref="V4" authorId="0" shapeId="0" xr:uid="{40B3ECCB-410E-4EE9-A775-9D95E16D31C8}">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9382F499-6804-412F-B27C-043AE61BEA59}">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J8" authorId="1" shapeId="0" xr:uid="{9341F77E-88B4-45C6-A934-4F0A5410668F}">
      <text>
        <r>
          <rPr>
            <b/>
            <sz val="9"/>
            <color indexed="81"/>
            <rFont val="Tahoma"/>
            <charset val="1"/>
          </rPr>
          <t>Baker, Emily Hewitt:</t>
        </r>
        <r>
          <rPr>
            <sz val="9"/>
            <color indexed="81"/>
            <rFont val="Tahoma"/>
            <charset val="1"/>
          </rPr>
          <t xml:space="preserve">
From snow pit</t>
        </r>
      </text>
    </comment>
    <comment ref="I10" authorId="1" shapeId="0" xr:uid="{C59F410E-5537-4268-BD2C-800292DC1FE2}">
      <text>
        <r>
          <rPr>
            <b/>
            <sz val="9"/>
            <color indexed="81"/>
            <rFont val="Tahoma"/>
            <charset val="1"/>
          </rPr>
          <t>Baker, Emily Hewitt:</t>
        </r>
        <r>
          <rPr>
            <sz val="9"/>
            <color indexed="81"/>
            <rFont val="Tahoma"/>
            <charset val="1"/>
          </rPr>
          <t xml:space="preserve">
Average of probe depths at the 22 stake for summer accumulation
</t>
        </r>
      </text>
    </comment>
    <comment ref="J10" authorId="1" shapeId="0" xr:uid="{D4B13D07-D841-4130-9C4B-D06F235CC6D7}">
      <text>
        <r>
          <rPr>
            <b/>
            <sz val="9"/>
            <color indexed="81"/>
            <rFont val="Tahoma"/>
            <charset val="1"/>
          </rPr>
          <t>Baker, Emily Hewitt:</t>
        </r>
        <r>
          <rPr>
            <sz val="9"/>
            <color indexed="81"/>
            <rFont val="Tahoma"/>
            <charset val="1"/>
          </rPr>
          <t xml:space="preserve">
Average of probe depths at the 22 stake for summer accumulation
</t>
        </r>
      </text>
    </comment>
    <comment ref="F11" authorId="1" shapeId="0" xr:uid="{678AAD89-CB1C-4D7E-841E-CFFC50F78892}">
      <text>
        <r>
          <rPr>
            <b/>
            <sz val="9"/>
            <color indexed="81"/>
            <rFont val="Tahoma"/>
            <charset val="1"/>
          </rPr>
          <t>Baker, Emily Hewitt:</t>
        </r>
        <r>
          <rPr>
            <sz val="9"/>
            <color indexed="81"/>
            <rFont val="Tahoma"/>
            <charset val="1"/>
          </rPr>
          <t xml:space="preserve">
Adding average probed depth of summer accumulation at the stake to length above surface
</t>
        </r>
      </text>
    </comment>
    <comment ref="G11" authorId="1" shapeId="0" xr:uid="{DA6AB6CC-6A65-4353-A30E-D68AE87E61E0}">
      <text>
        <r>
          <rPr>
            <b/>
            <sz val="9"/>
            <color indexed="81"/>
            <rFont val="Tahoma"/>
            <charset val="1"/>
          </rPr>
          <t>Baker, Emily Hewitt:</t>
        </r>
        <r>
          <rPr>
            <sz val="9"/>
            <color indexed="81"/>
            <rFont val="Tahoma"/>
            <charset val="1"/>
          </rPr>
          <t xml:space="preserve">
Height of firn</t>
        </r>
      </text>
    </comment>
    <comment ref="H11" authorId="1" shapeId="0" xr:uid="{7A6B98B4-0E9C-4F5E-9666-505D78E18D48}">
      <text>
        <r>
          <rPr>
            <b/>
            <sz val="9"/>
            <color indexed="81"/>
            <rFont val="Tahoma"/>
            <charset val="1"/>
          </rPr>
          <t>Baker, Emily Hewitt:</t>
        </r>
        <r>
          <rPr>
            <sz val="9"/>
            <color indexed="81"/>
            <rFont val="Tahoma"/>
            <charset val="1"/>
          </rPr>
          <t xml:space="preserve">
Annual accumulation as measured on stake</t>
        </r>
      </text>
    </comment>
    <comment ref="J11" authorId="1" shapeId="0" xr:uid="{7382A675-E374-49DD-8DB2-FD89E412092F}">
      <text>
        <r>
          <rPr>
            <b/>
            <sz val="9"/>
            <color indexed="81"/>
            <rFont val="Tahoma"/>
            <charset val="1"/>
          </rPr>
          <t>Baker, Emily Hewitt:</t>
        </r>
        <r>
          <rPr>
            <sz val="9"/>
            <color indexed="81"/>
            <rFont val="Tahoma"/>
            <charset val="1"/>
          </rPr>
          <t xml:space="preserve">
snowpit depth</t>
        </r>
      </text>
    </comment>
    <comment ref="I15" authorId="1" shapeId="0" xr:uid="{BCFBD3BE-A907-4442-94C1-DD40C18241BC}">
      <text>
        <r>
          <rPr>
            <b/>
            <sz val="9"/>
            <color indexed="81"/>
            <rFont val="Tahoma"/>
            <charset val="1"/>
          </rPr>
          <t>Baker, Emily Hewitt:</t>
        </r>
        <r>
          <rPr>
            <sz val="9"/>
            <color indexed="81"/>
            <rFont val="Tahoma"/>
            <charset val="1"/>
          </rPr>
          <t xml:space="preserve">
Average of probe depths at 24 stake</t>
        </r>
      </text>
    </comment>
    <comment ref="C30" authorId="2" shapeId="0" xr:uid="{02521B79-A61D-4D51-93DD-15575E39F6F1}">
      <text>
        <t>[Threaded comment]
Your version of Excel allows you to read this threaded comment; however, any edits to it will get removed if the file is opened in a newer version of Excel. Learn more: https://go.microsoft.com/fwlink/?linkid=870924
Comment:
    Average of 2 stake-calculated annual balances, and one site-average-snow-depth balance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tc={307DAA04-D71E-42D3-9354-E15415F8393B}</author>
    <author>Baker, Emily Hewitt</author>
  </authors>
  <commentList>
    <comment ref="A4" authorId="0" shapeId="0" xr:uid="{1378CE84-8338-4CB4-BA03-0621C3454220}">
      <text>
        <r>
          <rPr>
            <b/>
            <sz val="9"/>
            <color indexed="81"/>
            <rFont val="Tahoma"/>
            <family val="2"/>
          </rPr>
          <t>cmcneil:</t>
        </r>
        <r>
          <rPr>
            <sz val="9"/>
            <color indexed="81"/>
            <rFont val="Tahoma"/>
            <family val="2"/>
          </rPr>
          <t xml:space="preserve">
Date of site visit</t>
        </r>
      </text>
    </comment>
    <comment ref="B4" authorId="0" shapeId="0" xr:uid="{24B305FB-718D-46E3-90DF-8921BA04A36B}">
      <text>
        <r>
          <rPr>
            <b/>
            <sz val="9"/>
            <color indexed="81"/>
            <rFont val="Tahoma"/>
            <family val="2"/>
          </rPr>
          <t>cmcneil:</t>
        </r>
        <r>
          <rPr>
            <sz val="9"/>
            <color indexed="81"/>
            <rFont val="Tahoma"/>
            <family val="2"/>
          </rPr>
          <t xml:space="preserve">
Notebook field data can be found in</t>
        </r>
      </text>
    </comment>
    <comment ref="C4" authorId="0" shapeId="0" xr:uid="{CC4298C4-DF75-4599-B0AB-E4DDFBDEDAD8}">
      <text>
        <r>
          <rPr>
            <b/>
            <sz val="9"/>
            <color indexed="81"/>
            <rFont val="Tahoma"/>
            <family val="2"/>
          </rPr>
          <t>cmcneil:</t>
        </r>
        <r>
          <rPr>
            <sz val="9"/>
            <color indexed="81"/>
            <rFont val="Tahoma"/>
            <family val="2"/>
          </rPr>
          <t xml:space="preserve">
Name of the stake, eg. 17AU</t>
        </r>
      </text>
    </comment>
    <comment ref="D4" authorId="0" shapeId="0" xr:uid="{A013F77C-41A4-4562-9D0D-5176816356AC}">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82529E21-DB65-4254-B3C3-AEC734AEDA92}">
      <text>
        <r>
          <rPr>
            <b/>
            <sz val="9"/>
            <color indexed="81"/>
            <rFont val="Tahoma"/>
            <family val="2"/>
          </rPr>
          <t>cmcneil:</t>
        </r>
        <r>
          <rPr>
            <sz val="9"/>
            <color indexed="81"/>
            <rFont val="Tahoma"/>
            <family val="2"/>
          </rPr>
          <t xml:space="preserve">
Total length of stake</t>
        </r>
      </text>
    </comment>
    <comment ref="F4" authorId="0" shapeId="0" xr:uid="{47FEF876-FFF8-42DB-9EFB-3ACBCF9E8AF5}">
      <text>
        <r>
          <rPr>
            <b/>
            <sz val="9"/>
            <color indexed="81"/>
            <rFont val="Tahoma"/>
            <family val="2"/>
          </rPr>
          <t>cmcneil:</t>
        </r>
        <r>
          <rPr>
            <sz val="9"/>
            <color indexed="81"/>
            <rFont val="Tahoma"/>
            <family val="2"/>
          </rPr>
          <t xml:space="preserve">
Length of stake above the surface noted in column D</t>
        </r>
      </text>
    </comment>
    <comment ref="G4" authorId="0" shapeId="0" xr:uid="{D5714EF4-D1B3-473C-9645-650244EDC533}">
      <text>
        <r>
          <rPr>
            <b/>
            <sz val="9"/>
            <color indexed="81"/>
            <rFont val="Tahoma"/>
            <family val="2"/>
          </rPr>
          <t>cmcneil:</t>
        </r>
        <r>
          <rPr>
            <sz val="9"/>
            <color indexed="81"/>
            <rFont val="Tahoma"/>
            <family val="2"/>
          </rPr>
          <t xml:space="preserve">
Length of stake still below the surface noted in column D</t>
        </r>
      </text>
    </comment>
    <comment ref="H4" authorId="0" shapeId="0" xr:uid="{7E78AAD9-6090-4816-AE04-6473C297742F}">
      <text>
        <r>
          <rPr>
            <b/>
            <sz val="9"/>
            <color indexed="81"/>
            <rFont val="Tahoma"/>
            <family val="2"/>
          </rPr>
          <t>cmcneil:</t>
        </r>
        <r>
          <rPr>
            <sz val="9"/>
            <color indexed="81"/>
            <rFont val="Tahoma"/>
            <family val="2"/>
          </rPr>
          <t xml:space="preserve">
Change in stake since previous site visits</t>
        </r>
      </text>
    </comment>
    <comment ref="I4" authorId="0" shapeId="0" xr:uid="{3A7E1C47-D292-4E50-B2F2-98CB6E382983}">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33840143-0E4A-4437-BFEE-A4CD2576A436}">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2355B72-9062-4D5C-A2B9-8AE5019CB613}">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9D50DB23-FDE5-4FB7-8005-7876EE8F5422}">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2C3E3976-9C62-45B2-9866-7AC3CA482D39}">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61D1CC80-E4A4-4F8B-97A8-519F254EBCA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823F56C-B6E4-43E8-8C63-FFC357470468}">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6F261516-94E2-44AF-AAFB-AE7EC9EA3C5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575AA7ED-9A3D-4222-8C5C-8C017A570666}">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4E40CF54-801C-4E5D-A146-7D95A5748C2E}">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CF3201E5-6C9A-4A5C-BCCB-C6E1E17AC46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2C7274BF-9F52-4293-819B-BD55DC47620C}">
      <text>
        <r>
          <rPr>
            <b/>
            <sz val="9"/>
            <color indexed="81"/>
            <rFont val="Tahoma"/>
            <family val="2"/>
          </rPr>
          <t>cmcneil:</t>
        </r>
        <r>
          <rPr>
            <sz val="9"/>
            <color indexed="81"/>
            <rFont val="Tahoma"/>
            <family val="2"/>
          </rPr>
          <t xml:space="preserve">
UTM easting of stake measured with GPS</t>
        </r>
      </text>
    </comment>
    <comment ref="U4" authorId="0" shapeId="0" xr:uid="{95D2C193-6901-4B97-BFA1-56B99061A838}">
      <text>
        <r>
          <rPr>
            <b/>
            <sz val="9"/>
            <color indexed="81"/>
            <rFont val="Tahoma"/>
            <family val="2"/>
          </rPr>
          <t>cmcneil:</t>
        </r>
        <r>
          <rPr>
            <sz val="9"/>
            <color indexed="81"/>
            <rFont val="Tahoma"/>
            <family val="2"/>
          </rPr>
          <t xml:space="preserve">
UTM Northing of stake measured with GPS</t>
        </r>
      </text>
    </comment>
    <comment ref="V4" authorId="0" shapeId="0" xr:uid="{BBA54431-6B7A-48CD-9696-BE481A3EDC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39C7995B-4CB7-4957-9390-37AEE1F01FBF}">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E13" authorId="1" shapeId="0" xr:uid="{307DAA04-D71E-42D3-9354-E15415F8393B}">
      <text>
        <t>[Threaded comment]
Your version of Excel allows you to read this threaded comment; however, any edits to it will get removed if the file is opened in a newer version of Excel. Learn more: https://go.microsoft.com/fwlink/?linkid=870924
Comment:
    Assuming the top of the external coupler is 6.20 m above base. Probably close.</t>
      </text>
    </comment>
    <comment ref="I15" authorId="2" shapeId="0" xr:uid="{DC6C70CB-3AE6-43DA-AE87-A28085BC4CE8}">
      <text>
        <r>
          <rPr>
            <b/>
            <sz val="9"/>
            <color indexed="81"/>
            <rFont val="Tahoma"/>
            <charset val="1"/>
          </rPr>
          <t>Baker, Emily Hewitt:</t>
        </r>
        <r>
          <rPr>
            <sz val="9"/>
            <color indexed="81"/>
            <rFont val="Tahoma"/>
            <charset val="1"/>
          </rPr>
          <t xml:space="preserve">
Summer accumulation, probed depth per Sass field notes</t>
        </r>
      </text>
    </comment>
    <comment ref="I16" authorId="2" shapeId="0" xr:uid="{CA88FC9C-C1C7-4EE7-9CA6-747613D4D07C}">
      <text>
        <r>
          <rPr>
            <b/>
            <sz val="9"/>
            <color indexed="81"/>
            <rFont val="Tahoma"/>
            <charset val="1"/>
          </rPr>
          <t>Baker, Emily Hewitt:</t>
        </r>
        <r>
          <rPr>
            <sz val="9"/>
            <color indexed="81"/>
            <rFont val="Tahoma"/>
            <charset val="1"/>
          </rPr>
          <t xml:space="preserve">
Depth of firn, OMITTING new summer accumulation snow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cmcneil</author>
    <author>tc={9633F040-4EE4-41B7-B3CD-75D7A6768527}</author>
    <author>tc={EBC64C5C-711C-42A4-8176-B2B7E3665795}</author>
  </authors>
  <commentList>
    <comment ref="A4" authorId="0" shapeId="0" xr:uid="{00000000-0006-0000-0100-000001000000}">
      <text>
        <r>
          <rPr>
            <b/>
            <sz val="9"/>
            <color indexed="81"/>
            <rFont val="Tahoma"/>
            <family val="2"/>
          </rPr>
          <t>cmcneil:</t>
        </r>
        <r>
          <rPr>
            <sz val="9"/>
            <color indexed="81"/>
            <rFont val="Tahoma"/>
            <family val="2"/>
          </rPr>
          <t xml:space="preserve">
Date of site visit</t>
        </r>
      </text>
    </comment>
    <comment ref="B4" authorId="0" shapeId="0" xr:uid="{00000000-0006-0000-0100-000002000000}">
      <text>
        <r>
          <rPr>
            <b/>
            <sz val="9"/>
            <color indexed="81"/>
            <rFont val="Tahoma"/>
            <family val="2"/>
          </rPr>
          <t>cmcneil:</t>
        </r>
        <r>
          <rPr>
            <sz val="9"/>
            <color indexed="81"/>
            <rFont val="Tahoma"/>
            <family val="2"/>
          </rPr>
          <t xml:space="preserve">
Notebook field data can be found in</t>
        </r>
      </text>
    </comment>
    <comment ref="C4" authorId="0" shapeId="0" xr:uid="{00000000-0006-0000-0100-000003000000}">
      <text>
        <r>
          <rPr>
            <b/>
            <sz val="9"/>
            <color indexed="81"/>
            <rFont val="Tahoma"/>
            <family val="2"/>
          </rPr>
          <t>cmcneil:</t>
        </r>
        <r>
          <rPr>
            <sz val="9"/>
            <color indexed="81"/>
            <rFont val="Tahoma"/>
            <family val="2"/>
          </rPr>
          <t xml:space="preserve">
Name of the stake, eg. 17AU</t>
        </r>
      </text>
    </comment>
    <comment ref="D4" authorId="0" shapeId="0" xr:uid="{00000000-0006-0000-0100-00000400000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00000000-0006-0000-0100-000005000000}">
      <text>
        <r>
          <rPr>
            <b/>
            <sz val="9"/>
            <color indexed="81"/>
            <rFont val="Tahoma"/>
            <family val="2"/>
          </rPr>
          <t>cmcneil:</t>
        </r>
        <r>
          <rPr>
            <sz val="9"/>
            <color indexed="81"/>
            <rFont val="Tahoma"/>
            <family val="2"/>
          </rPr>
          <t xml:space="preserve">
Total length of stake</t>
        </r>
      </text>
    </comment>
    <comment ref="F4" authorId="0" shapeId="0" xr:uid="{00000000-0006-0000-0100-000006000000}">
      <text>
        <r>
          <rPr>
            <b/>
            <sz val="9"/>
            <color indexed="81"/>
            <rFont val="Tahoma"/>
            <family val="2"/>
          </rPr>
          <t>cmcneil:</t>
        </r>
        <r>
          <rPr>
            <sz val="9"/>
            <color indexed="81"/>
            <rFont val="Tahoma"/>
            <family val="2"/>
          </rPr>
          <t xml:space="preserve">
Length of stake above the surface noted in column D</t>
        </r>
      </text>
    </comment>
    <comment ref="G4" authorId="0" shapeId="0" xr:uid="{00000000-0006-0000-0100-000007000000}">
      <text>
        <r>
          <rPr>
            <b/>
            <sz val="9"/>
            <color indexed="81"/>
            <rFont val="Tahoma"/>
            <family val="2"/>
          </rPr>
          <t>cmcneil:</t>
        </r>
        <r>
          <rPr>
            <sz val="9"/>
            <color indexed="81"/>
            <rFont val="Tahoma"/>
            <family val="2"/>
          </rPr>
          <t xml:space="preserve">
Length of stake still below the surface noted in column D</t>
        </r>
      </text>
    </comment>
    <comment ref="H4" authorId="0" shapeId="0" xr:uid="{00000000-0006-0000-0100-000008000000}">
      <text>
        <r>
          <rPr>
            <b/>
            <sz val="9"/>
            <color indexed="81"/>
            <rFont val="Tahoma"/>
            <family val="2"/>
          </rPr>
          <t>cmcneil:</t>
        </r>
        <r>
          <rPr>
            <sz val="9"/>
            <color indexed="81"/>
            <rFont val="Tahoma"/>
            <family val="2"/>
          </rPr>
          <t xml:space="preserve">
Change in stake since previous site visits</t>
        </r>
      </text>
    </comment>
    <comment ref="I4" authorId="0" shapeId="0" xr:uid="{00000000-0006-0000-0100-00000900000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00000000-0006-0000-0100-00000A000000}">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0000000-0006-0000-0100-00000B000000}">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00000000-0006-0000-0100-00000C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00000000-0006-0000-0100-00000D000000}">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0000000-0006-0000-0100-00000E000000}">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00000000-0006-0000-0100-00000F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00000000-0006-0000-0100-000010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00000000-0006-0000-0100-00001100000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00000000-0006-0000-0100-0000120000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0000000-0006-0000-0100-000013000000}">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00000000-0006-0000-0100-000014000000}">
      <text>
        <r>
          <rPr>
            <b/>
            <sz val="9"/>
            <color indexed="81"/>
            <rFont val="Tahoma"/>
            <family val="2"/>
          </rPr>
          <t>cmcneil:</t>
        </r>
        <r>
          <rPr>
            <sz val="9"/>
            <color indexed="81"/>
            <rFont val="Tahoma"/>
            <family val="2"/>
          </rPr>
          <t xml:space="preserve">
UTM easting of stake measured with GPS</t>
        </r>
      </text>
    </comment>
    <comment ref="U4" authorId="0" shapeId="0" xr:uid="{00000000-0006-0000-0100-000015000000}">
      <text>
        <r>
          <rPr>
            <b/>
            <sz val="9"/>
            <color indexed="81"/>
            <rFont val="Tahoma"/>
            <family val="2"/>
          </rPr>
          <t>cmcneil:</t>
        </r>
        <r>
          <rPr>
            <sz val="9"/>
            <color indexed="81"/>
            <rFont val="Tahoma"/>
            <family val="2"/>
          </rPr>
          <t xml:space="preserve">
UTM Northing of stake measured with GPS</t>
        </r>
      </text>
    </comment>
    <comment ref="V4" authorId="0" shapeId="0" xr:uid="{00000000-0006-0000-0100-000016000000}">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000000-0006-0000-0100-000017000000}">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 ref="K7" authorId="1" shapeId="0" xr:uid="{9633F040-4EE4-41B7-B3CD-75D7A6768527}">
      <text>
        <t>[Threaded comment]
Your version of Excel allows you to read this threaded comment; however, any edits to it will get removed if the file is opened in a newer version of Excel. Learn more: https://go.microsoft.com/fwlink/?linkid=870924
Comment:
    Density From K17b</t>
      </text>
    </comment>
    <comment ref="K8" authorId="2" shapeId="0" xr:uid="{EBC64C5C-711C-42A4-8176-B2B7E3665795}">
      <text>
        <t>[Threaded comment]
Your version of Excel allows you to read this threaded comment; however, any edits to it will get removed if the file is opened in a newer version of Excel. Learn more: https://go.microsoft.com/fwlink/?linkid=870924
Comment:
    From K17b</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0BE06151-8B26-4B7A-B918-53ED22F76AA1}">
      <text>
        <r>
          <rPr>
            <b/>
            <sz val="9"/>
            <color indexed="81"/>
            <rFont val="Tahoma"/>
            <family val="2"/>
          </rPr>
          <t>cmcneil:</t>
        </r>
        <r>
          <rPr>
            <sz val="9"/>
            <color indexed="81"/>
            <rFont val="Tahoma"/>
            <family val="2"/>
          </rPr>
          <t xml:space="preserve">
Date of site visit</t>
        </r>
      </text>
    </comment>
    <comment ref="B4" authorId="0" shapeId="0" xr:uid="{7484087C-3F96-48F8-AB9E-3F6E09AFAD2F}">
      <text>
        <r>
          <rPr>
            <b/>
            <sz val="9"/>
            <color indexed="81"/>
            <rFont val="Tahoma"/>
            <family val="2"/>
          </rPr>
          <t>cmcneil:</t>
        </r>
        <r>
          <rPr>
            <sz val="9"/>
            <color indexed="81"/>
            <rFont val="Tahoma"/>
            <family val="2"/>
          </rPr>
          <t xml:space="preserve">
Notebook field data can be found in</t>
        </r>
      </text>
    </comment>
    <comment ref="C4" authorId="0" shapeId="0" xr:uid="{E3FAFFC6-0E34-4748-A7E1-5DE511A6D0BB}">
      <text>
        <r>
          <rPr>
            <b/>
            <sz val="9"/>
            <color indexed="81"/>
            <rFont val="Tahoma"/>
            <family val="2"/>
          </rPr>
          <t>cmcneil:</t>
        </r>
        <r>
          <rPr>
            <sz val="9"/>
            <color indexed="81"/>
            <rFont val="Tahoma"/>
            <family val="2"/>
          </rPr>
          <t xml:space="preserve">
Name of the stake, eg. 17AU</t>
        </r>
      </text>
    </comment>
    <comment ref="D4" authorId="0" shapeId="0" xr:uid="{54AA4E67-C6E6-458F-B150-CA06FC7AC06A}">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F0C13986-D325-4F5C-BB04-48987FA79282}">
      <text>
        <r>
          <rPr>
            <b/>
            <sz val="9"/>
            <color indexed="81"/>
            <rFont val="Tahoma"/>
            <family val="2"/>
          </rPr>
          <t>cmcneil:</t>
        </r>
        <r>
          <rPr>
            <sz val="9"/>
            <color indexed="81"/>
            <rFont val="Tahoma"/>
            <family val="2"/>
          </rPr>
          <t xml:space="preserve">
Total length of stake</t>
        </r>
      </text>
    </comment>
    <comment ref="F4" authorId="0" shapeId="0" xr:uid="{1A6676CE-34D1-449B-8ABE-90B4B21A1A04}">
      <text>
        <r>
          <rPr>
            <b/>
            <sz val="9"/>
            <color indexed="81"/>
            <rFont val="Tahoma"/>
            <family val="2"/>
          </rPr>
          <t>cmcneil:</t>
        </r>
        <r>
          <rPr>
            <sz val="9"/>
            <color indexed="81"/>
            <rFont val="Tahoma"/>
            <family val="2"/>
          </rPr>
          <t xml:space="preserve">
Length of stake above the surface noted in column D</t>
        </r>
      </text>
    </comment>
    <comment ref="G4" authorId="0" shapeId="0" xr:uid="{D093F5F6-E915-448E-8A91-99D8FF718967}">
      <text>
        <r>
          <rPr>
            <b/>
            <sz val="9"/>
            <color indexed="81"/>
            <rFont val="Tahoma"/>
            <family val="2"/>
          </rPr>
          <t>cmcneil:</t>
        </r>
        <r>
          <rPr>
            <sz val="9"/>
            <color indexed="81"/>
            <rFont val="Tahoma"/>
            <family val="2"/>
          </rPr>
          <t xml:space="preserve">
Length of stake still below the surface noted in column D</t>
        </r>
      </text>
    </comment>
    <comment ref="H4" authorId="0" shapeId="0" xr:uid="{B51DF8E0-59F7-4219-A929-6F28FA5CCEFC}">
      <text>
        <r>
          <rPr>
            <b/>
            <sz val="9"/>
            <color indexed="81"/>
            <rFont val="Tahoma"/>
            <family val="2"/>
          </rPr>
          <t>cmcneil:</t>
        </r>
        <r>
          <rPr>
            <sz val="9"/>
            <color indexed="81"/>
            <rFont val="Tahoma"/>
            <family val="2"/>
          </rPr>
          <t xml:space="preserve">
Change in stake since previous site visits</t>
        </r>
      </text>
    </comment>
    <comment ref="I4" authorId="0" shapeId="0" xr:uid="{D1F19F4A-1CE7-4729-BC44-33F81DC65DF0}">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98091B36-8923-442C-8FC4-30B70CE0596C}">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D8ADA68-599A-4650-BD83-CEEDCE1AB7C2}">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DD7D92B7-2979-404F-B254-CCCF125E9DB6}">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CA9A8090-479C-40BE-AFEE-CB2C88490387}">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9F5B0961-7A2C-4A67-8C69-807A4406251F}">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F1E4DB65-F9F2-4519-8946-13330C053BF5}">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13B9DAA5-6711-4C3C-86BD-2C1C8AD60D79}">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F83C2EB2-0DDB-4A41-A0A9-07B20A669CA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1E223F5A-5492-4504-A5E1-1D0A11EECFD4}">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CF8C94BC-8CE2-4ADB-94EB-CB720B3306AA}">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4BDFA7E2-6919-44C4-AD36-8B39F63D8792}">
      <text>
        <r>
          <rPr>
            <b/>
            <sz val="9"/>
            <color indexed="81"/>
            <rFont val="Tahoma"/>
            <family val="2"/>
          </rPr>
          <t>cmcneil:</t>
        </r>
        <r>
          <rPr>
            <sz val="9"/>
            <color indexed="81"/>
            <rFont val="Tahoma"/>
            <family val="2"/>
          </rPr>
          <t xml:space="preserve">
UTM easting of stake measured with GPS</t>
        </r>
      </text>
    </comment>
    <comment ref="U4" authorId="0" shapeId="0" xr:uid="{B202D4CE-2A10-4B3B-90E0-9F386EE2D399}">
      <text>
        <r>
          <rPr>
            <b/>
            <sz val="9"/>
            <color indexed="81"/>
            <rFont val="Tahoma"/>
            <family val="2"/>
          </rPr>
          <t>cmcneil:</t>
        </r>
        <r>
          <rPr>
            <sz val="9"/>
            <color indexed="81"/>
            <rFont val="Tahoma"/>
            <family val="2"/>
          </rPr>
          <t xml:space="preserve">
UTM Northing of stake measured with GPS</t>
        </r>
      </text>
    </comment>
    <comment ref="V4" authorId="0" shapeId="0" xr:uid="{1ABF4F14-6E9C-41FF-8F53-5700489A15F3}">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64F8EEB-3E36-4233-A44B-95B700B27F97}">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cmcneil</author>
  </authors>
  <commentList>
    <comment ref="A4" authorId="0" shapeId="0" xr:uid="{82CD844C-FA08-4969-AC28-AECB3BFF58D9}">
      <text>
        <r>
          <rPr>
            <b/>
            <sz val="9"/>
            <color indexed="81"/>
            <rFont val="Tahoma"/>
            <family val="2"/>
          </rPr>
          <t>cmcneil:</t>
        </r>
        <r>
          <rPr>
            <sz val="9"/>
            <color indexed="81"/>
            <rFont val="Tahoma"/>
            <family val="2"/>
          </rPr>
          <t xml:space="preserve">
Date of site visit</t>
        </r>
      </text>
    </comment>
    <comment ref="B4" authorId="0" shapeId="0" xr:uid="{DF6171B5-1149-41BD-914E-3070351E8C57}">
      <text>
        <r>
          <rPr>
            <b/>
            <sz val="9"/>
            <color indexed="81"/>
            <rFont val="Tahoma"/>
            <family val="2"/>
          </rPr>
          <t>cmcneil:</t>
        </r>
        <r>
          <rPr>
            <sz val="9"/>
            <color indexed="81"/>
            <rFont val="Tahoma"/>
            <family val="2"/>
          </rPr>
          <t xml:space="preserve">
Notebook field data can be found in</t>
        </r>
      </text>
    </comment>
    <comment ref="C4" authorId="0" shapeId="0" xr:uid="{C8078537-579C-41A9-BC7A-09161C372BE9}">
      <text>
        <r>
          <rPr>
            <b/>
            <sz val="9"/>
            <color indexed="81"/>
            <rFont val="Tahoma"/>
            <family val="2"/>
          </rPr>
          <t>cmcneil:</t>
        </r>
        <r>
          <rPr>
            <sz val="9"/>
            <color indexed="81"/>
            <rFont val="Tahoma"/>
            <family val="2"/>
          </rPr>
          <t xml:space="preserve">
Name of the stake, eg. 17AU</t>
        </r>
      </text>
    </comment>
    <comment ref="D4" authorId="0" shapeId="0" xr:uid="{25A57A3B-599B-4E1C-98F7-B934FEF58C50}">
      <text>
        <r>
          <rPr>
            <b/>
            <sz val="9"/>
            <color indexed="81"/>
            <rFont val="Tahoma"/>
            <family val="2"/>
          </rPr>
          <t>cmcneil:</t>
        </r>
        <r>
          <rPr>
            <sz val="9"/>
            <color indexed="81"/>
            <rFont val="Tahoma"/>
            <family val="2"/>
          </rPr>
          <t xml:space="preserve">
What the surface was during the site visit. Example: Snow, Firn, or Ice</t>
        </r>
      </text>
    </comment>
    <comment ref="E4" authorId="0" shapeId="0" xr:uid="{E902430E-DE82-46E5-9573-C89A7512CA17}">
      <text>
        <r>
          <rPr>
            <b/>
            <sz val="9"/>
            <color indexed="81"/>
            <rFont val="Tahoma"/>
            <family val="2"/>
          </rPr>
          <t>cmcneil:</t>
        </r>
        <r>
          <rPr>
            <sz val="9"/>
            <color indexed="81"/>
            <rFont val="Tahoma"/>
            <family val="2"/>
          </rPr>
          <t xml:space="preserve">
Total length of stake</t>
        </r>
      </text>
    </comment>
    <comment ref="F4" authorId="0" shapeId="0" xr:uid="{C6979C11-5AC6-4C14-901F-096FF82B32A3}">
      <text>
        <r>
          <rPr>
            <b/>
            <sz val="9"/>
            <color indexed="81"/>
            <rFont val="Tahoma"/>
            <family val="2"/>
          </rPr>
          <t>cmcneil:</t>
        </r>
        <r>
          <rPr>
            <sz val="9"/>
            <color indexed="81"/>
            <rFont val="Tahoma"/>
            <family val="2"/>
          </rPr>
          <t xml:space="preserve">
Length of stake above the surface noted in column D</t>
        </r>
      </text>
    </comment>
    <comment ref="G4" authorId="0" shapeId="0" xr:uid="{6BF3E54A-6CA9-411C-BAA9-C3A629380A7B}">
      <text>
        <r>
          <rPr>
            <b/>
            <sz val="9"/>
            <color indexed="81"/>
            <rFont val="Tahoma"/>
            <family val="2"/>
          </rPr>
          <t>cmcneil:</t>
        </r>
        <r>
          <rPr>
            <sz val="9"/>
            <color indexed="81"/>
            <rFont val="Tahoma"/>
            <family val="2"/>
          </rPr>
          <t xml:space="preserve">
Length of stake still below the surface noted in column D</t>
        </r>
      </text>
    </comment>
    <comment ref="H4" authorId="0" shapeId="0" xr:uid="{EAD89BEF-A15D-4926-ABA4-AC016C730C14}">
      <text>
        <r>
          <rPr>
            <b/>
            <sz val="9"/>
            <color indexed="81"/>
            <rFont val="Tahoma"/>
            <family val="2"/>
          </rPr>
          <t>cmcneil:</t>
        </r>
        <r>
          <rPr>
            <sz val="9"/>
            <color indexed="81"/>
            <rFont val="Tahoma"/>
            <family val="2"/>
          </rPr>
          <t xml:space="preserve">
Change in stake since previous site visits</t>
        </r>
      </text>
    </comment>
    <comment ref="I4" authorId="0" shapeId="0" xr:uid="{18E5BF77-9322-4F20-A20B-F7EB22D51473}">
      <text>
        <r>
          <rPr>
            <b/>
            <sz val="9"/>
            <color indexed="81"/>
            <rFont val="Tahoma"/>
            <family val="2"/>
          </rPr>
          <t>cmcneil:</t>
        </r>
        <r>
          <rPr>
            <sz val="9"/>
            <color indexed="81"/>
            <rFont val="Tahoma"/>
            <family val="2"/>
          </rPr>
          <t xml:space="preserve">
Closest measurement to the stake. This number is needed to estimate winter ablation in Column Q. DO NOT TYPE NUMBER INTO CELL. LINK TO PIT OR CORE SHEET FOR TRANSPARENCY.</t>
        </r>
      </text>
    </comment>
    <comment ref="J4" authorId="0" shapeId="0" xr:uid="{CCA07C85-4F8C-431D-B7E7-2BF2BCF19175}">
      <text>
        <r>
          <rPr>
            <b/>
            <sz val="9"/>
            <color indexed="81"/>
            <rFont val="Tahoma"/>
            <family val="2"/>
          </rPr>
          <t>cmcneil:</t>
        </r>
        <r>
          <rPr>
            <sz val="9"/>
            <color indexed="81"/>
            <rFont val="Tahoma"/>
            <family val="2"/>
          </rPr>
          <t xml:space="preserve">
Average of snowpit, stake, probe, and/or crevasse stratigraphy observations made at site location (&lt;~30m from index site).DO NOT TYPE NUMBER INTO CELL. LINK TO PIT OR CORE SHEET FOR TRANSPARENCY.</t>
        </r>
      </text>
    </comment>
    <comment ref="K4" authorId="0" shapeId="0" xr:uid="{014907DB-CD5D-47B5-B196-282E8517D4BE}">
      <text>
        <r>
          <rPr>
            <b/>
            <sz val="9"/>
            <color indexed="81"/>
            <rFont val="Tahoma"/>
            <family val="2"/>
          </rPr>
          <t>cmcneil:</t>
        </r>
        <r>
          <rPr>
            <sz val="9"/>
            <color indexed="81"/>
            <rFont val="Tahoma"/>
            <family val="2"/>
          </rPr>
          <t xml:space="preserve">
Density of snow still present during site visit. DO NOT TYPE NUMBER INTO CELL. LINK TO PIT OR CORE SHEET FOR TRANSPARENCY. If density was not measured justify the estimatation in column W</t>
        </r>
      </text>
    </comment>
    <comment ref="L4" authorId="0" shapeId="0" xr:uid="{713A8121-CFEE-481D-BC97-8099FF0DB7BE}">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M4" authorId="0" shapeId="0" xr:uid="{AF383954-85BF-4841-9C0C-E106E7BD13BD}">
      <text>
        <r>
          <rPr>
            <b/>
            <sz val="9"/>
            <color indexed="81"/>
            <rFont val="Tahoma"/>
            <family val="2"/>
          </rPr>
          <t>cmcneil:</t>
        </r>
        <r>
          <rPr>
            <sz val="9"/>
            <color indexed="81"/>
            <rFont val="Tahoma"/>
            <family val="2"/>
          </rPr>
          <t xml:space="preserve">
Height of previous years' summer surface on stake. Value is derived from subtracting stake snow depth from the length of stake below surface. See formula.</t>
        </r>
      </text>
    </comment>
    <comment ref="N4" authorId="0" shapeId="0" xr:uid="{029FE71D-23D4-4D4D-93EE-A815EDDB6481}">
      <text>
        <r>
          <rPr>
            <b/>
            <sz val="9"/>
            <color indexed="81"/>
            <rFont val="Tahoma"/>
            <family val="2"/>
          </rPr>
          <t>cmcneil:</t>
        </r>
        <r>
          <rPr>
            <sz val="9"/>
            <color indexed="81"/>
            <rFont val="Tahoma"/>
            <family val="2"/>
          </rPr>
          <t xml:space="preserve">
Density of firn at location. If know link from pit or core sheet for transerancy. Otherwise, justify the estimated value in the comments column, column T.</t>
        </r>
      </text>
    </comment>
    <comment ref="O4" authorId="0" shapeId="0" xr:uid="{63C871A2-41ED-475E-9935-31D344E9E06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P4" authorId="0" shapeId="0" xr:uid="{864B2C0F-99D0-4605-907C-7E4A6CC38362}">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Q4" authorId="0" shapeId="0" xr:uid="{F1574B49-4401-4B8E-8D23-E07BE85212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R4" authorId="0" shapeId="0" xr:uid="{9CF37E43-C7E0-4320-8CEC-2E56FA568423}">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S4" authorId="0" shapeId="0" xr:uid="{025EEDDD-2A79-494E-ACEC-25336149548D}">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T4" authorId="0" shapeId="0" xr:uid="{8DA336EF-EC0C-4E0D-8954-92E710A2A26E}">
      <text>
        <r>
          <rPr>
            <b/>
            <sz val="9"/>
            <color indexed="81"/>
            <rFont val="Tahoma"/>
            <family val="2"/>
          </rPr>
          <t>cmcneil:</t>
        </r>
        <r>
          <rPr>
            <sz val="9"/>
            <color indexed="81"/>
            <rFont val="Tahoma"/>
            <family val="2"/>
          </rPr>
          <t xml:space="preserve">
UTM easting of stake measured with GPS</t>
        </r>
      </text>
    </comment>
    <comment ref="U4" authorId="0" shapeId="0" xr:uid="{20EA1E7E-8532-44D2-A69C-66B7E5550E64}">
      <text>
        <r>
          <rPr>
            <b/>
            <sz val="9"/>
            <color indexed="81"/>
            <rFont val="Tahoma"/>
            <family val="2"/>
          </rPr>
          <t>cmcneil:</t>
        </r>
        <r>
          <rPr>
            <sz val="9"/>
            <color indexed="81"/>
            <rFont val="Tahoma"/>
            <family val="2"/>
          </rPr>
          <t xml:space="preserve">
UTM Northing of stake measured with GPS</t>
        </r>
      </text>
    </comment>
    <comment ref="V4" authorId="0" shapeId="0" xr:uid="{2F738ABD-0240-4CA5-8AC0-C54AB4D3755A}">
      <text>
        <r>
          <rPr>
            <b/>
            <sz val="9"/>
            <color indexed="81"/>
            <rFont val="Tahoma"/>
            <family val="2"/>
          </rPr>
          <t>cmcneil:</t>
        </r>
        <r>
          <rPr>
            <sz val="9"/>
            <color indexed="81"/>
            <rFont val="Tahoma"/>
            <family val="2"/>
          </rPr>
          <t xml:space="preserve">
Elevation of stake measured with GPS as height above ellipsoid</t>
        </r>
      </text>
    </comment>
    <comment ref="W4" authorId="0" shapeId="0" xr:uid="{00CBDB32-C730-48B3-BFFB-38437644713D}">
      <text>
        <r>
          <rPr>
            <b/>
            <sz val="9"/>
            <color indexed="81"/>
            <rFont val="Tahoma"/>
            <family val="2"/>
          </rPr>
          <t>cmcneil:</t>
        </r>
        <r>
          <rPr>
            <sz val="9"/>
            <color indexed="81"/>
            <rFont val="Tahoma"/>
            <family val="2"/>
          </rPr>
          <t xml:space="preserve">
Any additional notes on measurement records or approximations made. This is critical for proper metadata and archiving.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D17DB5F2-4F70-4850-86BA-526CA4E52627}">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D938AD68-A1D2-4410-A0EE-97B7DC1D336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9E381687-F5C1-456F-8D4A-DE710CC5CB41}">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18BD2467-3DDF-4012-A25E-85987A7F6F37}">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80A7FF32-4BDC-4D1D-8F84-AB9EC0BDCB97}">
      <text>
        <r>
          <rPr>
            <sz val="8"/>
            <color indexed="81"/>
            <rFont val="Tahoma"/>
            <family val="2"/>
          </rPr>
          <t xml:space="preserve">Sipre coring auger=45.6cm2 
large tube 41.05 cm2       
small tube 25.6   cm2          
Snow Metrics 1000 cm^3
</t>
        </r>
      </text>
    </comment>
    <comment ref="A10" authorId="0" shapeId="0" xr:uid="{F1DAAFD9-EED6-4091-BAC1-C791B735B24D}">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6682EF70-2B2A-4F8C-8B2E-34015C5514DE}">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97B21530-4553-43CC-97F0-B8C95DF894D9}">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CD348462-C832-45D8-8671-64A55FB2B1D7}">
      <text>
        <r>
          <rPr>
            <b/>
            <sz val="9"/>
            <color indexed="81"/>
            <rFont val="Tahoma"/>
            <family val="2"/>
          </rPr>
          <t>cmcneil:</t>
        </r>
        <r>
          <rPr>
            <sz val="9"/>
            <color indexed="81"/>
            <rFont val="Tahoma"/>
            <family val="2"/>
          </rPr>
          <t xml:space="preserve">
Volume of sample taken</t>
        </r>
      </text>
    </comment>
    <comment ref="E10" authorId="0" shapeId="0" xr:uid="{788B9695-F83E-4340-A2D0-9148E948C91B}">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7B3C363C-D8F6-46E7-B804-CDB83CF3DB99}">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18DAC2CB-FBD7-4E0F-B56F-3DDF1785292D}">
      <text>
        <r>
          <rPr>
            <b/>
            <sz val="9"/>
            <color indexed="81"/>
            <rFont val="Tahoma"/>
            <family val="2"/>
          </rPr>
          <t>cmcneil:</t>
        </r>
        <r>
          <rPr>
            <sz val="9"/>
            <color indexed="81"/>
            <rFont val="Tahoma"/>
            <family val="2"/>
          </rPr>
          <t xml:space="preserve">
Density of sample. Calculated from the mass/volume</t>
        </r>
      </text>
    </comment>
    <comment ref="H10" authorId="0" shapeId="0" xr:uid="{E832B73C-8B5A-42AE-9B6B-17D281865906}">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7B097AA5-803F-477B-9D7B-C39B673269FE}">
      <text>
        <r>
          <rPr>
            <b/>
            <sz val="9"/>
            <color indexed="81"/>
            <rFont val="Tahoma"/>
            <family val="2"/>
          </rPr>
          <t>cmcneil:</t>
        </r>
        <r>
          <rPr>
            <sz val="9"/>
            <color indexed="81"/>
            <rFont val="Tahoma"/>
            <family val="2"/>
          </rPr>
          <t xml:space="preserve">
Cummulative s.w.e. of from surface to the depth of each sample</t>
        </r>
      </text>
    </comment>
    <comment ref="J10" authorId="0" shapeId="0" xr:uid="{91E0FF4A-3105-4123-9FA0-7D4E81F3663C}">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6E581FEC-144D-40CA-B33F-88DDEDA5649F}">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7A5A10E3-77C2-4B21-AC30-DE63826446D1}">
      <text>
        <r>
          <rPr>
            <b/>
            <sz val="9"/>
            <color indexed="81"/>
            <rFont val="Tahoma"/>
            <family val="2"/>
          </rPr>
          <t>cmcneil:</t>
        </r>
        <r>
          <rPr>
            <sz val="9"/>
            <color indexed="81"/>
            <rFont val="Tahoma"/>
            <family val="2"/>
          </rPr>
          <t xml:space="preserve">
What was used to measure snow depth</t>
        </r>
      </text>
    </comment>
    <comment ref="M10" authorId="0" shapeId="0" xr:uid="{42473FCA-8578-4C91-9841-C027F55032B2}">
      <text>
        <r>
          <rPr>
            <b/>
            <sz val="9"/>
            <color indexed="81"/>
            <rFont val="Tahoma"/>
            <family val="2"/>
          </rPr>
          <t>cmcneil:</t>
        </r>
        <r>
          <rPr>
            <sz val="9"/>
            <color indexed="81"/>
            <rFont val="Tahoma"/>
            <family val="2"/>
          </rPr>
          <t xml:space="preserve">
snow depth observed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00000000-0006-0000-0300-000001000000}">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00000000-0006-0000-0300-000002000000}">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0000000-0006-0000-0300-000003000000}">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00000000-0006-0000-0300-000004000000}">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00000000-0006-0000-0300-000005000000}">
      <text>
        <r>
          <rPr>
            <sz val="8"/>
            <color indexed="81"/>
            <rFont val="Tahoma"/>
            <family val="2"/>
          </rPr>
          <t xml:space="preserve">Sipre coring auger=45.6cm2 
large tube 41.05 cm2       
small tube 25.6   cm2          
Snow Metrics 1000 cm^3
</t>
        </r>
      </text>
    </comment>
    <comment ref="D9" authorId="0" shapeId="0" xr:uid="{00000000-0006-0000-0300-000006000000}">
      <text>
        <r>
          <rPr>
            <b/>
            <sz val="9"/>
            <color indexed="81"/>
            <rFont val="Tahoma"/>
            <family val="2"/>
          </rPr>
          <t>cmcneil:</t>
        </r>
        <r>
          <rPr>
            <sz val="9"/>
            <color indexed="81"/>
            <rFont val="Tahoma"/>
            <family val="2"/>
          </rPr>
          <t xml:space="preserve">
Measurements of core lengths.</t>
        </r>
      </text>
    </comment>
    <comment ref="H9" authorId="0" shapeId="0" xr:uid="{00000000-0006-0000-0300-000007000000}">
      <text>
        <r>
          <rPr>
            <b/>
            <sz val="9"/>
            <color indexed="81"/>
            <rFont val="Tahoma"/>
            <family val="2"/>
          </rPr>
          <t>cmcneil:</t>
        </r>
        <r>
          <rPr>
            <sz val="9"/>
            <color indexed="81"/>
            <rFont val="Tahoma"/>
            <family val="2"/>
          </rPr>
          <t xml:space="preserve">
Measurements of core diameter</t>
        </r>
      </text>
    </comment>
    <comment ref="A10" authorId="0" shapeId="0" xr:uid="{00000000-0006-0000-0300-000008000000}">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00000000-0006-0000-0300-000009000000}">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00000000-0006-0000-0300-00000A000000}">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G10" authorId="0" shapeId="0" xr:uid="{00000000-0006-0000-0300-00000B000000}">
      <text>
        <r>
          <rPr>
            <b/>
            <sz val="9"/>
            <color indexed="81"/>
            <rFont val="Tahoma"/>
            <family val="2"/>
          </rPr>
          <t>cmcneil:</t>
        </r>
        <r>
          <rPr>
            <sz val="9"/>
            <color indexed="81"/>
            <rFont val="Tahoma"/>
            <family val="2"/>
          </rPr>
          <t xml:space="preserve">
Average of all measured lengths of core section</t>
        </r>
      </text>
    </comment>
    <comment ref="L10" authorId="0" shapeId="0" xr:uid="{00000000-0006-0000-0300-00000C000000}">
      <text>
        <r>
          <rPr>
            <b/>
            <sz val="9"/>
            <color indexed="81"/>
            <rFont val="Tahoma"/>
            <family val="2"/>
          </rPr>
          <t>cmcneil:</t>
        </r>
        <r>
          <rPr>
            <sz val="9"/>
            <color indexed="81"/>
            <rFont val="Tahoma"/>
            <family val="2"/>
          </rPr>
          <t xml:space="preserve">
Average of all diameters measured for each core section</t>
        </r>
      </text>
    </comment>
    <comment ref="M10" authorId="0" shapeId="0" xr:uid="{00000000-0006-0000-0300-00000D000000}">
      <text>
        <r>
          <rPr>
            <b/>
            <sz val="9"/>
            <color indexed="81"/>
            <rFont val="Tahoma"/>
            <family val="2"/>
          </rPr>
          <t>cmcneil:</t>
        </r>
        <r>
          <rPr>
            <sz val="9"/>
            <color indexed="81"/>
            <rFont val="Tahoma"/>
            <family val="2"/>
          </rPr>
          <t xml:space="preserve">
Volume of sample taken</t>
        </r>
      </text>
    </comment>
    <comment ref="N10" authorId="0" shapeId="0" xr:uid="{00000000-0006-0000-0300-00000E000000}">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O10" authorId="0" shapeId="0" xr:uid="{00000000-0006-0000-0300-00000F000000}">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P10" authorId="0" shapeId="0" xr:uid="{00000000-0006-0000-0300-000010000000}">
      <text>
        <r>
          <rPr>
            <b/>
            <sz val="9"/>
            <color indexed="81"/>
            <rFont val="Tahoma"/>
            <family val="2"/>
          </rPr>
          <t>cmcneil:</t>
        </r>
        <r>
          <rPr>
            <sz val="9"/>
            <color indexed="81"/>
            <rFont val="Tahoma"/>
            <family val="2"/>
          </rPr>
          <t xml:space="preserve">
Density of sample. Calculated from the mass/volume</t>
        </r>
      </text>
    </comment>
    <comment ref="Q10" authorId="0" shapeId="0" xr:uid="{00000000-0006-0000-0300-000011000000}">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R10" authorId="0" shapeId="0" xr:uid="{00000000-0006-0000-0300-000012000000}">
      <text>
        <r>
          <rPr>
            <b/>
            <sz val="9"/>
            <color indexed="81"/>
            <rFont val="Tahoma"/>
            <family val="2"/>
          </rPr>
          <t>cmcneil:</t>
        </r>
        <r>
          <rPr>
            <sz val="9"/>
            <color indexed="81"/>
            <rFont val="Tahoma"/>
            <family val="2"/>
          </rPr>
          <t xml:space="preserve">
Cummulative s.w.e. of from surface to the depth of each sample</t>
        </r>
      </text>
    </comment>
    <comment ref="S10" authorId="0" shapeId="0" xr:uid="{00000000-0006-0000-0300-000013000000}">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T10" authorId="0" shapeId="0" xr:uid="{00000000-0006-0000-0300-000014000000}">
      <text>
        <r>
          <rPr>
            <b/>
            <sz val="9"/>
            <color indexed="81"/>
            <rFont val="Tahoma"/>
            <family val="2"/>
          </rPr>
          <t>cmcneil:</t>
        </r>
        <r>
          <rPr>
            <sz val="9"/>
            <color indexed="81"/>
            <rFont val="Tahoma"/>
            <family val="2"/>
          </rPr>
          <t xml:space="preserve">
Any observation about a given sample. Cutting dog bites, dirty layers, ice lenses, etc...</t>
        </r>
      </text>
    </comment>
    <comment ref="U10" authorId="0" shapeId="0" xr:uid="{00000000-0006-0000-0300-000015000000}">
      <text>
        <r>
          <rPr>
            <b/>
            <sz val="9"/>
            <color indexed="81"/>
            <rFont val="Tahoma"/>
            <family val="2"/>
          </rPr>
          <t>cmcneil:</t>
        </r>
        <r>
          <rPr>
            <sz val="9"/>
            <color indexed="81"/>
            <rFont val="Tahoma"/>
            <family val="2"/>
          </rPr>
          <t xml:space="preserve">
What was used to measure snow depth</t>
        </r>
      </text>
    </comment>
    <comment ref="V10" authorId="0" shapeId="0" xr:uid="{00000000-0006-0000-0300-000016000000}">
      <text>
        <r>
          <rPr>
            <b/>
            <sz val="9"/>
            <color indexed="81"/>
            <rFont val="Tahoma"/>
            <family val="2"/>
          </rPr>
          <t>cmcneil:</t>
        </r>
        <r>
          <rPr>
            <sz val="9"/>
            <color indexed="81"/>
            <rFont val="Tahoma"/>
            <family val="2"/>
          </rPr>
          <t xml:space="preserve">
snow depth observed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s>
  <commentList>
    <comment ref="H1" authorId="0" shapeId="0" xr:uid="{502B5493-0711-460C-AC45-6387161BCBF9}">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t>
        </r>
      </text>
    </comment>
    <comment ref="H2" authorId="0" shapeId="0" xr:uid="{1479169F-5AC8-4663-A14A-1380A30D56FD}">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C23899E-83E9-4C3C-960C-5ED0CE39E8DD}">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C587F31-CC7F-466B-A7BF-5C6A699FE9A6}">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97DBCBC-E0FE-40E4-B07A-1812572E08ED}">
      <text>
        <r>
          <rPr>
            <sz val="8"/>
            <color indexed="81"/>
            <rFont val="Tahoma"/>
            <family val="2"/>
          </rPr>
          <t xml:space="preserve">Sipre coring auger=45.6cm2 
large tube 41.05 cm2       
small tube 25.6   cm2          
Snow Metrics 1000 cm^3
</t>
        </r>
      </text>
    </comment>
    <comment ref="A10" authorId="0" shapeId="0" xr:uid="{8A38F8DC-2942-436A-9B0F-5E535AD6C1A1}">
      <text>
        <r>
          <rPr>
            <b/>
            <sz val="9"/>
            <color indexed="81"/>
            <rFont val="Tahoma"/>
            <family val="2"/>
          </rPr>
          <t>cmcneil:</t>
        </r>
        <r>
          <rPr>
            <sz val="9"/>
            <color indexed="81"/>
            <rFont val="Tahoma"/>
            <family val="2"/>
          </rPr>
          <t xml:space="preserve">
Enter Sample weights here. If samples were weight in the sampler, oyu must enter the sampler/container weight in column B.</t>
        </r>
      </text>
    </comment>
    <comment ref="B10" authorId="0" shapeId="0" xr:uid="{3C7B53A4-08F2-4EE5-A008-D494A80B98CC}">
      <text>
        <r>
          <rPr>
            <b/>
            <sz val="9"/>
            <color indexed="81"/>
            <rFont val="Tahoma"/>
            <family val="2"/>
          </rPr>
          <t>cmcneil:</t>
        </r>
        <r>
          <rPr>
            <sz val="9"/>
            <color indexed="81"/>
            <rFont val="Tahoma"/>
            <family val="2"/>
          </rPr>
          <t xml:space="preserve">
Weight of sample container if scale was not tared. If scale was tared enter zero</t>
        </r>
      </text>
    </comment>
    <comment ref="C10" authorId="0" shapeId="0" xr:uid="{90D35947-591A-4672-B16F-4BB09829D917}">
      <text>
        <r>
          <rPr>
            <b/>
            <sz val="9"/>
            <color indexed="81"/>
            <rFont val="Tahoma"/>
            <family val="2"/>
          </rPr>
          <t>cmcneil:</t>
        </r>
        <r>
          <rPr>
            <sz val="9"/>
            <color indexed="81"/>
            <rFont val="Tahoma"/>
            <family val="2"/>
          </rPr>
          <t xml:space="preserve">
Sample Bottom Depth(SBD). This is the depth of the bottom of sample taken, in reference to the snow surface.</t>
        </r>
      </text>
    </comment>
    <comment ref="D10" authorId="0" shapeId="0" xr:uid="{0A54EE8D-35E8-478B-A5B4-E42C3CCED0AF}">
      <text>
        <r>
          <rPr>
            <b/>
            <sz val="9"/>
            <color indexed="81"/>
            <rFont val="Tahoma"/>
            <family val="2"/>
          </rPr>
          <t>cmcneil:</t>
        </r>
        <r>
          <rPr>
            <sz val="9"/>
            <color indexed="81"/>
            <rFont val="Tahoma"/>
            <family val="2"/>
          </rPr>
          <t xml:space="preserve">
Volume of sample taken</t>
        </r>
      </text>
    </comment>
    <comment ref="E10" authorId="0" shapeId="0" xr:uid="{DA0531B7-2AEA-49D9-9A33-0A72C2887AAF}">
      <text>
        <r>
          <rPr>
            <b/>
            <sz val="9"/>
            <color indexed="81"/>
            <rFont val="Tahoma"/>
            <family val="2"/>
          </rPr>
          <t>cmcneil:</t>
        </r>
        <r>
          <rPr>
            <sz val="9"/>
            <color indexed="81"/>
            <rFont val="Tahoma"/>
            <family val="2"/>
          </rPr>
          <t xml:space="preserve">
Top of layer, caluclated as half way between the bottom of the previous sample and the next.</t>
        </r>
      </text>
    </comment>
    <comment ref="F10" authorId="0" shapeId="0" xr:uid="{C68D94C2-A0F9-4200-99F7-BF2F66ABA94A}">
      <text>
        <r>
          <rPr>
            <b/>
            <sz val="9"/>
            <color indexed="81"/>
            <rFont val="Tahoma"/>
            <family val="2"/>
          </rPr>
          <t>cmcneil:</t>
        </r>
        <r>
          <rPr>
            <sz val="9"/>
            <color indexed="81"/>
            <rFont val="Tahoma"/>
            <family val="2"/>
          </rPr>
          <t xml:space="preserve">
Bottom of sample layer, calculated as half way between the bottom of a sample and the top of the next sample.</t>
        </r>
      </text>
    </comment>
    <comment ref="G10" authorId="0" shapeId="0" xr:uid="{D3F01012-EBF9-463F-8BC0-82C309966218}">
      <text>
        <r>
          <rPr>
            <b/>
            <sz val="9"/>
            <color indexed="81"/>
            <rFont val="Tahoma"/>
            <family val="2"/>
          </rPr>
          <t>cmcneil:</t>
        </r>
        <r>
          <rPr>
            <sz val="9"/>
            <color indexed="81"/>
            <rFont val="Tahoma"/>
            <family val="2"/>
          </rPr>
          <t xml:space="preserve">
Density of sample. Calculated from the mass/volume</t>
        </r>
      </text>
    </comment>
    <comment ref="H10" authorId="0" shapeId="0" xr:uid="{AE710462-DF61-4D25-8C9D-6AA23677F865}">
      <text>
        <r>
          <rPr>
            <b/>
            <sz val="9"/>
            <color indexed="81"/>
            <rFont val="Tahoma"/>
            <family val="2"/>
          </rPr>
          <t>cmcneil:</t>
        </r>
        <r>
          <rPr>
            <sz val="9"/>
            <color indexed="81"/>
            <rFont val="Tahoma"/>
            <family val="2"/>
          </rPr>
          <t xml:space="preserve">
Snow water equivalance of sample layer. Calculated from the thickness of the sample layer multpled by the density</t>
        </r>
      </text>
    </comment>
    <comment ref="I10" authorId="0" shapeId="0" xr:uid="{75BA0036-65BA-4015-84FE-F84B2649298F}">
      <text>
        <r>
          <rPr>
            <b/>
            <sz val="9"/>
            <color indexed="81"/>
            <rFont val="Tahoma"/>
            <family val="2"/>
          </rPr>
          <t>cmcneil:</t>
        </r>
        <r>
          <rPr>
            <sz val="9"/>
            <color indexed="81"/>
            <rFont val="Tahoma"/>
            <family val="2"/>
          </rPr>
          <t xml:space="preserve">
Cummulative s.w.e. of from surface to the depth of each sample</t>
        </r>
      </text>
    </comment>
    <comment ref="J10" authorId="0" shapeId="0" xr:uid="{FBBF9AA4-329D-4BE1-AF23-1598AAA35CAD}">
      <text>
        <r>
          <rPr>
            <b/>
            <sz val="9"/>
            <color indexed="81"/>
            <rFont val="Tahoma"/>
            <family val="2"/>
          </rPr>
          <t>cmcneil:</t>
        </r>
        <r>
          <rPr>
            <sz val="9"/>
            <color indexed="81"/>
            <rFont val="Tahoma"/>
            <family val="2"/>
          </rPr>
          <t xml:space="preserve">
Column average density from the surface to each sample. Calculated by dividing cumulative s.w.e. (column I) by the sample bottom depth.</t>
        </r>
      </text>
    </comment>
    <comment ref="K10" authorId="0" shapeId="0" xr:uid="{2DC0BA64-8F28-4A78-94AB-649C7D25BE7A}">
      <text>
        <r>
          <rPr>
            <b/>
            <sz val="9"/>
            <color indexed="81"/>
            <rFont val="Tahoma"/>
            <family val="2"/>
          </rPr>
          <t>cmcneil:</t>
        </r>
        <r>
          <rPr>
            <sz val="9"/>
            <color indexed="81"/>
            <rFont val="Tahoma"/>
            <family val="2"/>
          </rPr>
          <t xml:space="preserve">
Any observation about a given sample. Cutting dog bites, dirty layers, ice lenses, etc...</t>
        </r>
      </text>
    </comment>
    <comment ref="L10" authorId="0" shapeId="0" xr:uid="{FC3A38EF-BCE5-4A93-9EB2-A31307388D3D}">
      <text>
        <r>
          <rPr>
            <b/>
            <sz val="9"/>
            <color indexed="81"/>
            <rFont val="Tahoma"/>
            <family val="2"/>
          </rPr>
          <t>cmcneil:</t>
        </r>
        <r>
          <rPr>
            <sz val="9"/>
            <color indexed="81"/>
            <rFont val="Tahoma"/>
            <family val="2"/>
          </rPr>
          <t xml:space="preserve">
What was used to measure snow depth</t>
        </r>
      </text>
    </comment>
    <comment ref="M10" authorId="0" shapeId="0" xr:uid="{1C6C1FEF-982B-4006-BEF2-A9AEB84D19A4}">
      <text>
        <r>
          <rPr>
            <b/>
            <sz val="9"/>
            <color indexed="81"/>
            <rFont val="Tahoma"/>
            <family val="2"/>
          </rPr>
          <t>cmcneil:</t>
        </r>
        <r>
          <rPr>
            <sz val="9"/>
            <color indexed="81"/>
            <rFont val="Tahoma"/>
            <family val="2"/>
          </rPr>
          <t xml:space="preserve">
snow depth observed</t>
        </r>
      </text>
    </comment>
  </commentList>
</comments>
</file>

<file path=xl/sharedStrings.xml><?xml version="1.0" encoding="utf-8"?>
<sst xmlns="http://schemas.openxmlformats.org/spreadsheetml/2006/main" count="1892" uniqueCount="207">
  <si>
    <t>Comments</t>
  </si>
  <si>
    <t>Depth</t>
  </si>
  <si>
    <t>Density</t>
  </si>
  <si>
    <t>(meters)</t>
  </si>
  <si>
    <t>(m w.e.)</t>
  </si>
  <si>
    <t>SUMMARY:</t>
  </si>
  <si>
    <t>stratigraphic</t>
  </si>
  <si>
    <t>Stake  Location</t>
  </si>
  <si>
    <t>Total</t>
  </si>
  <si>
    <t>Date</t>
  </si>
  <si>
    <t>Notebook</t>
  </si>
  <si>
    <t>Easting</t>
  </si>
  <si>
    <t>Northing</t>
  </si>
  <si>
    <t>(mm/dd/yyyy)</t>
  </si>
  <si>
    <t>(meters)</t>
  </si>
  <si>
    <t>(meters)</t>
  </si>
  <si>
    <t>(m w.e.)</t>
  </si>
  <si>
    <t>(m w.e.)</t>
  </si>
  <si>
    <t>(meters)</t>
  </si>
  <si>
    <t>(meters)</t>
  </si>
  <si>
    <t>(meters)</t>
  </si>
  <si>
    <t>Winter Balance =</t>
  </si>
  <si>
    <t>Summer Balance =</t>
  </si>
  <si>
    <t>Annual Balance =</t>
  </si>
  <si>
    <t>Sampler Type</t>
  </si>
  <si>
    <t>Location:</t>
  </si>
  <si>
    <t>Snow Metrics</t>
  </si>
  <si>
    <t>Field Data</t>
  </si>
  <si>
    <t>Layer Values</t>
  </si>
  <si>
    <t>Cumulative  Values</t>
  </si>
  <si>
    <t>Layer Boundary</t>
  </si>
  <si>
    <t>C+S</t>
  </si>
  <si>
    <t>C</t>
  </si>
  <si>
    <t>SBD</t>
  </si>
  <si>
    <t>Top</t>
  </si>
  <si>
    <t>Bottom</t>
  </si>
  <si>
    <t>SWE</t>
  </si>
  <si>
    <t>gm</t>
  </si>
  <si>
    <t>cm</t>
  </si>
  <si>
    <t>m w.e.</t>
  </si>
  <si>
    <t>Pit</t>
  </si>
  <si>
    <t>Probe</t>
  </si>
  <si>
    <t>Average =</t>
  </si>
  <si>
    <t>Stdev. =</t>
  </si>
  <si>
    <t>Std.Err.Mean =</t>
  </si>
  <si>
    <t>Maximum =</t>
  </si>
  <si>
    <t>Minimum =</t>
  </si>
  <si>
    <t xml:space="preserve"> </t>
  </si>
  <si>
    <t xml:space="preserve"> Comments</t>
  </si>
  <si>
    <t xml:space="preserve">  Notebook:</t>
  </si>
  <si>
    <t xml:space="preserve">    Date:</t>
  </si>
  <si>
    <t xml:space="preserve"> Glacier:</t>
  </si>
  <si>
    <r>
      <t>gm/cm</t>
    </r>
    <r>
      <rPr>
        <vertAlign val="superscript"/>
        <sz val="8"/>
        <rFont val="Arial"/>
        <family val="2"/>
      </rPr>
      <t>3</t>
    </r>
  </si>
  <si>
    <t>Snow Depth</t>
  </si>
  <si>
    <t>Analysis</t>
  </si>
  <si>
    <t>Site</t>
  </si>
  <si>
    <t>Elevation</t>
  </si>
  <si>
    <t>bw</t>
  </si>
  <si>
    <t>ba</t>
  </si>
  <si>
    <t>previous summer accumulation=</t>
  </si>
  <si>
    <t>Winter Ablation=</t>
  </si>
  <si>
    <t>Summer Accumulation=</t>
  </si>
  <si>
    <t>Spring Date</t>
  </si>
  <si>
    <t>Fall Date</t>
  </si>
  <si>
    <t xml:space="preserve">Measurement Interval: </t>
  </si>
  <si>
    <t>:</t>
  </si>
  <si>
    <t>Volume</t>
  </si>
  <si>
    <t>Winter Ablation</t>
  </si>
  <si>
    <t>Summer Accumulation</t>
  </si>
  <si>
    <t>Total snowpit depth(cm):</t>
  </si>
  <si>
    <t>Depth of previous years' summer surface (cm):</t>
  </si>
  <si>
    <t>Average snow Depth (m):</t>
  </si>
  <si>
    <t>Column average density (g/cm^3):</t>
  </si>
  <si>
    <t>Only insert/delete rows from within the table above. This maintains the functionality of the spreadsheet</t>
  </si>
  <si>
    <t>(g/cm^3)</t>
  </si>
  <si>
    <t>Time 1</t>
  </si>
  <si>
    <t>Time 2</t>
  </si>
  <si>
    <t>Time 3</t>
  </si>
  <si>
    <t>Time-systems</t>
  </si>
  <si>
    <t>UTM(WGS84)</t>
  </si>
  <si>
    <t>Zone 6 North</t>
  </si>
  <si>
    <r>
      <t>cm</t>
    </r>
    <r>
      <rPr>
        <vertAlign val="superscript"/>
        <sz val="8"/>
        <rFont val="Arial"/>
        <family val="2"/>
      </rPr>
      <t>3</t>
    </r>
  </si>
  <si>
    <t>Core Lengths</t>
  </si>
  <si>
    <t>Core Diameters</t>
  </si>
  <si>
    <t>(cm)</t>
  </si>
  <si>
    <t>Type of meaasurement</t>
  </si>
  <si>
    <t>Additional snow depth measurements</t>
  </si>
  <si>
    <r>
      <t>(cm</t>
    </r>
    <r>
      <rPr>
        <vertAlign val="superscript"/>
        <sz val="8"/>
        <color theme="1"/>
        <rFont val="Arial"/>
        <family val="2"/>
      </rPr>
      <t>3</t>
    </r>
    <r>
      <rPr>
        <sz val="8"/>
        <color theme="1"/>
        <rFont val="Arial"/>
        <family val="2"/>
      </rPr>
      <t>)</t>
    </r>
  </si>
  <si>
    <r>
      <t>(g/cm</t>
    </r>
    <r>
      <rPr>
        <vertAlign val="superscript"/>
        <sz val="8"/>
        <rFont val="Arial"/>
        <family val="2"/>
      </rPr>
      <t>3)</t>
    </r>
  </si>
  <si>
    <t>Pit Data</t>
  </si>
  <si>
    <t>Core Data</t>
  </si>
  <si>
    <t>Total Core Depth(cm):</t>
  </si>
  <si>
    <t>Depth of Previous Year's Summer Surface (cm):</t>
  </si>
  <si>
    <t>Average Snow Depth (m):</t>
  </si>
  <si>
    <t>Column Average Density (g/cm^3):</t>
  </si>
  <si>
    <t>—</t>
  </si>
  <si>
    <t>Ice Lenses</t>
  </si>
  <si>
    <t>Height from SBD</t>
  </si>
  <si>
    <t>Thickness</t>
  </si>
  <si>
    <t>Ice volume</t>
  </si>
  <si>
    <t>Density w/o ice</t>
  </si>
  <si>
    <r>
      <t>(cm</t>
    </r>
    <r>
      <rPr>
        <vertAlign val="superscript"/>
        <sz val="8"/>
        <rFont val="Arial"/>
        <family val="2"/>
      </rPr>
      <t>3</t>
    </r>
    <r>
      <rPr>
        <sz val="8"/>
        <rFont val="Arial"/>
        <family val="2"/>
      </rPr>
      <t>)</t>
    </r>
  </si>
  <si>
    <r>
      <t>(g/cm</t>
    </r>
    <r>
      <rPr>
        <vertAlign val="superscript"/>
        <sz val="8"/>
        <rFont val="Arial"/>
        <family val="2"/>
      </rPr>
      <t>3</t>
    </r>
    <r>
      <rPr>
        <sz val="8"/>
        <rFont val="Arial"/>
        <family val="2"/>
      </rPr>
      <t>)</t>
    </r>
  </si>
  <si>
    <t>Annual Layers</t>
  </si>
  <si>
    <t>Length 1</t>
  </si>
  <si>
    <t>Length 2</t>
  </si>
  <si>
    <t>Length 3</t>
  </si>
  <si>
    <t>Diameter 1</t>
  </si>
  <si>
    <t>Diameter 2</t>
  </si>
  <si>
    <t>Diameter 3</t>
  </si>
  <si>
    <t>Diameter 4</t>
  </si>
  <si>
    <t>Average Diameter</t>
  </si>
  <si>
    <t>Average Length</t>
  </si>
  <si>
    <t>Stake Name</t>
  </si>
  <si>
    <t>Surface Type</t>
  </si>
  <si>
    <t>Above Surface</t>
  </si>
  <si>
    <t>Below Surface</t>
  </si>
  <si>
    <t>Stake Lengths</t>
  </si>
  <si>
    <t>Length Change</t>
  </si>
  <si>
    <t>Stake Snow Depth</t>
  </si>
  <si>
    <t>Average Snow Depth</t>
  </si>
  <si>
    <t>Snow Density</t>
  </si>
  <si>
    <t>Height of Previous Summer Surface</t>
  </si>
  <si>
    <t>Average Height of Previous Summer Surface</t>
  </si>
  <si>
    <t>Firn Density</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</si>
  <si>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</si>
  <si>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</si>
  <si>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</si>
  <si>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Year</t>
  </si>
  <si>
    <t>NPS/Loso</t>
  </si>
  <si>
    <t>Ice</t>
  </si>
  <si>
    <t>23K53</t>
  </si>
  <si>
    <t>22K17b</t>
  </si>
  <si>
    <t>firn</t>
  </si>
  <si>
    <t>22KIA</t>
  </si>
  <si>
    <t>23Met</t>
  </si>
  <si>
    <t>Firn</t>
  </si>
  <si>
    <t>New Snow</t>
  </si>
  <si>
    <t>Kahiltna</t>
  </si>
  <si>
    <t>KQU</t>
  </si>
  <si>
    <t>24LS</t>
  </si>
  <si>
    <t>24KB/24LS</t>
  </si>
  <si>
    <t>24KQU</t>
  </si>
  <si>
    <t>snow</t>
  </si>
  <si>
    <t>K17b</t>
  </si>
  <si>
    <t>summer sfc at 273</t>
  </si>
  <si>
    <t>24K17b</t>
  </si>
  <si>
    <t>24K53</t>
  </si>
  <si>
    <t>Snow</t>
  </si>
  <si>
    <t>Probe 24K53</t>
  </si>
  <si>
    <t>Probe 23k53</t>
  </si>
  <si>
    <t>K53</t>
  </si>
  <si>
    <t>KIA</t>
  </si>
  <si>
    <t>KPS</t>
  </si>
  <si>
    <t>NaN</t>
  </si>
  <si>
    <t>24KB</t>
  </si>
  <si>
    <t>24 KBollen</t>
  </si>
  <si>
    <t>24 K Bollen</t>
  </si>
  <si>
    <t>24 L Sass</t>
  </si>
  <si>
    <t>2024 K Bollen</t>
  </si>
  <si>
    <t>infiltration ice layers, internal accumulation from 2022</t>
  </si>
  <si>
    <t>NO STAKES, JUST CORES</t>
  </si>
  <si>
    <t>Annual accumulation</t>
  </si>
  <si>
    <t>1 cm suncrust summer 2023</t>
  </si>
  <si>
    <t>2.5 cm suncrust summer 2023</t>
  </si>
  <si>
    <t>0.5cm crust late summer 2022</t>
  </si>
  <si>
    <t>multiple 1-0.5 cm crusts summer 2022</t>
  </si>
  <si>
    <t>S22 4 cm main crusty surface, 2 cm crust just above</t>
  </si>
  <si>
    <t>lowest 1 cm  suncrust 2022, 2 cm crust up 31</t>
  </si>
  <si>
    <t>matches Loso Data</t>
  </si>
  <si>
    <t>fall 2023</t>
  </si>
  <si>
    <t>spring 2024</t>
  </si>
  <si>
    <t>22/23 accumulation thickness</t>
  </si>
  <si>
    <t>22/23 accumulation density</t>
  </si>
  <si>
    <t>22/24 accumulation SWE</t>
  </si>
  <si>
    <t>23k53</t>
  </si>
  <si>
    <t>2024 summer surface at 62 cm</t>
  </si>
  <si>
    <t>2023 summer surface at 167 cm</t>
  </si>
  <si>
    <t>new snow</t>
  </si>
  <si>
    <t>new firn</t>
  </si>
  <si>
    <t>new Snow</t>
  </si>
  <si>
    <t>new Firn</t>
  </si>
  <si>
    <t>24EHB</t>
  </si>
  <si>
    <t>24EHB/24LS</t>
  </si>
  <si>
    <t>KPSL</t>
  </si>
  <si>
    <t>thin (2cm) melt freeze layers</t>
  </si>
  <si>
    <r>
      <rPr>
        <b/>
        <sz val="8"/>
        <color rgb="FF800000"/>
        <rFont val="Arial"/>
        <family val="2"/>
      </rPr>
      <t>2024</t>
    </r>
    <r>
      <rPr>
        <sz val="8"/>
        <color indexed="16"/>
        <rFont val="Arial"/>
        <family val="2"/>
      </rPr>
      <t>; melt freeze continuous below here for 1 full drive</t>
    </r>
  </si>
  <si>
    <t>medium rounds</t>
  </si>
  <si>
    <t>coarse refrozen</t>
  </si>
  <si>
    <r>
      <rPr>
        <b/>
        <sz val="8"/>
        <color rgb="FF800000"/>
        <rFont val="Arial"/>
        <family val="2"/>
      </rPr>
      <t>2023</t>
    </r>
    <r>
      <rPr>
        <sz val="8"/>
        <color indexed="16"/>
        <rFont val="Arial"/>
        <family val="2"/>
      </rPr>
      <t>; coarse refrozen below ice lens</t>
    </r>
  </si>
  <si>
    <t xml:space="preserve">coarse refrozen </t>
  </si>
  <si>
    <t>refrozen layers in medium rounds</t>
  </si>
  <si>
    <r>
      <rPr>
        <b/>
        <sz val="8"/>
        <color rgb="FF800000"/>
        <rFont val="Arial"/>
        <family val="2"/>
      </rPr>
      <t>2022</t>
    </r>
    <r>
      <rPr>
        <sz val="8"/>
        <color indexed="16"/>
        <rFont val="Arial"/>
        <family val="2"/>
      </rPr>
      <t xml:space="preserve">; coarse refrozen below 3 cm ice lense, </t>
    </r>
  </si>
  <si>
    <t>2024LS</t>
  </si>
  <si>
    <t>dry snow above 60 cm</t>
  </si>
  <si>
    <t>dirty layer from summer 2024 at 103 cm</t>
  </si>
  <si>
    <t>dirty layer from summer 2023 at 313</t>
  </si>
  <si>
    <t>Stake</t>
  </si>
  <si>
    <t>Zone 5 North</t>
  </si>
  <si>
    <t>no probes</t>
  </si>
  <si>
    <t>SWE annual snow:</t>
  </si>
  <si>
    <t>Summer surface at SBD 261- firn</t>
  </si>
  <si>
    <t>Pit Seasonal SWE:</t>
  </si>
  <si>
    <t>site avg</t>
  </si>
  <si>
    <t>Annual Layer Thickness (cm)</t>
  </si>
  <si>
    <t>Annual layer swe</t>
  </si>
  <si>
    <t>Annual Layer SWE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</si>
</sst>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mm/dd/yyyy"/>
    <numFmt numFmtId="165" formatCode="?,??0.00"/>
    <numFmt numFmtId="166" formatCode="?0.00"/>
    <numFmt numFmtId="167" formatCode="0.000"/>
    <numFmt numFmtId="168" formatCode="??0"/>
    <numFmt numFmtId="169" formatCode="??0.0"/>
    <numFmt numFmtId="170" formatCode="?0.0"/>
    <numFmt numFmtId="171" formatCode="mm/dd/yy"/>
    <numFmt numFmtId="172" formatCode="0.0"/>
  </numFmts>
  <fonts count="62">
    <font>
      <sz val="10"/>
      <name val="Arial"/>
    </font>
    <font>
      <sz val="11"/>
      <color theme="1"/>
      <name val="Calibri"/>
      <family val="2"/>
      <scheme val="minor"/>
    </font>
    <font>
      <sz val="11"/>
      <color theme="1"/>
      <name val="Calibri"/>
      <family val="2"/>
      <scheme val="minor"/>
    </font>
    <font>
      <sz val="11"/>
      <color theme="1"/>
      <name val="Calibri"/>
      <family val="2"/>
      <scheme val="minor"/>
    </font>
    <font>
      <b/>
      <sz val="10"/>
      <color rgb="FF00FFFF"/>
      <name val="Arial"/>
      <family val="2"/>
    </font>
    <font>
      <b/>
      <sz val="10"/>
      <color rgb="FF000000"/>
      <name val="Arial"/>
      <family val="2"/>
    </font>
    <font>
      <sz val="10"/>
      <color rgb="FF000000"/>
      <name val="Arial"/>
      <family val="2"/>
    </font>
    <font>
      <b/>
      <u/>
      <sz val="10"/>
      <color rgb="FF000000"/>
      <name val="Arial"/>
      <family val="2"/>
    </font>
    <font>
      <b/>
      <u/>
      <sz val="10"/>
      <color rgb="FF000000"/>
      <name val="Arial"/>
      <family val="2"/>
    </font>
    <font>
      <b/>
      <u/>
      <sz val="10"/>
      <name val="Arial"/>
      <family val="2"/>
    </font>
    <font>
      <b/>
      <sz val="10"/>
      <name val="Arial"/>
      <family val="2"/>
    </font>
    <font>
      <b/>
      <u/>
      <sz val="10"/>
      <name val="Arial"/>
      <family val="2"/>
    </font>
    <font>
      <sz val="10"/>
      <color rgb="FF000000"/>
      <name val="Calibri"/>
      <family val="2"/>
    </font>
    <font>
      <b/>
      <sz val="8"/>
      <name val="Arial"/>
      <family val="2"/>
    </font>
    <font>
      <sz val="8"/>
      <name val="Arial"/>
      <family val="2"/>
    </font>
    <font>
      <b/>
      <u/>
      <sz val="8"/>
      <name val="Arial"/>
      <family val="2"/>
    </font>
    <font>
      <i/>
      <sz val="8"/>
      <name val="Arial"/>
      <family val="2"/>
    </font>
    <font>
      <sz val="9"/>
      <color indexed="81"/>
      <name val="Tahoma"/>
      <family val="2"/>
    </font>
    <font>
      <b/>
      <sz val="9"/>
      <color indexed="81"/>
      <name val="Tahoma"/>
      <family val="2"/>
    </font>
    <font>
      <sz val="8"/>
      <name val="Arial"/>
      <family val="2"/>
    </font>
    <font>
      <sz val="8"/>
      <name val="Helv"/>
    </font>
    <font>
      <b/>
      <sz val="8"/>
      <name val="Arial"/>
      <family val="2"/>
    </font>
    <font>
      <sz val="8"/>
      <color indexed="12"/>
      <name val="Arial"/>
      <family val="2"/>
    </font>
    <font>
      <sz val="8"/>
      <color indexed="16"/>
      <name val="Arial"/>
      <family val="2"/>
    </font>
    <font>
      <b/>
      <sz val="8"/>
      <color indexed="8"/>
      <name val="Helv"/>
    </font>
    <font>
      <sz val="8"/>
      <color indexed="8"/>
      <name val="Arial"/>
      <family val="2"/>
    </font>
    <font>
      <sz val="8"/>
      <color theme="5"/>
      <name val="Arial"/>
      <family val="2"/>
    </font>
    <font>
      <b/>
      <sz val="8"/>
      <color indexed="12"/>
      <name val="Arial"/>
      <family val="2"/>
    </font>
    <font>
      <u/>
      <sz val="8"/>
      <color indexed="12"/>
      <name val="Arial"/>
      <family val="2"/>
    </font>
    <font>
      <sz val="8"/>
      <color indexed="81"/>
      <name val="Tahoma"/>
      <family val="2"/>
    </font>
    <font>
      <sz val="8"/>
      <color indexed="9"/>
      <name val="Arial"/>
      <family val="2"/>
    </font>
    <font>
      <sz val="8"/>
      <color indexed="10"/>
      <name val="Arial"/>
      <family val="2"/>
    </font>
    <font>
      <i/>
      <sz val="8"/>
      <color indexed="10"/>
      <name val="Arial"/>
      <family val="2"/>
    </font>
    <font>
      <i/>
      <sz val="8"/>
      <color indexed="14"/>
      <name val="Arial"/>
      <family val="2"/>
    </font>
    <font>
      <b/>
      <sz val="8"/>
      <color indexed="8"/>
      <name val="Arial"/>
      <family val="2"/>
    </font>
    <font>
      <i/>
      <sz val="8"/>
      <color indexed="8"/>
      <name val="Arial"/>
      <family val="2"/>
    </font>
    <font>
      <sz val="8"/>
      <color indexed="14"/>
      <name val="Arial"/>
      <family val="2"/>
    </font>
    <font>
      <sz val="10"/>
      <name val="Arial"/>
      <family val="2"/>
    </font>
    <font>
      <vertAlign val="superscript"/>
      <sz val="8"/>
      <name val="Arial"/>
      <family val="2"/>
    </font>
    <font>
      <sz val="10"/>
      <color rgb="FF000000"/>
      <name val="AvantGarde"/>
      <family val="2"/>
    </font>
    <font>
      <sz val="10"/>
      <color theme="1"/>
      <name val="Arial"/>
      <family val="2"/>
    </font>
    <font>
      <b/>
      <sz val="10"/>
      <color theme="1"/>
      <name val="Arial"/>
      <family val="2"/>
    </font>
    <font>
      <sz val="10"/>
      <color theme="1"/>
      <name val="Calibri"/>
      <family val="2"/>
      <scheme val="minor"/>
    </font>
    <font>
      <b/>
      <sz val="10"/>
      <color rgb="FF000000"/>
      <name val="Calibri"/>
      <family val="2"/>
    </font>
    <font>
      <b/>
      <sz val="8"/>
      <color theme="5"/>
      <name val="Arial"/>
      <family val="2"/>
    </font>
    <font>
      <sz val="10"/>
      <color indexed="12"/>
      <name val="Arial"/>
      <family val="2"/>
    </font>
    <font>
      <sz val="10"/>
      <color rgb="FF0066FF"/>
      <name val="Arial"/>
      <family val="2"/>
    </font>
    <font>
      <b/>
      <u/>
      <sz val="18"/>
      <color rgb="FF000000"/>
      <name val="Calibri"/>
      <family val="2"/>
    </font>
    <font>
      <b/>
      <u/>
      <sz val="8"/>
      <color theme="1"/>
      <name val="Arial"/>
      <family val="2"/>
    </font>
    <font>
      <b/>
      <sz val="8"/>
      <color theme="1"/>
      <name val="Arial"/>
      <family val="2"/>
    </font>
    <font>
      <sz val="8"/>
      <color theme="1"/>
      <name val="Arial"/>
      <family val="2"/>
    </font>
    <font>
      <vertAlign val="superscript"/>
      <sz val="8"/>
      <color theme="1"/>
      <name val="Arial"/>
      <family val="2"/>
    </font>
    <font>
      <sz val="8"/>
      <name val="Calibri"/>
      <family val="2"/>
    </font>
    <font>
      <b/>
      <vertAlign val="subscript"/>
      <sz val="10"/>
      <color rgb="FF000000"/>
      <name val="Arial"/>
      <family val="2"/>
    </font>
    <font>
      <sz val="24"/>
      <name val="Aptos Black"/>
      <family val="2"/>
    </font>
    <font>
      <sz val="10"/>
      <name val="Calibri"/>
      <family val="2"/>
    </font>
    <font>
      <sz val="11"/>
      <color rgb="FF000000"/>
      <name val="Segoe UI"/>
      <family val="2"/>
    </font>
    <font>
      <sz val="11"/>
      <name val="Segoe UI"/>
      <family val="2"/>
    </font>
    <font>
      <b/>
      <sz val="8"/>
      <color rgb="FF800000"/>
      <name val="Arial"/>
      <family val="2"/>
    </font>
    <font>
      <sz val="11"/>
      <color theme="1"/>
      <name val="Segoe UI"/>
      <family val="2"/>
    </font>
    <font>
      <sz val="9"/>
      <color indexed="81"/>
      <name val="Tahoma"/>
      <charset val="1"/>
    </font>
    <font>
      <b/>
      <sz val="9"/>
      <color indexed="81"/>
      <name val="Tahoma"/>
      <charset val="1"/>
    </font>
  </fonts>
  <fills count="22">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00"/>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6" tint="0.39997558519241921"/>
        <bgColor rgb="FFC2D69B"/>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39997558519241921"/>
        <bgColor rgb="FFC2D69B"/>
      </patternFill>
    </fill>
    <fill>
      <patternFill patternType="solid">
        <fgColor theme="6"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39997558519241921"/>
        <bgColor rgb="FFC2D69B"/>
      </patternFill>
    </fill>
    <fill>
      <patternFill patternType="solid">
        <fgColor them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33">
    <border>
      <left/>
      <right/>
      <top/>
      <bottom/>
      <diagonal/>
    </border>
    <border>
      <left/>
      <right/>
      <top/>
      <bottom/>
      <diagonal/>
    </border>
    <border>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thin">
        <color indexed="12"/>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9">
    <xf numFmtId="0" fontId="0" fillId="0" borderId="0"/>
    <xf numFmtId="0" fontId="19" fillId="0" borderId="1" applyNumberFormat="0" applyFill="0" applyBorder="0" applyAlignment="0" applyProtection="0">
      <protection locked="0"/>
    </xf>
    <xf numFmtId="168" fontId="20" fillId="0" borderId="1" applyFont="0" applyFill="0" applyBorder="0" applyAlignment="0" applyProtection="0">
      <alignment horizontal="left"/>
      <protection locked="0"/>
    </xf>
    <xf numFmtId="167" fontId="20" fillId="0" borderId="1" applyFont="0" applyFill="0" applyBorder="0" applyAlignment="0" applyProtection="0"/>
    <xf numFmtId="0" fontId="3" fillId="0" borderId="1"/>
    <xf numFmtId="0" fontId="19" fillId="0" borderId="1" applyNumberFormat="0" applyFill="0" applyBorder="0" applyAlignment="0" applyProtection="0">
      <alignment horizontal="left" vertical="top" wrapText="1"/>
      <protection locked="0"/>
    </xf>
    <xf numFmtId="0" fontId="22" fillId="0" borderId="1" applyNumberFormat="0" applyFill="0" applyBorder="0" applyAlignment="0" applyProtection="0">
      <alignment horizontal="left"/>
      <protection locked="0"/>
    </xf>
    <xf numFmtId="170" fontId="24" fillId="0" borderId="10" applyFont="0" applyFill="0" applyBorder="0" applyAlignment="0" applyProtection="0">
      <alignment horizontal="center" vertical="top" wrapText="1"/>
      <protection locked="0"/>
    </xf>
    <xf numFmtId="0" fontId="22" fillId="0" borderId="1" applyNumberFormat="0" applyFill="0" applyBorder="0" applyAlignment="0" applyProtection="0">
      <alignment horizontal="center" vertical="top" wrapText="1"/>
    </xf>
    <xf numFmtId="0" fontId="25" fillId="0" borderId="1" applyNumberFormat="0" applyFill="0" applyBorder="0" applyAlignment="0" applyProtection="0">
      <alignment horizontal="center" vertical="top" wrapText="1"/>
      <protection locked="0"/>
    </xf>
    <xf numFmtId="0" fontId="21" fillId="0" borderId="1" applyNumberFormat="0" applyFill="0" applyBorder="0" applyAlignment="0" applyProtection="0">
      <alignment horizontal="left"/>
      <protection locked="0"/>
    </xf>
    <xf numFmtId="0" fontId="28" fillId="0" borderId="1" applyNumberFormat="0" applyFill="0" applyBorder="0" applyAlignment="0" applyProtection="0">
      <alignment vertical="top"/>
      <protection locked="0"/>
    </xf>
    <xf numFmtId="169" fontId="20" fillId="0" borderId="1" applyFont="0" applyFill="0" applyBorder="0" applyAlignment="0" applyProtection="0">
      <alignment horizontal="left"/>
      <protection locked="0"/>
    </xf>
    <xf numFmtId="166" fontId="24" fillId="0" borderId="10" applyFont="0" applyFill="0" applyBorder="0" applyAlignment="0" applyProtection="0">
      <alignment horizontal="center" vertical="top" wrapText="1"/>
      <protection locked="0"/>
    </xf>
    <xf numFmtId="2" fontId="24" fillId="0" borderId="10" applyFont="0" applyFill="0" applyBorder="0" applyAlignment="0" applyProtection="0">
      <alignment horizontal="center" vertical="top" wrapText="1"/>
      <protection locked="0"/>
    </xf>
    <xf numFmtId="0" fontId="30" fillId="0" borderId="1" applyNumberFormat="0" applyFill="0" applyAlignment="0" applyProtection="0">
      <alignment horizontal="centerContinuous"/>
    </xf>
    <xf numFmtId="14" fontId="31" fillId="0" borderId="1" applyNumberFormat="0" applyBorder="0" applyAlignment="0" applyProtection="0">
      <alignment horizontal="center" vertical="top" wrapText="1"/>
      <protection locked="0"/>
    </xf>
    <xf numFmtId="14" fontId="32" fillId="0" borderId="1" applyNumberFormat="0" applyFill="0" applyBorder="0" applyAlignment="0" applyProtection="0">
      <alignment horizontal="center" vertical="top" wrapText="1"/>
      <protection locked="0"/>
    </xf>
    <xf numFmtId="14" fontId="33" fillId="0" borderId="12" applyNumberFormat="0" applyFill="0" applyBorder="0" applyAlignment="0" applyProtection="0">
      <alignment horizontal="center" vertical="center" wrapText="1"/>
    </xf>
    <xf numFmtId="169" fontId="20" fillId="0" borderId="1" applyNumberFormat="0" applyFill="0" applyBorder="0" applyAlignment="0" applyProtection="0">
      <alignment horizontal="left"/>
      <protection locked="0"/>
    </xf>
    <xf numFmtId="167" fontId="34" fillId="0" borderId="1" applyNumberFormat="0" applyFill="0" applyBorder="0" applyAlignment="0" applyProtection="0">
      <alignment horizontal="center" vertical="top" wrapText="1"/>
      <protection locked="0"/>
    </xf>
    <xf numFmtId="167" fontId="35" fillId="0" borderId="1" applyNumberFormat="0" applyFill="0" applyBorder="0" applyAlignment="0" applyProtection="0">
      <alignment horizontal="center" vertical="top" wrapText="1"/>
      <protection locked="0"/>
    </xf>
    <xf numFmtId="0" fontId="19" fillId="0" borderId="1" applyNumberFormat="0" applyFill="0" applyBorder="0" applyAlignment="0" applyProtection="0">
      <protection locked="0"/>
    </xf>
    <xf numFmtId="171" fontId="36" fillId="0" borderId="18" applyNumberFormat="0" applyFill="0" applyBorder="0" applyAlignment="0" applyProtection="0">
      <alignment horizontal="center" vertical="top" wrapText="1"/>
    </xf>
    <xf numFmtId="0" fontId="2" fillId="0" borderId="1"/>
    <xf numFmtId="0" fontId="14" fillId="0" borderId="1" applyNumberFormat="0" applyFill="0" applyBorder="0" applyAlignment="0" applyProtection="0">
      <protection locked="0"/>
    </xf>
    <xf numFmtId="0" fontId="1" fillId="0" borderId="1"/>
    <xf numFmtId="0" fontId="14" fillId="0" borderId="1" applyNumberFormat="0" applyFill="0" applyBorder="0" applyAlignment="0" applyProtection="0">
      <alignment horizontal="left" vertical="top" wrapText="1"/>
      <protection locked="0"/>
    </xf>
    <xf numFmtId="0" fontId="14" fillId="0" borderId="1" applyNumberFormat="0" applyFill="0" applyBorder="0" applyAlignment="0" applyProtection="0">
      <protection locked="0"/>
    </xf>
  </cellStyleXfs>
  <cellXfs count="985">
    <xf numFmtId="0" fontId="0" fillId="0" borderId="0" xfId="0"/>
    <xf numFmtId="0" fontId="6" fillId="0" borderId="1" xfId="0" applyFont="1" applyBorder="1" applyAlignment="1">
      <alignment horizontal="center"/>
    </xf>
    <xf numFmtId="4" fontId="7" fillId="0" borderId="1" xfId="0" applyNumberFormat="1" applyFont="1" applyBorder="1" applyAlignment="1">
      <alignment horizontal="center"/>
    </xf>
    <xf numFmtId="4" fontId="5" fillId="0" borderId="1" xfId="0" applyNumberFormat="1" applyFont="1" applyBorder="1" applyAlignment="1">
      <alignment horizontal="center" vertical="top"/>
    </xf>
    <xf numFmtId="0" fontId="5" fillId="0" borderId="1" xfId="0" applyFont="1" applyBorder="1" applyAlignment="1">
      <alignment horizontal="center" vertical="top"/>
    </xf>
    <xf numFmtId="0" fontId="5" fillId="0" borderId="1" xfId="0" applyFont="1" applyBorder="1" applyAlignment="1">
      <alignment horizontal="center"/>
    </xf>
    <xf numFmtId="4" fontId="5" fillId="0" borderId="1" xfId="0" applyNumberFormat="1" applyFont="1" applyBorder="1" applyAlignment="1">
      <alignment horizontal="center"/>
    </xf>
    <xf numFmtId="0" fontId="5" fillId="0" borderId="1" xfId="0" applyFont="1" applyBorder="1" applyAlignment="1">
      <alignment horizontal="center" vertical="center"/>
    </xf>
    <xf numFmtId="0" fontId="12" fillId="0" borderId="1" xfId="0" applyFont="1" applyBorder="1"/>
    <xf numFmtId="0" fontId="6" fillId="2" borderId="1" xfId="0" applyFont="1" applyFill="1" applyBorder="1"/>
    <xf numFmtId="2" fontId="6" fillId="2" borderId="1" xfId="0" applyNumberFormat="1" applyFont="1" applyFill="1" applyBorder="1"/>
    <xf numFmtId="4" fontId="5" fillId="0" borderId="1" xfId="0" applyNumberFormat="1" applyFont="1" applyBorder="1" applyAlignment="1">
      <alignment horizontal="center" vertical="center"/>
    </xf>
    <xf numFmtId="0" fontId="6" fillId="0" borderId="2" xfId="0" applyFont="1" applyBorder="1" applyAlignment="1">
      <alignment horizontal="center"/>
    </xf>
    <xf numFmtId="167" fontId="22" fillId="0" borderId="1" xfId="3" applyFont="1" applyBorder="1" applyAlignment="1" applyProtection="1">
      <alignment horizontal="center"/>
    </xf>
    <xf numFmtId="168" fontId="22" fillId="0" borderId="1" xfId="2" applyFont="1" applyBorder="1" applyAlignment="1" applyProtection="1">
      <alignment horizontal="center"/>
    </xf>
    <xf numFmtId="0" fontId="22" fillId="0" borderId="1" xfId="6" applyFont="1" applyBorder="1" applyAlignment="1" applyProtection="1">
      <alignment horizontal="center"/>
    </xf>
    <xf numFmtId="2" fontId="25" fillId="0" borderId="12" xfId="3" applyNumberFormat="1" applyFont="1" applyBorder="1" applyAlignment="1" applyProtection="1">
      <alignment horizontal="center" vertical="center" wrapText="1"/>
    </xf>
    <xf numFmtId="2" fontId="25" fillId="0" borderId="1" xfId="9" applyNumberFormat="1" applyFont="1" applyBorder="1" applyAlignment="1" applyProtection="1">
      <alignment horizontal="center" vertical="center"/>
    </xf>
    <xf numFmtId="2" fontId="22" fillId="0" borderId="1" xfId="8" applyNumberFormat="1" applyFont="1" applyBorder="1" applyAlignment="1">
      <alignment horizontal="center" vertical="center" wrapText="1"/>
    </xf>
    <xf numFmtId="1" fontId="28" fillId="0" borderId="14" xfId="6" applyNumberFormat="1" applyFont="1" applyBorder="1" applyAlignment="1" applyProtection="1">
      <alignment horizontal="centerContinuous"/>
    </xf>
    <xf numFmtId="1" fontId="28" fillId="0" borderId="17" xfId="6" applyNumberFormat="1" applyFont="1" applyBorder="1" applyAlignment="1" applyProtection="1">
      <alignment horizontal="centerContinuous"/>
    </xf>
    <xf numFmtId="1" fontId="28" fillId="0" borderId="14" xfId="6" applyNumberFormat="1" applyFont="1" applyBorder="1" applyAlignment="1" applyProtection="1">
      <alignment horizontal="centerContinuous"/>
      <protection locked="0"/>
    </xf>
    <xf numFmtId="0" fontId="25" fillId="0" borderId="2" xfId="9" applyNumberFormat="1" applyFont="1" applyBorder="1" applyAlignment="1" applyProtection="1">
      <alignment horizontal="center" vertical="center" wrapText="1"/>
      <protection locked="0"/>
    </xf>
    <xf numFmtId="0" fontId="25" fillId="0" borderId="13" xfId="9" applyNumberFormat="1" applyFont="1" applyBorder="1" applyAlignment="1" applyProtection="1">
      <alignment horizontal="center" vertical="center" wrapText="1"/>
      <protection locked="0"/>
    </xf>
    <xf numFmtId="167" fontId="22" fillId="0" borderId="12" xfId="3" applyFont="1" applyBorder="1" applyAlignment="1" applyProtection="1">
      <alignment horizontal="center" vertical="center" wrapText="1"/>
    </xf>
    <xf numFmtId="168" fontId="22" fillId="0" borderId="1" xfId="2" applyFont="1" applyBorder="1" applyAlignment="1" applyProtection="1">
      <alignment horizontal="center" vertical="center" wrapText="1"/>
    </xf>
    <xf numFmtId="0" fontId="12" fillId="0" borderId="1" xfId="0" applyFont="1" applyBorder="1" applyAlignment="1">
      <alignment horizontal="center"/>
    </xf>
    <xf numFmtId="2" fontId="12" fillId="0" borderId="1" xfId="0" applyNumberFormat="1" applyFont="1" applyBorder="1" applyAlignment="1">
      <alignment horizontal="center"/>
    </xf>
    <xf numFmtId="0" fontId="12" fillId="6" borderId="1" xfId="0" applyFont="1" applyFill="1" applyBorder="1"/>
    <xf numFmtId="0" fontId="6" fillId="0" borderId="19" xfId="0" applyFont="1" applyBorder="1" applyAlignment="1">
      <alignment horizontal="center"/>
    </xf>
    <xf numFmtId="0" fontId="39" fillId="6" borderId="1" xfId="0" applyFont="1" applyFill="1" applyBorder="1" applyAlignment="1">
      <alignment horizontal="center"/>
    </xf>
    <xf numFmtId="2" fontId="39" fillId="6" borderId="1" xfId="0" applyNumberFormat="1" applyFont="1" applyFill="1" applyBorder="1" applyAlignment="1">
      <alignment horizontal="center"/>
    </xf>
    <xf numFmtId="0" fontId="13" fillId="0" borderId="1" xfId="25" applyFont="1" applyProtection="1"/>
    <xf numFmtId="0" fontId="13" fillId="0" borderId="1" xfId="25" applyFont="1" applyBorder="1" applyProtection="1"/>
    <xf numFmtId="0" fontId="13" fillId="0" borderId="12" xfId="10" applyFont="1" applyBorder="1" applyAlignment="1" applyProtection="1"/>
    <xf numFmtId="0" fontId="13" fillId="0" borderId="1" xfId="25" applyFont="1" applyBorder="1" applyAlignment="1" applyProtection="1">
      <alignment horizontal="left"/>
    </xf>
    <xf numFmtId="0" fontId="14" fillId="0" borderId="1" xfId="27" applyFont="1" applyAlignment="1" applyProtection="1">
      <alignment vertical="top"/>
    </xf>
    <xf numFmtId="0" fontId="14" fillId="0" borderId="1" xfId="27" applyFont="1" applyBorder="1" applyAlignment="1" applyProtection="1">
      <alignment vertical="top"/>
    </xf>
    <xf numFmtId="0" fontId="15" fillId="0" borderId="15" xfId="10" applyFont="1" applyBorder="1" applyAlignment="1" applyProtection="1">
      <alignment horizontal="centerContinuous"/>
    </xf>
    <xf numFmtId="0" fontId="13" fillId="0" borderId="17" xfId="25" applyFont="1" applyBorder="1" applyProtection="1"/>
    <xf numFmtId="1" fontId="15" fillId="0" borderId="14" xfId="6" applyNumberFormat="1" applyFont="1" applyBorder="1" applyAlignment="1" applyProtection="1">
      <alignment horizontal="centerContinuous"/>
    </xf>
    <xf numFmtId="2" fontId="15" fillId="0" borderId="15" xfId="3" applyNumberFormat="1" applyFont="1" applyBorder="1" applyAlignment="1" applyProtection="1">
      <alignment horizontal="centerContinuous"/>
    </xf>
    <xf numFmtId="2" fontId="15" fillId="0" borderId="17" xfId="3" applyNumberFormat="1" applyFont="1" applyBorder="1" applyAlignment="1" applyProtection="1">
      <alignment horizontal="centerContinuous"/>
    </xf>
    <xf numFmtId="167" fontId="15" fillId="0" borderId="14" xfId="3" applyFont="1" applyBorder="1" applyAlignment="1" applyProtection="1">
      <alignment horizontal="centerContinuous"/>
    </xf>
    <xf numFmtId="0" fontId="16" fillId="0" borderId="16" xfId="25" applyFont="1" applyBorder="1" applyAlignment="1" applyProtection="1">
      <alignment horizontal="right"/>
    </xf>
    <xf numFmtId="0" fontId="15" fillId="0" borderId="12" xfId="10" applyFont="1" applyBorder="1" applyAlignment="1" applyProtection="1">
      <alignment horizontal="centerContinuous"/>
    </xf>
    <xf numFmtId="0" fontId="13" fillId="0" borderId="1" xfId="10" applyFont="1" applyBorder="1" applyAlignment="1" applyProtection="1">
      <alignment horizontal="centerContinuous"/>
    </xf>
    <xf numFmtId="1" fontId="13" fillId="0" borderId="1" xfId="10" applyNumberFormat="1" applyFont="1" applyBorder="1" applyAlignment="1" applyProtection="1">
      <alignment horizontal="centerContinuous"/>
    </xf>
    <xf numFmtId="167" fontId="13" fillId="0" borderId="12" xfId="3" applyFont="1" applyBorder="1" applyAlignment="1" applyProtection="1">
      <alignment horizontal="center"/>
    </xf>
    <xf numFmtId="2" fontId="13" fillId="0" borderId="11" xfId="3" applyNumberFormat="1" applyFont="1" applyBorder="1" applyAlignment="1" applyProtection="1">
      <alignment horizontal="center"/>
    </xf>
    <xf numFmtId="167" fontId="13" fillId="0" borderId="1" xfId="3" applyFont="1" applyBorder="1" applyAlignment="1" applyProtection="1">
      <alignment horizontal="center"/>
    </xf>
    <xf numFmtId="0" fontId="16" fillId="0" borderId="5" xfId="10" applyFont="1" applyBorder="1" applyAlignment="1" applyProtection="1">
      <alignment horizontal="right"/>
    </xf>
    <xf numFmtId="0" fontId="13" fillId="0" borderId="1" xfId="10" applyFont="1" applyBorder="1" applyAlignment="1" applyProtection="1"/>
    <xf numFmtId="0" fontId="13" fillId="0" borderId="11" xfId="10" applyFont="1" applyBorder="1" applyAlignment="1" applyProtection="1"/>
    <xf numFmtId="0" fontId="13" fillId="0" borderId="1" xfId="10" applyFont="1" applyAlignment="1" applyProtection="1"/>
    <xf numFmtId="1" fontId="13" fillId="0" borderId="1" xfId="10" applyNumberFormat="1" applyFont="1" applyBorder="1" applyAlignment="1" applyProtection="1"/>
    <xf numFmtId="0" fontId="14" fillId="0" borderId="1" xfId="25" applyFont="1" applyBorder="1" applyProtection="1"/>
    <xf numFmtId="168" fontId="13" fillId="0" borderId="12" xfId="2" applyFont="1" applyBorder="1" applyAlignment="1" applyProtection="1">
      <alignment horizontal="center"/>
    </xf>
    <xf numFmtId="0" fontId="13" fillId="0" borderId="11" xfId="10" applyFont="1" applyBorder="1" applyAlignment="1" applyProtection="1">
      <alignment horizontal="center"/>
    </xf>
    <xf numFmtId="14" fontId="13" fillId="0" borderId="11" xfId="10" applyNumberFormat="1" applyFont="1" applyBorder="1" applyAlignment="1" applyProtection="1">
      <alignment horizontal="centerContinuous"/>
    </xf>
    <xf numFmtId="0" fontId="13" fillId="0" borderId="12" xfId="10" applyFont="1" applyBorder="1" applyAlignment="1" applyProtection="1">
      <alignment horizontal="center"/>
    </xf>
    <xf numFmtId="0" fontId="13" fillId="0" borderId="1" xfId="10" applyFont="1" applyBorder="1" applyAlignment="1" applyProtection="1">
      <alignment horizontal="center"/>
    </xf>
    <xf numFmtId="168" fontId="13" fillId="0" borderId="1" xfId="2" applyFont="1" applyBorder="1" applyAlignment="1" applyProtection="1">
      <alignment horizontal="center"/>
    </xf>
    <xf numFmtId="168" fontId="13" fillId="0" borderId="11" xfId="2" applyFont="1" applyBorder="1" applyAlignment="1" applyProtection="1">
      <alignment horizontal="center"/>
    </xf>
    <xf numFmtId="0" fontId="14" fillId="0" borderId="7" xfId="10" applyFont="1" applyBorder="1" applyAlignment="1" applyProtection="1">
      <alignment horizontal="center" vertical="center"/>
    </xf>
    <xf numFmtId="0" fontId="14" fillId="0" borderId="8" xfId="10" applyFont="1" applyBorder="1" applyAlignment="1" applyProtection="1">
      <alignment horizontal="center" vertical="center"/>
    </xf>
    <xf numFmtId="168" fontId="14" fillId="0" borderId="8" xfId="2" applyFont="1" applyBorder="1" applyAlignment="1" applyProtection="1">
      <alignment horizontal="center" vertical="center"/>
    </xf>
    <xf numFmtId="168" fontId="14" fillId="0" borderId="6" xfId="2" applyFont="1" applyBorder="1" applyAlignment="1" applyProtection="1">
      <alignment horizontal="center" vertical="center"/>
    </xf>
    <xf numFmtId="167" fontId="14" fillId="0" borderId="7" xfId="3" applyFont="1" applyBorder="1" applyAlignment="1" applyProtection="1">
      <alignment horizontal="center" vertical="center"/>
    </xf>
    <xf numFmtId="2" fontId="14" fillId="0" borderId="6" xfId="3" applyNumberFormat="1" applyFont="1" applyBorder="1" applyAlignment="1" applyProtection="1">
      <alignment horizontal="center" vertical="center"/>
    </xf>
    <xf numFmtId="167" fontId="14" fillId="0" borderId="8" xfId="3" applyFont="1" applyBorder="1" applyAlignment="1" applyProtection="1">
      <alignment horizontal="center" vertical="center"/>
    </xf>
    <xf numFmtId="168" fontId="14" fillId="0" borderId="7" xfId="2" applyFont="1" applyBorder="1" applyAlignment="1" applyProtection="1">
      <alignment horizontal="center" vertical="center"/>
    </xf>
    <xf numFmtId="0" fontId="14" fillId="0" borderId="6" xfId="10" applyFont="1" applyBorder="1" applyAlignment="1" applyProtection="1">
      <alignment horizontal="center" vertical="center"/>
    </xf>
    <xf numFmtId="2" fontId="13" fillId="0" borderId="1" xfId="10" applyNumberFormat="1" applyFont="1" applyBorder="1" applyAlignment="1" applyProtection="1">
      <alignment horizontal="center" vertical="center" wrapText="1"/>
    </xf>
    <xf numFmtId="0" fontId="13" fillId="0" borderId="1" xfId="10" applyFont="1" applyBorder="1" applyAlignment="1" applyProtection="1">
      <alignment vertical="center"/>
    </xf>
    <xf numFmtId="2" fontId="14" fillId="0" borderId="1" xfId="3" applyNumberFormat="1" applyFont="1" applyBorder="1" applyAlignment="1" applyProtection="1">
      <alignment horizontal="center" vertical="center" wrapText="1"/>
    </xf>
    <xf numFmtId="168" fontId="14" fillId="0" borderId="17" xfId="25" applyNumberFormat="1" applyFont="1" applyBorder="1" applyAlignment="1" applyProtection="1">
      <alignment horizontal="center" vertical="center" wrapText="1"/>
    </xf>
    <xf numFmtId="2" fontId="14" fillId="0" borderId="1" xfId="25" applyNumberFormat="1" applyFont="1" applyBorder="1" applyAlignment="1" applyProtection="1">
      <alignment horizontal="center" vertical="center" wrapText="1"/>
    </xf>
    <xf numFmtId="0" fontId="14" fillId="0" borderId="1" xfId="25" applyFont="1" applyBorder="1" applyAlignment="1" applyProtection="1">
      <alignment vertical="center" wrapText="1"/>
    </xf>
    <xf numFmtId="0" fontId="14" fillId="0" borderId="1" xfId="25" applyFont="1" applyAlignment="1" applyProtection="1">
      <alignment vertical="center" wrapText="1"/>
    </xf>
    <xf numFmtId="168" fontId="14" fillId="0" borderId="11" xfId="27" applyNumberFormat="1" applyFont="1" applyBorder="1" applyAlignment="1" applyProtection="1">
      <alignment horizontal="center" vertical="center" wrapText="1"/>
    </xf>
    <xf numFmtId="168" fontId="14" fillId="0" borderId="1" xfId="27" applyNumberFormat="1" applyFont="1" applyBorder="1" applyAlignment="1" applyProtection="1">
      <alignment horizontal="center" vertical="center" wrapText="1"/>
    </xf>
    <xf numFmtId="167" fontId="14" fillId="0" borderId="1" xfId="3" applyNumberFormat="1" applyFont="1" applyBorder="1" applyAlignment="1" applyProtection="1">
      <alignment horizontal="center" vertical="center" wrapText="1"/>
    </xf>
    <xf numFmtId="167" fontId="14" fillId="0" borderId="12" xfId="3" applyNumberFormat="1" applyFont="1" applyBorder="1" applyAlignment="1" applyProtection="1">
      <alignment horizontal="center" vertical="center" wrapText="1"/>
    </xf>
    <xf numFmtId="168" fontId="14" fillId="0" borderId="11" xfId="25" applyNumberFormat="1" applyFont="1" applyBorder="1" applyAlignment="1" applyProtection="1">
      <alignment horizontal="center" vertical="center"/>
    </xf>
    <xf numFmtId="168" fontId="14" fillId="0" borderId="11" xfId="25" applyNumberFormat="1" applyFont="1" applyBorder="1" applyAlignment="1" applyProtection="1">
      <alignment horizontal="center" vertical="center" wrapText="1"/>
    </xf>
    <xf numFmtId="168" fontId="14" fillId="0" borderId="11" xfId="8" applyNumberFormat="1" applyFont="1" applyBorder="1" applyAlignment="1">
      <alignment horizontal="center" vertical="center" wrapText="1"/>
    </xf>
    <xf numFmtId="2" fontId="14" fillId="0" borderId="1" xfId="8" applyNumberFormat="1" applyFont="1" applyBorder="1" applyAlignment="1">
      <alignment horizontal="center" vertical="center" wrapText="1"/>
    </xf>
    <xf numFmtId="168" fontId="14" fillId="0" borderId="11" xfId="8" applyNumberFormat="1" applyFont="1" applyBorder="1" applyAlignment="1">
      <alignment horizontal="center" vertical="center"/>
    </xf>
    <xf numFmtId="2" fontId="14" fillId="0" borderId="1" xfId="8" applyNumberFormat="1" applyFont="1" applyBorder="1" applyAlignment="1">
      <alignment horizontal="center" vertical="center"/>
    </xf>
    <xf numFmtId="0" fontId="14" fillId="0" borderId="1" xfId="25" applyFont="1" applyAlignment="1" applyProtection="1">
      <alignment vertical="center"/>
    </xf>
    <xf numFmtId="0" fontId="14" fillId="0" borderId="1" xfId="6" applyFont="1" applyBorder="1" applyAlignment="1" applyProtection="1">
      <alignment horizontal="center" vertical="center" wrapText="1"/>
      <protection locked="0"/>
    </xf>
    <xf numFmtId="2" fontId="14" fillId="0" borderId="1" xfId="25" applyNumberFormat="1" applyFont="1" applyBorder="1" applyAlignment="1" applyProtection="1">
      <alignment horizontal="center" vertical="center"/>
    </xf>
    <xf numFmtId="0" fontId="14" fillId="0" borderId="1" xfId="25" applyFont="1" applyProtection="1"/>
    <xf numFmtId="4" fontId="14" fillId="0" borderId="1" xfId="25" applyNumberFormat="1" applyFont="1" applyBorder="1" applyAlignment="1" applyProtection="1">
      <alignment horizontal="center"/>
    </xf>
    <xf numFmtId="168" fontId="14" fillId="0" borderId="11" xfId="25" applyNumberFormat="1" applyFont="1" applyBorder="1" applyAlignment="1" applyProtection="1">
      <alignment horizontal="center"/>
    </xf>
    <xf numFmtId="168" fontId="13" fillId="0" borderId="17" xfId="25" applyNumberFormat="1" applyFont="1" applyFill="1" applyBorder="1" applyAlignment="1" applyProtection="1">
      <alignment horizontal="center"/>
    </xf>
    <xf numFmtId="0" fontId="14" fillId="0" borderId="1" xfId="25" applyFont="1" applyFill="1" applyProtection="1"/>
    <xf numFmtId="2" fontId="14" fillId="0" borderId="1" xfId="25" applyNumberFormat="1" applyFont="1" applyBorder="1" applyAlignment="1" applyProtection="1">
      <alignment horizontal="center"/>
    </xf>
    <xf numFmtId="2" fontId="14" fillId="0" borderId="1" xfId="25" applyNumberFormat="1" applyFont="1" applyAlignment="1" applyProtection="1">
      <alignment horizontal="center"/>
    </xf>
    <xf numFmtId="168" fontId="14" fillId="0" borderId="6" xfId="25" applyNumberFormat="1" applyFont="1" applyBorder="1" applyAlignment="1" applyProtection="1">
      <alignment horizontal="center"/>
    </xf>
    <xf numFmtId="0" fontId="14" fillId="0" borderId="1" xfId="25" applyFont="1" applyBorder="1" applyAlignment="1" applyProtection="1">
      <alignment horizontal="left"/>
    </xf>
    <xf numFmtId="0" fontId="13" fillId="0" borderId="1" xfId="25" applyFont="1" applyAlignment="1" applyProtection="1">
      <alignment horizontal="right"/>
    </xf>
    <xf numFmtId="0" fontId="14" fillId="0" borderId="1" xfId="25" applyFont="1" applyBorder="1" applyAlignment="1" applyProtection="1">
      <alignment horizontal="center"/>
    </xf>
    <xf numFmtId="168" fontId="14" fillId="0" borderId="1" xfId="2" applyFont="1" applyAlignment="1" applyProtection="1">
      <alignment horizontal="center"/>
    </xf>
    <xf numFmtId="168" fontId="14" fillId="0" borderId="1" xfId="27" applyNumberFormat="1" applyFont="1" applyBorder="1" applyAlignment="1" applyProtection="1">
      <alignment horizontal="center"/>
    </xf>
    <xf numFmtId="2" fontId="14" fillId="0" borderId="1" xfId="3" applyNumberFormat="1" applyFont="1" applyBorder="1" applyAlignment="1" applyProtection="1">
      <alignment horizontal="center"/>
    </xf>
    <xf numFmtId="167" fontId="14" fillId="0" borderId="1" xfId="3" applyFont="1" applyBorder="1" applyAlignment="1" applyProtection="1">
      <alignment horizontal="center"/>
    </xf>
    <xf numFmtId="1" fontId="14" fillId="0" borderId="1" xfId="25" applyNumberFormat="1" applyFont="1" applyBorder="1" applyProtection="1"/>
    <xf numFmtId="167" fontId="14" fillId="0" borderId="1" xfId="3" applyFont="1" applyAlignment="1" applyProtection="1">
      <alignment horizontal="center"/>
    </xf>
    <xf numFmtId="0" fontId="14" fillId="0" borderId="1" xfId="25" applyFont="1" applyAlignment="1" applyProtection="1">
      <alignment horizontal="center"/>
    </xf>
    <xf numFmtId="167" fontId="13" fillId="0" borderId="1" xfId="3" applyFont="1" applyAlignment="1" applyProtection="1">
      <alignment horizontal="center"/>
    </xf>
    <xf numFmtId="2" fontId="14" fillId="0" borderId="1" xfId="25" applyNumberFormat="1" applyFont="1" applyProtection="1"/>
    <xf numFmtId="1" fontId="14" fillId="0" borderId="1" xfId="25" applyNumberFormat="1" applyFont="1" applyProtection="1"/>
    <xf numFmtId="2" fontId="14" fillId="0" borderId="1" xfId="3" applyNumberFormat="1" applyFont="1" applyAlignment="1" applyProtection="1">
      <alignment horizontal="center"/>
    </xf>
    <xf numFmtId="0" fontId="39" fillId="0" borderId="1" xfId="0" applyFont="1" applyFill="1" applyBorder="1" applyAlignment="1">
      <alignment horizontal="center"/>
    </xf>
    <xf numFmtId="2" fontId="39" fillId="0" borderId="1" xfId="0" applyNumberFormat="1" applyFont="1" applyFill="1" applyBorder="1" applyAlignment="1">
      <alignment horizontal="center"/>
    </xf>
    <xf numFmtId="0" fontId="12" fillId="0" borderId="1" xfId="0" applyFont="1" applyFill="1" applyBorder="1"/>
    <xf numFmtId="4" fontId="40" fillId="0" borderId="3" xfId="0" applyNumberFormat="1" applyFont="1" applyFill="1" applyBorder="1" applyAlignment="1">
      <alignment horizontal="center"/>
    </xf>
    <xf numFmtId="4" fontId="37" fillId="6" borderId="3" xfId="0" applyNumberFormat="1" applyFont="1" applyFill="1" applyBorder="1" applyAlignment="1">
      <alignment horizontal="center"/>
    </xf>
    <xf numFmtId="0" fontId="37" fillId="6" borderId="19" xfId="0" applyFont="1" applyFill="1" applyBorder="1"/>
    <xf numFmtId="4" fontId="40" fillId="8" borderId="3" xfId="0" applyNumberFormat="1" applyFont="1" applyFill="1" applyBorder="1" applyAlignment="1">
      <alignment horizontal="center"/>
    </xf>
    <xf numFmtId="0" fontId="39" fillId="8" borderId="1" xfId="0" applyFont="1" applyFill="1" applyBorder="1" applyAlignment="1">
      <alignment horizontal="center"/>
    </xf>
    <xf numFmtId="2" fontId="39" fillId="8" borderId="1" xfId="0" applyNumberFormat="1" applyFont="1" applyFill="1" applyBorder="1" applyAlignment="1">
      <alignment horizontal="center"/>
    </xf>
    <xf numFmtId="4" fontId="41" fillId="0" borderId="1" xfId="0" applyNumberFormat="1" applyFont="1" applyBorder="1" applyAlignment="1">
      <alignment horizontal="center"/>
    </xf>
    <xf numFmtId="0" fontId="37" fillId="6" borderId="1" xfId="0" applyFont="1" applyFill="1" applyBorder="1" applyAlignment="1">
      <alignment horizontal="center"/>
    </xf>
    <xf numFmtId="4" fontId="37" fillId="6" borderId="1" xfId="0" applyNumberFormat="1" applyFont="1" applyFill="1" applyBorder="1" applyAlignment="1">
      <alignment horizontal="center"/>
    </xf>
    <xf numFmtId="0" fontId="37" fillId="6" borderId="1" xfId="0" applyFont="1" applyFill="1" applyBorder="1"/>
    <xf numFmtId="0" fontId="37" fillId="0" borderId="1" xfId="0" applyFont="1" applyFill="1" applyBorder="1"/>
    <xf numFmtId="0" fontId="40" fillId="8" borderId="1" xfId="0" applyFont="1" applyFill="1" applyBorder="1" applyAlignment="1">
      <alignment horizontal="center"/>
    </xf>
    <xf numFmtId="4" fontId="40" fillId="8" borderId="1" xfId="0" applyNumberFormat="1" applyFont="1" applyFill="1" applyBorder="1" applyAlignment="1">
      <alignment horizontal="center"/>
    </xf>
    <xf numFmtId="0" fontId="40" fillId="0" borderId="1" xfId="0" applyFont="1" applyFill="1" applyBorder="1" applyAlignment="1">
      <alignment horizontal="center"/>
    </xf>
    <xf numFmtId="4" fontId="40" fillId="0" borderId="1" xfId="0" applyNumberFormat="1" applyFont="1" applyFill="1" applyBorder="1" applyAlignment="1">
      <alignment horizontal="center"/>
    </xf>
    <xf numFmtId="0" fontId="40" fillId="0" borderId="1" xfId="0" applyFont="1" applyFill="1" applyBorder="1"/>
    <xf numFmtId="0" fontId="5" fillId="0" borderId="2" xfId="0" applyFont="1" applyBorder="1" applyAlignment="1">
      <alignment horizontal="center"/>
    </xf>
    <xf numFmtId="0" fontId="12" fillId="6" borderId="2" xfId="0" applyFont="1" applyFill="1" applyBorder="1"/>
    <xf numFmtId="0" fontId="12" fillId="0" borderId="2" xfId="0" applyFont="1" applyFill="1" applyBorder="1"/>
    <xf numFmtId="0" fontId="5" fillId="0" borderId="19" xfId="0" applyFont="1" applyBorder="1" applyAlignment="1">
      <alignment horizontal="center"/>
    </xf>
    <xf numFmtId="0" fontId="5" fillId="0" borderId="3" xfId="0" applyFont="1" applyBorder="1" applyAlignment="1">
      <alignment horizontal="center"/>
    </xf>
    <xf numFmtId="0" fontId="0" fillId="0" borderId="1" xfId="0" applyBorder="1"/>
    <xf numFmtId="0" fontId="39" fillId="0" borderId="3" xfId="0" applyFont="1" applyFill="1" applyBorder="1" applyAlignment="1">
      <alignment horizontal="center"/>
    </xf>
    <xf numFmtId="4" fontId="40" fillId="8" borderId="2" xfId="0" applyNumberFormat="1" applyFont="1" applyFill="1" applyBorder="1" applyAlignment="1">
      <alignment horizontal="center"/>
    </xf>
    <xf numFmtId="4" fontId="40" fillId="0" borderId="2" xfId="0" applyNumberFormat="1" applyFont="1" applyFill="1" applyBorder="1" applyAlignment="1">
      <alignment horizontal="center"/>
    </xf>
    <xf numFmtId="0" fontId="6" fillId="0" borderId="1" xfId="0" applyFont="1" applyFill="1" applyBorder="1"/>
    <xf numFmtId="4" fontId="37" fillId="6" borderId="2" xfId="0" applyNumberFormat="1" applyFont="1" applyFill="1" applyBorder="1" applyAlignment="1">
      <alignment horizontal="center"/>
    </xf>
    <xf numFmtId="0" fontId="39" fillId="6" borderId="2" xfId="0" applyFont="1" applyFill="1" applyBorder="1" applyAlignment="1">
      <alignment horizontal="center"/>
    </xf>
    <xf numFmtId="0" fontId="5" fillId="0" borderId="2" xfId="0" applyFont="1" applyBorder="1" applyAlignment="1">
      <alignment horizontal="center" vertical="top"/>
    </xf>
    <xf numFmtId="0" fontId="5" fillId="0" borderId="2" xfId="0" applyFont="1" applyBorder="1" applyAlignment="1">
      <alignment horizontal="center" vertical="center"/>
    </xf>
    <xf numFmtId="0" fontId="37" fillId="6" borderId="3" xfId="0" applyFont="1" applyFill="1" applyBorder="1"/>
    <xf numFmtId="0" fontId="37" fillId="0" borderId="3" xfId="0" applyFont="1" applyFill="1" applyBorder="1"/>
    <xf numFmtId="0" fontId="37" fillId="0" borderId="2" xfId="0" applyFont="1" applyFill="1" applyBorder="1"/>
    <xf numFmtId="0" fontId="37" fillId="6" borderId="19" xfId="0" applyFont="1" applyFill="1" applyBorder="1" applyAlignment="1">
      <alignment horizontal="center"/>
    </xf>
    <xf numFmtId="0" fontId="39" fillId="6" borderId="19" xfId="0" applyFont="1" applyFill="1" applyBorder="1" applyAlignment="1">
      <alignment horizontal="center"/>
    </xf>
    <xf numFmtId="0" fontId="37" fillId="0" borderId="19" xfId="0" applyFont="1" applyFill="1" applyBorder="1"/>
    <xf numFmtId="0" fontId="40" fillId="8" borderId="19" xfId="0" applyFont="1" applyFill="1" applyBorder="1" applyAlignment="1">
      <alignment horizontal="center"/>
    </xf>
    <xf numFmtId="0" fontId="39" fillId="8" borderId="19" xfId="0" applyFont="1" applyFill="1" applyBorder="1" applyAlignment="1">
      <alignment horizontal="center"/>
    </xf>
    <xf numFmtId="0" fontId="40" fillId="0" borderId="19" xfId="0" applyFont="1" applyFill="1" applyBorder="1" applyAlignment="1">
      <alignment horizontal="center"/>
    </xf>
    <xf numFmtId="0" fontId="37" fillId="6" borderId="3" xfId="0" applyFont="1" applyFill="1" applyBorder="1" applyAlignment="1">
      <alignment horizontal="center"/>
    </xf>
    <xf numFmtId="2" fontId="39" fillId="6" borderId="3" xfId="0" applyNumberFormat="1" applyFont="1" applyFill="1" applyBorder="1" applyAlignment="1">
      <alignment horizontal="center"/>
    </xf>
    <xf numFmtId="0" fontId="40" fillId="8" borderId="3" xfId="0" applyFont="1" applyFill="1" applyBorder="1" applyAlignment="1">
      <alignment horizontal="center"/>
    </xf>
    <xf numFmtId="2" fontId="39" fillId="8" borderId="3" xfId="0" applyNumberFormat="1" applyFont="1" applyFill="1" applyBorder="1" applyAlignment="1">
      <alignment horizontal="center"/>
    </xf>
    <xf numFmtId="0" fontId="40" fillId="0" borderId="3" xfId="0" applyFont="1" applyFill="1" applyBorder="1" applyAlignment="1">
      <alignment horizontal="center"/>
    </xf>
    <xf numFmtId="164" fontId="4" fillId="0" borderId="15" xfId="0" applyNumberFormat="1" applyFont="1" applyBorder="1" applyAlignment="1">
      <alignment horizontal="center" vertical="top"/>
    </xf>
    <xf numFmtId="0" fontId="5" fillId="0" borderId="14" xfId="0" applyFont="1" applyBorder="1" applyAlignment="1">
      <alignment horizontal="center" vertical="top"/>
    </xf>
    <xf numFmtId="0" fontId="6" fillId="0" borderId="21" xfId="0" applyFont="1" applyBorder="1" applyAlignment="1">
      <alignment horizontal="center"/>
    </xf>
    <xf numFmtId="0" fontId="6" fillId="0" borderId="23" xfId="0" applyFont="1" applyBorder="1" applyAlignment="1">
      <alignment horizontal="center"/>
    </xf>
    <xf numFmtId="0" fontId="6" fillId="0" borderId="14" xfId="0" applyFont="1" applyBorder="1" applyAlignment="1">
      <alignment horizontal="center"/>
    </xf>
    <xf numFmtId="4" fontId="5" fillId="0" borderId="14" xfId="0" applyNumberFormat="1" applyFont="1" applyBorder="1" applyAlignment="1">
      <alignment horizontal="center" vertical="top"/>
    </xf>
    <xf numFmtId="4" fontId="6" fillId="0" borderId="14" xfId="0" applyNumberFormat="1" applyFont="1" applyBorder="1" applyAlignment="1">
      <alignment horizontal="center"/>
    </xf>
    <xf numFmtId="164" fontId="4" fillId="0" borderId="12" xfId="0" applyNumberFormat="1" applyFont="1" applyBorder="1" applyAlignment="1">
      <alignment horizontal="center" vertical="top"/>
    </xf>
    <xf numFmtId="0" fontId="5" fillId="0" borderId="11" xfId="0" applyFont="1" applyBorder="1" applyAlignment="1">
      <alignment horizontal="center"/>
    </xf>
    <xf numFmtId="164" fontId="5" fillId="0" borderId="12" xfId="0" applyNumberFormat="1" applyFont="1" applyBorder="1" applyAlignment="1">
      <alignment horizontal="center" vertical="center"/>
    </xf>
    <xf numFmtId="164" fontId="6" fillId="0" borderId="7" xfId="0" applyNumberFormat="1" applyFont="1" applyBorder="1" applyAlignment="1">
      <alignment horizontal="center" vertical="top"/>
    </xf>
    <xf numFmtId="0" fontId="6" fillId="0" borderId="8" xfId="0" applyFont="1" applyBorder="1" applyAlignment="1">
      <alignment horizontal="center" vertical="top"/>
    </xf>
    <xf numFmtId="0" fontId="6" fillId="0" borderId="22" xfId="0" applyFont="1" applyBorder="1" applyAlignment="1">
      <alignment horizontal="center"/>
    </xf>
    <xf numFmtId="0" fontId="6" fillId="0" borderId="8" xfId="0" applyFont="1" applyBorder="1" applyAlignment="1">
      <alignment horizontal="center"/>
    </xf>
    <xf numFmtId="4" fontId="0" fillId="0" borderId="8" xfId="0" applyNumberFormat="1" applyFont="1" applyBorder="1" applyAlignment="1">
      <alignment horizontal="center"/>
    </xf>
    <xf numFmtId="4" fontId="6" fillId="0" borderId="8" xfId="0" applyNumberFormat="1" applyFont="1" applyBorder="1" applyAlignment="1">
      <alignment horizontal="center" vertical="top"/>
    </xf>
    <xf numFmtId="4" fontId="6" fillId="0" borderId="8" xfId="0" applyNumberFormat="1" applyFont="1" applyBorder="1" applyAlignment="1">
      <alignment horizontal="center"/>
    </xf>
    <xf numFmtId="2" fontId="0" fillId="0" borderId="8" xfId="0" applyNumberFormat="1" applyFont="1" applyBorder="1" applyAlignment="1">
      <alignment horizontal="center"/>
    </xf>
    <xf numFmtId="0" fontId="6" fillId="0" borderId="6" xfId="0" applyFont="1" applyBorder="1" applyAlignment="1">
      <alignment horizontal="center"/>
    </xf>
    <xf numFmtId="4" fontId="40" fillId="0" borderId="8" xfId="0" applyNumberFormat="1" applyFont="1" applyBorder="1" applyAlignment="1">
      <alignment horizontal="center"/>
    </xf>
    <xf numFmtId="0" fontId="6" fillId="0" borderId="9" xfId="0" applyFont="1" applyBorder="1" applyAlignment="1">
      <alignment horizontal="center"/>
    </xf>
    <xf numFmtId="2" fontId="0" fillId="0" borderId="1" xfId="0" applyNumberFormat="1" applyBorder="1"/>
    <xf numFmtId="0" fontId="37" fillId="0" borderId="12" xfId="0" applyFont="1" applyFill="1" applyBorder="1"/>
    <xf numFmtId="0" fontId="5" fillId="0" borderId="13" xfId="0" applyFont="1" applyBorder="1" applyAlignment="1">
      <alignment horizontal="center" vertical="top"/>
    </xf>
    <xf numFmtId="0" fontId="6" fillId="0" borderId="9" xfId="0" applyFont="1" applyBorder="1" applyAlignment="1">
      <alignment horizontal="center" vertical="top"/>
    </xf>
    <xf numFmtId="4" fontId="6" fillId="0" borderId="24" xfId="0" applyNumberFormat="1" applyFont="1" applyBorder="1" applyAlignment="1">
      <alignment horizontal="center" vertical="top"/>
    </xf>
    <xf numFmtId="0" fontId="0" fillId="0" borderId="1" xfId="0" applyFill="1" applyBorder="1"/>
    <xf numFmtId="0" fontId="0" fillId="4" borderId="1" xfId="0" applyFill="1" applyBorder="1"/>
    <xf numFmtId="4" fontId="7" fillId="0" borderId="14" xfId="0" applyNumberFormat="1" applyFont="1" applyBorder="1" applyAlignment="1">
      <alignment horizontal="center"/>
    </xf>
    <xf numFmtId="14" fontId="37" fillId="6" borderId="12" xfId="0" applyNumberFormat="1" applyFont="1" applyFill="1" applyBorder="1" applyAlignment="1">
      <alignment horizontal="center"/>
    </xf>
    <xf numFmtId="0" fontId="12" fillId="6" borderId="11" xfId="0" applyFont="1" applyFill="1" applyBorder="1"/>
    <xf numFmtId="14" fontId="39" fillId="6" borderId="12" xfId="0" applyNumberFormat="1" applyFont="1" applyFill="1" applyBorder="1" applyAlignment="1">
      <alignment horizontal="center"/>
    </xf>
    <xf numFmtId="0" fontId="37" fillId="6" borderId="12" xfId="0" applyFont="1" applyFill="1" applyBorder="1"/>
    <xf numFmtId="0" fontId="12" fillId="0" borderId="11" xfId="0" applyFont="1" applyFill="1" applyBorder="1"/>
    <xf numFmtId="14" fontId="40" fillId="8" borderId="12" xfId="0" applyNumberFormat="1" applyFont="1" applyFill="1" applyBorder="1" applyAlignment="1">
      <alignment horizontal="center"/>
    </xf>
    <xf numFmtId="0" fontId="12" fillId="8" borderId="11" xfId="0" applyFont="1" applyFill="1" applyBorder="1"/>
    <xf numFmtId="14" fontId="39" fillId="8" borderId="12" xfId="0" applyNumberFormat="1" applyFont="1" applyFill="1" applyBorder="1" applyAlignment="1">
      <alignment horizontal="center"/>
    </xf>
    <xf numFmtId="14" fontId="40" fillId="0" borderId="12" xfId="0" applyNumberFormat="1" applyFont="1" applyFill="1" applyBorder="1" applyAlignment="1">
      <alignment horizontal="center"/>
    </xf>
    <xf numFmtId="14" fontId="39" fillId="5" borderId="7" xfId="0" applyNumberFormat="1" applyFont="1" applyFill="1" applyBorder="1" applyAlignment="1">
      <alignment horizontal="center"/>
    </xf>
    <xf numFmtId="0" fontId="39" fillId="5" borderId="8" xfId="0" applyFont="1" applyFill="1" applyBorder="1" applyAlignment="1">
      <alignment horizontal="center"/>
    </xf>
    <xf numFmtId="2" fontId="39" fillId="5" borderId="8" xfId="0" applyNumberFormat="1" applyFont="1" applyFill="1" applyBorder="1" applyAlignment="1">
      <alignment horizontal="center"/>
    </xf>
    <xf numFmtId="2" fontId="39" fillId="3" borderId="8" xfId="0" applyNumberFormat="1" applyFont="1" applyFill="1" applyBorder="1" applyAlignment="1">
      <alignment horizontal="center"/>
    </xf>
    <xf numFmtId="0" fontId="39" fillId="3" borderId="8" xfId="0" applyFont="1" applyFill="1" applyBorder="1" applyAlignment="1">
      <alignment horizontal="center"/>
    </xf>
    <xf numFmtId="0" fontId="12" fillId="3" borderId="8" xfId="0" applyFont="1" applyFill="1" applyBorder="1"/>
    <xf numFmtId="0" fontId="37" fillId="6" borderId="2" xfId="0" applyFont="1" applyFill="1" applyBorder="1" applyAlignment="1">
      <alignment horizontal="center"/>
    </xf>
    <xf numFmtId="0" fontId="37" fillId="6" borderId="2" xfId="0" applyFont="1" applyFill="1" applyBorder="1"/>
    <xf numFmtId="0" fontId="40" fillId="8" borderId="2" xfId="0" applyFont="1" applyFill="1" applyBorder="1" applyAlignment="1">
      <alignment horizontal="center"/>
    </xf>
    <xf numFmtId="0" fontId="39" fillId="8" borderId="2" xfId="0" applyFont="1" applyFill="1" applyBorder="1" applyAlignment="1">
      <alignment horizontal="center"/>
    </xf>
    <xf numFmtId="0" fontId="40" fillId="0" borderId="2" xfId="0" applyFont="1" applyFill="1" applyBorder="1" applyAlignment="1">
      <alignment horizontal="center"/>
    </xf>
    <xf numFmtId="4" fontId="5" fillId="0" borderId="16" xfId="0" applyNumberFormat="1" applyFont="1" applyBorder="1" applyAlignment="1">
      <alignment horizontal="center" vertical="top"/>
    </xf>
    <xf numFmtId="4" fontId="5" fillId="0" borderId="5" xfId="0" applyNumberFormat="1" applyFont="1" applyBorder="1" applyAlignment="1">
      <alignment horizontal="center" vertical="top"/>
    </xf>
    <xf numFmtId="0" fontId="5" fillId="0" borderId="5" xfId="0" applyFont="1" applyBorder="1" applyAlignment="1">
      <alignment horizontal="center"/>
    </xf>
    <xf numFmtId="4" fontId="5" fillId="0" borderId="5" xfId="0" applyNumberFormat="1" applyFont="1" applyBorder="1" applyAlignment="1">
      <alignment horizontal="center" vertical="center"/>
    </xf>
    <xf numFmtId="4" fontId="37" fillId="6" borderId="5" xfId="0" applyNumberFormat="1" applyFont="1" applyFill="1" applyBorder="1" applyAlignment="1">
      <alignment horizontal="center"/>
    </xf>
    <xf numFmtId="2" fontId="39" fillId="0" borderId="5" xfId="0" applyNumberFormat="1" applyFont="1" applyFill="1" applyBorder="1" applyAlignment="1">
      <alignment horizontal="center"/>
    </xf>
    <xf numFmtId="4" fontId="40" fillId="8" borderId="5" xfId="0" applyNumberFormat="1" applyFont="1" applyFill="1" applyBorder="1" applyAlignment="1">
      <alignment horizontal="center"/>
    </xf>
    <xf numFmtId="4" fontId="40" fillId="0" borderId="5" xfId="0" applyNumberFormat="1" applyFont="1" applyFill="1" applyBorder="1" applyAlignment="1">
      <alignment horizontal="center"/>
    </xf>
    <xf numFmtId="0" fontId="39" fillId="7" borderId="4" xfId="0" applyFont="1" applyFill="1" applyBorder="1" applyAlignment="1">
      <alignment horizontal="center"/>
    </xf>
    <xf numFmtId="0" fontId="6" fillId="0" borderId="13" xfId="0" applyFont="1" applyBorder="1" applyAlignment="1">
      <alignment horizontal="center"/>
    </xf>
    <xf numFmtId="4" fontId="7" fillId="0" borderId="3" xfId="0" applyNumberFormat="1" applyFont="1" applyBorder="1" applyAlignment="1">
      <alignment horizontal="center"/>
    </xf>
    <xf numFmtId="0" fontId="12" fillId="7" borderId="6" xfId="0" applyFont="1" applyFill="1" applyBorder="1"/>
    <xf numFmtId="0" fontId="39" fillId="5" borderId="9" xfId="0" applyFont="1" applyFill="1" applyBorder="1" applyAlignment="1">
      <alignment horizontal="center"/>
    </xf>
    <xf numFmtId="0" fontId="39" fillId="5" borderId="22" xfId="0" applyFont="1" applyFill="1" applyBorder="1" applyAlignment="1">
      <alignment horizontal="center"/>
    </xf>
    <xf numFmtId="2" fontId="39" fillId="5" borderId="24" xfId="0" applyNumberFormat="1" applyFont="1" applyFill="1" applyBorder="1" applyAlignment="1">
      <alignment horizontal="center"/>
    </xf>
    <xf numFmtId="2" fontId="39" fillId="3" borderId="24" xfId="0" applyNumberFormat="1" applyFont="1" applyFill="1" applyBorder="1" applyAlignment="1">
      <alignment horizontal="center"/>
    </xf>
    <xf numFmtId="0" fontId="12" fillId="3" borderId="9" xfId="0" applyFont="1" applyFill="1" applyBorder="1"/>
    <xf numFmtId="4" fontId="39" fillId="6" borderId="1" xfId="0" applyNumberFormat="1" applyFont="1" applyFill="1" applyBorder="1" applyAlignment="1">
      <alignment horizontal="center"/>
    </xf>
    <xf numFmtId="0" fontId="39" fillId="7" borderId="8" xfId="0" applyFont="1" applyFill="1" applyBorder="1" applyAlignment="1">
      <alignment horizontal="center"/>
    </xf>
    <xf numFmtId="0" fontId="10" fillId="0" borderId="1" xfId="0" applyFont="1" applyBorder="1"/>
    <xf numFmtId="0" fontId="10" fillId="0" borderId="11" xfId="0" applyFont="1" applyBorder="1"/>
    <xf numFmtId="0" fontId="0" fillId="0" borderId="12" xfId="0" applyBorder="1"/>
    <xf numFmtId="4" fontId="0" fillId="0" borderId="1" xfId="0" applyNumberFormat="1" applyBorder="1"/>
    <xf numFmtId="0" fontId="0" fillId="0" borderId="11" xfId="0" applyBorder="1"/>
    <xf numFmtId="0" fontId="0" fillId="0" borderId="8" xfId="0" applyBorder="1"/>
    <xf numFmtId="0" fontId="0" fillId="0" borderId="6" xfId="0" applyBorder="1"/>
    <xf numFmtId="14" fontId="0" fillId="0" borderId="1" xfId="0" applyNumberFormat="1" applyBorder="1"/>
    <xf numFmtId="4" fontId="13" fillId="0" borderId="1" xfId="25" applyNumberFormat="1" applyFont="1" applyFill="1" applyBorder="1" applyAlignment="1" applyProtection="1">
      <alignment horizontal="center"/>
    </xf>
    <xf numFmtId="0" fontId="13" fillId="0" borderId="1" xfId="25" applyFont="1" applyFill="1" applyProtection="1"/>
    <xf numFmtId="2" fontId="13" fillId="0" borderId="1" xfId="25" applyNumberFormat="1" applyFont="1" applyFill="1" applyAlignment="1" applyProtection="1">
      <alignment horizontal="center"/>
    </xf>
    <xf numFmtId="2" fontId="14" fillId="0" borderId="1" xfId="25" applyNumberFormat="1" applyFont="1" applyFill="1" applyBorder="1" applyAlignment="1" applyProtection="1">
      <alignment horizontal="center"/>
    </xf>
    <xf numFmtId="0" fontId="13" fillId="0" borderId="14" xfId="25" applyFont="1" applyBorder="1" applyProtection="1"/>
    <xf numFmtId="0" fontId="13" fillId="0" borderId="8" xfId="25" applyFont="1" applyBorder="1" applyAlignment="1" applyProtection="1">
      <alignment horizontal="left"/>
    </xf>
    <xf numFmtId="0" fontId="14" fillId="0" borderId="11" xfId="25" applyFont="1" applyBorder="1" applyAlignment="1" applyProtection="1">
      <alignment horizontal="left" vertical="center" wrapText="1"/>
    </xf>
    <xf numFmtId="0" fontId="22" fillId="0" borderId="17" xfId="25" applyFont="1" applyBorder="1" applyAlignment="1" applyProtection="1">
      <alignment horizontal="left" vertical="center" wrapText="1"/>
      <protection locked="0"/>
    </xf>
    <xf numFmtId="0" fontId="22" fillId="0" borderId="11" xfId="25" applyFont="1" applyBorder="1" applyAlignment="1" applyProtection="1">
      <alignment horizontal="left" vertical="center" wrapText="1"/>
      <protection locked="0"/>
    </xf>
    <xf numFmtId="0" fontId="27" fillId="0" borderId="11" xfId="25" applyFont="1" applyBorder="1" applyAlignment="1" applyProtection="1">
      <alignment horizontal="left" vertical="center" wrapText="1"/>
      <protection locked="0"/>
    </xf>
    <xf numFmtId="169" fontId="14" fillId="0" borderId="11" xfId="27" applyNumberFormat="1" applyFont="1" applyBorder="1" applyAlignment="1" applyProtection="1">
      <alignment horizontal="left" vertical="center" wrapText="1"/>
      <protection locked="0"/>
    </xf>
    <xf numFmtId="0" fontId="14" fillId="0" borderId="11" xfId="25" applyFont="1" applyBorder="1" applyAlignment="1" applyProtection="1">
      <alignment horizontal="left" vertical="center" wrapText="1"/>
      <protection locked="0"/>
    </xf>
    <xf numFmtId="0" fontId="23" fillId="0" borderId="11" xfId="25" applyFont="1" applyBorder="1" applyAlignment="1" applyProtection="1">
      <alignment horizontal="left" vertical="center"/>
      <protection locked="0"/>
    </xf>
    <xf numFmtId="0" fontId="23" fillId="0" borderId="11" xfId="25" applyNumberFormat="1" applyFont="1" applyBorder="1" applyAlignment="1" applyProtection="1">
      <alignment horizontal="left" vertical="center"/>
    </xf>
    <xf numFmtId="167" fontId="14" fillId="0" borderId="15" xfId="3" applyFont="1" applyBorder="1" applyAlignment="1" applyProtection="1">
      <alignment horizontal="center" vertical="center" wrapText="1"/>
    </xf>
    <xf numFmtId="167" fontId="14" fillId="0" borderId="17" xfId="3" applyFont="1" applyBorder="1" applyAlignment="1" applyProtection="1">
      <alignment horizontal="center" vertical="center" wrapText="1"/>
    </xf>
    <xf numFmtId="2" fontId="14" fillId="0" borderId="11" xfId="27" applyNumberFormat="1" applyFont="1" applyBorder="1" applyAlignment="1" applyProtection="1">
      <alignment horizontal="center" vertical="center" wrapText="1"/>
    </xf>
    <xf numFmtId="1" fontId="28" fillId="0" borderId="17" xfId="6" applyNumberFormat="1" applyFont="1" applyBorder="1" applyAlignment="1" applyProtection="1">
      <alignment horizontal="centerContinuous"/>
      <protection locked="0"/>
    </xf>
    <xf numFmtId="1" fontId="13" fillId="0" borderId="11" xfId="10" applyNumberFormat="1" applyFont="1" applyBorder="1" applyAlignment="1" applyProtection="1">
      <alignment horizontal="centerContinuous"/>
    </xf>
    <xf numFmtId="1" fontId="13" fillId="0" borderId="11" xfId="10" applyNumberFormat="1" applyFont="1" applyBorder="1" applyAlignment="1" applyProtection="1"/>
    <xf numFmtId="0" fontId="26" fillId="9" borderId="1" xfId="6" applyFont="1" applyFill="1" applyBorder="1" applyAlignment="1" applyProtection="1">
      <alignment horizontal="center" vertical="center" wrapText="1"/>
      <protection locked="0"/>
    </xf>
    <xf numFmtId="168" fontId="26" fillId="9" borderId="11" xfId="2" applyFont="1" applyFill="1" applyBorder="1" applyAlignment="1" applyProtection="1">
      <alignment horizontal="center" vertical="center" wrapText="1"/>
      <protection locked="0"/>
    </xf>
    <xf numFmtId="168" fontId="14" fillId="9" borderId="1" xfId="27" applyNumberFormat="1" applyFont="1" applyFill="1" applyBorder="1" applyAlignment="1" applyProtection="1">
      <alignment horizontal="center" vertical="center" wrapText="1"/>
    </xf>
    <xf numFmtId="2" fontId="25" fillId="9" borderId="12" xfId="3" applyNumberFormat="1" applyFont="1" applyFill="1" applyBorder="1" applyAlignment="1" applyProtection="1">
      <alignment horizontal="center" vertical="center" wrapText="1"/>
    </xf>
    <xf numFmtId="167" fontId="14" fillId="9" borderId="1" xfId="3" applyNumberFormat="1" applyFont="1" applyFill="1" applyBorder="1" applyAlignment="1" applyProtection="1">
      <alignment horizontal="center" vertical="center" wrapText="1"/>
    </xf>
    <xf numFmtId="167" fontId="14" fillId="9" borderId="12" xfId="3" applyNumberFormat="1" applyFont="1" applyFill="1" applyBorder="1" applyAlignment="1" applyProtection="1">
      <alignment horizontal="center" vertical="center" wrapText="1"/>
    </xf>
    <xf numFmtId="2" fontId="14" fillId="9" borderId="11" xfId="27" applyNumberFormat="1" applyFont="1" applyFill="1" applyBorder="1" applyAlignment="1" applyProtection="1">
      <alignment horizontal="center" vertical="center" wrapText="1"/>
    </xf>
    <xf numFmtId="0" fontId="23" fillId="9" borderId="11" xfId="25" applyNumberFormat="1" applyFont="1" applyFill="1" applyBorder="1" applyAlignment="1" applyProtection="1">
      <alignment horizontal="left" vertical="center"/>
    </xf>
    <xf numFmtId="0" fontId="22" fillId="9" borderId="12" xfId="6" applyFont="1" applyFill="1" applyBorder="1" applyAlignment="1" applyProtection="1">
      <alignment horizontal="center" vertical="center"/>
    </xf>
    <xf numFmtId="0" fontId="22" fillId="9" borderId="1" xfId="6" applyFont="1" applyFill="1" applyBorder="1" applyAlignment="1" applyProtection="1">
      <alignment horizontal="center" vertical="center"/>
    </xf>
    <xf numFmtId="168" fontId="22" fillId="9" borderId="11" xfId="2" applyFont="1" applyFill="1" applyBorder="1" applyAlignment="1" applyProtection="1">
      <alignment horizontal="center" vertical="center"/>
    </xf>
    <xf numFmtId="168" fontId="14" fillId="9" borderId="1" xfId="27" applyNumberFormat="1" applyFont="1" applyFill="1" applyBorder="1" applyAlignment="1" applyProtection="1">
      <alignment horizontal="center" vertical="center"/>
    </xf>
    <xf numFmtId="167" fontId="22" fillId="9" borderId="12" xfId="3" applyFont="1" applyFill="1" applyBorder="1" applyAlignment="1" applyProtection="1">
      <alignment horizontal="center" vertical="center"/>
    </xf>
    <xf numFmtId="2" fontId="14" fillId="9" borderId="1" xfId="3" applyNumberFormat="1" applyFont="1" applyFill="1" applyBorder="1" applyAlignment="1" applyProtection="1">
      <alignment horizontal="center" vertical="center"/>
    </xf>
    <xf numFmtId="167" fontId="14" fillId="9" borderId="12" xfId="3" applyFont="1" applyFill="1" applyBorder="1" applyAlignment="1" applyProtection="1">
      <alignment horizontal="center" vertical="center"/>
    </xf>
    <xf numFmtId="167" fontId="14" fillId="9" borderId="11" xfId="3" applyFont="1" applyFill="1" applyBorder="1" applyAlignment="1" applyProtection="1">
      <alignment horizontal="center" vertical="center"/>
    </xf>
    <xf numFmtId="0" fontId="14" fillId="9" borderId="11" xfId="25" applyFont="1" applyFill="1" applyBorder="1" applyAlignment="1" applyProtection="1">
      <alignment horizontal="left" vertical="center"/>
    </xf>
    <xf numFmtId="0" fontId="22" fillId="9" borderId="7" xfId="6" applyFont="1" applyFill="1" applyBorder="1" applyAlignment="1" applyProtection="1">
      <alignment horizontal="center" vertical="center"/>
    </xf>
    <xf numFmtId="0" fontId="22" fillId="9" borderId="8" xfId="6" applyFont="1" applyFill="1" applyBorder="1" applyAlignment="1" applyProtection="1">
      <alignment horizontal="center" vertical="center"/>
    </xf>
    <xf numFmtId="168" fontId="22" fillId="9" borderId="6" xfId="2" applyFont="1" applyFill="1" applyBorder="1" applyAlignment="1" applyProtection="1">
      <alignment horizontal="center" vertical="center"/>
    </xf>
    <xf numFmtId="168" fontId="14" fillId="9" borderId="8" xfId="27" applyNumberFormat="1" applyFont="1" applyFill="1" applyBorder="1" applyAlignment="1" applyProtection="1">
      <alignment horizontal="center" vertical="center"/>
    </xf>
    <xf numFmtId="167" fontId="22" fillId="9" borderId="7" xfId="3" applyFont="1" applyFill="1" applyBorder="1" applyAlignment="1" applyProtection="1">
      <alignment horizontal="center" vertical="center"/>
    </xf>
    <xf numFmtId="2" fontId="14" fillId="9" borderId="8" xfId="3" applyNumberFormat="1" applyFont="1" applyFill="1" applyBorder="1" applyAlignment="1" applyProtection="1">
      <alignment horizontal="center" vertical="center"/>
    </xf>
    <xf numFmtId="167" fontId="14" fillId="9" borderId="7" xfId="3" applyFont="1" applyFill="1" applyBorder="1" applyAlignment="1" applyProtection="1">
      <alignment horizontal="center" vertical="center"/>
    </xf>
    <xf numFmtId="167" fontId="14" fillId="9" borderId="6" xfId="3" applyFont="1" applyFill="1" applyBorder="1" applyAlignment="1" applyProtection="1">
      <alignment horizontal="center" vertical="center"/>
    </xf>
    <xf numFmtId="0" fontId="14" fillId="9" borderId="6" xfId="25" applyFont="1" applyFill="1" applyBorder="1" applyAlignment="1" applyProtection="1">
      <alignment horizontal="left" vertical="center"/>
    </xf>
    <xf numFmtId="0" fontId="14" fillId="0" borderId="12" xfId="6" applyFont="1" applyBorder="1" applyAlignment="1" applyProtection="1">
      <alignment horizontal="center" vertical="center" wrapText="1"/>
      <protection locked="0"/>
    </xf>
    <xf numFmtId="168" fontId="14" fillId="0" borderId="11" xfId="2" applyFont="1" applyBorder="1" applyAlignment="1" applyProtection="1">
      <alignment horizontal="center" vertical="center" wrapText="1"/>
      <protection locked="0"/>
    </xf>
    <xf numFmtId="0" fontId="14" fillId="0" borderId="12" xfId="6" applyFont="1" applyFill="1" applyBorder="1" applyAlignment="1" applyProtection="1">
      <alignment horizontal="center" vertical="center" wrapText="1"/>
      <protection locked="0"/>
    </xf>
    <xf numFmtId="0" fontId="44" fillId="9" borderId="12" xfId="6" applyFont="1" applyFill="1" applyBorder="1" applyAlignment="1" applyProtection="1">
      <alignment horizontal="left" vertical="center"/>
      <protection locked="0"/>
    </xf>
    <xf numFmtId="0" fontId="10" fillId="0" borderId="14" xfId="10" applyFont="1" applyBorder="1" applyAlignment="1" applyProtection="1">
      <alignment horizontal="right"/>
    </xf>
    <xf numFmtId="0" fontId="10" fillId="0" borderId="1" xfId="25" applyFont="1" applyProtection="1"/>
    <xf numFmtId="1" fontId="45" fillId="0" borderId="14" xfId="6" applyNumberFormat="1" applyFont="1" applyBorder="1" applyAlignment="1" applyProtection="1">
      <alignment horizontal="left"/>
      <protection locked="0"/>
    </xf>
    <xf numFmtId="1" fontId="45" fillId="0" borderId="14" xfId="6" applyNumberFormat="1" applyFont="1" applyBorder="1" applyAlignment="1" applyProtection="1">
      <alignment horizontal="left"/>
    </xf>
    <xf numFmtId="167" fontId="37" fillId="0" borderId="14" xfId="3" applyFont="1" applyBorder="1"/>
    <xf numFmtId="1" fontId="10" fillId="0" borderId="14" xfId="5" applyNumberFormat="1" applyFont="1" applyBorder="1" applyAlignment="1" applyProtection="1">
      <alignment horizontal="right"/>
    </xf>
    <xf numFmtId="1" fontId="37" fillId="0" borderId="14" xfId="5" applyNumberFormat="1" applyFont="1" applyBorder="1" applyAlignment="1" applyProtection="1">
      <alignment horizontal="center"/>
      <protection locked="0"/>
    </xf>
    <xf numFmtId="167" fontId="37" fillId="0" borderId="14" xfId="3" applyFont="1" applyFill="1" applyBorder="1" applyAlignment="1" applyProtection="1">
      <alignment horizontal="center"/>
    </xf>
    <xf numFmtId="0" fontId="10" fillId="0" borderId="1" xfId="10" applyFont="1" applyBorder="1" applyAlignment="1" applyProtection="1">
      <alignment horizontal="right"/>
    </xf>
    <xf numFmtId="1" fontId="45" fillId="0" borderId="1" xfId="6" applyNumberFormat="1" applyFont="1" applyBorder="1" applyAlignment="1" applyProtection="1">
      <alignment horizontal="left"/>
      <protection locked="0"/>
    </xf>
    <xf numFmtId="1" fontId="45" fillId="0" borderId="1" xfId="6" applyNumberFormat="1" applyFont="1" applyBorder="1" applyAlignment="1" applyProtection="1">
      <alignment horizontal="left"/>
    </xf>
    <xf numFmtId="167" fontId="37" fillId="0" borderId="1" xfId="3" applyFont="1" applyBorder="1"/>
    <xf numFmtId="1" fontId="10" fillId="0" borderId="1" xfId="5" applyNumberFormat="1" applyFont="1" applyBorder="1" applyAlignment="1" applyProtection="1">
      <alignment horizontal="right"/>
    </xf>
    <xf numFmtId="1" fontId="37" fillId="0" borderId="1" xfId="5" applyNumberFormat="1" applyFont="1" applyAlignment="1" applyProtection="1">
      <alignment horizontal="center"/>
    </xf>
    <xf numFmtId="167" fontId="37" fillId="0" borderId="1" xfId="3" applyFont="1" applyFill="1" applyBorder="1" applyAlignment="1" applyProtection="1">
      <alignment horizontal="center"/>
    </xf>
    <xf numFmtId="2" fontId="10" fillId="0" borderId="1" xfId="10" applyNumberFormat="1" applyFont="1" applyBorder="1" applyAlignment="1" applyProtection="1">
      <alignment horizontal="right"/>
    </xf>
    <xf numFmtId="0" fontId="10" fillId="0" borderId="1" xfId="25" applyFont="1" applyBorder="1" applyProtection="1"/>
    <xf numFmtId="0" fontId="37" fillId="0" borderId="1" xfId="5" applyFont="1" applyAlignment="1" applyProtection="1">
      <alignment horizontal="center"/>
    </xf>
    <xf numFmtId="2" fontId="37" fillId="0" borderId="1" xfId="5" applyNumberFormat="1" applyFont="1" applyAlignment="1" applyProtection="1">
      <alignment horizontal="center"/>
    </xf>
    <xf numFmtId="0" fontId="46" fillId="0" borderId="1" xfId="6" applyFont="1" applyFill="1" applyBorder="1" applyAlignment="1" applyProtection="1">
      <alignment horizontal="left"/>
      <protection locked="0"/>
    </xf>
    <xf numFmtId="0" fontId="40" fillId="0" borderId="1" xfId="24" applyFont="1" applyAlignment="1">
      <alignment horizontal="center"/>
    </xf>
    <xf numFmtId="0" fontId="37" fillId="0" borderId="1" xfId="27" applyFont="1" applyAlignment="1" applyProtection="1">
      <alignment vertical="top"/>
    </xf>
    <xf numFmtId="1" fontId="45" fillId="0" borderId="8" xfId="27" applyNumberFormat="1" applyFont="1" applyBorder="1" applyAlignment="1" applyProtection="1">
      <alignment vertical="top"/>
      <protection locked="0"/>
    </xf>
    <xf numFmtId="1" fontId="37" fillId="0" borderId="8" xfId="27" applyNumberFormat="1" applyFont="1" applyBorder="1" applyAlignment="1" applyProtection="1">
      <alignment vertical="top"/>
    </xf>
    <xf numFmtId="167" fontId="37" fillId="0" borderId="8" xfId="27" applyNumberFormat="1" applyFont="1" applyBorder="1" applyAlignment="1" applyProtection="1">
      <alignment vertical="top"/>
    </xf>
    <xf numFmtId="2" fontId="37" fillId="0" borderId="8" xfId="27" applyNumberFormat="1" applyFont="1" applyBorder="1" applyAlignment="1" applyProtection="1">
      <alignment vertical="top"/>
    </xf>
    <xf numFmtId="0" fontId="37" fillId="0" borderId="8" xfId="27" applyFont="1" applyBorder="1" applyAlignment="1" applyProtection="1">
      <alignment vertical="top"/>
      <protection locked="0"/>
    </xf>
    <xf numFmtId="0" fontId="0" fillId="0" borderId="3" xfId="0" applyBorder="1"/>
    <xf numFmtId="4" fontId="7" fillId="0" borderId="3" xfId="0" applyNumberFormat="1" applyFont="1" applyBorder="1" applyAlignment="1">
      <alignment horizontal="center" vertical="top"/>
    </xf>
    <xf numFmtId="4" fontId="10" fillId="4" borderId="14" xfId="0" applyNumberFormat="1" applyFont="1" applyFill="1" applyBorder="1" applyAlignment="1">
      <alignment horizontal="center"/>
    </xf>
    <xf numFmtId="0" fontId="10" fillId="4" borderId="14" xfId="0" applyFont="1" applyFill="1" applyBorder="1"/>
    <xf numFmtId="4" fontId="10" fillId="4" borderId="17" xfId="0" applyNumberFormat="1" applyFont="1" applyFill="1" applyBorder="1" applyAlignment="1">
      <alignment horizontal="center"/>
    </xf>
    <xf numFmtId="0" fontId="6" fillId="2" borderId="12" xfId="0" applyFont="1" applyFill="1" applyBorder="1"/>
    <xf numFmtId="0" fontId="6" fillId="2" borderId="11" xfId="0" applyFont="1" applyFill="1" applyBorder="1"/>
    <xf numFmtId="0" fontId="6" fillId="2" borderId="7" xfId="0" applyFont="1" applyFill="1" applyBorder="1"/>
    <xf numFmtId="2" fontId="6" fillId="2" borderId="8" xfId="0" applyNumberFormat="1" applyFont="1" applyFill="1" applyBorder="1"/>
    <xf numFmtId="0" fontId="6" fillId="2" borderId="8" xfId="0" applyFont="1" applyFill="1" applyBorder="1"/>
    <xf numFmtId="4" fontId="6" fillId="2" borderId="8" xfId="0" applyNumberFormat="1" applyFont="1" applyFill="1" applyBorder="1"/>
    <xf numFmtId="0" fontId="6" fillId="2" borderId="6" xfId="0" applyFont="1" applyFill="1" applyBorder="1"/>
    <xf numFmtId="4" fontId="7" fillId="0" borderId="1" xfId="0" applyNumberFormat="1" applyFont="1" applyBorder="1" applyAlignment="1">
      <alignment horizontal="center" vertical="top"/>
    </xf>
    <xf numFmtId="0" fontId="10" fillId="0" borderId="1" xfId="0" applyFont="1" applyBorder="1" applyAlignment="1">
      <alignment horizontal="center"/>
    </xf>
    <xf numFmtId="4" fontId="5" fillId="0" borderId="15" xfId="0" applyNumberFormat="1" applyFont="1" applyBorder="1" applyAlignment="1">
      <alignment horizontal="center" vertical="top"/>
    </xf>
    <xf numFmtId="4" fontId="5" fillId="0" borderId="12" xfId="0" applyNumberFormat="1" applyFont="1" applyBorder="1" applyAlignment="1">
      <alignment horizontal="center"/>
    </xf>
    <xf numFmtId="4" fontId="6" fillId="0" borderId="7" xfId="0" applyNumberFormat="1" applyFont="1" applyBorder="1" applyAlignment="1">
      <alignment horizontal="center"/>
    </xf>
    <xf numFmtId="4" fontId="37" fillId="6" borderId="12" xfId="0" applyNumberFormat="1" applyFont="1" applyFill="1" applyBorder="1" applyAlignment="1">
      <alignment horizontal="center"/>
    </xf>
    <xf numFmtId="0" fontId="39" fillId="6" borderId="12" xfId="0" applyFont="1" applyFill="1" applyBorder="1" applyAlignment="1">
      <alignment horizontal="center"/>
    </xf>
    <xf numFmtId="2" fontId="39" fillId="0" borderId="12" xfId="0" applyNumberFormat="1" applyFont="1" applyFill="1" applyBorder="1" applyAlignment="1">
      <alignment horizontal="center"/>
    </xf>
    <xf numFmtId="4" fontId="40" fillId="8" borderId="12" xfId="0" applyNumberFormat="1" applyFont="1" applyFill="1" applyBorder="1" applyAlignment="1">
      <alignment horizontal="center"/>
    </xf>
    <xf numFmtId="4" fontId="40" fillId="0" borderId="12" xfId="0" applyNumberFormat="1" applyFont="1" applyFill="1" applyBorder="1" applyAlignment="1">
      <alignment horizontal="center"/>
    </xf>
    <xf numFmtId="0" fontId="39" fillId="3" borderId="7" xfId="0" applyFont="1" applyFill="1" applyBorder="1" applyAlignment="1">
      <alignment horizontal="center"/>
    </xf>
    <xf numFmtId="0" fontId="40" fillId="8" borderId="1" xfId="0" applyFont="1" applyFill="1" applyBorder="1"/>
    <xf numFmtId="0" fontId="12" fillId="6" borderId="12" xfId="0" applyFont="1" applyFill="1" applyBorder="1"/>
    <xf numFmtId="0" fontId="12" fillId="0" borderId="12" xfId="0" applyFont="1" applyFill="1" applyBorder="1"/>
    <xf numFmtId="0" fontId="12" fillId="3" borderId="7" xfId="0" applyFont="1" applyFill="1" applyBorder="1"/>
    <xf numFmtId="0" fontId="6" fillId="2" borderId="2" xfId="0" applyFont="1" applyFill="1" applyBorder="1" applyAlignment="1">
      <alignment horizontal="right"/>
    </xf>
    <xf numFmtId="0" fontId="40" fillId="4" borderId="2" xfId="0" applyFont="1" applyFill="1" applyBorder="1" applyAlignment="1">
      <alignment horizontal="right"/>
    </xf>
    <xf numFmtId="0" fontId="42" fillId="4" borderId="2" xfId="0" applyFont="1" applyFill="1" applyBorder="1" applyAlignment="1">
      <alignment horizontal="right"/>
    </xf>
    <xf numFmtId="0" fontId="42" fillId="4" borderId="9" xfId="0" applyFont="1" applyFill="1" applyBorder="1" applyAlignment="1">
      <alignment horizontal="right"/>
    </xf>
    <xf numFmtId="0" fontId="43" fillId="2" borderId="10" xfId="0" applyFont="1" applyFill="1" applyBorder="1"/>
    <xf numFmtId="164" fontId="43" fillId="2" borderId="10" xfId="0" applyNumberFormat="1" applyFont="1" applyFill="1" applyBorder="1"/>
    <xf numFmtId="0" fontId="43" fillId="2" borderId="10" xfId="0" applyFont="1" applyFill="1" applyBorder="1" applyAlignment="1">
      <alignment horizontal="center"/>
    </xf>
    <xf numFmtId="164" fontId="10" fillId="4" borderId="10" xfId="0" applyNumberFormat="1" applyFont="1" applyFill="1" applyBorder="1"/>
    <xf numFmtId="14" fontId="43" fillId="2" borderId="26" xfId="0" applyNumberFormat="1" applyFont="1" applyFill="1" applyBorder="1"/>
    <xf numFmtId="168" fontId="14" fillId="0" borderId="1" xfId="2" applyFont="1" applyBorder="1" applyAlignment="1" applyProtection="1">
      <alignment horizontal="center" vertical="center" wrapText="1"/>
      <protection locked="0"/>
    </xf>
    <xf numFmtId="168" fontId="26" fillId="9" borderId="1" xfId="2" applyFont="1" applyFill="1" applyBorder="1" applyAlignment="1" applyProtection="1">
      <alignment horizontal="center" vertical="center" wrapText="1"/>
      <protection locked="0"/>
    </xf>
    <xf numFmtId="168" fontId="22" fillId="9" borderId="1" xfId="2" applyFont="1" applyFill="1" applyBorder="1" applyAlignment="1" applyProtection="1">
      <alignment horizontal="center" vertical="center"/>
    </xf>
    <xf numFmtId="168" fontId="22" fillId="9" borderId="8" xfId="2" applyFont="1" applyFill="1" applyBorder="1" applyAlignment="1" applyProtection="1">
      <alignment horizontal="center" vertical="center"/>
    </xf>
    <xf numFmtId="0" fontId="15" fillId="0" borderId="14" xfId="10" applyFont="1" applyBorder="1" applyAlignment="1" applyProtection="1">
      <alignment horizontal="center"/>
    </xf>
    <xf numFmtId="1" fontId="15" fillId="0" borderId="15" xfId="6" applyNumberFormat="1" applyFont="1" applyBorder="1" applyAlignment="1" applyProtection="1">
      <alignment horizontal="centerContinuous"/>
    </xf>
    <xf numFmtId="1" fontId="13" fillId="0" borderId="12" xfId="10" applyNumberFormat="1" applyFont="1" applyBorder="1" applyAlignment="1" applyProtection="1">
      <alignment horizontal="centerContinuous"/>
    </xf>
    <xf numFmtId="168" fontId="22" fillId="0" borderId="12" xfId="2" applyFont="1" applyBorder="1" applyAlignment="1" applyProtection="1">
      <alignment horizontal="center" vertical="center" wrapText="1"/>
    </xf>
    <xf numFmtId="168" fontId="22" fillId="0" borderId="11" xfId="2" applyFont="1" applyBorder="1" applyAlignment="1" applyProtection="1">
      <alignment horizontal="center" vertical="center" wrapText="1"/>
    </xf>
    <xf numFmtId="168" fontId="14" fillId="0" borderId="12" xfId="27" applyNumberFormat="1" applyFont="1" applyBorder="1" applyAlignment="1" applyProtection="1">
      <alignment horizontal="center" vertical="center" wrapText="1"/>
    </xf>
    <xf numFmtId="168" fontId="14" fillId="9" borderId="12" xfId="27" applyNumberFormat="1" applyFont="1" applyFill="1" applyBorder="1" applyAlignment="1" applyProtection="1">
      <alignment horizontal="center" vertical="center" wrapText="1"/>
    </xf>
    <xf numFmtId="168" fontId="14" fillId="9" borderId="11" xfId="27" applyNumberFormat="1" applyFont="1" applyFill="1" applyBorder="1" applyAlignment="1" applyProtection="1">
      <alignment horizontal="center" vertical="center" wrapText="1"/>
    </xf>
    <xf numFmtId="168" fontId="14" fillId="9" borderId="12" xfId="27" applyNumberFormat="1" applyFont="1" applyFill="1" applyBorder="1" applyAlignment="1" applyProtection="1">
      <alignment horizontal="center" vertical="center"/>
    </xf>
    <xf numFmtId="168" fontId="14" fillId="9" borderId="11" xfId="27" applyNumberFormat="1" applyFont="1" applyFill="1" applyBorder="1" applyAlignment="1" applyProtection="1">
      <alignment horizontal="center" vertical="center"/>
    </xf>
    <xf numFmtId="168" fontId="14" fillId="9" borderId="7" xfId="27" applyNumberFormat="1" applyFont="1" applyFill="1" applyBorder="1" applyAlignment="1" applyProtection="1">
      <alignment horizontal="center" vertical="center"/>
    </xf>
    <xf numFmtId="168" fontId="14" fillId="9" borderId="6" xfId="27" applyNumberFormat="1" applyFont="1" applyFill="1" applyBorder="1" applyAlignment="1" applyProtection="1">
      <alignment horizontal="center" vertical="center"/>
    </xf>
    <xf numFmtId="0" fontId="10" fillId="0" borderId="15" xfId="10" applyFont="1" applyBorder="1" applyAlignment="1" applyProtection="1">
      <alignment horizontal="right"/>
    </xf>
    <xf numFmtId="0" fontId="10" fillId="0" borderId="14" xfId="25" applyFont="1" applyBorder="1" applyProtection="1"/>
    <xf numFmtId="0" fontId="10" fillId="0" borderId="12" xfId="10" applyFont="1" applyBorder="1" applyAlignment="1" applyProtection="1">
      <alignment horizontal="right"/>
    </xf>
    <xf numFmtId="1" fontId="37" fillId="0" borderId="1" xfId="5" applyNumberFormat="1" applyFont="1" applyBorder="1" applyAlignment="1" applyProtection="1">
      <alignment horizontal="center"/>
    </xf>
    <xf numFmtId="0" fontId="13" fillId="0" borderId="11" xfId="25" applyFont="1" applyBorder="1" applyProtection="1"/>
    <xf numFmtId="2" fontId="10" fillId="0" borderId="12" xfId="10" applyNumberFormat="1" applyFont="1" applyBorder="1" applyAlignment="1" applyProtection="1">
      <alignment horizontal="right"/>
    </xf>
    <xf numFmtId="0" fontId="14" fillId="0" borderId="11" xfId="27" applyFont="1" applyBorder="1" applyAlignment="1" applyProtection="1">
      <alignment vertical="top"/>
    </xf>
    <xf numFmtId="2" fontId="37" fillId="0" borderId="1" xfId="5" applyNumberFormat="1" applyFont="1" applyBorder="1" applyAlignment="1" applyProtection="1">
      <alignment horizontal="center"/>
    </xf>
    <xf numFmtId="0" fontId="40" fillId="0" borderId="1" xfId="24" applyFont="1" applyBorder="1" applyAlignment="1">
      <alignment horizontal="center"/>
    </xf>
    <xf numFmtId="0" fontId="10" fillId="0" borderId="7" xfId="27" applyFont="1" applyBorder="1" applyAlignment="1" applyProtection="1">
      <alignment horizontal="right" vertical="top"/>
    </xf>
    <xf numFmtId="0" fontId="37" fillId="0" borderId="8" xfId="27" applyFont="1" applyBorder="1" applyAlignment="1" applyProtection="1">
      <alignment vertical="top"/>
    </xf>
    <xf numFmtId="0" fontId="13" fillId="0" borderId="6" xfId="10" applyFont="1" applyBorder="1" applyAlignment="1" applyProtection="1">
      <alignment horizontal="centerContinuous"/>
    </xf>
    <xf numFmtId="0" fontId="48" fillId="0" borderId="1" xfId="28" applyFont="1" applyBorder="1" applyAlignment="1" applyProtection="1">
      <alignment horizontal="centerContinuous"/>
    </xf>
    <xf numFmtId="172" fontId="48" fillId="0" borderId="1" xfId="28" applyNumberFormat="1" applyFont="1" applyBorder="1" applyAlignment="1" applyProtection="1">
      <alignment horizontal="centerContinuous"/>
    </xf>
    <xf numFmtId="172" fontId="49" fillId="0" borderId="1" xfId="28" applyNumberFormat="1" applyFont="1" applyBorder="1" applyAlignment="1" applyProtection="1">
      <alignment horizontal="center"/>
    </xf>
    <xf numFmtId="172" fontId="50" fillId="0" borderId="8" xfId="28" applyNumberFormat="1" applyFont="1" applyBorder="1" applyAlignment="1" applyProtection="1">
      <alignment horizontal="center"/>
    </xf>
    <xf numFmtId="0" fontId="10" fillId="0" borderId="1" xfId="27" applyFont="1" applyBorder="1" applyAlignment="1" applyProtection="1">
      <alignment horizontal="right" vertical="top"/>
    </xf>
    <xf numFmtId="1" fontId="45" fillId="0" borderId="1" xfId="27" applyNumberFormat="1" applyFont="1" applyBorder="1" applyAlignment="1" applyProtection="1">
      <alignment vertical="top"/>
      <protection locked="0"/>
    </xf>
    <xf numFmtId="1" fontId="37" fillId="0" borderId="1" xfId="27" applyNumberFormat="1" applyFont="1" applyBorder="1" applyAlignment="1" applyProtection="1">
      <alignment vertical="top"/>
    </xf>
    <xf numFmtId="167" fontId="37" fillId="0" borderId="1" xfId="27" applyNumberFormat="1" applyFont="1" applyBorder="1" applyAlignment="1" applyProtection="1">
      <alignment vertical="top"/>
    </xf>
    <xf numFmtId="2" fontId="37" fillId="0" borderId="1" xfId="27" applyNumberFormat="1" applyFont="1" applyBorder="1" applyAlignment="1" applyProtection="1">
      <alignment vertical="top"/>
    </xf>
    <xf numFmtId="0" fontId="37" fillId="0" borderId="1" xfId="27" applyFont="1" applyBorder="1" applyAlignment="1" applyProtection="1">
      <alignment vertical="top"/>
      <protection locked="0"/>
    </xf>
    <xf numFmtId="0" fontId="14" fillId="0" borderId="1" xfId="10" applyFont="1" applyBorder="1" applyAlignment="1" applyProtection="1">
      <alignment horizontal="center" vertical="center"/>
    </xf>
    <xf numFmtId="168" fontId="14" fillId="0" borderId="1" xfId="2" applyFont="1" applyBorder="1" applyAlignment="1" applyProtection="1">
      <alignment horizontal="center" vertical="center"/>
    </xf>
    <xf numFmtId="0" fontId="50" fillId="0" borderId="1" xfId="28" applyFont="1" applyBorder="1" applyAlignment="1" applyProtection="1">
      <alignment horizontal="center"/>
    </xf>
    <xf numFmtId="172" fontId="50" fillId="0" borderId="1" xfId="28" applyNumberFormat="1" applyFont="1" applyBorder="1" applyAlignment="1" applyProtection="1">
      <alignment horizontal="center"/>
    </xf>
    <xf numFmtId="0" fontId="14" fillId="0" borderId="12" xfId="10" applyFont="1" applyBorder="1" applyAlignment="1" applyProtection="1">
      <alignment horizontal="center" vertical="center"/>
    </xf>
    <xf numFmtId="168" fontId="14" fillId="0" borderId="2" xfId="2" applyFont="1" applyBorder="1" applyAlignment="1" applyProtection="1">
      <alignment horizontal="center" vertical="center" wrapText="1"/>
      <protection locked="0"/>
    </xf>
    <xf numFmtId="0" fontId="48" fillId="0" borderId="19" xfId="28" applyFont="1" applyBorder="1" applyAlignment="1" applyProtection="1">
      <alignment horizontal="center"/>
    </xf>
    <xf numFmtId="172" fontId="49" fillId="0" borderId="19" xfId="28" applyNumberFormat="1" applyFont="1" applyBorder="1" applyAlignment="1" applyProtection="1">
      <alignment horizontal="center"/>
    </xf>
    <xf numFmtId="168" fontId="14" fillId="0" borderId="19" xfId="2" applyFont="1" applyBorder="1" applyAlignment="1" applyProtection="1">
      <alignment horizontal="center" vertical="center" wrapText="1"/>
      <protection locked="0"/>
    </xf>
    <xf numFmtId="168" fontId="26" fillId="9" borderId="19" xfId="2" applyFont="1" applyFill="1" applyBorder="1" applyAlignment="1" applyProtection="1">
      <alignment horizontal="center" vertical="center" wrapText="1"/>
      <protection locked="0"/>
    </xf>
    <xf numFmtId="168" fontId="22" fillId="9" borderId="19" xfId="2" applyFont="1" applyFill="1" applyBorder="1" applyAlignment="1" applyProtection="1">
      <alignment horizontal="center" vertical="center"/>
    </xf>
    <xf numFmtId="168" fontId="22" fillId="9" borderId="22" xfId="2" applyFont="1" applyFill="1" applyBorder="1" applyAlignment="1" applyProtection="1">
      <alignment horizontal="center" vertical="center"/>
    </xf>
    <xf numFmtId="172" fontId="48" fillId="0" borderId="28" xfId="28" applyNumberFormat="1" applyFont="1" applyBorder="1" applyAlignment="1" applyProtection="1">
      <alignment horizontal="centerContinuous"/>
    </xf>
    <xf numFmtId="168" fontId="14" fillId="0" borderId="28" xfId="2" applyFont="1" applyBorder="1" applyAlignment="1" applyProtection="1">
      <alignment horizontal="center" vertical="center" wrapText="1"/>
      <protection locked="0"/>
    </xf>
    <xf numFmtId="168" fontId="26" fillId="9" borderId="28" xfId="2" applyFont="1" applyFill="1" applyBorder="1" applyAlignment="1" applyProtection="1">
      <alignment horizontal="center" vertical="center" wrapText="1"/>
      <protection locked="0"/>
    </xf>
    <xf numFmtId="168" fontId="22" fillId="9" borderId="28" xfId="2" applyFont="1" applyFill="1" applyBorder="1" applyAlignment="1" applyProtection="1">
      <alignment horizontal="center" vertical="center"/>
    </xf>
    <xf numFmtId="168" fontId="22" fillId="9" borderId="27" xfId="2" applyFont="1" applyFill="1" applyBorder="1" applyAlignment="1" applyProtection="1">
      <alignment horizontal="center" vertical="center"/>
    </xf>
    <xf numFmtId="0" fontId="13" fillId="0" borderId="6" xfId="10" applyFont="1" applyBorder="1" applyAlignment="1" applyProtection="1">
      <alignment horizontal="center" vertical="center" wrapText="1"/>
    </xf>
    <xf numFmtId="0" fontId="37" fillId="0" borderId="1" xfId="27" applyFont="1" applyBorder="1" applyAlignment="1" applyProtection="1">
      <alignment vertical="top"/>
    </xf>
    <xf numFmtId="0" fontId="13" fillId="0" borderId="5" xfId="10" applyFont="1" applyBorder="1" applyAlignment="1" applyProtection="1">
      <alignment horizontal="center" vertical="center"/>
    </xf>
    <xf numFmtId="0" fontId="14" fillId="0" borderId="4" xfId="25" applyFont="1" applyBorder="1" applyAlignment="1" applyProtection="1">
      <alignment vertical="center" wrapText="1"/>
    </xf>
    <xf numFmtId="0" fontId="14" fillId="0" borderId="7" xfId="6" applyFont="1" applyFill="1" applyBorder="1" applyAlignment="1" applyProtection="1">
      <alignment horizontal="center" vertical="center" wrapText="1"/>
      <protection locked="0"/>
    </xf>
    <xf numFmtId="0" fontId="14" fillId="0" borderId="8" xfId="6" applyFont="1" applyBorder="1" applyAlignment="1" applyProtection="1">
      <alignment horizontal="center" vertical="center" wrapText="1"/>
      <protection locked="0"/>
    </xf>
    <xf numFmtId="168" fontId="14" fillId="0" borderId="8" xfId="2" applyFont="1" applyBorder="1" applyAlignment="1" applyProtection="1">
      <alignment horizontal="center" vertical="center" wrapText="1"/>
      <protection locked="0"/>
    </xf>
    <xf numFmtId="168" fontId="14" fillId="0" borderId="22" xfId="2" applyFont="1" applyBorder="1" applyAlignment="1" applyProtection="1">
      <alignment horizontal="center" vertical="center" wrapText="1"/>
      <protection locked="0"/>
    </xf>
    <xf numFmtId="168" fontId="14" fillId="0" borderId="27" xfId="2" applyFont="1" applyBorder="1" applyAlignment="1" applyProtection="1">
      <alignment horizontal="center" vertical="center" wrapText="1"/>
      <protection locked="0"/>
    </xf>
    <xf numFmtId="168" fontId="14" fillId="0" borderId="8" xfId="27" applyNumberFormat="1" applyFont="1" applyBorder="1" applyAlignment="1" applyProtection="1">
      <alignment horizontal="center" vertical="center" wrapText="1"/>
    </xf>
    <xf numFmtId="2" fontId="25" fillId="0" borderId="7" xfId="3" applyNumberFormat="1" applyFont="1" applyBorder="1" applyAlignment="1" applyProtection="1">
      <alignment horizontal="center" vertical="center" wrapText="1"/>
    </xf>
    <xf numFmtId="2" fontId="14" fillId="0" borderId="6" xfId="27" applyNumberFormat="1" applyFont="1" applyBorder="1" applyAlignment="1" applyProtection="1">
      <alignment horizontal="center" vertical="center" wrapText="1"/>
    </xf>
    <xf numFmtId="0" fontId="23" fillId="0" borderId="6" xfId="25" applyNumberFormat="1" applyFont="1" applyBorder="1" applyAlignment="1" applyProtection="1">
      <alignment horizontal="left" vertical="center"/>
    </xf>
    <xf numFmtId="0" fontId="13" fillId="0" borderId="12" xfId="6" applyFont="1" applyFill="1" applyBorder="1" applyAlignment="1" applyProtection="1">
      <alignment horizontal="center" vertical="center" wrapText="1"/>
      <protection locked="0"/>
    </xf>
    <xf numFmtId="0" fontId="14" fillId="0" borderId="14" xfId="6" applyFont="1" applyBorder="1" applyAlignment="1" applyProtection="1">
      <alignment horizontal="center" vertical="center" wrapText="1"/>
      <protection locked="0"/>
    </xf>
    <xf numFmtId="168" fontId="14" fillId="0" borderId="14" xfId="2" applyFont="1" applyBorder="1" applyAlignment="1" applyProtection="1">
      <alignment horizontal="center" vertical="center" wrapText="1"/>
      <protection locked="0"/>
    </xf>
    <xf numFmtId="168" fontId="22" fillId="0" borderId="14" xfId="2" applyFont="1" applyBorder="1" applyAlignment="1" applyProtection="1">
      <alignment horizontal="center" vertical="center" wrapText="1"/>
    </xf>
    <xf numFmtId="2" fontId="14" fillId="0" borderId="14" xfId="3" applyNumberFormat="1" applyFont="1" applyBorder="1" applyAlignment="1" applyProtection="1">
      <alignment horizontal="center" vertical="center" wrapText="1"/>
    </xf>
    <xf numFmtId="0" fontId="13" fillId="0" borderId="15" xfId="6" applyFont="1" applyBorder="1" applyAlignment="1" applyProtection="1">
      <alignment horizontal="center" vertical="center" wrapText="1"/>
      <protection locked="0"/>
    </xf>
    <xf numFmtId="172" fontId="14" fillId="0" borderId="1" xfId="2" applyNumberFormat="1" applyFont="1" applyBorder="1" applyAlignment="1" applyProtection="1">
      <alignment horizontal="center" vertical="center" wrapText="1"/>
      <protection locked="0"/>
    </xf>
    <xf numFmtId="172" fontId="14" fillId="0" borderId="28" xfId="2" applyNumberFormat="1" applyFont="1" applyBorder="1" applyAlignment="1" applyProtection="1">
      <alignment horizontal="center" vertical="center" wrapText="1"/>
      <protection locked="0"/>
    </xf>
    <xf numFmtId="172" fontId="14" fillId="0" borderId="19" xfId="2" applyNumberFormat="1" applyFont="1" applyBorder="1" applyAlignment="1" applyProtection="1">
      <alignment horizontal="center" vertical="center" wrapText="1"/>
      <protection locked="0"/>
    </xf>
    <xf numFmtId="2" fontId="13" fillId="0" borderId="1" xfId="25" applyNumberFormat="1" applyFont="1" applyProtection="1"/>
    <xf numFmtId="2" fontId="14" fillId="0" borderId="1" xfId="27" applyNumberFormat="1" applyFont="1" applyAlignment="1" applyProtection="1">
      <alignment vertical="top"/>
    </xf>
    <xf numFmtId="2" fontId="13" fillId="0" borderId="1" xfId="10" applyNumberFormat="1" applyFont="1" applyAlignment="1" applyProtection="1"/>
    <xf numFmtId="2" fontId="13" fillId="0" borderId="1" xfId="10" applyNumberFormat="1" applyFont="1" applyBorder="1" applyAlignment="1" applyProtection="1"/>
    <xf numFmtId="2" fontId="15" fillId="0" borderId="14" xfId="3" applyNumberFormat="1" applyFont="1" applyBorder="1" applyAlignment="1" applyProtection="1">
      <alignment horizontal="centerContinuous"/>
    </xf>
    <xf numFmtId="2" fontId="13" fillId="0" borderId="12" xfId="3" applyNumberFormat="1" applyFont="1" applyBorder="1" applyAlignment="1" applyProtection="1">
      <alignment horizontal="center"/>
    </xf>
    <xf numFmtId="2" fontId="13" fillId="0" borderId="1" xfId="3" applyNumberFormat="1" applyFont="1" applyBorder="1" applyAlignment="1" applyProtection="1">
      <alignment horizontal="center"/>
    </xf>
    <xf numFmtId="2" fontId="14" fillId="0" borderId="1" xfId="25" applyNumberFormat="1" applyFont="1" applyBorder="1" applyProtection="1"/>
    <xf numFmtId="2" fontId="14" fillId="0" borderId="7" xfId="3" applyNumberFormat="1" applyFont="1" applyBorder="1" applyAlignment="1" applyProtection="1">
      <alignment horizontal="center" vertical="center"/>
    </xf>
    <xf numFmtId="2" fontId="14" fillId="0" borderId="8" xfId="3" applyNumberFormat="1" applyFont="1" applyBorder="1" applyAlignment="1" applyProtection="1">
      <alignment horizontal="center" vertical="center"/>
    </xf>
    <xf numFmtId="2" fontId="22" fillId="0" borderId="15" xfId="3" applyNumberFormat="1" applyFont="1" applyBorder="1" applyAlignment="1" applyProtection="1">
      <alignment horizontal="center" vertical="center" wrapText="1"/>
    </xf>
    <xf numFmtId="2" fontId="14" fillId="0" borderId="15" xfId="3" applyNumberFormat="1" applyFont="1" applyBorder="1" applyAlignment="1" applyProtection="1">
      <alignment horizontal="center" vertical="center" wrapText="1"/>
    </xf>
    <xf numFmtId="2" fontId="14" fillId="0" borderId="17" xfId="3" applyNumberFormat="1" applyFont="1" applyBorder="1" applyAlignment="1" applyProtection="1">
      <alignment horizontal="center" vertical="center" wrapText="1"/>
    </xf>
    <xf numFmtId="2" fontId="14" fillId="0" borderId="12" xfId="3" applyNumberFormat="1" applyFont="1" applyBorder="1" applyAlignment="1" applyProtection="1">
      <alignment horizontal="center" vertical="center" wrapText="1"/>
    </xf>
    <xf numFmtId="2" fontId="14" fillId="0" borderId="8" xfId="3" applyNumberFormat="1" applyFont="1" applyBorder="1" applyAlignment="1" applyProtection="1">
      <alignment horizontal="center" vertical="center" wrapText="1"/>
    </xf>
    <xf numFmtId="2" fontId="14" fillId="0" borderId="7" xfId="3" applyNumberFormat="1" applyFont="1" applyBorder="1" applyAlignment="1" applyProtection="1">
      <alignment horizontal="center" vertical="center" wrapText="1"/>
    </xf>
    <xf numFmtId="2" fontId="14" fillId="9" borderId="1" xfId="3" applyNumberFormat="1" applyFont="1" applyFill="1" applyBorder="1" applyAlignment="1" applyProtection="1">
      <alignment horizontal="center" vertical="center" wrapText="1"/>
    </xf>
    <xf numFmtId="2" fontId="14" fillId="9" borderId="12" xfId="3" applyNumberFormat="1" applyFont="1" applyFill="1" applyBorder="1" applyAlignment="1" applyProtection="1">
      <alignment horizontal="center" vertical="center" wrapText="1"/>
    </xf>
    <xf numFmtId="2" fontId="22" fillId="9" borderId="12" xfId="3" applyNumberFormat="1" applyFont="1" applyFill="1" applyBorder="1" applyAlignment="1" applyProtection="1">
      <alignment horizontal="center" vertical="center"/>
    </xf>
    <xf numFmtId="2" fontId="14" fillId="9" borderId="12" xfId="3" applyNumberFormat="1" applyFont="1" applyFill="1" applyBorder="1" applyAlignment="1" applyProtection="1">
      <alignment horizontal="center" vertical="center"/>
    </xf>
    <xf numFmtId="2" fontId="14" fillId="9" borderId="11" xfId="3" applyNumberFormat="1" applyFont="1" applyFill="1" applyBorder="1" applyAlignment="1" applyProtection="1">
      <alignment horizontal="center" vertical="center"/>
    </xf>
    <xf numFmtId="2" fontId="22" fillId="9" borderId="7" xfId="3" applyNumberFormat="1" applyFont="1" applyFill="1" applyBorder="1" applyAlignment="1" applyProtection="1">
      <alignment horizontal="center" vertical="center"/>
    </xf>
    <xf numFmtId="2" fontId="14" fillId="9" borderId="7" xfId="3" applyNumberFormat="1" applyFont="1" applyFill="1" applyBorder="1" applyAlignment="1" applyProtection="1">
      <alignment horizontal="center" vertical="center"/>
    </xf>
    <xf numFmtId="2" fontId="14" fillId="9" borderId="6" xfId="3" applyNumberFormat="1" applyFont="1" applyFill="1" applyBorder="1" applyAlignment="1" applyProtection="1">
      <alignment horizontal="center" vertical="center"/>
    </xf>
    <xf numFmtId="168" fontId="52" fillId="0" borderId="14" xfId="2" applyFont="1" applyBorder="1" applyAlignment="1" applyProtection="1">
      <alignment horizontal="center" vertical="center" wrapText="1"/>
      <protection locked="0"/>
    </xf>
    <xf numFmtId="172" fontId="50" fillId="0" borderId="19" xfId="28" applyNumberFormat="1" applyFont="1" applyBorder="1" applyAlignment="1" applyProtection="1">
      <alignment horizontal="center"/>
    </xf>
    <xf numFmtId="172" fontId="50" fillId="0" borderId="28" xfId="28" applyNumberFormat="1" applyFont="1" applyBorder="1" applyAlignment="1" applyProtection="1">
      <alignment horizontal="center"/>
    </xf>
    <xf numFmtId="168" fontId="52" fillId="0" borderId="1" xfId="2" applyFont="1" applyBorder="1" applyAlignment="1" applyProtection="1">
      <alignment horizontal="center" vertical="center" wrapText="1"/>
      <protection locked="0"/>
    </xf>
    <xf numFmtId="168" fontId="52" fillId="0" borderId="13" xfId="2" applyFont="1" applyBorder="1" applyAlignment="1" applyProtection="1">
      <alignment horizontal="center" vertical="center" wrapText="1"/>
      <protection locked="0"/>
    </xf>
    <xf numFmtId="168" fontId="52" fillId="0" borderId="2" xfId="2" applyFont="1" applyBorder="1" applyAlignment="1" applyProtection="1">
      <alignment horizontal="center" vertical="center" wrapText="1"/>
      <protection locked="0"/>
    </xf>
    <xf numFmtId="168" fontId="14" fillId="0" borderId="9" xfId="2" applyFont="1" applyBorder="1" applyAlignment="1" applyProtection="1">
      <alignment horizontal="center" vertical="center" wrapText="1"/>
      <protection locked="0"/>
    </xf>
    <xf numFmtId="168" fontId="52" fillId="0" borderId="21" xfId="2" applyFont="1" applyBorder="1" applyAlignment="1" applyProtection="1">
      <alignment horizontal="center" vertical="center" wrapText="1"/>
      <protection locked="0"/>
    </xf>
    <xf numFmtId="168" fontId="52" fillId="0" borderId="19" xfId="2" applyFont="1" applyBorder="1" applyAlignment="1" applyProtection="1">
      <alignment horizontal="center" vertical="center" wrapText="1"/>
      <protection locked="0"/>
    </xf>
    <xf numFmtId="168" fontId="52" fillId="0" borderId="29" xfId="2" applyFont="1" applyBorder="1" applyAlignment="1" applyProtection="1">
      <alignment horizontal="center" vertical="center" wrapText="1"/>
      <protection locked="0"/>
    </xf>
    <xf numFmtId="168" fontId="52" fillId="0" borderId="28" xfId="2" applyFont="1" applyBorder="1" applyAlignment="1" applyProtection="1">
      <alignment horizontal="center" vertical="center" wrapText="1"/>
      <protection locked="0"/>
    </xf>
    <xf numFmtId="0" fontId="16" fillId="0" borderId="17" xfId="25" applyFont="1" applyBorder="1" applyAlignment="1" applyProtection="1">
      <alignment horizontal="right"/>
    </xf>
    <xf numFmtId="0" fontId="16" fillId="0" borderId="11" xfId="10" applyFont="1" applyBorder="1" applyAlignment="1" applyProtection="1">
      <alignment horizontal="right"/>
    </xf>
    <xf numFmtId="0" fontId="14" fillId="0" borderId="6" xfId="25" applyFont="1" applyBorder="1" applyAlignment="1" applyProtection="1">
      <alignment vertical="center" wrapText="1"/>
    </xf>
    <xf numFmtId="2" fontId="14" fillId="0" borderId="11" xfId="3" applyNumberFormat="1" applyFont="1" applyBorder="1" applyAlignment="1" applyProtection="1">
      <alignment horizontal="center" vertical="center" wrapText="1"/>
    </xf>
    <xf numFmtId="2" fontId="14" fillId="0" borderId="12" xfId="25" applyNumberFormat="1" applyFont="1" applyBorder="1" applyProtection="1"/>
    <xf numFmtId="2" fontId="14" fillId="0" borderId="11" xfId="25" applyNumberFormat="1" applyFont="1" applyBorder="1" applyProtection="1"/>
    <xf numFmtId="2" fontId="14" fillId="0" borderId="16" xfId="3" applyNumberFormat="1" applyFont="1" applyBorder="1" applyAlignment="1" applyProtection="1">
      <alignment horizontal="center" vertical="center" wrapText="1"/>
    </xf>
    <xf numFmtId="2" fontId="14" fillId="0" borderId="5" xfId="27" applyNumberFormat="1" applyFont="1" applyBorder="1" applyAlignment="1" applyProtection="1">
      <alignment horizontal="center" vertical="center" wrapText="1"/>
    </xf>
    <xf numFmtId="2" fontId="14" fillId="0" borderId="4" xfId="27" applyNumberFormat="1" applyFont="1" applyBorder="1" applyAlignment="1" applyProtection="1">
      <alignment horizontal="center" vertical="center" wrapText="1"/>
    </xf>
    <xf numFmtId="172" fontId="48" fillId="0" borderId="3" xfId="28" applyNumberFormat="1" applyFont="1" applyBorder="1" applyAlignment="1" applyProtection="1">
      <alignment horizontal="centerContinuous"/>
    </xf>
    <xf numFmtId="172" fontId="49" fillId="0" borderId="3" xfId="28" applyNumberFormat="1" applyFont="1" applyBorder="1" applyAlignment="1" applyProtection="1">
      <alignment horizontal="center"/>
    </xf>
    <xf numFmtId="172" fontId="50" fillId="0" borderId="3" xfId="28" applyNumberFormat="1" applyFont="1" applyBorder="1" applyAlignment="1" applyProtection="1">
      <alignment horizontal="center"/>
    </xf>
    <xf numFmtId="172" fontId="48" fillId="0" borderId="12" xfId="28" applyNumberFormat="1" applyFont="1" applyBorder="1" applyAlignment="1" applyProtection="1">
      <alignment horizontal="centerContinuous"/>
    </xf>
    <xf numFmtId="172" fontId="49" fillId="0" borderId="12" xfId="28" applyNumberFormat="1" applyFont="1" applyBorder="1" applyAlignment="1" applyProtection="1">
      <alignment horizontal="center"/>
    </xf>
    <xf numFmtId="1" fontId="13" fillId="0" borderId="3" xfId="10" applyNumberFormat="1" applyFont="1" applyBorder="1" applyAlignment="1" applyProtection="1">
      <alignment horizontal="centerContinuous"/>
    </xf>
    <xf numFmtId="168" fontId="13" fillId="0" borderId="3" xfId="2" applyFont="1" applyBorder="1" applyAlignment="1" applyProtection="1">
      <alignment horizontal="center"/>
    </xf>
    <xf numFmtId="168" fontId="14" fillId="0" borderId="24" xfId="2" applyFont="1" applyBorder="1" applyAlignment="1" applyProtection="1">
      <alignment horizontal="center" vertical="center"/>
    </xf>
    <xf numFmtId="168" fontId="22" fillId="0" borderId="3" xfId="2" applyFont="1" applyBorder="1" applyAlignment="1" applyProtection="1">
      <alignment horizontal="center" vertical="center" wrapText="1"/>
    </xf>
    <xf numFmtId="168" fontId="14" fillId="0" borderId="3" xfId="27" applyNumberFormat="1" applyFont="1" applyBorder="1" applyAlignment="1" applyProtection="1">
      <alignment horizontal="center" vertical="center" wrapText="1"/>
    </xf>
    <xf numFmtId="168" fontId="14" fillId="0" borderId="24" xfId="27" applyNumberFormat="1" applyFont="1" applyBorder="1" applyAlignment="1" applyProtection="1">
      <alignment horizontal="center" vertical="center" wrapText="1"/>
    </xf>
    <xf numFmtId="168" fontId="14" fillId="9" borderId="3" xfId="27" applyNumberFormat="1" applyFont="1" applyFill="1" applyBorder="1" applyAlignment="1" applyProtection="1">
      <alignment horizontal="center" vertical="center" wrapText="1"/>
    </xf>
    <xf numFmtId="168" fontId="14" fillId="9" borderId="3" xfId="27" applyNumberFormat="1" applyFont="1" applyFill="1" applyBorder="1" applyAlignment="1" applyProtection="1">
      <alignment horizontal="center" vertical="center"/>
    </xf>
    <xf numFmtId="168" fontId="14" fillId="9" borderId="24" xfId="27" applyNumberFormat="1" applyFont="1" applyFill="1" applyBorder="1" applyAlignment="1" applyProtection="1">
      <alignment horizontal="center" vertical="center"/>
    </xf>
    <xf numFmtId="0" fontId="49" fillId="0" borderId="1" xfId="28" applyFont="1" applyBorder="1" applyAlignment="1" applyProtection="1"/>
    <xf numFmtId="0" fontId="49" fillId="0" borderId="2" xfId="28" applyFont="1" applyBorder="1" applyAlignment="1" applyProtection="1"/>
    <xf numFmtId="0" fontId="48" fillId="0" borderId="3" xfId="28" applyFont="1" applyBorder="1" applyAlignment="1" applyProtection="1">
      <alignment horizontal="centerContinuous"/>
    </xf>
    <xf numFmtId="0" fontId="48" fillId="0" borderId="2" xfId="28" applyFont="1" applyBorder="1" applyAlignment="1" applyProtection="1">
      <alignment horizontal="centerContinuous"/>
    </xf>
    <xf numFmtId="0" fontId="49" fillId="0" borderId="3" xfId="28" applyFont="1" applyBorder="1" applyAlignment="1" applyProtection="1"/>
    <xf numFmtId="0" fontId="50" fillId="0" borderId="3" xfId="28" applyFont="1" applyBorder="1" applyAlignment="1" applyProtection="1">
      <alignment horizontal="center"/>
    </xf>
    <xf numFmtId="0" fontId="50" fillId="0" borderId="2" xfId="28" applyFont="1" applyBorder="1" applyAlignment="1" applyProtection="1">
      <alignment horizontal="center"/>
    </xf>
    <xf numFmtId="168" fontId="52" fillId="0" borderId="23" xfId="2" applyFont="1" applyBorder="1" applyAlignment="1" applyProtection="1">
      <alignment horizontal="center" vertical="center" wrapText="1"/>
      <protection locked="0"/>
    </xf>
    <xf numFmtId="168" fontId="52" fillId="0" borderId="3" xfId="2" applyFont="1" applyBorder="1" applyAlignment="1" applyProtection="1">
      <alignment horizontal="center" vertical="center" wrapText="1"/>
      <protection locked="0"/>
    </xf>
    <xf numFmtId="168" fontId="14" fillId="0" borderId="24" xfId="2" applyFont="1" applyBorder="1" applyAlignment="1" applyProtection="1">
      <alignment horizontal="center" vertical="center" wrapText="1"/>
      <protection locked="0"/>
    </xf>
    <xf numFmtId="168" fontId="14" fillId="0" borderId="3" xfId="2" applyFont="1" applyBorder="1" applyAlignment="1" applyProtection="1">
      <alignment horizontal="center" vertical="center" wrapText="1"/>
      <protection locked="0"/>
    </xf>
    <xf numFmtId="172" fontId="14" fillId="0" borderId="3" xfId="2" applyNumberFormat="1" applyFont="1" applyBorder="1" applyAlignment="1" applyProtection="1">
      <alignment horizontal="center" vertical="center" wrapText="1"/>
      <protection locked="0"/>
    </xf>
    <xf numFmtId="172" fontId="14" fillId="0" borderId="2" xfId="2" applyNumberFormat="1" applyFont="1" applyBorder="1" applyAlignment="1" applyProtection="1">
      <alignment horizontal="center" vertical="center" wrapText="1"/>
      <protection locked="0"/>
    </xf>
    <xf numFmtId="168" fontId="22" fillId="0" borderId="23" xfId="2" applyFont="1" applyBorder="1" applyAlignment="1" applyProtection="1">
      <alignment horizontal="center" vertical="center" wrapText="1"/>
    </xf>
    <xf numFmtId="4" fontId="5" fillId="0" borderId="17" xfId="0" applyNumberFormat="1" applyFont="1" applyBorder="1" applyAlignment="1">
      <alignment horizontal="center"/>
    </xf>
    <xf numFmtId="4" fontId="41" fillId="0" borderId="11" xfId="0" applyNumberFormat="1" applyFont="1" applyBorder="1" applyAlignment="1">
      <alignment horizontal="center"/>
    </xf>
    <xf numFmtId="4" fontId="40" fillId="0" borderId="6" xfId="0" applyNumberFormat="1" applyFont="1" applyBorder="1" applyAlignment="1">
      <alignment horizontal="center"/>
    </xf>
    <xf numFmtId="0" fontId="5" fillId="0" borderId="19" xfId="0" applyFont="1" applyBorder="1" applyAlignment="1">
      <alignment horizontal="center" vertical="center"/>
    </xf>
    <xf numFmtId="0" fontId="5" fillId="0" borderId="3" xfId="0" applyFont="1" applyBorder="1" applyAlignment="1">
      <alignment horizontal="center" vertical="center"/>
    </xf>
    <xf numFmtId="4" fontId="7" fillId="0" borderId="3" xfId="0" applyNumberFormat="1" applyFont="1" applyBorder="1" applyAlignment="1">
      <alignment horizontal="center" vertical="center" wrapText="1"/>
    </xf>
    <xf numFmtId="4" fontId="5" fillId="0" borderId="12" xfId="0" applyNumberFormat="1" applyFont="1" applyBorder="1" applyAlignment="1">
      <alignment horizontal="center" vertical="center"/>
    </xf>
    <xf numFmtId="4" fontId="41" fillId="0" borderId="1" xfId="0" applyNumberFormat="1" applyFont="1" applyBorder="1" applyAlignment="1">
      <alignment horizontal="center" vertical="center"/>
    </xf>
    <xf numFmtId="4" fontId="41" fillId="0" borderId="11" xfId="0" applyNumberFormat="1" applyFont="1" applyBorder="1" applyAlignment="1">
      <alignment horizontal="center" vertical="center"/>
    </xf>
    <xf numFmtId="2" fontId="10" fillId="0" borderId="1" xfId="0" applyNumberFormat="1" applyFont="1" applyBorder="1" applyAlignment="1">
      <alignment horizontal="center" vertical="center"/>
    </xf>
    <xf numFmtId="165" fontId="10" fillId="0" borderId="11" xfId="0" applyNumberFormat="1" applyFont="1" applyBorder="1" applyAlignment="1">
      <alignment horizontal="center" vertical="center"/>
    </xf>
    <xf numFmtId="0" fontId="0" fillId="0" borderId="1" xfId="0" applyBorder="1" applyAlignment="1">
      <alignment vertical="center"/>
    </xf>
    <xf numFmtId="0" fontId="5" fillId="0" borderId="3" xfId="0" applyFont="1" applyBorder="1" applyAlignment="1">
      <alignment horizontal="center"/>
    </xf>
    <xf numFmtId="0" fontId="5" fillId="0" borderId="1" xfId="0" applyFont="1" applyBorder="1" applyAlignment="1">
      <alignment horizontal="center"/>
    </xf>
    <xf numFmtId="0" fontId="5" fillId="0" borderId="11" xfId="0" applyFont="1" applyBorder="1" applyAlignment="1">
      <alignment horizontal="center"/>
    </xf>
    <xf numFmtId="14" fontId="37" fillId="10" borderId="12" xfId="0" applyNumberFormat="1" applyFont="1" applyFill="1" applyBorder="1" applyAlignment="1">
      <alignment horizontal="center"/>
    </xf>
    <xf numFmtId="0" fontId="37" fillId="10" borderId="1" xfId="0" applyFont="1" applyFill="1" applyBorder="1" applyAlignment="1">
      <alignment horizontal="center"/>
    </xf>
    <xf numFmtId="0" fontId="37" fillId="10" borderId="2" xfId="0" applyFont="1" applyFill="1" applyBorder="1" applyAlignment="1">
      <alignment horizontal="center"/>
    </xf>
    <xf numFmtId="0" fontId="37" fillId="10" borderId="19" xfId="0" applyFont="1" applyFill="1" applyBorder="1" applyAlignment="1">
      <alignment horizontal="center"/>
    </xf>
    <xf numFmtId="0" fontId="37" fillId="10" borderId="3" xfId="0" applyFont="1" applyFill="1" applyBorder="1" applyAlignment="1">
      <alignment horizontal="center"/>
    </xf>
    <xf numFmtId="4" fontId="37" fillId="10" borderId="1" xfId="0" applyNumberFormat="1" applyFont="1" applyFill="1" applyBorder="1" applyAlignment="1">
      <alignment horizontal="center"/>
    </xf>
    <xf numFmtId="4" fontId="37" fillId="10" borderId="5" xfId="0" applyNumberFormat="1" applyFont="1" applyFill="1" applyBorder="1" applyAlignment="1">
      <alignment horizontal="center"/>
    </xf>
    <xf numFmtId="4" fontId="37" fillId="10" borderId="3" xfId="0" applyNumberFormat="1" applyFont="1" applyFill="1" applyBorder="1" applyAlignment="1">
      <alignment horizontal="center"/>
    </xf>
    <xf numFmtId="4" fontId="37" fillId="10" borderId="12" xfId="0" applyNumberFormat="1" applyFont="1" applyFill="1" applyBorder="1" applyAlignment="1">
      <alignment horizontal="center"/>
    </xf>
    <xf numFmtId="4" fontId="37" fillId="10" borderId="2" xfId="0" applyNumberFormat="1" applyFont="1" applyFill="1" applyBorder="1" applyAlignment="1">
      <alignment horizontal="center"/>
    </xf>
    <xf numFmtId="0" fontId="0" fillId="10" borderId="1" xfId="0" applyFill="1" applyBorder="1"/>
    <xf numFmtId="14" fontId="39" fillId="10" borderId="12" xfId="0" applyNumberFormat="1" applyFont="1" applyFill="1" applyBorder="1" applyAlignment="1">
      <alignment horizontal="center"/>
    </xf>
    <xf numFmtId="0" fontId="39" fillId="10" borderId="1" xfId="0" applyFont="1" applyFill="1" applyBorder="1" applyAlignment="1">
      <alignment horizontal="center"/>
    </xf>
    <xf numFmtId="0" fontId="39" fillId="10" borderId="2" xfId="0" applyFont="1" applyFill="1" applyBorder="1" applyAlignment="1">
      <alignment horizontal="center"/>
    </xf>
    <xf numFmtId="0" fontId="39" fillId="10" borderId="19" xfId="0" applyFont="1" applyFill="1" applyBorder="1" applyAlignment="1">
      <alignment horizontal="center"/>
    </xf>
    <xf numFmtId="2" fontId="39" fillId="10" borderId="3" xfId="0" applyNumberFormat="1" applyFont="1" applyFill="1" applyBorder="1" applyAlignment="1">
      <alignment horizontal="center"/>
    </xf>
    <xf numFmtId="2" fontId="39" fillId="10" borderId="1" xfId="0" applyNumberFormat="1" applyFont="1" applyFill="1" applyBorder="1" applyAlignment="1">
      <alignment horizontal="center"/>
    </xf>
    <xf numFmtId="4" fontId="39" fillId="10" borderId="1" xfId="0" applyNumberFormat="1" applyFont="1" applyFill="1" applyBorder="1" applyAlignment="1">
      <alignment horizontal="center"/>
    </xf>
    <xf numFmtId="0" fontId="12" fillId="10" borderId="2" xfId="0" applyFont="1" applyFill="1" applyBorder="1"/>
    <xf numFmtId="14" fontId="39" fillId="11" borderId="7" xfId="0" applyNumberFormat="1" applyFont="1" applyFill="1" applyBorder="1" applyAlignment="1">
      <alignment horizontal="center"/>
    </xf>
    <xf numFmtId="0" fontId="39" fillId="11" borderId="8" xfId="0" applyFont="1" applyFill="1" applyBorder="1" applyAlignment="1">
      <alignment horizontal="center"/>
    </xf>
    <xf numFmtId="0" fontId="39" fillId="11" borderId="9" xfId="0" applyFont="1" applyFill="1" applyBorder="1" applyAlignment="1">
      <alignment horizontal="center"/>
    </xf>
    <xf numFmtId="0" fontId="39" fillId="11" borderId="22" xfId="0" applyFont="1" applyFill="1" applyBorder="1" applyAlignment="1">
      <alignment horizontal="center"/>
    </xf>
    <xf numFmtId="2" fontId="39" fillId="11" borderId="24" xfId="0" applyNumberFormat="1" applyFont="1" applyFill="1" applyBorder="1" applyAlignment="1">
      <alignment horizontal="center"/>
    </xf>
    <xf numFmtId="2" fontId="39" fillId="11" borderId="8" xfId="0" applyNumberFormat="1" applyFont="1" applyFill="1" applyBorder="1" applyAlignment="1">
      <alignment horizontal="center"/>
    </xf>
    <xf numFmtId="0" fontId="39" fillId="12" borderId="4" xfId="0" applyFont="1" applyFill="1" applyBorder="1" applyAlignment="1">
      <alignment horizontal="center"/>
    </xf>
    <xf numFmtId="0" fontId="39" fillId="12" borderId="8" xfId="0" applyFont="1" applyFill="1" applyBorder="1" applyAlignment="1">
      <alignment horizontal="center"/>
    </xf>
    <xf numFmtId="2" fontId="39" fillId="12" borderId="8" xfId="0" applyNumberFormat="1" applyFont="1" applyFill="1" applyBorder="1" applyAlignment="1">
      <alignment horizontal="center"/>
    </xf>
    <xf numFmtId="2" fontId="39" fillId="12" borderId="24" xfId="0" applyNumberFormat="1" applyFont="1" applyFill="1" applyBorder="1" applyAlignment="1">
      <alignment horizontal="center"/>
    </xf>
    <xf numFmtId="0" fontId="12" fillId="12" borderId="9" xfId="0" applyFont="1" applyFill="1" applyBorder="1"/>
    <xf numFmtId="0" fontId="0" fillId="11" borderId="1" xfId="0" applyFill="1" applyBorder="1"/>
    <xf numFmtId="14" fontId="37" fillId="13" borderId="12" xfId="0" applyNumberFormat="1" applyFont="1" applyFill="1" applyBorder="1" applyAlignment="1">
      <alignment horizontal="center"/>
    </xf>
    <xf numFmtId="0" fontId="37" fillId="13" borderId="1" xfId="0" applyFont="1" applyFill="1" applyBorder="1" applyAlignment="1">
      <alignment horizontal="center"/>
    </xf>
    <xf numFmtId="0" fontId="37" fillId="13" borderId="2" xfId="0" applyFont="1" applyFill="1" applyBorder="1" applyAlignment="1">
      <alignment horizontal="center"/>
    </xf>
    <xf numFmtId="0" fontId="37" fillId="13" borderId="19" xfId="0" applyFont="1" applyFill="1" applyBorder="1" applyAlignment="1">
      <alignment horizontal="center"/>
    </xf>
    <xf numFmtId="0" fontId="37" fillId="13" borderId="3" xfId="0" applyFont="1" applyFill="1" applyBorder="1" applyAlignment="1">
      <alignment horizontal="center"/>
    </xf>
    <xf numFmtId="4" fontId="37" fillId="13" borderId="1" xfId="0" applyNumberFormat="1" applyFont="1" applyFill="1" applyBorder="1" applyAlignment="1">
      <alignment horizontal="center"/>
    </xf>
    <xf numFmtId="4" fontId="37" fillId="13" borderId="5" xfId="0" applyNumberFormat="1" applyFont="1" applyFill="1" applyBorder="1" applyAlignment="1">
      <alignment horizontal="center"/>
    </xf>
    <xf numFmtId="4" fontId="37" fillId="13" borderId="3" xfId="0" applyNumberFormat="1" applyFont="1" applyFill="1" applyBorder="1" applyAlignment="1">
      <alignment horizontal="center"/>
    </xf>
    <xf numFmtId="4" fontId="37" fillId="13" borderId="12" xfId="0" applyNumberFormat="1" applyFont="1" applyFill="1" applyBorder="1" applyAlignment="1">
      <alignment horizontal="center"/>
    </xf>
    <xf numFmtId="0" fontId="37" fillId="13" borderId="1" xfId="0" applyFont="1" applyFill="1" applyBorder="1"/>
    <xf numFmtId="0" fontId="12" fillId="13" borderId="11" xfId="0" applyFont="1" applyFill="1" applyBorder="1"/>
    <xf numFmtId="4" fontId="37" fillId="13" borderId="2" xfId="0" applyNumberFormat="1" applyFont="1" applyFill="1" applyBorder="1" applyAlignment="1">
      <alignment horizontal="center"/>
    </xf>
    <xf numFmtId="0" fontId="0" fillId="13" borderId="1" xfId="0" applyFill="1" applyBorder="1"/>
    <xf numFmtId="14" fontId="39" fillId="13" borderId="12" xfId="0" applyNumberFormat="1" applyFont="1" applyFill="1" applyBorder="1" applyAlignment="1">
      <alignment horizontal="center"/>
    </xf>
    <xf numFmtId="0" fontId="39" fillId="13" borderId="1" xfId="0" applyFont="1" applyFill="1" applyBorder="1" applyAlignment="1">
      <alignment horizontal="center"/>
    </xf>
    <xf numFmtId="0" fontId="39" fillId="13" borderId="2" xfId="0" applyFont="1" applyFill="1" applyBorder="1" applyAlignment="1">
      <alignment horizontal="center"/>
    </xf>
    <xf numFmtId="0" fontId="39" fillId="13" borderId="19" xfId="0" applyFont="1" applyFill="1" applyBorder="1" applyAlignment="1">
      <alignment horizontal="center"/>
    </xf>
    <xf numFmtId="2" fontId="39" fillId="13" borderId="3" xfId="0" applyNumberFormat="1" applyFont="1" applyFill="1" applyBorder="1" applyAlignment="1">
      <alignment horizontal="center"/>
    </xf>
    <xf numFmtId="2" fontId="39" fillId="13" borderId="1" xfId="0" applyNumberFormat="1" applyFont="1" applyFill="1" applyBorder="1" applyAlignment="1">
      <alignment horizontal="center"/>
    </xf>
    <xf numFmtId="4" fontId="39" fillId="13" borderId="1" xfId="0" applyNumberFormat="1" applyFont="1" applyFill="1" applyBorder="1" applyAlignment="1">
      <alignment horizontal="center"/>
    </xf>
    <xf numFmtId="0" fontId="39" fillId="13" borderId="12" xfId="0" applyFont="1" applyFill="1" applyBorder="1" applyAlignment="1">
      <alignment horizontal="center"/>
    </xf>
    <xf numFmtId="0" fontId="12" fillId="13" borderId="2" xfId="0" applyFont="1" applyFill="1" applyBorder="1"/>
    <xf numFmtId="0" fontId="37" fillId="13" borderId="12" xfId="0" applyFont="1" applyFill="1" applyBorder="1"/>
    <xf numFmtId="0" fontId="37" fillId="13" borderId="2" xfId="0" applyFont="1" applyFill="1" applyBorder="1"/>
    <xf numFmtId="0" fontId="37" fillId="13" borderId="19" xfId="0" applyFont="1" applyFill="1" applyBorder="1"/>
    <xf numFmtId="0" fontId="37" fillId="13" borderId="3" xfId="0" applyFont="1" applyFill="1" applyBorder="1"/>
    <xf numFmtId="14" fontId="37" fillId="14" borderId="12" xfId="0" applyNumberFormat="1" applyFont="1" applyFill="1" applyBorder="1" applyAlignment="1">
      <alignment horizontal="center"/>
    </xf>
    <xf numFmtId="0" fontId="37" fillId="14" borderId="1" xfId="0" applyFont="1" applyFill="1" applyBorder="1" applyAlignment="1">
      <alignment horizontal="center"/>
    </xf>
    <xf numFmtId="0" fontId="37" fillId="14" borderId="2" xfId="0" applyFont="1" applyFill="1" applyBorder="1" applyAlignment="1">
      <alignment horizontal="center"/>
    </xf>
    <xf numFmtId="0" fontId="37" fillId="14" borderId="19" xfId="0" applyFont="1" applyFill="1" applyBorder="1" applyAlignment="1">
      <alignment horizontal="center"/>
    </xf>
    <xf numFmtId="0" fontId="37" fillId="14" borderId="3" xfId="0" applyFont="1" applyFill="1" applyBorder="1" applyAlignment="1">
      <alignment horizontal="center"/>
    </xf>
    <xf numFmtId="4" fontId="37" fillId="14" borderId="1" xfId="0" applyNumberFormat="1" applyFont="1" applyFill="1" applyBorder="1" applyAlignment="1">
      <alignment horizontal="center"/>
    </xf>
    <xf numFmtId="4" fontId="37" fillId="14" borderId="5" xfId="0" applyNumberFormat="1" applyFont="1" applyFill="1" applyBorder="1" applyAlignment="1">
      <alignment horizontal="center"/>
    </xf>
    <xf numFmtId="4" fontId="37" fillId="14" borderId="3" xfId="0" applyNumberFormat="1" applyFont="1" applyFill="1" applyBorder="1" applyAlignment="1">
      <alignment horizontal="center"/>
    </xf>
    <xf numFmtId="4" fontId="37" fillId="14" borderId="12" xfId="0" applyNumberFormat="1" applyFont="1" applyFill="1" applyBorder="1" applyAlignment="1">
      <alignment horizontal="center"/>
    </xf>
    <xf numFmtId="0" fontId="37" fillId="14" borderId="1" xfId="0" applyFont="1" applyFill="1" applyBorder="1"/>
    <xf numFmtId="0" fontId="12" fillId="14" borderId="11" xfId="0" applyFont="1" applyFill="1" applyBorder="1"/>
    <xf numFmtId="4" fontId="37" fillId="14" borderId="2" xfId="0" applyNumberFormat="1" applyFont="1" applyFill="1" applyBorder="1" applyAlignment="1">
      <alignment horizontal="center"/>
    </xf>
    <xf numFmtId="0" fontId="0" fillId="14" borderId="1" xfId="0" applyFill="1" applyBorder="1"/>
    <xf numFmtId="14" fontId="39" fillId="14" borderId="12" xfId="0" applyNumberFormat="1" applyFont="1" applyFill="1" applyBorder="1" applyAlignment="1">
      <alignment horizontal="center"/>
    </xf>
    <xf numFmtId="0" fontId="39" fillId="14" borderId="1" xfId="0" applyFont="1" applyFill="1" applyBorder="1" applyAlignment="1">
      <alignment horizontal="center"/>
    </xf>
    <xf numFmtId="0" fontId="39" fillId="14" borderId="2" xfId="0" applyFont="1" applyFill="1" applyBorder="1" applyAlignment="1">
      <alignment horizontal="center"/>
    </xf>
    <xf numFmtId="0" fontId="39" fillId="14" borderId="19" xfId="0" applyFont="1" applyFill="1" applyBorder="1" applyAlignment="1">
      <alignment horizontal="center"/>
    </xf>
    <xf numFmtId="2" fontId="39" fillId="14" borderId="3" xfId="0" applyNumberFormat="1" applyFont="1" applyFill="1" applyBorder="1" applyAlignment="1">
      <alignment horizontal="center"/>
    </xf>
    <xf numFmtId="2" fontId="39" fillId="14" borderId="1" xfId="0" applyNumberFormat="1" applyFont="1" applyFill="1" applyBorder="1" applyAlignment="1">
      <alignment horizontal="center"/>
    </xf>
    <xf numFmtId="4" fontId="39" fillId="14" borderId="1" xfId="0" applyNumberFormat="1" applyFont="1" applyFill="1" applyBorder="1" applyAlignment="1">
      <alignment horizontal="center"/>
    </xf>
    <xf numFmtId="0" fontId="39" fillId="14" borderId="12" xfId="0" applyFont="1" applyFill="1" applyBorder="1" applyAlignment="1">
      <alignment horizontal="center"/>
    </xf>
    <xf numFmtId="0" fontId="12" fillId="14" borderId="12" xfId="0" applyFont="1" applyFill="1" applyBorder="1"/>
    <xf numFmtId="0" fontId="12" fillId="14" borderId="1" xfId="0" applyFont="1" applyFill="1" applyBorder="1"/>
    <xf numFmtId="0" fontId="12" fillId="14" borderId="2" xfId="0" applyFont="1" applyFill="1" applyBorder="1"/>
    <xf numFmtId="14" fontId="40" fillId="15" borderId="12" xfId="0" applyNumberFormat="1" applyFont="1" applyFill="1" applyBorder="1" applyAlignment="1">
      <alignment horizontal="center"/>
    </xf>
    <xf numFmtId="0" fontId="40" fillId="15" borderId="1" xfId="0" applyFont="1" applyFill="1" applyBorder="1" applyAlignment="1">
      <alignment horizontal="center"/>
    </xf>
    <xf numFmtId="0" fontId="40" fillId="15" borderId="2" xfId="0" applyFont="1" applyFill="1" applyBorder="1" applyAlignment="1">
      <alignment horizontal="center"/>
    </xf>
    <xf numFmtId="0" fontId="40" fillId="15" borderId="19" xfId="0" applyFont="1" applyFill="1" applyBorder="1" applyAlignment="1">
      <alignment horizontal="center"/>
    </xf>
    <xf numFmtId="0" fontId="40" fillId="15" borderId="3" xfId="0" applyFont="1" applyFill="1" applyBorder="1" applyAlignment="1">
      <alignment horizontal="center"/>
    </xf>
    <xf numFmtId="4" fontId="40" fillId="15" borderId="1" xfId="0" applyNumberFormat="1" applyFont="1" applyFill="1" applyBorder="1" applyAlignment="1">
      <alignment horizontal="center"/>
    </xf>
    <xf numFmtId="4" fontId="40" fillId="15" borderId="5" xfId="0" applyNumberFormat="1" applyFont="1" applyFill="1" applyBorder="1" applyAlignment="1">
      <alignment horizontal="center"/>
    </xf>
    <xf numFmtId="4" fontId="40" fillId="15" borderId="3" xfId="0" applyNumberFormat="1" applyFont="1" applyFill="1" applyBorder="1" applyAlignment="1">
      <alignment horizontal="center"/>
    </xf>
    <xf numFmtId="4" fontId="40" fillId="15" borderId="12" xfId="0" applyNumberFormat="1" applyFont="1" applyFill="1" applyBorder="1" applyAlignment="1">
      <alignment horizontal="center"/>
    </xf>
    <xf numFmtId="0" fontId="40" fillId="15" borderId="1" xfId="0" applyFont="1" applyFill="1" applyBorder="1"/>
    <xf numFmtId="0" fontId="12" fillId="15" borderId="11" xfId="0" applyFont="1" applyFill="1" applyBorder="1"/>
    <xf numFmtId="4" fontId="40" fillId="15" borderId="2" xfId="0" applyNumberFormat="1" applyFont="1" applyFill="1" applyBorder="1" applyAlignment="1">
      <alignment horizontal="center"/>
    </xf>
    <xf numFmtId="0" fontId="0" fillId="15" borderId="1" xfId="0" applyFill="1" applyBorder="1"/>
    <xf numFmtId="14" fontId="39" fillId="15" borderId="12" xfId="0" applyNumberFormat="1" applyFont="1" applyFill="1" applyBorder="1" applyAlignment="1">
      <alignment horizontal="center"/>
    </xf>
    <xf numFmtId="0" fontId="39" fillId="15" borderId="1" xfId="0" applyFont="1" applyFill="1" applyBorder="1" applyAlignment="1">
      <alignment horizontal="center"/>
    </xf>
    <xf numFmtId="0" fontId="39" fillId="15" borderId="2" xfId="0" applyFont="1" applyFill="1" applyBorder="1" applyAlignment="1">
      <alignment horizontal="center"/>
    </xf>
    <xf numFmtId="0" fontId="39" fillId="15" borderId="19" xfId="0" applyFont="1" applyFill="1" applyBorder="1" applyAlignment="1">
      <alignment horizontal="center"/>
    </xf>
    <xf numFmtId="2" fontId="39" fillId="15" borderId="3" xfId="0" applyNumberFormat="1" applyFont="1" applyFill="1" applyBorder="1" applyAlignment="1">
      <alignment horizontal="center"/>
    </xf>
    <xf numFmtId="2" fontId="39" fillId="15" borderId="1" xfId="0" applyNumberFormat="1" applyFont="1" applyFill="1" applyBorder="1" applyAlignment="1">
      <alignment horizontal="center"/>
    </xf>
    <xf numFmtId="14" fontId="39" fillId="16" borderId="7" xfId="0" applyNumberFormat="1" applyFont="1" applyFill="1" applyBorder="1" applyAlignment="1">
      <alignment horizontal="center"/>
    </xf>
    <xf numFmtId="0" fontId="39" fillId="16" borderId="8" xfId="0" applyFont="1" applyFill="1" applyBorder="1" applyAlignment="1">
      <alignment horizontal="center"/>
    </xf>
    <xf numFmtId="0" fontId="39" fillId="16" borderId="9" xfId="0" applyFont="1" applyFill="1" applyBorder="1" applyAlignment="1">
      <alignment horizontal="center"/>
    </xf>
    <xf numFmtId="0" fontId="39" fillId="16" borderId="22" xfId="0" applyFont="1" applyFill="1" applyBorder="1" applyAlignment="1">
      <alignment horizontal="center"/>
    </xf>
    <xf numFmtId="2" fontId="39" fillId="16" borderId="24" xfId="0" applyNumberFormat="1" applyFont="1" applyFill="1" applyBorder="1" applyAlignment="1">
      <alignment horizontal="center"/>
    </xf>
    <xf numFmtId="2" fontId="39" fillId="16" borderId="8" xfId="0" applyNumberFormat="1" applyFont="1" applyFill="1" applyBorder="1" applyAlignment="1">
      <alignment horizontal="center"/>
    </xf>
    <xf numFmtId="0" fontId="39" fillId="17" borderId="4" xfId="0" applyFont="1" applyFill="1" applyBorder="1" applyAlignment="1">
      <alignment horizontal="center"/>
    </xf>
    <xf numFmtId="0" fontId="39" fillId="17" borderId="8" xfId="0" applyFont="1" applyFill="1" applyBorder="1" applyAlignment="1">
      <alignment horizontal="center"/>
    </xf>
    <xf numFmtId="2" fontId="39" fillId="17" borderId="8" xfId="0" applyNumberFormat="1" applyFont="1" applyFill="1" applyBorder="1" applyAlignment="1">
      <alignment horizontal="center"/>
    </xf>
    <xf numFmtId="2" fontId="39" fillId="17" borderId="24" xfId="0" applyNumberFormat="1" applyFont="1" applyFill="1" applyBorder="1" applyAlignment="1">
      <alignment horizontal="center"/>
    </xf>
    <xf numFmtId="0" fontId="39" fillId="17" borderId="7" xfId="0" applyFont="1" applyFill="1" applyBorder="1" applyAlignment="1">
      <alignment horizontal="center"/>
    </xf>
    <xf numFmtId="0" fontId="12" fillId="17" borderId="7" xfId="0" applyFont="1" applyFill="1" applyBorder="1"/>
    <xf numFmtId="0" fontId="12" fillId="17" borderId="8" xfId="0" applyFont="1" applyFill="1" applyBorder="1"/>
    <xf numFmtId="0" fontId="12" fillId="17" borderId="6" xfId="0" applyFont="1" applyFill="1" applyBorder="1"/>
    <xf numFmtId="0" fontId="12" fillId="17" borderId="9" xfId="0" applyFont="1" applyFill="1" applyBorder="1"/>
    <xf numFmtId="0" fontId="0" fillId="16" borderId="1" xfId="0" applyFill="1" applyBorder="1"/>
    <xf numFmtId="2" fontId="37" fillId="13" borderId="1" xfId="0" applyNumberFormat="1" applyFont="1" applyFill="1" applyBorder="1"/>
    <xf numFmtId="172" fontId="49" fillId="0" borderId="3" xfId="28" applyNumberFormat="1" applyFont="1" applyBorder="1" applyAlignment="1" applyProtection="1">
      <alignment horizontal="center"/>
    </xf>
    <xf numFmtId="172" fontId="49" fillId="0" borderId="1" xfId="28" applyNumberFormat="1" applyFont="1" applyBorder="1" applyAlignment="1" applyProtection="1">
      <alignment horizontal="center"/>
    </xf>
    <xf numFmtId="14" fontId="10" fillId="0" borderId="1" xfId="25" applyNumberFormat="1" applyFont="1" applyBorder="1" applyProtection="1"/>
    <xf numFmtId="0" fontId="15" fillId="0" borderId="14" xfId="10" applyFont="1" applyBorder="1" applyAlignment="1" applyProtection="1">
      <alignment horizontal="center"/>
    </xf>
    <xf numFmtId="172" fontId="49" fillId="0" borderId="3" xfId="28" applyNumberFormat="1" applyFont="1" applyBorder="1" applyAlignment="1" applyProtection="1">
      <alignment horizontal="center"/>
    </xf>
    <xf numFmtId="172" fontId="49" fillId="0" borderId="1" xfId="28" applyNumberFormat="1" applyFont="1" applyBorder="1" applyAlignment="1" applyProtection="1">
      <alignment horizontal="center"/>
    </xf>
    <xf numFmtId="2" fontId="15" fillId="0" borderId="17" xfId="3" applyNumberFormat="1" applyFont="1" applyBorder="1" applyAlignment="1" applyProtection="1">
      <alignment horizontal="center"/>
    </xf>
    <xf numFmtId="14" fontId="10" fillId="0" borderId="1" xfId="0" applyNumberFormat="1" applyFont="1" applyBorder="1"/>
    <xf numFmtId="14" fontId="0" fillId="0" borderId="8" xfId="0" applyNumberFormat="1" applyBorder="1"/>
    <xf numFmtId="14" fontId="0" fillId="0" borderId="0" xfId="0" applyNumberFormat="1"/>
    <xf numFmtId="0" fontId="12" fillId="10" borderId="11" xfId="0" applyFont="1" applyFill="1" applyBorder="1" applyAlignment="1">
      <alignment horizontal="center"/>
    </xf>
    <xf numFmtId="0" fontId="12" fillId="10" borderId="2" xfId="0" applyFont="1" applyFill="1" applyBorder="1" applyAlignment="1">
      <alignment horizontal="center"/>
    </xf>
    <xf numFmtId="0" fontId="0" fillId="10" borderId="1" xfId="0" applyFill="1" applyBorder="1" applyAlignment="1">
      <alignment horizontal="center"/>
    </xf>
    <xf numFmtId="0" fontId="12" fillId="14" borderId="12" xfId="0" applyFont="1" applyFill="1" applyBorder="1" applyAlignment="1">
      <alignment horizontal="center"/>
    </xf>
    <xf numFmtId="0" fontId="12" fillId="14" borderId="1" xfId="0" applyFont="1" applyFill="1" applyBorder="1" applyAlignment="1">
      <alignment horizontal="center"/>
    </xf>
    <xf numFmtId="0" fontId="12" fillId="14" borderId="11" xfId="0" applyFont="1" applyFill="1" applyBorder="1" applyAlignment="1">
      <alignment horizontal="center"/>
    </xf>
    <xf numFmtId="0" fontId="12" fillId="14" borderId="2" xfId="0" applyFont="1" applyFill="1" applyBorder="1" applyAlignment="1">
      <alignment horizontal="center"/>
    </xf>
    <xf numFmtId="0" fontId="0" fillId="14" borderId="1" xfId="0" applyFill="1" applyBorder="1" applyAlignment="1">
      <alignment horizontal="center"/>
    </xf>
    <xf numFmtId="0" fontId="14" fillId="18" borderId="12" xfId="6" applyFont="1" applyFill="1" applyBorder="1" applyAlignment="1" applyProtection="1">
      <alignment horizontal="center" vertical="center" wrapText="1"/>
      <protection locked="0"/>
    </xf>
    <xf numFmtId="0" fontId="14" fillId="18" borderId="1" xfId="6" applyFont="1" applyFill="1" applyBorder="1" applyAlignment="1" applyProtection="1">
      <alignment horizontal="center" vertical="center" wrapText="1"/>
      <protection locked="0"/>
    </xf>
    <xf numFmtId="168" fontId="14" fillId="18" borderId="1" xfId="2" applyFont="1" applyFill="1" applyBorder="1" applyAlignment="1" applyProtection="1">
      <alignment horizontal="center" vertical="center" wrapText="1"/>
      <protection locked="0"/>
    </xf>
    <xf numFmtId="172" fontId="14" fillId="18" borderId="3" xfId="2" applyNumberFormat="1" applyFont="1" applyFill="1" applyBorder="1" applyAlignment="1" applyProtection="1">
      <alignment horizontal="center" vertical="center" wrapText="1"/>
      <protection locked="0"/>
    </xf>
    <xf numFmtId="172" fontId="14" fillId="18" borderId="1" xfId="2" applyNumberFormat="1" applyFont="1" applyFill="1" applyBorder="1" applyAlignment="1" applyProtection="1">
      <alignment horizontal="center" vertical="center" wrapText="1"/>
      <protection locked="0"/>
    </xf>
    <xf numFmtId="172" fontId="14" fillId="18" borderId="2" xfId="2" applyNumberFormat="1" applyFont="1" applyFill="1" applyBorder="1" applyAlignment="1" applyProtection="1">
      <alignment horizontal="center" vertical="center" wrapText="1"/>
      <protection locked="0"/>
    </xf>
    <xf numFmtId="172" fontId="14" fillId="18" borderId="19" xfId="2" applyNumberFormat="1" applyFont="1" applyFill="1" applyBorder="1" applyAlignment="1" applyProtection="1">
      <alignment horizontal="center" vertical="center" wrapText="1"/>
      <protection locked="0"/>
    </xf>
    <xf numFmtId="172" fontId="14" fillId="18" borderId="28" xfId="2" applyNumberFormat="1" applyFont="1" applyFill="1" applyBorder="1" applyAlignment="1" applyProtection="1">
      <alignment horizontal="center" vertical="center" wrapText="1"/>
      <protection locked="0"/>
    </xf>
    <xf numFmtId="168" fontId="14" fillId="18" borderId="3" xfId="27" applyNumberFormat="1" applyFont="1" applyFill="1" applyBorder="1" applyAlignment="1" applyProtection="1">
      <alignment horizontal="center" vertical="center" wrapText="1"/>
    </xf>
    <xf numFmtId="168" fontId="14" fillId="18" borderId="1" xfId="27" applyNumberFormat="1" applyFont="1" applyFill="1" applyBorder="1" applyAlignment="1" applyProtection="1">
      <alignment horizontal="center" vertical="center" wrapText="1"/>
    </xf>
    <xf numFmtId="2" fontId="25" fillId="18" borderId="12" xfId="3" applyNumberFormat="1" applyFont="1" applyFill="1" applyBorder="1" applyAlignment="1" applyProtection="1">
      <alignment horizontal="center" vertical="center" wrapText="1"/>
    </xf>
    <xf numFmtId="2" fontId="14" fillId="18" borderId="1" xfId="3" applyNumberFormat="1" applyFont="1" applyFill="1" applyBorder="1" applyAlignment="1" applyProtection="1">
      <alignment horizontal="center" vertical="center" wrapText="1"/>
    </xf>
    <xf numFmtId="2" fontId="14" fillId="18" borderId="12" xfId="3" applyNumberFormat="1" applyFont="1" applyFill="1" applyBorder="1" applyAlignment="1" applyProtection="1">
      <alignment horizontal="center" vertical="center" wrapText="1"/>
    </xf>
    <xf numFmtId="2" fontId="14" fillId="18" borderId="11" xfId="27" applyNumberFormat="1" applyFont="1" applyFill="1" applyBorder="1" applyAlignment="1" applyProtection="1">
      <alignment horizontal="center" vertical="center" wrapText="1"/>
    </xf>
    <xf numFmtId="0" fontId="23" fillId="18" borderId="11" xfId="25" applyNumberFormat="1" applyFont="1" applyFill="1" applyBorder="1" applyAlignment="1" applyProtection="1">
      <alignment horizontal="left" vertical="center"/>
    </xf>
    <xf numFmtId="0" fontId="25" fillId="18" borderId="2" xfId="9" applyNumberFormat="1" applyFont="1" applyFill="1" applyBorder="1" applyAlignment="1" applyProtection="1">
      <alignment horizontal="center" vertical="center" wrapText="1"/>
      <protection locked="0"/>
    </xf>
    <xf numFmtId="168" fontId="14" fillId="18" borderId="11" xfId="25" applyNumberFormat="1" applyFont="1" applyFill="1" applyBorder="1" applyAlignment="1" applyProtection="1">
      <alignment horizontal="center" vertical="center"/>
    </xf>
    <xf numFmtId="2" fontId="14" fillId="18" borderId="1" xfId="25" applyNumberFormat="1" applyFont="1" applyFill="1" applyBorder="1" applyAlignment="1" applyProtection="1">
      <alignment horizontal="center" vertical="center"/>
    </xf>
    <xf numFmtId="0" fontId="14" fillId="18" borderId="1" xfId="25" applyFont="1" applyFill="1" applyAlignment="1" applyProtection="1">
      <alignment vertical="center"/>
    </xf>
    <xf numFmtId="0" fontId="14" fillId="18" borderId="1" xfId="25" applyFont="1" applyFill="1" applyProtection="1"/>
    <xf numFmtId="168" fontId="14" fillId="18" borderId="11" xfId="8" applyNumberFormat="1" applyFont="1" applyFill="1" applyBorder="1" applyAlignment="1">
      <alignment horizontal="center" vertical="center"/>
    </xf>
    <xf numFmtId="4" fontId="13" fillId="18" borderId="1" xfId="25" applyNumberFormat="1" applyFont="1" applyFill="1" applyBorder="1" applyAlignment="1" applyProtection="1">
      <alignment horizontal="center"/>
    </xf>
    <xf numFmtId="0" fontId="13" fillId="18" borderId="1" xfId="25" applyFont="1" applyFill="1" applyProtection="1"/>
    <xf numFmtId="2" fontId="14" fillId="18" borderId="1" xfId="25" applyNumberFormat="1" applyFont="1" applyFill="1" applyBorder="1" applyAlignment="1" applyProtection="1">
      <alignment horizontal="center"/>
    </xf>
    <xf numFmtId="2" fontId="14" fillId="18" borderId="1" xfId="25" applyNumberFormat="1" applyFont="1" applyFill="1" applyAlignment="1" applyProtection="1">
      <alignment horizontal="center"/>
    </xf>
    <xf numFmtId="2" fontId="14" fillId="0" borderId="11" xfId="27" applyNumberFormat="1" applyFont="1" applyFill="1" applyBorder="1" applyAlignment="1" applyProtection="1">
      <alignment horizontal="center" vertical="center" wrapText="1"/>
    </xf>
    <xf numFmtId="0" fontId="13" fillId="18" borderId="14" xfId="25" applyFont="1" applyFill="1" applyBorder="1" applyProtection="1"/>
    <xf numFmtId="168" fontId="13" fillId="18" borderId="17" xfId="25" applyNumberFormat="1" applyFont="1" applyFill="1" applyBorder="1" applyAlignment="1" applyProtection="1">
      <alignment horizontal="center"/>
    </xf>
    <xf numFmtId="0" fontId="14" fillId="18" borderId="1" xfId="25" applyFont="1" applyFill="1" applyBorder="1" applyProtection="1"/>
    <xf numFmtId="0" fontId="13" fillId="18" borderId="8" xfId="25" applyFont="1" applyFill="1" applyBorder="1" applyAlignment="1" applyProtection="1">
      <alignment horizontal="left"/>
    </xf>
    <xf numFmtId="168" fontId="14" fillId="18" borderId="6" xfId="25" applyNumberFormat="1" applyFont="1" applyFill="1" applyBorder="1" applyAlignment="1" applyProtection="1">
      <alignment horizontal="center"/>
    </xf>
    <xf numFmtId="0" fontId="54" fillId="0" borderId="1" xfId="0" applyFont="1" applyBorder="1"/>
    <xf numFmtId="0" fontId="55" fillId="6" borderId="2" xfId="0" applyFont="1" applyFill="1" applyBorder="1" applyAlignment="1">
      <alignment horizontal="center"/>
    </xf>
    <xf numFmtId="0" fontId="14" fillId="19" borderId="12" xfId="6" applyFont="1" applyFill="1" applyBorder="1" applyAlignment="1" applyProtection="1">
      <alignment horizontal="center" vertical="center" wrapText="1"/>
      <protection locked="0"/>
    </xf>
    <xf numFmtId="0" fontId="14" fillId="19" borderId="1" xfId="6" applyFont="1" applyFill="1" applyBorder="1" applyAlignment="1" applyProtection="1">
      <alignment horizontal="center" vertical="center" wrapText="1"/>
      <protection locked="0"/>
    </xf>
    <xf numFmtId="168" fontId="14" fillId="19" borderId="1" xfId="2" applyFont="1" applyFill="1" applyBorder="1" applyAlignment="1" applyProtection="1">
      <alignment horizontal="center" vertical="center" wrapText="1"/>
      <protection locked="0"/>
    </xf>
    <xf numFmtId="172" fontId="14" fillId="19" borderId="3" xfId="2" applyNumberFormat="1" applyFont="1" applyFill="1" applyBorder="1" applyAlignment="1" applyProtection="1">
      <alignment horizontal="center" vertical="center" wrapText="1"/>
      <protection locked="0"/>
    </xf>
    <xf numFmtId="172" fontId="14" fillId="19" borderId="1" xfId="2" applyNumberFormat="1" applyFont="1" applyFill="1" applyBorder="1" applyAlignment="1" applyProtection="1">
      <alignment horizontal="center" vertical="center" wrapText="1"/>
      <protection locked="0"/>
    </xf>
    <xf numFmtId="172" fontId="14" fillId="19" borderId="2" xfId="2" applyNumberFormat="1" applyFont="1" applyFill="1" applyBorder="1" applyAlignment="1" applyProtection="1">
      <alignment horizontal="center" vertical="center" wrapText="1"/>
      <protection locked="0"/>
    </xf>
    <xf numFmtId="172" fontId="14" fillId="19" borderId="19" xfId="2" applyNumberFormat="1" applyFont="1" applyFill="1" applyBorder="1" applyAlignment="1" applyProtection="1">
      <alignment horizontal="center" vertical="center" wrapText="1"/>
      <protection locked="0"/>
    </xf>
    <xf numFmtId="172" fontId="14" fillId="19" borderId="28" xfId="2" applyNumberFormat="1" applyFont="1" applyFill="1" applyBorder="1" applyAlignment="1" applyProtection="1">
      <alignment horizontal="center" vertical="center" wrapText="1"/>
      <protection locked="0"/>
    </xf>
    <xf numFmtId="168" fontId="14" fillId="19" borderId="3" xfId="27" applyNumberFormat="1" applyFont="1" applyFill="1" applyBorder="1" applyAlignment="1" applyProtection="1">
      <alignment horizontal="center" vertical="center" wrapText="1"/>
    </xf>
    <xf numFmtId="168" fontId="14" fillId="19" borderId="1" xfId="27" applyNumberFormat="1" applyFont="1" applyFill="1" applyBorder="1" applyAlignment="1" applyProtection="1">
      <alignment horizontal="center" vertical="center" wrapText="1"/>
    </xf>
    <xf numFmtId="2" fontId="25" fillId="19" borderId="12" xfId="3" applyNumberFormat="1" applyFont="1" applyFill="1" applyBorder="1" applyAlignment="1" applyProtection="1">
      <alignment horizontal="center" vertical="center" wrapText="1"/>
    </xf>
    <xf numFmtId="2" fontId="14" fillId="19" borderId="1" xfId="3" applyNumberFormat="1" applyFont="1" applyFill="1" applyBorder="1" applyAlignment="1" applyProtection="1">
      <alignment horizontal="center" vertical="center" wrapText="1"/>
    </xf>
    <xf numFmtId="2" fontId="14" fillId="19" borderId="12" xfId="3" applyNumberFormat="1" applyFont="1" applyFill="1" applyBorder="1" applyAlignment="1" applyProtection="1">
      <alignment horizontal="center" vertical="center" wrapText="1"/>
    </xf>
    <xf numFmtId="2" fontId="14" fillId="19" borderId="11" xfId="27" applyNumberFormat="1" applyFont="1" applyFill="1" applyBorder="1" applyAlignment="1" applyProtection="1">
      <alignment horizontal="center" vertical="center" wrapText="1"/>
    </xf>
    <xf numFmtId="0" fontId="23" fillId="19" borderId="11" xfId="25" applyNumberFormat="1" applyFont="1" applyFill="1" applyBorder="1" applyAlignment="1" applyProtection="1">
      <alignment horizontal="left" vertical="center"/>
    </xf>
    <xf numFmtId="0" fontId="25" fillId="19" borderId="2" xfId="9" applyNumberFormat="1" applyFont="1" applyFill="1" applyBorder="1" applyAlignment="1" applyProtection="1">
      <alignment horizontal="center" vertical="center" wrapText="1"/>
      <protection locked="0"/>
    </xf>
    <xf numFmtId="168" fontId="14" fillId="19" borderId="11" xfId="25" applyNumberFormat="1" applyFont="1" applyFill="1" applyBorder="1" applyAlignment="1" applyProtection="1">
      <alignment horizontal="center" vertical="center"/>
    </xf>
    <xf numFmtId="2" fontId="14" fillId="19" borderId="1" xfId="25" applyNumberFormat="1" applyFont="1" applyFill="1" applyBorder="1" applyAlignment="1" applyProtection="1">
      <alignment horizontal="center"/>
    </xf>
    <xf numFmtId="2" fontId="14" fillId="19" borderId="1" xfId="25" applyNumberFormat="1" applyFont="1" applyFill="1" applyAlignment="1" applyProtection="1">
      <alignment horizontal="center"/>
    </xf>
    <xf numFmtId="0" fontId="14" fillId="19" borderId="1" xfId="25" applyFont="1" applyFill="1" applyProtection="1"/>
    <xf numFmtId="0" fontId="13" fillId="19" borderId="1" xfId="25" applyFont="1" applyFill="1" applyBorder="1" applyProtection="1"/>
    <xf numFmtId="168" fontId="14" fillId="19" borderId="11" xfId="25" applyNumberFormat="1" applyFont="1" applyFill="1" applyBorder="1" applyAlignment="1" applyProtection="1">
      <alignment horizontal="center"/>
    </xf>
    <xf numFmtId="0" fontId="14" fillId="19" borderId="1" xfId="25" applyFont="1" applyFill="1" applyBorder="1" applyProtection="1"/>
    <xf numFmtId="0" fontId="56" fillId="13" borderId="12" xfId="0" applyFont="1" applyFill="1" applyBorder="1" applyAlignment="1">
      <alignment horizontal="center"/>
    </xf>
    <xf numFmtId="0" fontId="56" fillId="13" borderId="1" xfId="0" applyFont="1" applyFill="1" applyBorder="1" applyAlignment="1">
      <alignment horizontal="center"/>
    </xf>
    <xf numFmtId="0" fontId="56" fillId="13" borderId="11" xfId="0" applyFont="1" applyFill="1" applyBorder="1" applyAlignment="1">
      <alignment horizontal="center"/>
    </xf>
    <xf numFmtId="1" fontId="0" fillId="0" borderId="1" xfId="0" applyNumberFormat="1" applyBorder="1"/>
    <xf numFmtId="0" fontId="12" fillId="0" borderId="11" xfId="0" applyFont="1" applyFill="1" applyBorder="1" applyAlignment="1">
      <alignment horizontal="center"/>
    </xf>
    <xf numFmtId="0" fontId="12" fillId="12" borderId="7" xfId="0" applyFont="1" applyFill="1" applyBorder="1" applyAlignment="1">
      <alignment horizontal="center"/>
    </xf>
    <xf numFmtId="0" fontId="12" fillId="12" borderId="8" xfId="0" applyFont="1" applyFill="1" applyBorder="1" applyAlignment="1">
      <alignment horizontal="center"/>
    </xf>
    <xf numFmtId="0" fontId="12" fillId="12" borderId="6" xfId="0" applyFon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1" fontId="0" fillId="0" borderId="1" xfId="0" applyNumberFormat="1" applyBorder="1" applyAlignment="1">
      <alignment horizontal="center"/>
    </xf>
    <xf numFmtId="2" fontId="0" fillId="0" borderId="0" xfId="0" applyNumberFormat="1" applyAlignment="1">
      <alignment horizontal="center"/>
    </xf>
    <xf numFmtId="4" fontId="0" fillId="0" borderId="1" xfId="0" applyNumberFormat="1" applyBorder="1" applyAlignment="1">
      <alignment horizontal="center"/>
    </xf>
    <xf numFmtId="2" fontId="0" fillId="0" borderId="1" xfId="0" applyNumberFormat="1" applyBorder="1" applyAlignment="1">
      <alignment horizontal="center"/>
    </xf>
    <xf numFmtId="2" fontId="37" fillId="0" borderId="1" xfId="0" applyNumberFormat="1" applyFont="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xf>
    <xf numFmtId="0" fontId="5" fillId="0" borderId="11" xfId="0" applyFont="1" applyBorder="1" applyAlignment="1">
      <alignment horizontal="center"/>
    </xf>
    <xf numFmtId="0" fontId="15" fillId="0" borderId="14" xfId="10" applyFont="1" applyBorder="1" applyAlignment="1" applyProtection="1">
      <alignment horizontal="center"/>
    </xf>
    <xf numFmtId="172" fontId="49" fillId="0" borderId="3" xfId="28" applyNumberFormat="1" applyFont="1" applyBorder="1" applyAlignment="1" applyProtection="1">
      <alignment horizontal="center"/>
    </xf>
    <xf numFmtId="172" fontId="49" fillId="0" borderId="1" xfId="28" applyNumberFormat="1" applyFont="1" applyBorder="1" applyAlignment="1" applyProtection="1">
      <alignment horizontal="center"/>
    </xf>
    <xf numFmtId="2" fontId="15" fillId="0" borderId="17" xfId="3" applyNumberFormat="1" applyFont="1" applyBorder="1" applyAlignment="1" applyProtection="1">
      <alignment horizontal="center"/>
    </xf>
    <xf numFmtId="2" fontId="37" fillId="10" borderId="1" xfId="0" applyNumberFormat="1" applyFont="1" applyFill="1" applyBorder="1" applyAlignment="1">
      <alignment horizontal="center"/>
    </xf>
    <xf numFmtId="2" fontId="39" fillId="10" borderId="11" xfId="0" applyNumberFormat="1" applyFont="1" applyFill="1" applyBorder="1" applyAlignment="1">
      <alignment horizontal="center"/>
    </xf>
    <xf numFmtId="2" fontId="40" fillId="0" borderId="1" xfId="0" applyNumberFormat="1" applyFont="1" applyFill="1" applyBorder="1" applyAlignment="1">
      <alignment horizontal="center"/>
    </xf>
    <xf numFmtId="2" fontId="0" fillId="0" borderId="11" xfId="0" applyNumberFormat="1" applyBorder="1"/>
    <xf numFmtId="2" fontId="40" fillId="8" borderId="12" xfId="0" applyNumberFormat="1" applyFont="1" applyFill="1" applyBorder="1" applyAlignment="1">
      <alignment horizontal="center"/>
    </xf>
    <xf numFmtId="2" fontId="40" fillId="8" borderId="1" xfId="0" applyNumberFormat="1" applyFont="1" applyFill="1" applyBorder="1" applyAlignment="1">
      <alignment horizontal="center"/>
    </xf>
    <xf numFmtId="2" fontId="40" fillId="0" borderId="12" xfId="0" applyNumberFormat="1" applyFont="1" applyFill="1" applyBorder="1" applyAlignment="1">
      <alignment horizontal="center"/>
    </xf>
    <xf numFmtId="2" fontId="39" fillId="3" borderId="7" xfId="0" applyNumberFormat="1" applyFont="1" applyFill="1" applyBorder="1" applyAlignment="1">
      <alignment horizontal="center"/>
    </xf>
    <xf numFmtId="2" fontId="57" fillId="6" borderId="12" xfId="0" applyNumberFormat="1" applyFont="1" applyFill="1" applyBorder="1" applyAlignment="1">
      <alignment horizontal="center"/>
    </xf>
    <xf numFmtId="2" fontId="57" fillId="6" borderId="1" xfId="0" applyNumberFormat="1" applyFont="1" applyFill="1" applyBorder="1" applyAlignment="1">
      <alignment horizontal="center"/>
    </xf>
    <xf numFmtId="2" fontId="56" fillId="6" borderId="11" xfId="0" applyNumberFormat="1" applyFont="1" applyFill="1" applyBorder="1" applyAlignment="1">
      <alignment horizontal="center"/>
    </xf>
    <xf numFmtId="2" fontId="39" fillId="0" borderId="11" xfId="0" applyNumberFormat="1" applyFont="1" applyFill="1" applyBorder="1" applyAlignment="1">
      <alignment horizontal="center"/>
    </xf>
    <xf numFmtId="4" fontId="0" fillId="0" borderId="6" xfId="0" applyNumberFormat="1" applyFont="1" applyBorder="1" applyAlignment="1">
      <alignment horizontal="center"/>
    </xf>
    <xf numFmtId="4" fontId="0" fillId="0" borderId="7" xfId="0" applyNumberFormat="1" applyFont="1" applyBorder="1" applyAlignment="1">
      <alignment horizontal="center"/>
    </xf>
    <xf numFmtId="0" fontId="14" fillId="4" borderId="12" xfId="6" applyFont="1" applyFill="1" applyBorder="1" applyAlignment="1" applyProtection="1">
      <alignment horizontal="center" vertical="center" wrapText="1"/>
      <protection locked="0"/>
    </xf>
    <xf numFmtId="0" fontId="14" fillId="4" borderId="1" xfId="6" applyFont="1" applyFill="1" applyBorder="1" applyAlignment="1" applyProtection="1">
      <alignment horizontal="center" vertical="center" wrapText="1"/>
      <protection locked="0"/>
    </xf>
    <xf numFmtId="168" fontId="14" fillId="4" borderId="1" xfId="2" applyFont="1" applyFill="1" applyBorder="1" applyAlignment="1" applyProtection="1">
      <alignment horizontal="center" vertical="center" wrapText="1"/>
      <protection locked="0"/>
    </xf>
    <xf numFmtId="172" fontId="14" fillId="4" borderId="3" xfId="2" applyNumberFormat="1" applyFont="1" applyFill="1" applyBorder="1" applyAlignment="1" applyProtection="1">
      <alignment horizontal="center" vertical="center" wrapText="1"/>
      <protection locked="0"/>
    </xf>
    <xf numFmtId="172" fontId="14" fillId="4" borderId="1" xfId="2" applyNumberFormat="1" applyFont="1" applyFill="1" applyBorder="1" applyAlignment="1" applyProtection="1">
      <alignment horizontal="center" vertical="center" wrapText="1"/>
      <protection locked="0"/>
    </xf>
    <xf numFmtId="172" fontId="14" fillId="4" borderId="2" xfId="2" applyNumberFormat="1" applyFont="1" applyFill="1" applyBorder="1" applyAlignment="1" applyProtection="1">
      <alignment horizontal="center" vertical="center" wrapText="1"/>
      <protection locked="0"/>
    </xf>
    <xf numFmtId="172" fontId="14" fillId="4" borderId="19" xfId="2" applyNumberFormat="1" applyFont="1" applyFill="1" applyBorder="1" applyAlignment="1" applyProtection="1">
      <alignment horizontal="center" vertical="center" wrapText="1"/>
      <protection locked="0"/>
    </xf>
    <xf numFmtId="172" fontId="14" fillId="4" borderId="28" xfId="2" applyNumberFormat="1" applyFont="1" applyFill="1" applyBorder="1" applyAlignment="1" applyProtection="1">
      <alignment horizontal="center" vertical="center" wrapText="1"/>
      <protection locked="0"/>
    </xf>
    <xf numFmtId="168" fontId="14" fillId="4" borderId="3" xfId="27" applyNumberFormat="1" applyFont="1" applyFill="1" applyBorder="1" applyAlignment="1" applyProtection="1">
      <alignment horizontal="center" vertical="center" wrapText="1"/>
    </xf>
    <xf numFmtId="168" fontId="14" fillId="4" borderId="1" xfId="27" applyNumberFormat="1" applyFont="1" applyFill="1" applyBorder="1" applyAlignment="1" applyProtection="1">
      <alignment horizontal="center" vertical="center" wrapText="1"/>
    </xf>
    <xf numFmtId="2" fontId="25" fillId="4" borderId="12" xfId="3" applyNumberFormat="1" applyFont="1" applyFill="1" applyBorder="1" applyAlignment="1" applyProtection="1">
      <alignment horizontal="center" vertical="center" wrapText="1"/>
    </xf>
    <xf numFmtId="2" fontId="14" fillId="4" borderId="1" xfId="3" applyNumberFormat="1" applyFont="1" applyFill="1" applyBorder="1" applyAlignment="1" applyProtection="1">
      <alignment horizontal="center" vertical="center" wrapText="1"/>
    </xf>
    <xf numFmtId="2" fontId="14" fillId="4" borderId="12" xfId="3" applyNumberFormat="1" applyFont="1" applyFill="1" applyBorder="1" applyAlignment="1" applyProtection="1">
      <alignment horizontal="center" vertical="center" wrapText="1"/>
    </xf>
    <xf numFmtId="2" fontId="14" fillId="4" borderId="11" xfId="27" applyNumberFormat="1" applyFont="1" applyFill="1" applyBorder="1" applyAlignment="1" applyProtection="1">
      <alignment horizontal="center" vertical="center" wrapText="1"/>
    </xf>
    <xf numFmtId="0" fontId="23" fillId="4" borderId="11" xfId="25" applyNumberFormat="1" applyFont="1" applyFill="1" applyBorder="1" applyAlignment="1" applyProtection="1">
      <alignment horizontal="left" vertical="center"/>
    </xf>
    <xf numFmtId="0" fontId="25" fillId="4" borderId="2" xfId="9" applyNumberFormat="1" applyFont="1" applyFill="1" applyBorder="1" applyAlignment="1" applyProtection="1">
      <alignment horizontal="center" vertical="center" wrapText="1"/>
      <protection locked="0"/>
    </xf>
    <xf numFmtId="168" fontId="14" fillId="4" borderId="11" xfId="25" applyNumberFormat="1" applyFont="1" applyFill="1" applyBorder="1" applyAlignment="1" applyProtection="1">
      <alignment horizontal="center" vertical="center"/>
    </xf>
    <xf numFmtId="2" fontId="14" fillId="4" borderId="1" xfId="25" applyNumberFormat="1" applyFont="1" applyFill="1" applyBorder="1" applyAlignment="1" applyProtection="1">
      <alignment horizontal="center" vertical="center"/>
    </xf>
    <xf numFmtId="0" fontId="14" fillId="4" borderId="1" xfId="25" applyFont="1" applyFill="1" applyAlignment="1" applyProtection="1">
      <alignment vertical="center"/>
    </xf>
    <xf numFmtId="168" fontId="14" fillId="4" borderId="11" xfId="8" applyNumberFormat="1" applyFont="1" applyFill="1" applyBorder="1" applyAlignment="1">
      <alignment horizontal="center" vertical="center"/>
    </xf>
    <xf numFmtId="0" fontId="14" fillId="4" borderId="1" xfId="25" applyFont="1" applyFill="1" applyProtection="1"/>
    <xf numFmtId="4" fontId="13" fillId="4" borderId="1" xfId="25" applyNumberFormat="1" applyFont="1" applyFill="1" applyBorder="1" applyAlignment="1" applyProtection="1">
      <alignment horizontal="center"/>
    </xf>
    <xf numFmtId="0" fontId="13" fillId="4" borderId="1" xfId="25" applyFont="1" applyFill="1" applyProtection="1"/>
    <xf numFmtId="2" fontId="13" fillId="4" borderId="1" xfId="25" applyNumberFormat="1" applyFont="1" applyFill="1" applyAlignment="1" applyProtection="1">
      <alignment horizontal="center"/>
    </xf>
    <xf numFmtId="2" fontId="14" fillId="4" borderId="1" xfId="25" applyNumberFormat="1" applyFont="1" applyFill="1" applyBorder="1" applyAlignment="1" applyProtection="1">
      <alignment horizontal="center"/>
    </xf>
    <xf numFmtId="0" fontId="14" fillId="0" borderId="1" xfId="6" applyFont="1" applyFill="1" applyBorder="1" applyAlignment="1" applyProtection="1">
      <alignment horizontal="center" vertical="center" wrapText="1"/>
      <protection locked="0"/>
    </xf>
    <xf numFmtId="168" fontId="14" fillId="0" borderId="1" xfId="2" applyFont="1" applyFill="1" applyBorder="1" applyAlignment="1" applyProtection="1">
      <alignment horizontal="center" vertical="center" wrapText="1"/>
      <protection locked="0"/>
    </xf>
    <xf numFmtId="172" fontId="14" fillId="0" borderId="3" xfId="2" applyNumberFormat="1" applyFont="1" applyFill="1" applyBorder="1" applyAlignment="1" applyProtection="1">
      <alignment horizontal="center" vertical="center" wrapText="1"/>
      <protection locked="0"/>
    </xf>
    <xf numFmtId="172" fontId="14" fillId="0" borderId="1" xfId="2" applyNumberFormat="1" applyFont="1" applyFill="1" applyBorder="1" applyAlignment="1" applyProtection="1">
      <alignment horizontal="center" vertical="center" wrapText="1"/>
      <protection locked="0"/>
    </xf>
    <xf numFmtId="172" fontId="14" fillId="0" borderId="2" xfId="2" applyNumberFormat="1" applyFont="1" applyFill="1" applyBorder="1" applyAlignment="1" applyProtection="1">
      <alignment horizontal="center" vertical="center" wrapText="1"/>
      <protection locked="0"/>
    </xf>
    <xf numFmtId="172" fontId="14" fillId="0" borderId="19" xfId="2" applyNumberFormat="1" applyFont="1" applyFill="1" applyBorder="1" applyAlignment="1" applyProtection="1">
      <alignment horizontal="center" vertical="center" wrapText="1"/>
      <protection locked="0"/>
    </xf>
    <xf numFmtId="172" fontId="14" fillId="0" borderId="28" xfId="2" applyNumberFormat="1" applyFont="1" applyFill="1" applyBorder="1" applyAlignment="1" applyProtection="1">
      <alignment horizontal="center" vertical="center" wrapText="1"/>
      <protection locked="0"/>
    </xf>
    <xf numFmtId="168" fontId="14" fillId="0" borderId="3" xfId="27" applyNumberFormat="1" applyFont="1" applyFill="1" applyBorder="1" applyAlignment="1" applyProtection="1">
      <alignment horizontal="center" vertical="center" wrapText="1"/>
    </xf>
    <xf numFmtId="168" fontId="14" fillId="0" borderId="1" xfId="27" applyNumberFormat="1" applyFont="1" applyFill="1" applyBorder="1" applyAlignment="1" applyProtection="1">
      <alignment horizontal="center" vertical="center" wrapText="1"/>
    </xf>
    <xf numFmtId="2" fontId="25" fillId="0" borderId="12" xfId="3" applyNumberFormat="1" applyFont="1" applyFill="1" applyBorder="1" applyAlignment="1" applyProtection="1">
      <alignment horizontal="center" vertical="center" wrapText="1"/>
    </xf>
    <xf numFmtId="2" fontId="14" fillId="0" borderId="1" xfId="3" applyNumberFormat="1" applyFont="1" applyFill="1" applyBorder="1" applyAlignment="1" applyProtection="1">
      <alignment horizontal="center" vertical="center" wrapText="1"/>
    </xf>
    <xf numFmtId="0" fontId="23" fillId="0" borderId="11" xfId="25" applyNumberFormat="1" applyFont="1" applyFill="1" applyBorder="1" applyAlignment="1" applyProtection="1">
      <alignment horizontal="left" vertical="center"/>
    </xf>
    <xf numFmtId="0" fontId="25" fillId="0" borderId="2" xfId="9" applyNumberFormat="1" applyFont="1" applyFill="1" applyBorder="1" applyAlignment="1" applyProtection="1">
      <alignment horizontal="center" vertical="center" wrapText="1"/>
      <protection locked="0"/>
    </xf>
    <xf numFmtId="168" fontId="14" fillId="0" borderId="11" xfId="25" applyNumberFormat="1" applyFont="1" applyFill="1" applyBorder="1" applyAlignment="1" applyProtection="1">
      <alignment horizontal="center" vertical="center"/>
    </xf>
    <xf numFmtId="168" fontId="14" fillId="4" borderId="11" xfId="25" applyNumberFormat="1" applyFont="1" applyFill="1" applyBorder="1" applyAlignment="1" applyProtection="1">
      <alignment horizontal="center"/>
    </xf>
    <xf numFmtId="0" fontId="13" fillId="4" borderId="1" xfId="25" applyFont="1" applyFill="1" applyBorder="1" applyProtection="1"/>
    <xf numFmtId="0" fontId="55" fillId="6" borderId="11" xfId="0" applyFont="1" applyFill="1" applyBorder="1" applyAlignment="1">
      <alignment horizontal="center"/>
    </xf>
    <xf numFmtId="4" fontId="0" fillId="0" borderId="4" xfId="0" applyNumberFormat="1" applyFont="1" applyBorder="1" applyAlignment="1">
      <alignment horizontal="center"/>
    </xf>
    <xf numFmtId="0" fontId="55" fillId="6" borderId="5" xfId="0" applyFont="1" applyFill="1" applyBorder="1" applyAlignment="1">
      <alignment horizontal="center"/>
    </xf>
    <xf numFmtId="0" fontId="37" fillId="0" borderId="1" xfId="0" applyFont="1" applyBorder="1" applyAlignment="1">
      <alignment horizontal="center"/>
    </xf>
    <xf numFmtId="14" fontId="37" fillId="0" borderId="1" xfId="0" applyNumberFormat="1" applyFont="1" applyBorder="1" applyAlignment="1">
      <alignment horizontal="center"/>
    </xf>
    <xf numFmtId="4" fontId="37" fillId="0" borderId="1" xfId="0" applyNumberFormat="1" applyFont="1" applyBorder="1" applyAlignment="1">
      <alignment horizontal="center"/>
    </xf>
    <xf numFmtId="0" fontId="37" fillId="0" borderId="11" xfId="0" applyFont="1" applyBorder="1"/>
    <xf numFmtId="4" fontId="59" fillId="0" borderId="12" xfId="0" applyNumberFormat="1" applyFont="1" applyFill="1" applyBorder="1" applyAlignment="1">
      <alignment horizontal="center"/>
    </xf>
    <xf numFmtId="4" fontId="59" fillId="0" borderId="1" xfId="0" applyNumberFormat="1" applyFont="1" applyFill="1" applyBorder="1" applyAlignment="1">
      <alignment horizontal="center"/>
    </xf>
    <xf numFmtId="0" fontId="56" fillId="0" borderId="12" xfId="0" applyFont="1" applyFill="1" applyBorder="1" applyAlignment="1">
      <alignment horizontal="center"/>
    </xf>
    <xf numFmtId="0" fontId="56" fillId="0" borderId="1" xfId="0" applyFont="1" applyFill="1" applyBorder="1" applyAlignment="1">
      <alignment horizontal="center"/>
    </xf>
    <xf numFmtId="0" fontId="56" fillId="0" borderId="11" xfId="0" applyFont="1" applyFill="1" applyBorder="1" applyAlignment="1">
      <alignment horizontal="center"/>
    </xf>
    <xf numFmtId="0" fontId="56" fillId="3" borderId="7" xfId="0" applyFont="1" applyFill="1" applyBorder="1" applyAlignment="1">
      <alignment horizontal="center"/>
    </xf>
    <xf numFmtId="0" fontId="56" fillId="3" borderId="8" xfId="0" applyFont="1" applyFill="1" applyBorder="1" applyAlignment="1">
      <alignment horizontal="center"/>
    </xf>
    <xf numFmtId="0" fontId="56" fillId="7" borderId="6" xfId="0" applyFont="1" applyFill="1" applyBorder="1" applyAlignment="1">
      <alignment horizontal="center"/>
    </xf>
    <xf numFmtId="2" fontId="56" fillId="10" borderId="12" xfId="0" applyNumberFormat="1" applyFont="1" applyFill="1" applyBorder="1" applyAlignment="1">
      <alignment horizontal="center"/>
    </xf>
    <xf numFmtId="2" fontId="56" fillId="10" borderId="1" xfId="0" applyNumberFormat="1" applyFont="1" applyFill="1" applyBorder="1" applyAlignment="1">
      <alignment horizontal="center"/>
    </xf>
    <xf numFmtId="2" fontId="56" fillId="10" borderId="11" xfId="0" applyNumberFormat="1" applyFont="1" applyFill="1" applyBorder="1" applyAlignment="1">
      <alignment horizontal="center"/>
    </xf>
    <xf numFmtId="2" fontId="57" fillId="10" borderId="12" xfId="0" applyNumberFormat="1" applyFont="1" applyFill="1" applyBorder="1" applyAlignment="1">
      <alignment horizontal="center"/>
    </xf>
    <xf numFmtId="2" fontId="57" fillId="10" borderId="1" xfId="0" applyNumberFormat="1" applyFont="1" applyFill="1" applyBorder="1" applyAlignment="1">
      <alignment horizontal="center"/>
    </xf>
    <xf numFmtId="2" fontId="57" fillId="10" borderId="11" xfId="0" applyNumberFormat="1" applyFont="1" applyFill="1" applyBorder="1" applyAlignment="1">
      <alignment horizontal="center"/>
    </xf>
    <xf numFmtId="2" fontId="56" fillId="0" borderId="12" xfId="0" applyNumberFormat="1" applyFont="1" applyFill="1" applyBorder="1" applyAlignment="1">
      <alignment horizontal="center"/>
    </xf>
    <xf numFmtId="2" fontId="56" fillId="0" borderId="1" xfId="0" applyNumberFormat="1" applyFont="1" applyFill="1" applyBorder="1" applyAlignment="1">
      <alignment horizontal="center"/>
    </xf>
    <xf numFmtId="2" fontId="56" fillId="0" borderId="11" xfId="0" applyNumberFormat="1" applyFont="1" applyFill="1" applyBorder="1" applyAlignment="1">
      <alignment horizontal="center"/>
    </xf>
    <xf numFmtId="4" fontId="40" fillId="20" borderId="1" xfId="0" applyNumberFormat="1" applyFont="1" applyFill="1" applyBorder="1" applyAlignment="1">
      <alignment horizontal="center"/>
    </xf>
    <xf numFmtId="4" fontId="40" fillId="20" borderId="5" xfId="0" applyNumberFormat="1" applyFont="1" applyFill="1" applyBorder="1" applyAlignment="1">
      <alignment horizontal="center"/>
    </xf>
    <xf numFmtId="4" fontId="40" fillId="20" borderId="3" xfId="0" applyNumberFormat="1" applyFont="1" applyFill="1" applyBorder="1" applyAlignment="1">
      <alignment horizontal="center"/>
    </xf>
    <xf numFmtId="4" fontId="40" fillId="20" borderId="12" xfId="0" applyNumberFormat="1" applyFont="1" applyFill="1" applyBorder="1" applyAlignment="1">
      <alignment horizontal="center"/>
    </xf>
    <xf numFmtId="0" fontId="40" fillId="20" borderId="1" xfId="0" applyFont="1" applyFill="1" applyBorder="1"/>
    <xf numFmtId="0" fontId="12" fillId="20" borderId="11" xfId="0" applyFont="1" applyFill="1" applyBorder="1"/>
    <xf numFmtId="4" fontId="40" fillId="20" borderId="2" xfId="0" applyNumberFormat="1" applyFont="1" applyFill="1" applyBorder="1" applyAlignment="1">
      <alignment horizontal="center"/>
    </xf>
    <xf numFmtId="0" fontId="0" fillId="20" borderId="1" xfId="0" applyFill="1" applyBorder="1"/>
    <xf numFmtId="14" fontId="39" fillId="20" borderId="12" xfId="0" applyNumberFormat="1" applyFont="1" applyFill="1" applyBorder="1" applyAlignment="1">
      <alignment horizontal="center"/>
    </xf>
    <xf numFmtId="0" fontId="39" fillId="20" borderId="1" xfId="0" applyFont="1" applyFill="1" applyBorder="1" applyAlignment="1">
      <alignment horizontal="center"/>
    </xf>
    <xf numFmtId="0" fontId="39" fillId="20" borderId="2" xfId="0" applyFont="1" applyFill="1" applyBorder="1" applyAlignment="1">
      <alignment horizontal="center"/>
    </xf>
    <xf numFmtId="0" fontId="39" fillId="20" borderId="19" xfId="0" applyFont="1" applyFill="1" applyBorder="1" applyAlignment="1">
      <alignment horizontal="center"/>
    </xf>
    <xf numFmtId="2" fontId="39" fillId="20" borderId="3" xfId="0" applyNumberFormat="1" applyFont="1" applyFill="1" applyBorder="1" applyAlignment="1">
      <alignment horizontal="center"/>
    </xf>
    <xf numFmtId="2" fontId="39" fillId="20" borderId="1" xfId="0" applyNumberFormat="1" applyFont="1" applyFill="1" applyBorder="1" applyAlignment="1">
      <alignment horizontal="center"/>
    </xf>
    <xf numFmtId="14" fontId="40" fillId="14" borderId="12" xfId="0" applyNumberFormat="1" applyFont="1" applyFill="1" applyBorder="1" applyAlignment="1">
      <alignment horizontal="center"/>
    </xf>
    <xf numFmtId="0" fontId="40" fillId="14" borderId="1" xfId="0" applyFont="1" applyFill="1" applyBorder="1" applyAlignment="1">
      <alignment horizontal="center"/>
    </xf>
    <xf numFmtId="0" fontId="40" fillId="14" borderId="2" xfId="0" applyFont="1" applyFill="1" applyBorder="1" applyAlignment="1">
      <alignment horizontal="center"/>
    </xf>
    <xf numFmtId="0" fontId="40" fillId="14" borderId="19" xfId="0" applyFont="1" applyFill="1" applyBorder="1" applyAlignment="1">
      <alignment horizontal="center"/>
    </xf>
    <xf numFmtId="0" fontId="40" fillId="14" borderId="3" xfId="0" applyFont="1" applyFill="1" applyBorder="1" applyAlignment="1">
      <alignment horizontal="center"/>
    </xf>
    <xf numFmtId="4" fontId="40" fillId="14" borderId="1" xfId="0" applyNumberFormat="1" applyFont="1" applyFill="1" applyBorder="1" applyAlignment="1">
      <alignment horizontal="center"/>
    </xf>
    <xf numFmtId="4" fontId="40" fillId="14" borderId="5" xfId="0" applyNumberFormat="1" applyFont="1" applyFill="1" applyBorder="1" applyAlignment="1">
      <alignment horizontal="center"/>
    </xf>
    <xf numFmtId="4" fontId="40" fillId="14" borderId="3" xfId="0" applyNumberFormat="1" applyFont="1" applyFill="1" applyBorder="1" applyAlignment="1">
      <alignment horizontal="center"/>
    </xf>
    <xf numFmtId="4" fontId="40" fillId="14" borderId="12" xfId="0" applyNumberFormat="1" applyFont="1" applyFill="1" applyBorder="1" applyAlignment="1">
      <alignment horizontal="center"/>
    </xf>
    <xf numFmtId="0" fontId="40" fillId="14" borderId="1" xfId="0" applyFont="1" applyFill="1" applyBorder="1"/>
    <xf numFmtId="4" fontId="40" fillId="14" borderId="2" xfId="0" applyNumberFormat="1" applyFont="1" applyFill="1" applyBorder="1" applyAlignment="1">
      <alignment horizontal="center"/>
    </xf>
    <xf numFmtId="4" fontId="39" fillId="13" borderId="12" xfId="0" applyNumberFormat="1" applyFont="1" applyFill="1" applyBorder="1" applyAlignment="1">
      <alignment horizontal="center"/>
    </xf>
    <xf numFmtId="4" fontId="39" fillId="10" borderId="12" xfId="0" applyNumberFormat="1" applyFont="1" applyFill="1" applyBorder="1" applyAlignment="1">
      <alignment horizontal="center"/>
    </xf>
    <xf numFmtId="4" fontId="39" fillId="0" borderId="12" xfId="0" applyNumberFormat="1" applyFont="1" applyFill="1" applyBorder="1" applyAlignment="1">
      <alignment horizontal="center"/>
    </xf>
    <xf numFmtId="4" fontId="39" fillId="0" borderId="1" xfId="0" applyNumberFormat="1" applyFont="1" applyFill="1" applyBorder="1" applyAlignment="1">
      <alignment horizontal="center"/>
    </xf>
    <xf numFmtId="4" fontId="39" fillId="12" borderId="7" xfId="0" applyNumberFormat="1" applyFont="1" applyFill="1" applyBorder="1" applyAlignment="1">
      <alignment horizontal="center"/>
    </xf>
    <xf numFmtId="4" fontId="39" fillId="12" borderId="8" xfId="0" applyNumberFormat="1" applyFont="1" applyFill="1" applyBorder="1" applyAlignment="1">
      <alignment horizontal="center"/>
    </xf>
    <xf numFmtId="0" fontId="13" fillId="0" borderId="1" xfId="25" applyFont="1" applyAlignment="1" applyProtection="1">
      <alignment wrapText="1"/>
    </xf>
    <xf numFmtId="0" fontId="14" fillId="0" borderId="1" xfId="27" applyFont="1" applyAlignment="1" applyProtection="1">
      <alignment vertical="top" wrapText="1"/>
    </xf>
    <xf numFmtId="0" fontId="13" fillId="0" borderId="1" xfId="10" applyFont="1" applyAlignment="1" applyProtection="1">
      <alignment wrapText="1"/>
    </xf>
    <xf numFmtId="0" fontId="13" fillId="0" borderId="1" xfId="10" applyFont="1" applyBorder="1" applyAlignment="1" applyProtection="1">
      <alignment wrapText="1"/>
    </xf>
    <xf numFmtId="0" fontId="16" fillId="0" borderId="16" xfId="25" applyFont="1" applyBorder="1" applyAlignment="1" applyProtection="1">
      <alignment horizontal="right" wrapText="1"/>
    </xf>
    <xf numFmtId="0" fontId="16" fillId="0" borderId="5" xfId="10" applyFont="1" applyBorder="1" applyAlignment="1" applyProtection="1">
      <alignment horizontal="right" wrapText="1"/>
    </xf>
    <xf numFmtId="0" fontId="13" fillId="0" borderId="5" xfId="10" applyFont="1" applyBorder="1" applyAlignment="1" applyProtection="1">
      <alignment horizontal="center" vertical="center" wrapText="1"/>
    </xf>
    <xf numFmtId="0" fontId="23" fillId="0" borderId="6" xfId="25" applyNumberFormat="1" applyFont="1" applyBorder="1" applyAlignment="1" applyProtection="1">
      <alignment horizontal="left" vertical="center" wrapText="1"/>
    </xf>
    <xf numFmtId="0" fontId="23" fillId="0" borderId="11" xfId="25" applyNumberFormat="1" applyFont="1" applyBorder="1" applyAlignment="1" applyProtection="1">
      <alignment horizontal="left" vertical="center" wrapText="1"/>
    </xf>
    <xf numFmtId="0" fontId="23" fillId="9" borderId="11" xfId="25" applyNumberFormat="1" applyFont="1" applyFill="1" applyBorder="1" applyAlignment="1" applyProtection="1">
      <alignment horizontal="left" vertical="center" wrapText="1"/>
    </xf>
    <xf numFmtId="0" fontId="14" fillId="9" borderId="11" xfId="25" applyFont="1" applyFill="1" applyBorder="1" applyAlignment="1" applyProtection="1">
      <alignment horizontal="left" vertical="center" wrapText="1"/>
    </xf>
    <xf numFmtId="0" fontId="14" fillId="9" borderId="6" xfId="25" applyFont="1" applyFill="1" applyBorder="1" applyAlignment="1" applyProtection="1">
      <alignment horizontal="left" vertical="center" wrapText="1"/>
    </xf>
    <xf numFmtId="0" fontId="14" fillId="0" borderId="1" xfId="25" applyFont="1" applyAlignment="1" applyProtection="1">
      <alignment wrapText="1"/>
    </xf>
    <xf numFmtId="167" fontId="14" fillId="0" borderId="1" xfId="3" applyFont="1" applyAlignment="1" applyProtection="1">
      <alignment horizontal="center" wrapText="1"/>
    </xf>
    <xf numFmtId="2" fontId="40" fillId="0" borderId="1" xfId="24" applyNumberFormat="1" applyFont="1" applyAlignment="1">
      <alignment horizontal="center"/>
    </xf>
    <xf numFmtId="2" fontId="40" fillId="0" borderId="1" xfId="24" applyNumberFormat="1" applyFont="1" applyBorder="1" applyAlignment="1">
      <alignment horizontal="center"/>
    </xf>
    <xf numFmtId="2" fontId="37" fillId="0" borderId="8" xfId="27" applyNumberFormat="1" applyFont="1" applyBorder="1" applyAlignment="1" applyProtection="1">
      <alignment horizontal="center" vertical="top"/>
      <protection locked="0"/>
    </xf>
    <xf numFmtId="0" fontId="14" fillId="0" borderId="25" xfId="6" applyFont="1" applyFill="1" applyBorder="1" applyAlignment="1" applyProtection="1">
      <alignment horizontal="center" vertical="center" wrapText="1"/>
      <protection locked="0"/>
    </xf>
    <xf numFmtId="0" fontId="14" fillId="0" borderId="10" xfId="6" applyFont="1" applyBorder="1" applyAlignment="1" applyProtection="1">
      <alignment horizontal="center" vertical="center" wrapText="1"/>
      <protection locked="0"/>
    </xf>
    <xf numFmtId="168" fontId="14" fillId="0" borderId="10" xfId="2" applyFont="1" applyBorder="1" applyAlignment="1" applyProtection="1">
      <alignment horizontal="center" vertical="center" wrapText="1"/>
      <protection locked="0"/>
    </xf>
    <xf numFmtId="172" fontId="14" fillId="0" borderId="30" xfId="2" applyNumberFormat="1" applyFont="1" applyBorder="1" applyAlignment="1" applyProtection="1">
      <alignment horizontal="center" vertical="center" wrapText="1"/>
      <protection locked="0"/>
    </xf>
    <xf numFmtId="172" fontId="14" fillId="0" borderId="10" xfId="2" applyNumberFormat="1" applyFont="1" applyBorder="1" applyAlignment="1" applyProtection="1">
      <alignment horizontal="center" vertical="center" wrapText="1"/>
      <protection locked="0"/>
    </xf>
    <xf numFmtId="172" fontId="14" fillId="0" borderId="20" xfId="2" applyNumberFormat="1" applyFont="1" applyBorder="1" applyAlignment="1" applyProtection="1">
      <alignment horizontal="center" vertical="center" wrapText="1"/>
      <protection locked="0"/>
    </xf>
    <xf numFmtId="172" fontId="14" fillId="0" borderId="31" xfId="2" applyNumberFormat="1" applyFont="1" applyBorder="1" applyAlignment="1" applyProtection="1">
      <alignment horizontal="center" vertical="center" wrapText="1"/>
      <protection locked="0"/>
    </xf>
    <xf numFmtId="172" fontId="14" fillId="0" borderId="32" xfId="2" applyNumberFormat="1" applyFont="1" applyBorder="1" applyAlignment="1" applyProtection="1">
      <alignment horizontal="center" vertical="center" wrapText="1"/>
      <protection locked="0"/>
    </xf>
    <xf numFmtId="168" fontId="14" fillId="0" borderId="30" xfId="27" applyNumberFormat="1" applyFont="1" applyBorder="1" applyAlignment="1" applyProtection="1">
      <alignment horizontal="center" vertical="center" wrapText="1"/>
    </xf>
    <xf numFmtId="168" fontId="14" fillId="0" borderId="10" xfId="27" applyNumberFormat="1" applyFont="1" applyBorder="1" applyAlignment="1" applyProtection="1">
      <alignment horizontal="center" vertical="center" wrapText="1"/>
    </xf>
    <xf numFmtId="2" fontId="25" fillId="0" borderId="25" xfId="3" applyNumberFormat="1" applyFont="1" applyBorder="1" applyAlignment="1" applyProtection="1">
      <alignment horizontal="center" vertical="center" wrapText="1"/>
    </xf>
    <xf numFmtId="2" fontId="14" fillId="0" borderId="10" xfId="3" applyNumberFormat="1" applyFont="1" applyBorder="1" applyAlignment="1" applyProtection="1">
      <alignment horizontal="center" vertical="center" wrapText="1"/>
    </xf>
    <xf numFmtId="2" fontId="14" fillId="0" borderId="25" xfId="3" applyNumberFormat="1" applyFont="1" applyBorder="1" applyAlignment="1" applyProtection="1">
      <alignment horizontal="center" vertical="center" wrapText="1"/>
    </xf>
    <xf numFmtId="2" fontId="14" fillId="0" borderId="26" xfId="27" applyNumberFormat="1" applyFont="1" applyBorder="1" applyAlignment="1" applyProtection="1">
      <alignment horizontal="center" vertical="center" wrapText="1"/>
    </xf>
    <xf numFmtId="0" fontId="23" fillId="0" borderId="26" xfId="25" applyNumberFormat="1" applyFont="1" applyBorder="1" applyAlignment="1" applyProtection="1">
      <alignment horizontal="left" vertical="center"/>
    </xf>
    <xf numFmtId="0" fontId="25" fillId="0" borderId="20" xfId="9" applyNumberFormat="1" applyFont="1" applyBorder="1" applyAlignment="1" applyProtection="1">
      <alignment horizontal="center" vertical="center" wrapText="1"/>
      <protection locked="0"/>
    </xf>
    <xf numFmtId="168" fontId="14" fillId="0" borderId="26" xfId="25" applyNumberFormat="1" applyFont="1" applyBorder="1" applyAlignment="1" applyProtection="1">
      <alignment horizontal="center" vertical="center"/>
    </xf>
    <xf numFmtId="2" fontId="14" fillId="0" borderId="10" xfId="25" applyNumberFormat="1" applyFont="1" applyBorder="1" applyAlignment="1" applyProtection="1">
      <alignment horizontal="center" vertical="center"/>
    </xf>
    <xf numFmtId="0" fontId="14" fillId="0" borderId="10" xfId="25" applyFont="1" applyBorder="1" applyAlignment="1" applyProtection="1">
      <alignment vertical="center"/>
    </xf>
    <xf numFmtId="0" fontId="14" fillId="0" borderId="10" xfId="25" applyFont="1" applyBorder="1" applyProtection="1"/>
    <xf numFmtId="2" fontId="37" fillId="14" borderId="1" xfId="0" applyNumberFormat="1" applyFont="1" applyFill="1" applyBorder="1" applyAlignment="1">
      <alignment horizontal="center"/>
    </xf>
    <xf numFmtId="2" fontId="37" fillId="0" borderId="1" xfId="27" applyNumberFormat="1" applyFont="1" applyBorder="1" applyAlignment="1" applyProtection="1">
      <alignment horizontal="right" vertical="top"/>
    </xf>
    <xf numFmtId="2" fontId="37" fillId="0" borderId="1" xfId="27" applyNumberFormat="1" applyFont="1" applyBorder="1" applyAlignment="1" applyProtection="1">
      <alignment vertical="top"/>
      <protection locked="0"/>
    </xf>
    <xf numFmtId="14" fontId="40" fillId="21" borderId="12" xfId="0" applyNumberFormat="1" applyFont="1" applyFill="1" applyBorder="1" applyAlignment="1">
      <alignment horizontal="center"/>
    </xf>
    <xf numFmtId="0" fontId="40" fillId="21" borderId="1" xfId="0" applyFont="1" applyFill="1" applyBorder="1" applyAlignment="1">
      <alignment horizontal="center"/>
    </xf>
    <xf numFmtId="0" fontId="40" fillId="21" borderId="2" xfId="0" applyFont="1" applyFill="1" applyBorder="1" applyAlignment="1">
      <alignment horizontal="center"/>
    </xf>
    <xf numFmtId="0" fontId="40" fillId="21" borderId="19" xfId="0" applyFont="1" applyFill="1" applyBorder="1" applyAlignment="1">
      <alignment horizontal="center"/>
    </xf>
    <xf numFmtId="0" fontId="40" fillId="21" borderId="3" xfId="0" applyFont="1" applyFill="1" applyBorder="1" applyAlignment="1">
      <alignment horizontal="center"/>
    </xf>
    <xf numFmtId="4" fontId="40" fillId="21" borderId="1" xfId="0" applyNumberFormat="1" applyFont="1" applyFill="1" applyBorder="1" applyAlignment="1">
      <alignment horizontal="center"/>
    </xf>
    <xf numFmtId="4" fontId="40" fillId="21" borderId="5" xfId="0" applyNumberFormat="1" applyFont="1" applyFill="1" applyBorder="1" applyAlignment="1">
      <alignment horizontal="center"/>
    </xf>
    <xf numFmtId="4" fontId="40" fillId="21" borderId="3" xfId="0" applyNumberFormat="1" applyFont="1" applyFill="1" applyBorder="1" applyAlignment="1">
      <alignment horizontal="center"/>
    </xf>
    <xf numFmtId="4" fontId="40" fillId="21" borderId="12" xfId="0" applyNumberFormat="1" applyFont="1" applyFill="1" applyBorder="1" applyAlignment="1">
      <alignment horizontal="center"/>
    </xf>
    <xf numFmtId="2" fontId="40" fillId="21" borderId="11" xfId="0" applyNumberFormat="1" applyFont="1" applyFill="1" applyBorder="1" applyAlignment="1">
      <alignment horizontal="center"/>
    </xf>
    <xf numFmtId="2" fontId="59" fillId="21" borderId="12" xfId="0" applyNumberFormat="1" applyFont="1" applyFill="1" applyBorder="1" applyAlignment="1">
      <alignment horizontal="center"/>
    </xf>
    <xf numFmtId="2" fontId="59" fillId="21" borderId="1" xfId="0" applyNumberFormat="1" applyFont="1" applyFill="1" applyBorder="1" applyAlignment="1">
      <alignment horizontal="center"/>
    </xf>
    <xf numFmtId="2" fontId="56" fillId="21" borderId="11" xfId="0" applyNumberFormat="1" applyFont="1" applyFill="1" applyBorder="1" applyAlignment="1">
      <alignment horizontal="center"/>
    </xf>
    <xf numFmtId="4" fontId="40" fillId="21" borderId="2" xfId="0" applyNumberFormat="1" applyFont="1" applyFill="1" applyBorder="1" applyAlignment="1">
      <alignment horizontal="center"/>
    </xf>
    <xf numFmtId="0" fontId="0" fillId="21" borderId="1" xfId="0" applyFill="1" applyBorder="1"/>
    <xf numFmtId="2" fontId="57" fillId="21" borderId="1" xfId="0" applyNumberFormat="1" applyFont="1" applyFill="1" applyBorder="1" applyAlignment="1">
      <alignment horizontal="center"/>
    </xf>
    <xf numFmtId="2" fontId="40" fillId="21" borderId="1" xfId="0" applyNumberFormat="1" applyFont="1" applyFill="1" applyBorder="1" applyAlignment="1">
      <alignment horizontal="center"/>
    </xf>
    <xf numFmtId="0" fontId="12" fillId="21" borderId="11" xfId="0" applyFont="1" applyFill="1" applyBorder="1" applyAlignment="1">
      <alignment horizontal="center"/>
    </xf>
    <xf numFmtId="14" fontId="39" fillId="21" borderId="12" xfId="0" applyNumberFormat="1" applyFont="1" applyFill="1" applyBorder="1" applyAlignment="1">
      <alignment horizontal="center"/>
    </xf>
    <xf numFmtId="0" fontId="39" fillId="21" borderId="1" xfId="0" applyFont="1" applyFill="1" applyBorder="1" applyAlignment="1">
      <alignment horizontal="center"/>
    </xf>
    <xf numFmtId="0" fontId="39" fillId="21" borderId="2" xfId="0" applyFont="1" applyFill="1" applyBorder="1" applyAlignment="1">
      <alignment horizontal="center"/>
    </xf>
    <xf numFmtId="0" fontId="39" fillId="21" borderId="19" xfId="0" applyFont="1" applyFill="1" applyBorder="1" applyAlignment="1">
      <alignment horizontal="center"/>
    </xf>
    <xf numFmtId="2" fontId="39" fillId="21" borderId="3" xfId="0" applyNumberFormat="1" applyFont="1" applyFill="1" applyBorder="1" applyAlignment="1">
      <alignment horizontal="center"/>
    </xf>
    <xf numFmtId="2" fontId="39" fillId="21" borderId="1" xfId="0" applyNumberFormat="1" applyFont="1" applyFill="1" applyBorder="1" applyAlignment="1">
      <alignment horizontal="center"/>
    </xf>
    <xf numFmtId="14" fontId="37" fillId="20" borderId="12" xfId="0" applyNumberFormat="1" applyFont="1" applyFill="1" applyBorder="1" applyAlignment="1">
      <alignment horizontal="center"/>
    </xf>
    <xf numFmtId="0" fontId="37" fillId="20" borderId="1" xfId="0" applyFont="1" applyFill="1" applyBorder="1" applyAlignment="1">
      <alignment horizontal="center"/>
    </xf>
    <xf numFmtId="0" fontId="37" fillId="20" borderId="2" xfId="0" applyFont="1" applyFill="1" applyBorder="1" applyAlignment="1">
      <alignment horizontal="center"/>
    </xf>
    <xf numFmtId="0" fontId="37" fillId="20" borderId="19" xfId="0" applyFont="1" applyFill="1" applyBorder="1" applyAlignment="1">
      <alignment horizontal="center"/>
    </xf>
    <xf numFmtId="0" fontId="37" fillId="20" borderId="3" xfId="0" applyFont="1" applyFill="1" applyBorder="1" applyAlignment="1">
      <alignment horizontal="center"/>
    </xf>
    <xf numFmtId="4" fontId="37" fillId="20" borderId="1" xfId="0" applyNumberFormat="1" applyFont="1" applyFill="1" applyBorder="1" applyAlignment="1">
      <alignment horizontal="center"/>
    </xf>
    <xf numFmtId="4" fontId="37" fillId="20" borderId="5" xfId="0" applyNumberFormat="1" applyFont="1" applyFill="1" applyBorder="1" applyAlignment="1">
      <alignment horizontal="center"/>
    </xf>
    <xf numFmtId="4" fontId="37" fillId="20" borderId="3" xfId="0" applyNumberFormat="1" applyFont="1" applyFill="1" applyBorder="1" applyAlignment="1">
      <alignment horizontal="center"/>
    </xf>
    <xf numFmtId="2" fontId="37" fillId="20" borderId="12" xfId="0" applyNumberFormat="1" applyFont="1" applyFill="1" applyBorder="1" applyAlignment="1">
      <alignment horizontal="center"/>
    </xf>
    <xf numFmtId="2" fontId="37" fillId="20" borderId="1" xfId="0" applyNumberFormat="1" applyFont="1" applyFill="1" applyBorder="1" applyAlignment="1">
      <alignment horizontal="center"/>
    </xf>
    <xf numFmtId="2" fontId="57" fillId="20" borderId="12" xfId="0" applyNumberFormat="1" applyFont="1" applyFill="1" applyBorder="1" applyAlignment="1">
      <alignment horizontal="center"/>
    </xf>
    <xf numFmtId="2" fontId="57" fillId="20" borderId="1" xfId="0" applyNumberFormat="1" applyFont="1" applyFill="1" applyBorder="1" applyAlignment="1">
      <alignment horizontal="center"/>
    </xf>
    <xf numFmtId="2" fontId="56" fillId="20" borderId="11" xfId="0" applyNumberFormat="1" applyFont="1" applyFill="1" applyBorder="1" applyAlignment="1">
      <alignment horizontal="center"/>
    </xf>
    <xf numFmtId="4" fontId="37" fillId="20" borderId="2" xfId="0" applyNumberFormat="1" applyFont="1" applyFill="1" applyBorder="1" applyAlignment="1">
      <alignment horizontal="center"/>
    </xf>
    <xf numFmtId="4" fontId="39" fillId="20" borderId="1" xfId="0" applyNumberFormat="1" applyFont="1" applyFill="1" applyBorder="1" applyAlignment="1">
      <alignment horizontal="center"/>
    </xf>
    <xf numFmtId="2" fontId="39" fillId="20" borderId="12" xfId="0" applyNumberFormat="1" applyFont="1" applyFill="1" applyBorder="1" applyAlignment="1">
      <alignment horizontal="center"/>
    </xf>
    <xf numFmtId="2" fontId="39" fillId="20" borderId="11" xfId="0" applyNumberFormat="1" applyFont="1" applyFill="1" applyBorder="1" applyAlignment="1">
      <alignment horizontal="center"/>
    </xf>
    <xf numFmtId="2" fontId="56" fillId="20" borderId="1" xfId="0" applyNumberFormat="1" applyFont="1" applyFill="1" applyBorder="1" applyAlignment="1">
      <alignment horizontal="center"/>
    </xf>
    <xf numFmtId="0" fontId="12" fillId="20" borderId="2" xfId="0" applyFont="1" applyFill="1" applyBorder="1"/>
    <xf numFmtId="0" fontId="37" fillId="20" borderId="12" xfId="0" applyFont="1" applyFill="1" applyBorder="1"/>
    <xf numFmtId="0" fontId="37" fillId="20" borderId="1" xfId="0" applyFont="1" applyFill="1" applyBorder="1"/>
    <xf numFmtId="0" fontId="37" fillId="20" borderId="2" xfId="0" applyFont="1" applyFill="1" applyBorder="1"/>
    <xf numFmtId="0" fontId="37" fillId="20" borderId="19" xfId="0" applyFont="1" applyFill="1" applyBorder="1"/>
    <xf numFmtId="0" fontId="37" fillId="20" borderId="3" xfId="0" applyFont="1" applyFill="1" applyBorder="1"/>
    <xf numFmtId="2" fontId="0" fillId="20" borderId="1" xfId="0" applyNumberFormat="1" applyFill="1" applyBorder="1"/>
    <xf numFmtId="14" fontId="40" fillId="19" borderId="12" xfId="0" applyNumberFormat="1" applyFont="1" applyFill="1" applyBorder="1" applyAlignment="1">
      <alignment horizontal="center"/>
    </xf>
    <xf numFmtId="0" fontId="40" fillId="19" borderId="1" xfId="0" applyFont="1" applyFill="1" applyBorder="1" applyAlignment="1">
      <alignment horizontal="center"/>
    </xf>
    <xf numFmtId="0" fontId="40" fillId="19" borderId="2" xfId="0" applyFont="1" applyFill="1" applyBorder="1" applyAlignment="1">
      <alignment horizontal="center"/>
    </xf>
    <xf numFmtId="0" fontId="40" fillId="19" borderId="19" xfId="0" applyFont="1" applyFill="1" applyBorder="1" applyAlignment="1">
      <alignment horizontal="center"/>
    </xf>
    <xf numFmtId="0" fontId="40" fillId="19" borderId="3" xfId="0" applyFont="1" applyFill="1" applyBorder="1" applyAlignment="1">
      <alignment horizontal="center"/>
    </xf>
    <xf numFmtId="4" fontId="40" fillId="19" borderId="1" xfId="0" applyNumberFormat="1" applyFont="1" applyFill="1" applyBorder="1" applyAlignment="1">
      <alignment horizontal="center"/>
    </xf>
    <xf numFmtId="4" fontId="40" fillId="19" borderId="5" xfId="0" applyNumberFormat="1" applyFont="1" applyFill="1" applyBorder="1" applyAlignment="1">
      <alignment horizontal="center"/>
    </xf>
    <xf numFmtId="4" fontId="40" fillId="19" borderId="3" xfId="0" applyNumberFormat="1" applyFont="1" applyFill="1" applyBorder="1" applyAlignment="1">
      <alignment horizontal="center"/>
    </xf>
    <xf numFmtId="4" fontId="40" fillId="19" borderId="12" xfId="0" applyNumberFormat="1" applyFont="1" applyFill="1" applyBorder="1" applyAlignment="1">
      <alignment horizontal="center"/>
    </xf>
    <xf numFmtId="0" fontId="40" fillId="19" borderId="11" xfId="0" applyFont="1" applyFill="1" applyBorder="1"/>
    <xf numFmtId="0" fontId="57" fillId="19" borderId="1" xfId="0" applyFont="1" applyFill="1" applyBorder="1" applyAlignment="1">
      <alignment horizontal="center"/>
    </xf>
    <xf numFmtId="0" fontId="57" fillId="19" borderId="0" xfId="0" applyFont="1" applyFill="1" applyAlignment="1">
      <alignment horizontal="center"/>
    </xf>
    <xf numFmtId="0" fontId="57" fillId="19" borderId="11" xfId="0" applyFont="1" applyFill="1" applyBorder="1" applyAlignment="1">
      <alignment horizontal="center"/>
    </xf>
    <xf numFmtId="4" fontId="40" fillId="19" borderId="2" xfId="0" applyNumberFormat="1" applyFont="1" applyFill="1" applyBorder="1" applyAlignment="1">
      <alignment horizontal="center"/>
    </xf>
    <xf numFmtId="0" fontId="0" fillId="19" borderId="1" xfId="0" applyFill="1" applyBorder="1"/>
    <xf numFmtId="4" fontId="59" fillId="19" borderId="1" xfId="0" applyNumberFormat="1" applyFont="1" applyFill="1" applyBorder="1" applyAlignment="1">
      <alignment horizontal="center"/>
    </xf>
    <xf numFmtId="0" fontId="56" fillId="19" borderId="11" xfId="0" applyFont="1" applyFill="1" applyBorder="1" applyAlignment="1">
      <alignment horizontal="center"/>
    </xf>
    <xf numFmtId="0" fontId="40" fillId="19" borderId="1" xfId="0" applyFont="1" applyFill="1" applyBorder="1"/>
    <xf numFmtId="2" fontId="59" fillId="19" borderId="12" xfId="0" applyNumberFormat="1" applyFont="1" applyFill="1" applyBorder="1" applyAlignment="1">
      <alignment horizontal="center"/>
    </xf>
    <xf numFmtId="2" fontId="59" fillId="19" borderId="1" xfId="0" applyNumberFormat="1" applyFont="1" applyFill="1" applyBorder="1" applyAlignment="1">
      <alignment horizontal="center"/>
    </xf>
    <xf numFmtId="2" fontId="56" fillId="19" borderId="11" xfId="0" applyNumberFormat="1" applyFont="1" applyFill="1" applyBorder="1" applyAlignment="1">
      <alignment horizontal="center"/>
    </xf>
    <xf numFmtId="14" fontId="39" fillId="19" borderId="12" xfId="0" applyNumberFormat="1" applyFont="1" applyFill="1" applyBorder="1" applyAlignment="1">
      <alignment horizontal="center"/>
    </xf>
    <xf numFmtId="0" fontId="39" fillId="19" borderId="1" xfId="0" applyFont="1" applyFill="1" applyBorder="1" applyAlignment="1">
      <alignment horizontal="center"/>
    </xf>
    <xf numFmtId="0" fontId="39" fillId="19" borderId="2" xfId="0" applyFont="1" applyFill="1" applyBorder="1" applyAlignment="1">
      <alignment horizontal="center"/>
    </xf>
    <xf numFmtId="0" fontId="39" fillId="19" borderId="19" xfId="0" applyFont="1" applyFill="1" applyBorder="1" applyAlignment="1">
      <alignment horizontal="center"/>
    </xf>
    <xf numFmtId="2" fontId="39" fillId="19" borderId="3" xfId="0" applyNumberFormat="1" applyFont="1" applyFill="1" applyBorder="1" applyAlignment="1">
      <alignment horizontal="center"/>
    </xf>
    <xf numFmtId="2" fontId="39" fillId="19" borderId="1" xfId="0" applyNumberFormat="1" applyFont="1" applyFill="1" applyBorder="1" applyAlignment="1">
      <alignment horizontal="center"/>
    </xf>
    <xf numFmtId="4" fontId="59" fillId="19" borderId="12" xfId="0" applyNumberFormat="1" applyFont="1" applyFill="1" applyBorder="1" applyAlignment="1">
      <alignment horizontal="center"/>
    </xf>
    <xf numFmtId="0" fontId="8" fillId="0" borderId="14" xfId="0" applyFont="1" applyBorder="1" applyAlignment="1">
      <alignment horizontal="center"/>
    </xf>
    <xf numFmtId="0" fontId="8" fillId="0" borderId="17" xfId="0" applyFont="1" applyBorder="1" applyAlignment="1">
      <alignment horizontal="center"/>
    </xf>
    <xf numFmtId="0" fontId="7" fillId="0" borderId="1" xfId="0" applyFont="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xf>
    <xf numFmtId="0" fontId="5" fillId="0" borderId="11" xfId="0" applyFont="1" applyBorder="1" applyAlignment="1">
      <alignment horizontal="center"/>
    </xf>
    <xf numFmtId="165" fontId="9" fillId="0" borderId="1" xfId="0" applyNumberFormat="1" applyFont="1" applyBorder="1" applyAlignment="1">
      <alignment horizontal="center"/>
    </xf>
    <xf numFmtId="165" fontId="11" fillId="0" borderId="1" xfId="0" applyNumberFormat="1" applyFont="1" applyBorder="1" applyAlignment="1">
      <alignment horizontal="center"/>
    </xf>
    <xf numFmtId="0" fontId="47" fillId="2" borderId="15" xfId="0" applyFont="1" applyFill="1" applyBorder="1" applyAlignment="1">
      <alignment horizontal="center" vertical="center"/>
    </xf>
    <xf numFmtId="0" fontId="47" fillId="2" borderId="13" xfId="0" applyFont="1" applyFill="1" applyBorder="1" applyAlignment="1">
      <alignment horizontal="center" vertical="center"/>
    </xf>
    <xf numFmtId="0" fontId="47" fillId="2" borderId="25" xfId="0" applyFont="1" applyFill="1" applyBorder="1" applyAlignment="1">
      <alignment horizontal="center" vertical="center"/>
    </xf>
    <xf numFmtId="0" fontId="47" fillId="2" borderId="20" xfId="0" applyFont="1" applyFill="1" applyBorder="1" applyAlignment="1">
      <alignment horizontal="center" vertical="center"/>
    </xf>
    <xf numFmtId="0" fontId="9" fillId="4" borderId="14" xfId="0" applyFont="1" applyFill="1" applyBorder="1" applyAlignment="1">
      <alignment horizontal="center"/>
    </xf>
    <xf numFmtId="0" fontId="13" fillId="0" borderId="14" xfId="25" applyFont="1" applyBorder="1" applyAlignment="1" applyProtection="1">
      <alignment horizontal="center"/>
    </xf>
    <xf numFmtId="0" fontId="13" fillId="0" borderId="17" xfId="25" applyFont="1" applyBorder="1" applyAlignment="1" applyProtection="1">
      <alignment horizontal="center"/>
    </xf>
    <xf numFmtId="0" fontId="15" fillId="0" borderId="15" xfId="10" applyFont="1" applyBorder="1" applyAlignment="1" applyProtection="1">
      <alignment horizontal="center"/>
    </xf>
    <xf numFmtId="0" fontId="15" fillId="0" borderId="14" xfId="10" applyFont="1" applyBorder="1" applyAlignment="1" applyProtection="1">
      <alignment horizontal="center"/>
    </xf>
    <xf numFmtId="1" fontId="15" fillId="0" borderId="15" xfId="6" applyNumberFormat="1" applyFont="1" applyBorder="1" applyAlignment="1" applyProtection="1">
      <alignment horizontal="center"/>
    </xf>
    <xf numFmtId="1" fontId="15" fillId="0" borderId="14" xfId="6" applyNumberFormat="1" applyFont="1" applyBorder="1" applyAlignment="1" applyProtection="1">
      <alignment horizontal="center"/>
    </xf>
    <xf numFmtId="1" fontId="15" fillId="0" borderId="17" xfId="6" applyNumberFormat="1" applyFont="1" applyBorder="1" applyAlignment="1" applyProtection="1">
      <alignment horizontal="center"/>
    </xf>
    <xf numFmtId="172" fontId="49" fillId="0" borderId="3" xfId="28" applyNumberFormat="1" applyFont="1" applyBorder="1" applyAlignment="1" applyProtection="1">
      <alignment horizontal="center"/>
    </xf>
    <xf numFmtId="172" fontId="49" fillId="0" borderId="1" xfId="28" applyNumberFormat="1" applyFont="1" applyBorder="1" applyAlignment="1" applyProtection="1">
      <alignment horizontal="center"/>
    </xf>
    <xf numFmtId="172" fontId="49" fillId="0" borderId="2" xfId="28" applyNumberFormat="1" applyFont="1" applyBorder="1" applyAlignment="1" applyProtection="1">
      <alignment horizontal="center"/>
    </xf>
    <xf numFmtId="0" fontId="49" fillId="0" borderId="3" xfId="28" applyFont="1" applyBorder="1" applyAlignment="1" applyProtection="1">
      <alignment horizontal="center"/>
    </xf>
    <xf numFmtId="0" fontId="49" fillId="0" borderId="1" xfId="28" applyFont="1" applyBorder="1" applyAlignment="1" applyProtection="1">
      <alignment horizontal="center"/>
    </xf>
    <xf numFmtId="0" fontId="49" fillId="0" borderId="2" xfId="28" applyFont="1" applyBorder="1" applyAlignment="1" applyProtection="1">
      <alignment horizontal="center"/>
    </xf>
    <xf numFmtId="2" fontId="15" fillId="0" borderId="15" xfId="3" applyNumberFormat="1" applyFont="1" applyBorder="1" applyAlignment="1" applyProtection="1">
      <alignment horizontal="center"/>
    </xf>
    <xf numFmtId="2" fontId="15" fillId="0" borderId="17" xfId="3" applyNumberFormat="1" applyFont="1" applyBorder="1" applyAlignment="1" applyProtection="1">
      <alignment horizontal="center"/>
    </xf>
    <xf numFmtId="0" fontId="15" fillId="0" borderId="17" xfId="10" applyFont="1" applyBorder="1" applyAlignment="1" applyProtection="1">
      <alignment horizontal="center"/>
    </xf>
    <xf numFmtId="2" fontId="15" fillId="0" borderId="14" xfId="3" applyNumberFormat="1" applyFont="1" applyBorder="1" applyAlignment="1" applyProtection="1">
      <alignment horizontal="center"/>
    </xf>
  </cellXfs>
  <cellStyles count="29">
    <cellStyle name="??0" xfId="2" xr:uid="{00000000-0005-0000-0000-000000000000}"/>
    <cellStyle name="??0.0" xfId="12" xr:uid="{00000000-0005-0000-0000-000001000000}"/>
    <cellStyle name="?0.0" xfId="7" xr:uid="{00000000-0005-0000-0000-000002000000}"/>
    <cellStyle name="?0.00" xfId="13" xr:uid="{00000000-0005-0000-0000-000003000000}"/>
    <cellStyle name="0.00" xfId="14" xr:uid="{00000000-0005-0000-0000-000004000000}"/>
    <cellStyle name="0.000" xfId="3" xr:uid="{00000000-0005-0000-0000-000005000000}"/>
    <cellStyle name="Blank" xfId="15" xr:uid="{00000000-0005-0000-0000-000006000000}"/>
    <cellStyle name="EndYear" xfId="16" xr:uid="{00000000-0005-0000-0000-000007000000}"/>
    <cellStyle name="est. Annual Balance" xfId="17" xr:uid="{00000000-0005-0000-0000-000008000000}"/>
    <cellStyle name="est. bw(s)" xfId="18" xr:uid="{00000000-0005-0000-0000-000009000000}"/>
    <cellStyle name="hel8" xfId="5" xr:uid="{00000000-0005-0000-0000-00000A000000}"/>
    <cellStyle name="hel8 2" xfId="27" xr:uid="{00000000-0005-0000-0000-00000B000000}"/>
    <cellStyle name="hel8 blue" xfId="6" xr:uid="{00000000-0005-0000-0000-00000C000000}"/>
    <cellStyle name="hel8_PD860330" xfId="19" xr:uid="{00000000-0005-0000-0000-00000D000000}"/>
    <cellStyle name="hel8b" xfId="20" xr:uid="{00000000-0005-0000-0000-00000E000000}"/>
    <cellStyle name="hel8b_Snow Pit1" xfId="10" xr:uid="{00000000-0005-0000-0000-00000F000000}"/>
    <cellStyle name="hel8i" xfId="21" xr:uid="{00000000-0005-0000-0000-000010000000}"/>
    <cellStyle name="Hyperlink 2" xfId="11" xr:uid="{00000000-0005-0000-0000-000011000000}"/>
    <cellStyle name="McCall" xfId="8" xr:uid="{00000000-0005-0000-0000-000012000000}"/>
    <cellStyle name="Normal" xfId="0" builtinId="0"/>
    <cellStyle name="Normal 2" xfId="1" xr:uid="{00000000-0005-0000-0000-000014000000}"/>
    <cellStyle name="Normal 2 2" xfId="22" xr:uid="{00000000-0005-0000-0000-000015000000}"/>
    <cellStyle name="Normal 2 3" xfId="25" xr:uid="{00000000-0005-0000-0000-000016000000}"/>
    <cellStyle name="Normal 3" xfId="4" xr:uid="{00000000-0005-0000-0000-000017000000}"/>
    <cellStyle name="Normal 3 2" xfId="26" xr:uid="{00000000-0005-0000-0000-000018000000}"/>
    <cellStyle name="Normal 4" xfId="24" xr:uid="{00000000-0005-0000-0000-000019000000}"/>
    <cellStyle name="Normal_C-snowpits" xfId="28" xr:uid="{00000000-0005-0000-0000-00001A000000}"/>
    <cellStyle name="OldStuff" xfId="23" xr:uid="{00000000-0005-0000-0000-00001B000000}"/>
    <cellStyle name="Probes" xfId="9" xr:uid="{00000000-0005-0000-0000-00001C000000}"/>
  </cellStyles>
  <dxfs count="10">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9" defaultPivotStyle="PivotStyleMedium4"/>
  <colors>
    <mruColors>
      <color rgb="FFF9F7D7"/>
      <color rgb="FFEBF1DE"/>
      <color rgb="FF0066FF"/>
      <color rgb="FF66CCFF"/>
      <color rgb="FF3399FF"/>
      <color rgb="FFFFCC00"/>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Stratigraphic </a:t>
            </a:r>
            <a:r>
              <a:rPr lang="en-US" baseline="0"/>
              <a:t>Balance Gradients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Winter Balances</c:v>
          </c:tx>
          <c:spPr>
            <a:ln w="25400" cap="rnd">
              <a:noFill/>
              <a:round/>
            </a:ln>
            <a:effectLst/>
          </c:spPr>
          <c:marker>
            <c:symbol val="circle"/>
            <c:size val="5"/>
            <c:spPr>
              <a:solidFill>
                <a:schemeClr val="accent1"/>
              </a:solidFill>
              <a:ln w="9525">
                <a:solidFill>
                  <a:schemeClr val="accent1"/>
                </a:solidFill>
              </a:ln>
              <a:effectLst/>
            </c:spPr>
          </c:marker>
          <c:xVal>
            <c:numRef>
              <c:f>Stake_Summary!$E$2:$E$9</c:f>
              <c:numCache>
                <c:formatCode>0</c:formatCode>
                <c:ptCount val="8"/>
                <c:pt idx="0">
                  <c:v>1120</c:v>
                </c:pt>
                <c:pt idx="1">
                  <c:v>1948</c:v>
                </c:pt>
                <c:pt idx="2">
                  <c:v>2174</c:v>
                </c:pt>
                <c:pt idx="3">
                  <c:v>2657</c:v>
                </c:pt>
                <c:pt idx="4">
                  <c:v>3050</c:v>
                </c:pt>
                <c:pt idx="5">
                  <c:v>3100</c:v>
                </c:pt>
              </c:numCache>
            </c:numRef>
          </c:xVal>
          <c:yVal>
            <c:numRef>
              <c:f>Stake_Summary!$F$2:$F$9</c:f>
              <c:numCache>
                <c:formatCode>0.00</c:formatCode>
                <c:ptCount val="8"/>
                <c:pt idx="0">
                  <c:v>0.91</c:v>
                </c:pt>
                <c:pt idx="1">
                  <c:v>1.1595000000000002</c:v>
                </c:pt>
                <c:pt idx="2">
                  <c:v>1.1234</c:v>
                </c:pt>
                <c:pt idx="3">
                  <c:v>1.044</c:v>
                </c:pt>
                <c:pt idx="4">
                  <c:v>0</c:v>
                </c:pt>
                <c:pt idx="5" formatCode="#,##0.00">
                  <c:v>3.3839999999999999</c:v>
                </c:pt>
              </c:numCache>
            </c:numRef>
          </c:yVal>
          <c:smooth val="0"/>
          <c:extLst>
            <c:ext xmlns:c16="http://schemas.microsoft.com/office/drawing/2014/chart" uri="{C3380CC4-5D6E-409C-BE32-E72D297353CC}">
              <c16:uniqueId val="{00000000-A61F-44D1-BF97-69D9FB979650}"/>
            </c:ext>
          </c:extLst>
        </c:ser>
        <c:ser>
          <c:idx val="1"/>
          <c:order val="1"/>
          <c:tx>
            <c:v>Annual Balances</c:v>
          </c:tx>
          <c:spPr>
            <a:ln w="25400" cap="rnd">
              <a:noFill/>
              <a:round/>
            </a:ln>
            <a:effectLst/>
          </c:spPr>
          <c:marker>
            <c:symbol val="circle"/>
            <c:size val="5"/>
            <c:spPr>
              <a:solidFill>
                <a:schemeClr val="accent2"/>
              </a:solidFill>
              <a:ln w="9525">
                <a:solidFill>
                  <a:schemeClr val="accent2"/>
                </a:solidFill>
              </a:ln>
              <a:effectLst/>
            </c:spPr>
          </c:marker>
          <c:xVal>
            <c:numRef>
              <c:f>Stake_Summary!$E$2:$E$7</c:f>
              <c:numCache>
                <c:formatCode>0</c:formatCode>
                <c:ptCount val="6"/>
                <c:pt idx="0">
                  <c:v>1120</c:v>
                </c:pt>
                <c:pt idx="1">
                  <c:v>1948</c:v>
                </c:pt>
                <c:pt idx="2">
                  <c:v>2174</c:v>
                </c:pt>
                <c:pt idx="3">
                  <c:v>2657</c:v>
                </c:pt>
                <c:pt idx="4">
                  <c:v>3050</c:v>
                </c:pt>
                <c:pt idx="5">
                  <c:v>3100</c:v>
                </c:pt>
              </c:numCache>
            </c:numRef>
          </c:xVal>
          <c:yVal>
            <c:numRef>
              <c:f>Stake_Summary!$G$2:$G$7</c:f>
              <c:numCache>
                <c:formatCode>0.00</c:formatCode>
                <c:ptCount val="6"/>
                <c:pt idx="0" formatCode="#,##0.00">
                  <c:v>-1.2600000000000007</c:v>
                </c:pt>
                <c:pt idx="1">
                  <c:v>0.44291666666666663</c:v>
                </c:pt>
                <c:pt idx="2">
                  <c:v>0.87000000000000055</c:v>
                </c:pt>
                <c:pt idx="3" formatCode="#,##0.00">
                  <c:v>0.99250000000000016</c:v>
                </c:pt>
                <c:pt idx="4" formatCode="#,##0.00">
                  <c:v>2.4319999999999999</c:v>
                </c:pt>
                <c:pt idx="5" formatCode="#,##0.00">
                  <c:v>0</c:v>
                </c:pt>
              </c:numCache>
            </c:numRef>
          </c:yVal>
          <c:smooth val="0"/>
          <c:extLst>
            <c:ext xmlns:c16="http://schemas.microsoft.com/office/drawing/2014/chart" uri="{C3380CC4-5D6E-409C-BE32-E72D297353CC}">
              <c16:uniqueId val="{00000000-7C55-4E2E-AB81-84C3D8E2FBE6}"/>
            </c:ext>
          </c:extLst>
        </c:ser>
        <c:dLbls>
          <c:showLegendKey val="0"/>
          <c:showVal val="0"/>
          <c:showCatName val="0"/>
          <c:showSerName val="0"/>
          <c:showPercent val="0"/>
          <c:showBubbleSize val="0"/>
        </c:dLbls>
        <c:axId val="132866048"/>
        <c:axId val="132868352"/>
      </c:scatterChart>
      <c:valAx>
        <c:axId val="13286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68352"/>
        <c:crosses val="autoZero"/>
        <c:crossBetween val="midCat"/>
      </c:valAx>
      <c:valAx>
        <c:axId val="13286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balance</a:t>
                </a:r>
                <a:r>
                  <a:rPr lang="en-US" baseline="0"/>
                  <a:t> (m w.e.)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660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1405-490D-87F0-9F081F87500F}"/>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strRef>
              <c:f>PitCore_K17b_20240525!$B$2</c:f>
              <c:strCache>
                <c:ptCount val="1"/>
                <c:pt idx="0">
                  <c:v>K17b</c:v>
                </c:pt>
              </c:strCache>
            </c:strRef>
          </c:tx>
          <c:spPr>
            <a:ln w="12700">
              <a:solidFill>
                <a:schemeClr val="tx1"/>
              </a:solidFill>
            </a:ln>
          </c:spPr>
          <c:marker>
            <c:symbol val="circle"/>
            <c:size val="5"/>
            <c:spPr>
              <a:solidFill>
                <a:schemeClr val="tx1"/>
              </a:solidFill>
              <a:ln>
                <a:noFill/>
              </a:ln>
            </c:spPr>
          </c:marker>
          <c:xVal>
            <c:numRef>
              <c:f>PitCore_K17b_20240525!$P$13:$P$20</c:f>
              <c:numCache>
                <c:formatCode>0.00</c:formatCode>
                <c:ptCount val="8"/>
                <c:pt idx="0">
                  <c:v>0.34679089026915116</c:v>
                </c:pt>
                <c:pt idx="1">
                  <c:v>0.34679089026915116</c:v>
                </c:pt>
                <c:pt idx="2">
                  <c:v>0.37267080745341613</c:v>
                </c:pt>
                <c:pt idx="3">
                  <c:v>0.35714285714285715</c:v>
                </c:pt>
                <c:pt idx="4">
                  <c:v>0.37784679089026912</c:v>
                </c:pt>
                <c:pt idx="5">
                  <c:v>0.37267080745341613</c:v>
                </c:pt>
                <c:pt idx="6">
                  <c:v>0.38302277432712217</c:v>
                </c:pt>
                <c:pt idx="7">
                  <c:v>0.40890269151138714</c:v>
                </c:pt>
              </c:numCache>
            </c:numRef>
          </c:xVal>
          <c:yVal>
            <c:numRef>
              <c:f>PitCore_K17b_20240525!$C$13:$C$20</c:f>
              <c:numCache>
                <c:formatCode>??0</c:formatCode>
                <c:ptCount val="8"/>
                <c:pt idx="0">
                  <c:v>10</c:v>
                </c:pt>
                <c:pt idx="1">
                  <c:v>20</c:v>
                </c:pt>
                <c:pt idx="2">
                  <c:v>30</c:v>
                </c:pt>
                <c:pt idx="3">
                  <c:v>40</c:v>
                </c:pt>
                <c:pt idx="4">
                  <c:v>50</c:v>
                </c:pt>
                <c:pt idx="5">
                  <c:v>60</c:v>
                </c:pt>
                <c:pt idx="6">
                  <c:v>70</c:v>
                </c:pt>
                <c:pt idx="7">
                  <c:v>80</c:v>
                </c:pt>
              </c:numCache>
            </c:numRef>
          </c:yVal>
          <c:smooth val="1"/>
          <c:extLst>
            <c:ext xmlns:c16="http://schemas.microsoft.com/office/drawing/2014/chart" uri="{C3380CC4-5D6E-409C-BE32-E72D297353CC}">
              <c16:uniqueId val="{00000000-5703-4492-9DCA-52CBE7ADC97D}"/>
            </c:ext>
          </c:extLst>
        </c:ser>
        <c:dLbls>
          <c:showLegendKey val="0"/>
          <c:showVal val="0"/>
          <c:showCatName val="0"/>
          <c:showSerName val="0"/>
          <c:showPercent val="0"/>
          <c:showBubbleSize val="0"/>
        </c:dLbls>
        <c:axId val="169073280"/>
        <c:axId val="169108608"/>
      </c:scatterChart>
      <c:valAx>
        <c:axId val="16907328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108608"/>
        <c:crosses val="autoZero"/>
        <c:crossBetween val="midCat"/>
      </c:valAx>
      <c:valAx>
        <c:axId val="169108608"/>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7328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6693-40D5-BDCC-8C176E944906}"/>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PitCore_K17b_20240525!$P$13:$P$20</c:f>
              <c:numCache>
                <c:formatCode>0.00</c:formatCode>
                <c:ptCount val="8"/>
                <c:pt idx="0">
                  <c:v>0.34679089026915116</c:v>
                </c:pt>
                <c:pt idx="1">
                  <c:v>0.34679089026915116</c:v>
                </c:pt>
                <c:pt idx="2">
                  <c:v>0.37267080745341613</c:v>
                </c:pt>
                <c:pt idx="3">
                  <c:v>0.35714285714285715</c:v>
                </c:pt>
                <c:pt idx="4">
                  <c:v>0.37784679089026912</c:v>
                </c:pt>
                <c:pt idx="5">
                  <c:v>0.37267080745341613</c:v>
                </c:pt>
                <c:pt idx="6">
                  <c:v>0.38302277432712217</c:v>
                </c:pt>
                <c:pt idx="7">
                  <c:v>0.40890269151138714</c:v>
                </c:pt>
              </c:numCache>
            </c:numRef>
          </c:xVal>
          <c:yVal>
            <c:numRef>
              <c:f>PitCore_K17b_20240525!$C$13:$C$20</c:f>
              <c:numCache>
                <c:formatCode>??0</c:formatCode>
                <c:ptCount val="8"/>
                <c:pt idx="0">
                  <c:v>10</c:v>
                </c:pt>
                <c:pt idx="1">
                  <c:v>20</c:v>
                </c:pt>
                <c:pt idx="2">
                  <c:v>30</c:v>
                </c:pt>
                <c:pt idx="3">
                  <c:v>40</c:v>
                </c:pt>
                <c:pt idx="4">
                  <c:v>50</c:v>
                </c:pt>
                <c:pt idx="5">
                  <c:v>60</c:v>
                </c:pt>
                <c:pt idx="6">
                  <c:v>70</c:v>
                </c:pt>
                <c:pt idx="7">
                  <c:v>80</c:v>
                </c:pt>
              </c:numCache>
            </c:numRef>
          </c:yVal>
          <c:smooth val="1"/>
          <c:extLst>
            <c:ext xmlns:c16="http://schemas.microsoft.com/office/drawing/2014/chart" uri="{C3380CC4-5D6E-409C-BE32-E72D297353CC}">
              <c16:uniqueId val="{00000000-8156-4087-BE66-7720CA4C0DE0}"/>
            </c:ext>
          </c:extLst>
        </c:ser>
        <c:ser>
          <c:idx val="1"/>
          <c:order val="1"/>
          <c:tx>
            <c:v>core</c:v>
          </c:tx>
          <c:xVal>
            <c:numRef>
              <c:f>PitCore_K17b_20240525!$P$23:$P$52</c:f>
              <c:numCache>
                <c:formatCode>0.00</c:formatCode>
                <c:ptCount val="30"/>
                <c:pt idx="0">
                  <c:v>0.43891298556583019</c:v>
                </c:pt>
                <c:pt idx="1">
                  <c:v>0.48985824281900686</c:v>
                </c:pt>
                <c:pt idx="2">
                  <c:v>0.50279789451611268</c:v>
                </c:pt>
                <c:pt idx="3">
                  <c:v>0.5388440671009076</c:v>
                </c:pt>
                <c:pt idx="4">
                  <c:v>0.46407623003905918</c:v>
                </c:pt>
                <c:pt idx="5">
                  <c:v>0.5080011407011924</c:v>
                </c:pt>
                <c:pt idx="6">
                  <c:v>0.58439228967881529</c:v>
                </c:pt>
                <c:pt idx="7">
                  <c:v>0.65103740658526077</c:v>
                </c:pt>
                <c:pt idx="8">
                  <c:v>0.81391831114542668</c:v>
                </c:pt>
              </c:numCache>
            </c:numRef>
          </c:xVal>
          <c:yVal>
            <c:numRef>
              <c:f>PitCore_K17b_20240525!$C$23:$C$52</c:f>
              <c:numCache>
                <c:formatCode>??0</c:formatCode>
                <c:ptCount val="30"/>
                <c:pt idx="0">
                  <c:v>135</c:v>
                </c:pt>
                <c:pt idx="1">
                  <c:v>171</c:v>
                </c:pt>
                <c:pt idx="2">
                  <c:v>211</c:v>
                </c:pt>
                <c:pt idx="3">
                  <c:v>243</c:v>
                </c:pt>
                <c:pt idx="4">
                  <c:v>273</c:v>
                </c:pt>
                <c:pt idx="5">
                  <c:v>300</c:v>
                </c:pt>
                <c:pt idx="6">
                  <c:v>365</c:v>
                </c:pt>
                <c:pt idx="7">
                  <c:v>426</c:v>
                </c:pt>
                <c:pt idx="8">
                  <c:v>463</c:v>
                </c:pt>
              </c:numCache>
            </c:numRef>
          </c:yVal>
          <c:smooth val="1"/>
          <c:extLst>
            <c:ext xmlns:c16="http://schemas.microsoft.com/office/drawing/2014/chart" uri="{C3380CC4-5D6E-409C-BE32-E72D297353CC}">
              <c16:uniqueId val="{00000001-8156-4087-BE66-7720CA4C0DE0}"/>
            </c:ext>
          </c:extLst>
        </c:ser>
        <c:ser>
          <c:idx val="2"/>
          <c:order val="2"/>
          <c:tx>
            <c:v>firn</c:v>
          </c:tx>
          <c:xVal>
            <c:numRef>
              <c:f>PitCore_K17b_20240525!$P$50:$P$52</c:f>
              <c:numCache>
                <c:formatCode>0.00</c:formatCode>
                <c:ptCount val="3"/>
              </c:numCache>
            </c:numRef>
          </c:xVal>
          <c:yVal>
            <c:numRef>
              <c:f>PitCore_K17b_20240525!$C$50:$C$52</c:f>
              <c:numCache>
                <c:formatCode>??0</c:formatCode>
                <c:ptCount val="3"/>
              </c:numCache>
            </c:numRef>
          </c:yVal>
          <c:smooth val="1"/>
          <c:extLst>
            <c:ext xmlns:c16="http://schemas.microsoft.com/office/drawing/2014/chart" uri="{C3380CC4-5D6E-409C-BE32-E72D297353CC}">
              <c16:uniqueId val="{00000002-8156-4087-BE66-7720CA4C0DE0}"/>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204A-44AD-8C3A-D1C11F757FA9}"/>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v>pit</c:v>
          </c:tx>
          <c:spPr>
            <a:ln w="12700">
              <a:solidFill>
                <a:schemeClr val="tx1"/>
              </a:solidFill>
            </a:ln>
          </c:spPr>
          <c:marker>
            <c:symbol val="circle"/>
            <c:size val="5"/>
            <c:spPr>
              <a:solidFill>
                <a:schemeClr val="tx1"/>
              </a:solidFill>
              <a:ln>
                <a:noFill/>
              </a:ln>
            </c:spPr>
          </c:marker>
          <c:xVal>
            <c:numRef>
              <c:f>PitCore_KQU_20240525!$P$13:$P$20</c:f>
              <c:numCache>
                <c:formatCode>0.00</c:formatCode>
                <c:ptCount val="8"/>
                <c:pt idx="0">
                  <c:v>0.2277432712215321</c:v>
                </c:pt>
                <c:pt idx="1">
                  <c:v>0.23809523809523808</c:v>
                </c:pt>
                <c:pt idx="2">
                  <c:v>0.28467908902691513</c:v>
                </c:pt>
                <c:pt idx="3">
                  <c:v>0.33643892339544512</c:v>
                </c:pt>
                <c:pt idx="4">
                  <c:v>0.38302277432712217</c:v>
                </c:pt>
                <c:pt idx="5">
                  <c:v>0.37267080745341613</c:v>
                </c:pt>
                <c:pt idx="6">
                  <c:v>0.37784679089026912</c:v>
                </c:pt>
                <c:pt idx="7">
                  <c:v>0.41407867494824019</c:v>
                </c:pt>
              </c:numCache>
            </c:numRef>
          </c:xVal>
          <c:yVal>
            <c:numRef>
              <c:f>PitCore_KQU_20240525!$C$13:$C$20</c:f>
              <c:numCache>
                <c:formatCode>??0</c:formatCode>
                <c:ptCount val="8"/>
                <c:pt idx="0">
                  <c:v>10</c:v>
                </c:pt>
                <c:pt idx="1">
                  <c:v>20</c:v>
                </c:pt>
                <c:pt idx="2">
                  <c:v>30</c:v>
                </c:pt>
                <c:pt idx="3">
                  <c:v>40</c:v>
                </c:pt>
                <c:pt idx="4">
                  <c:v>50</c:v>
                </c:pt>
                <c:pt idx="5">
                  <c:v>60</c:v>
                </c:pt>
                <c:pt idx="6">
                  <c:v>70</c:v>
                </c:pt>
                <c:pt idx="7">
                  <c:v>80</c:v>
                </c:pt>
              </c:numCache>
            </c:numRef>
          </c:yVal>
          <c:smooth val="1"/>
          <c:extLst>
            <c:ext xmlns:c16="http://schemas.microsoft.com/office/drawing/2014/chart" uri="{C3380CC4-5D6E-409C-BE32-E72D297353CC}">
              <c16:uniqueId val="{00000000-042E-4A13-B141-532A45F8B4B0}"/>
            </c:ext>
          </c:extLst>
        </c:ser>
        <c:ser>
          <c:idx val="1"/>
          <c:order val="1"/>
          <c:tx>
            <c:v>core</c:v>
          </c:tx>
          <c:xVal>
            <c:numRef>
              <c:f>PitCore_KQU_20240525!$P$23:$P$52</c:f>
              <c:numCache>
                <c:formatCode>0.00</c:formatCode>
                <c:ptCount val="30"/>
                <c:pt idx="0">
                  <c:v>0.37821613166490764</c:v>
                </c:pt>
                <c:pt idx="1">
                  <c:v>0.47204521580740666</c:v>
                </c:pt>
                <c:pt idx="2">
                  <c:v>0.60564291839440854</c:v>
                </c:pt>
                <c:pt idx="3">
                  <c:v>0.46445818578394732</c:v>
                </c:pt>
                <c:pt idx="4">
                  <c:v>0.52251545900694063</c:v>
                </c:pt>
              </c:numCache>
            </c:numRef>
          </c:xVal>
          <c:yVal>
            <c:numRef>
              <c:f>PitCore_KQU_20240525!$C$23:$C$52</c:f>
              <c:numCache>
                <c:formatCode>??0</c:formatCode>
                <c:ptCount val="30"/>
                <c:pt idx="0">
                  <c:v>169</c:v>
                </c:pt>
                <c:pt idx="1">
                  <c:v>238</c:v>
                </c:pt>
                <c:pt idx="2">
                  <c:v>260</c:v>
                </c:pt>
                <c:pt idx="3">
                  <c:v>261</c:v>
                </c:pt>
                <c:pt idx="4">
                  <c:v>312</c:v>
                </c:pt>
              </c:numCache>
            </c:numRef>
          </c:yVal>
          <c:smooth val="1"/>
          <c:extLst>
            <c:ext xmlns:c16="http://schemas.microsoft.com/office/drawing/2014/chart" uri="{C3380CC4-5D6E-409C-BE32-E72D297353CC}">
              <c16:uniqueId val="{00000001-042E-4A13-B141-532A45F8B4B0}"/>
            </c:ext>
          </c:extLst>
        </c:ser>
        <c:ser>
          <c:idx val="2"/>
          <c:order val="2"/>
          <c:tx>
            <c:v>firn</c:v>
          </c:tx>
          <c:xVal>
            <c:numRef>
              <c:f>PitCore_KQU_20240525!$P$50:$P$52</c:f>
              <c:numCache>
                <c:formatCode>0.00</c:formatCode>
                <c:ptCount val="3"/>
              </c:numCache>
            </c:numRef>
          </c:xVal>
          <c:yVal>
            <c:numRef>
              <c:f>PitCore_KQU_20240525!$C$50:$C$52</c:f>
              <c:numCache>
                <c:formatCode>??0</c:formatCode>
                <c:ptCount val="3"/>
              </c:numCache>
            </c:numRef>
          </c:yVal>
          <c:smooth val="1"/>
          <c:extLst>
            <c:ext xmlns:c16="http://schemas.microsoft.com/office/drawing/2014/chart" uri="{C3380CC4-5D6E-409C-BE32-E72D297353CC}">
              <c16:uniqueId val="{00000002-042E-4A13-B141-532A45F8B4B0}"/>
            </c:ext>
          </c:extLst>
        </c:ser>
        <c:dLbls>
          <c:showLegendKey val="0"/>
          <c:showVal val="0"/>
          <c:showCatName val="0"/>
          <c:showSerName val="0"/>
          <c:showPercent val="0"/>
          <c:showBubbleSize val="0"/>
        </c:dLbls>
        <c:axId val="169062400"/>
        <c:axId val="169064320"/>
      </c:scatterChart>
      <c:valAx>
        <c:axId val="169062400"/>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0.00" sourceLinked="1"/>
        <c:majorTickMark val="in"/>
        <c:minorTickMark val="none"/>
        <c:tickLblPos val="nextTo"/>
        <c:crossAx val="169064320"/>
        <c:crosses val="autoZero"/>
        <c:crossBetween val="midCat"/>
      </c:valAx>
      <c:valAx>
        <c:axId val="169064320"/>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6240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strRef>
              <c:f>FirnCore_KPS_20240526!$B$2</c:f>
              <c:strCache>
                <c:ptCount val="1"/>
                <c:pt idx="0">
                  <c:v>KPS</c:v>
                </c:pt>
              </c:strCache>
            </c:strRef>
          </c:tx>
          <c:spPr>
            <a:ln w="12700">
              <a:solidFill>
                <a:schemeClr val="tx1"/>
              </a:solidFill>
            </a:ln>
          </c:spPr>
          <c:marker>
            <c:symbol val="circle"/>
            <c:size val="5"/>
            <c:spPr>
              <a:solidFill>
                <a:schemeClr val="tx1"/>
              </a:solidFill>
              <a:ln>
                <a:noFill/>
              </a:ln>
            </c:spPr>
          </c:marker>
          <c:xVal>
            <c:numRef>
              <c:f>FirnCore_KPS_20240526!$P$13:$P$61</c:f>
              <c:numCache>
                <c:formatCode>0.00</c:formatCode>
                <c:ptCount val="49"/>
                <c:pt idx="0">
                  <c:v>0.15010351966873706</c:v>
                </c:pt>
                <c:pt idx="1">
                  <c:v>0.2432712215320911</c:v>
                </c:pt>
                <c:pt idx="2">
                  <c:v>0.31573498964803315</c:v>
                </c:pt>
                <c:pt idx="3">
                  <c:v>0.2691511387163561</c:v>
                </c:pt>
                <c:pt idx="4">
                  <c:v>0.32608695652173914</c:v>
                </c:pt>
                <c:pt idx="5">
                  <c:v>0.32608695652173914</c:v>
                </c:pt>
                <c:pt idx="6">
                  <c:v>0.37267080745341613</c:v>
                </c:pt>
                <c:pt idx="7">
                  <c:v>0.43478260869565216</c:v>
                </c:pt>
                <c:pt idx="8">
                  <c:v>0.43995859213250516</c:v>
                </c:pt>
                <c:pt idx="9">
                  <c:v>0.41407867494824019</c:v>
                </c:pt>
                <c:pt idx="12">
                  <c:v>0.37704240507887199</c:v>
                </c:pt>
                <c:pt idx="13">
                  <c:v>0.47447002576710084</c:v>
                </c:pt>
                <c:pt idx="14">
                  <c:v>0.43674108395911448</c:v>
                </c:pt>
                <c:pt idx="15">
                  <c:v>0.47897250408969555</c:v>
                </c:pt>
                <c:pt idx="16">
                  <c:v>0.40699143086461381</c:v>
                </c:pt>
                <c:pt idx="17">
                  <c:v>0.49419327151652021</c:v>
                </c:pt>
                <c:pt idx="18">
                  <c:v>0.50048167459098525</c:v>
                </c:pt>
                <c:pt idx="19">
                  <c:v>0.47599433028639349</c:v>
                </c:pt>
                <c:pt idx="20">
                  <c:v>0.47920915058381114</c:v>
                </c:pt>
                <c:pt idx="21">
                  <c:v>0.51201263571031874</c:v>
                </c:pt>
                <c:pt idx="22">
                  <c:v>0.54456968292606478</c:v>
                </c:pt>
                <c:pt idx="23">
                  <c:v>0.54037120310969577</c:v>
                </c:pt>
                <c:pt idx="24">
                  <c:v>0.49530111218366252</c:v>
                </c:pt>
                <c:pt idx="25">
                  <c:v>0.4928151336207312</c:v>
                </c:pt>
                <c:pt idx="26">
                  <c:v>0.53304473777786132</c:v>
                </c:pt>
                <c:pt idx="27">
                  <c:v>0.53939446962092885</c:v>
                </c:pt>
                <c:pt idx="28">
                  <c:v>0.5405332334554559</c:v>
                </c:pt>
                <c:pt idx="29">
                  <c:v>0.56960260792907769</c:v>
                </c:pt>
                <c:pt idx="30">
                  <c:v>0.58196833975933304</c:v>
                </c:pt>
                <c:pt idx="31">
                  <c:v>0.58968717382003655</c:v>
                </c:pt>
                <c:pt idx="32">
                  <c:v>0.56522104940654638</c:v>
                </c:pt>
                <c:pt idx="33">
                  <c:v>0.56367249858625457</c:v>
                </c:pt>
                <c:pt idx="34">
                  <c:v>0.56547394473066559</c:v>
                </c:pt>
                <c:pt idx="35">
                  <c:v>0.57326336329898153</c:v>
                </c:pt>
                <c:pt idx="36">
                  <c:v>0.56856448327194076</c:v>
                </c:pt>
                <c:pt idx="37">
                  <c:v>0.57570968743677098</c:v>
                </c:pt>
                <c:pt idx="38">
                  <c:v>0.58739153948766809</c:v>
                </c:pt>
                <c:pt idx="39">
                  <c:v>0.5733709712385322</c:v>
                </c:pt>
                <c:pt idx="40">
                  <c:v>0.59515487445299897</c:v>
                </c:pt>
                <c:pt idx="41">
                  <c:v>0.53485834386537234</c:v>
                </c:pt>
                <c:pt idx="42">
                  <c:v>0.60960136884143079</c:v>
                </c:pt>
                <c:pt idx="43">
                  <c:v>0.63474589210350174</c:v>
                </c:pt>
                <c:pt idx="44">
                  <c:v>0.6270185508083288</c:v>
                </c:pt>
                <c:pt idx="45">
                  <c:v>0.6312606221894419</c:v>
                </c:pt>
                <c:pt idx="46">
                  <c:v>0.62814358409327198</c:v>
                </c:pt>
                <c:pt idx="47">
                  <c:v>0.56685190740787128</c:v>
                </c:pt>
                <c:pt idx="48">
                  <c:v>0.58692692687991599</c:v>
                </c:pt>
              </c:numCache>
            </c:numRef>
          </c:xVal>
          <c:yVal>
            <c:numRef>
              <c:f>FirnCore_KPS_20240526!$C$13:$C$61</c:f>
              <c:numCache>
                <c:formatCode>??0</c:formatCode>
                <c:ptCount val="49"/>
                <c:pt idx="0">
                  <c:v>10</c:v>
                </c:pt>
                <c:pt idx="1">
                  <c:v>20</c:v>
                </c:pt>
                <c:pt idx="2">
                  <c:v>30</c:v>
                </c:pt>
                <c:pt idx="3">
                  <c:v>40</c:v>
                </c:pt>
                <c:pt idx="4">
                  <c:v>50</c:v>
                </c:pt>
                <c:pt idx="5">
                  <c:v>60</c:v>
                </c:pt>
                <c:pt idx="6">
                  <c:v>70</c:v>
                </c:pt>
                <c:pt idx="7">
                  <c:v>80</c:v>
                </c:pt>
                <c:pt idx="8">
                  <c:v>90</c:v>
                </c:pt>
                <c:pt idx="9">
                  <c:v>100</c:v>
                </c:pt>
                <c:pt idx="12">
                  <c:v>180</c:v>
                </c:pt>
                <c:pt idx="13">
                  <c:v>254.4</c:v>
                </c:pt>
                <c:pt idx="14">
                  <c:v>271</c:v>
                </c:pt>
                <c:pt idx="15">
                  <c:v>312.3</c:v>
                </c:pt>
                <c:pt idx="16">
                  <c:v>359</c:v>
                </c:pt>
                <c:pt idx="17">
                  <c:v>398.5</c:v>
                </c:pt>
                <c:pt idx="18">
                  <c:v>440</c:v>
                </c:pt>
                <c:pt idx="19">
                  <c:v>482.2</c:v>
                </c:pt>
                <c:pt idx="20">
                  <c:v>519</c:v>
                </c:pt>
                <c:pt idx="21">
                  <c:v>561.5</c:v>
                </c:pt>
                <c:pt idx="22">
                  <c:v>600</c:v>
                </c:pt>
                <c:pt idx="23">
                  <c:v>639</c:v>
                </c:pt>
                <c:pt idx="24">
                  <c:v>675</c:v>
                </c:pt>
                <c:pt idx="25">
                  <c:v>722.3</c:v>
                </c:pt>
                <c:pt idx="26">
                  <c:v>762</c:v>
                </c:pt>
                <c:pt idx="27">
                  <c:v>802.1</c:v>
                </c:pt>
                <c:pt idx="28">
                  <c:v>834</c:v>
                </c:pt>
                <c:pt idx="29">
                  <c:v>872.2</c:v>
                </c:pt>
                <c:pt idx="30">
                  <c:v>919</c:v>
                </c:pt>
                <c:pt idx="31">
                  <c:v>960.4</c:v>
                </c:pt>
                <c:pt idx="32">
                  <c:v>1002</c:v>
                </c:pt>
                <c:pt idx="33">
                  <c:v>1037.3</c:v>
                </c:pt>
                <c:pt idx="34">
                  <c:v>1082</c:v>
                </c:pt>
                <c:pt idx="35">
                  <c:v>1125.3</c:v>
                </c:pt>
                <c:pt idx="36">
                  <c:v>1167</c:v>
                </c:pt>
                <c:pt idx="37">
                  <c:v>1204.3</c:v>
                </c:pt>
                <c:pt idx="38">
                  <c:v>1249</c:v>
                </c:pt>
                <c:pt idx="39">
                  <c:v>1288.2</c:v>
                </c:pt>
                <c:pt idx="40">
                  <c:v>1331</c:v>
                </c:pt>
                <c:pt idx="41">
                  <c:v>1370.5</c:v>
                </c:pt>
                <c:pt idx="42">
                  <c:v>1411</c:v>
                </c:pt>
                <c:pt idx="43">
                  <c:v>1450</c:v>
                </c:pt>
                <c:pt idx="44">
                  <c:v>1495</c:v>
                </c:pt>
                <c:pt idx="45">
                  <c:v>1537.1</c:v>
                </c:pt>
                <c:pt idx="46">
                  <c:v>1558</c:v>
                </c:pt>
                <c:pt idx="47">
                  <c:v>1596.6</c:v>
                </c:pt>
                <c:pt idx="48">
                  <c:v>1640</c:v>
                </c:pt>
              </c:numCache>
            </c:numRef>
          </c:yVal>
          <c:smooth val="1"/>
          <c:extLst>
            <c:ext xmlns:c16="http://schemas.microsoft.com/office/drawing/2014/chart" uri="{C3380CC4-5D6E-409C-BE32-E72D297353CC}">
              <c16:uniqueId val="{00000000-AF2D-4059-9C85-58ABAF6C3242}"/>
            </c:ext>
          </c:extLst>
        </c:ser>
        <c:dLbls>
          <c:showLegendKey val="0"/>
          <c:showVal val="0"/>
          <c:showCatName val="0"/>
          <c:showSerName val="0"/>
          <c:showPercent val="0"/>
          <c:showBubbleSize val="0"/>
        </c:dLbls>
        <c:axId val="169073280"/>
        <c:axId val="169108608"/>
      </c:scatterChart>
      <c:valAx>
        <c:axId val="169073280"/>
        <c:scaling>
          <c:orientation val="minMax"/>
        </c:scaling>
        <c:delete val="0"/>
        <c:axPos val="t"/>
        <c:title>
          <c:tx>
            <c:rich>
              <a:bodyPr/>
              <a:lstStyle/>
              <a:p>
                <a:pPr>
                  <a:defRPr sz="1200"/>
                </a:pPr>
                <a:r>
                  <a:rPr lang="en-US" sz="1200"/>
                  <a:t>Density (g/cm^3)</a:t>
                </a:r>
              </a:p>
            </c:rich>
          </c:tx>
          <c:layout>
            <c:manualLayout>
              <c:xMode val="edge"/>
              <c:yMode val="edge"/>
              <c:x val="0.48429947839789672"/>
              <c:y val="7.7001244777911204E-2"/>
            </c:manualLayout>
          </c:layout>
          <c:overlay val="0"/>
        </c:title>
        <c:numFmt formatCode="0.00" sourceLinked="1"/>
        <c:majorTickMark val="in"/>
        <c:minorTickMark val="none"/>
        <c:tickLblPos val="nextTo"/>
        <c:crossAx val="169108608"/>
        <c:crosses val="autoZero"/>
        <c:crossBetween val="midCat"/>
      </c:valAx>
      <c:valAx>
        <c:axId val="169108608"/>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7328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78A1-4311-A5CE-CF93FF32BBDA}"/>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spPr>
            <a:ln w="12700">
              <a:solidFill>
                <a:schemeClr val="tx1"/>
              </a:solidFill>
            </a:ln>
          </c:spPr>
          <c:marker>
            <c:symbol val="circle"/>
            <c:size val="5"/>
            <c:spPr>
              <a:solidFill>
                <a:schemeClr val="tx1"/>
              </a:solidFill>
              <a:ln>
                <a:noFill/>
              </a:ln>
            </c:spPr>
          </c:marker>
          <c:xVal>
            <c:numLit>
              <c:formatCode>General</c:formatCode>
              <c:ptCount val="1"/>
              <c:pt idx="0">
                <c:v>0</c:v>
              </c:pt>
            </c:numLit>
          </c:xVal>
          <c:yVal>
            <c:numLit>
              <c:formatCode>General</c:formatCode>
              <c:ptCount val="1"/>
              <c:pt idx="0">
                <c:v>0</c:v>
              </c:pt>
            </c:numLit>
          </c:yVal>
          <c:smooth val="1"/>
          <c:extLst>
            <c:ext xmlns:c16="http://schemas.microsoft.com/office/drawing/2014/chart" uri="{C3380CC4-5D6E-409C-BE32-E72D297353CC}">
              <c16:uniqueId val="{00000000-55D6-4B13-AAA0-41DA6EEF063F}"/>
            </c:ext>
          </c:extLst>
        </c:ser>
        <c:dLbls>
          <c:showLegendKey val="0"/>
          <c:showVal val="0"/>
          <c:showCatName val="0"/>
          <c:showSerName val="0"/>
          <c:showPercent val="0"/>
          <c:showBubbleSize val="0"/>
        </c:dLbls>
        <c:axId val="134765952"/>
        <c:axId val="134805376"/>
      </c:scatterChart>
      <c:valAx>
        <c:axId val="134765952"/>
        <c:scaling>
          <c:orientation val="minMax"/>
        </c:scaling>
        <c:delete val="0"/>
        <c:axPos val="t"/>
        <c:title>
          <c:tx>
            <c:rich>
              <a:bodyPr/>
              <a:lstStyle/>
              <a:p>
                <a:pPr>
                  <a:defRPr sz="1200"/>
                </a:pPr>
                <a:r>
                  <a:rPr lang="en-US" sz="1200"/>
                  <a:t>Density (g/cm^3)</a:t>
                </a:r>
              </a:p>
            </c:rich>
          </c:tx>
          <c:layout>
            <c:manualLayout>
              <c:xMode val="edge"/>
              <c:yMode val="edge"/>
              <c:x val="0.41898359580052491"/>
              <c:y val="1.3888888888888888E-2"/>
            </c:manualLayout>
          </c:layout>
          <c:overlay val="0"/>
        </c:title>
        <c:numFmt formatCode="General" sourceLinked="1"/>
        <c:majorTickMark val="in"/>
        <c:minorTickMark val="none"/>
        <c:tickLblPos val="nextTo"/>
        <c:crossAx val="134805376"/>
        <c:crosses val="autoZero"/>
        <c:crossBetween val="midCat"/>
      </c:valAx>
      <c:valAx>
        <c:axId val="134805376"/>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General" sourceLinked="1"/>
        <c:majorTickMark val="in"/>
        <c:minorTickMark val="none"/>
        <c:tickLblPos val="nextTo"/>
        <c:crossAx val="134765952"/>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0.14497462817147858"/>
          <c:y val="0.1771143190434529"/>
          <c:w val="0.66843460192475945"/>
          <c:h val="0.77148512685914261"/>
        </c:manualLayout>
      </c:layout>
      <c:scatterChart>
        <c:scatterStyle val="smoothMarker"/>
        <c:varyColors val="0"/>
        <c:ser>
          <c:idx val="0"/>
          <c:order val="0"/>
          <c:tx>
            <c:strRef>
              <c:f>FirnCore_KPSL_20240930!$B$2</c:f>
              <c:strCache>
                <c:ptCount val="1"/>
                <c:pt idx="0">
                  <c:v>KPSL</c:v>
                </c:pt>
              </c:strCache>
            </c:strRef>
          </c:tx>
          <c:xVal>
            <c:numRef>
              <c:f>FirnCore_KPSL_20240930!$P$13:$P$53</c:f>
              <c:numCache>
                <c:formatCode>0.00</c:formatCode>
                <c:ptCount val="41"/>
                <c:pt idx="0">
                  <c:v>0.15010351966873706</c:v>
                </c:pt>
                <c:pt idx="1">
                  <c:v>0.21739130434782608</c:v>
                </c:pt>
                <c:pt idx="2">
                  <c:v>0.30020703933747411</c:v>
                </c:pt>
                <c:pt idx="3">
                  <c:v>0.3105590062111801</c:v>
                </c:pt>
                <c:pt idx="4">
                  <c:v>0.35196687370600416</c:v>
                </c:pt>
                <c:pt idx="5">
                  <c:v>0.35196687370600416</c:v>
                </c:pt>
                <c:pt idx="6">
                  <c:v>0.35196687370600416</c:v>
                </c:pt>
                <c:pt idx="7">
                  <c:v>0.38302277432712217</c:v>
                </c:pt>
                <c:pt idx="8">
                  <c:v>0.36231884057971014</c:v>
                </c:pt>
                <c:pt idx="11">
                  <c:v>0.42415960789975182</c:v>
                </c:pt>
                <c:pt idx="12">
                  <c:v>0.42547687376279458</c:v>
                </c:pt>
                <c:pt idx="13">
                  <c:v>0.43022332630191046</c:v>
                </c:pt>
                <c:pt idx="14">
                  <c:v>0.45891982748306964</c:v>
                </c:pt>
                <c:pt idx="15">
                  <c:v>0.47438903515103825</c:v>
                </c:pt>
                <c:pt idx="16">
                  <c:v>0.45720102663107309</c:v>
                </c:pt>
                <c:pt idx="17">
                  <c:v>0.52595306071093373</c:v>
                </c:pt>
                <c:pt idx="18">
                  <c:v>0.48441537345435126</c:v>
                </c:pt>
                <c:pt idx="19">
                  <c:v>0.47026391310624666</c:v>
                </c:pt>
                <c:pt idx="20">
                  <c:v>0.43710427820772924</c:v>
                </c:pt>
                <c:pt idx="21">
                  <c:v>0.44787039343452062</c:v>
                </c:pt>
                <c:pt idx="22">
                  <c:v>0.49739452347776075</c:v>
                </c:pt>
                <c:pt idx="23">
                  <c:v>0.55622613378158203</c:v>
                </c:pt>
                <c:pt idx="24">
                  <c:v>0.46313870230160653</c:v>
                </c:pt>
                <c:pt idx="25">
                  <c:v>0.49685621771642124</c:v>
                </c:pt>
                <c:pt idx="26">
                  <c:v>0.52819497486571187</c:v>
                </c:pt>
                <c:pt idx="27">
                  <c:v>0.484095204668195</c:v>
                </c:pt>
                <c:pt idx="28">
                  <c:v>0.53184609220349321</c:v>
                </c:pt>
                <c:pt idx="29">
                  <c:v>0.56393436734285673</c:v>
                </c:pt>
                <c:pt idx="30">
                  <c:v>0.54990538226133678</c:v>
                </c:pt>
                <c:pt idx="31">
                  <c:v>0.54657867093489187</c:v>
                </c:pt>
                <c:pt idx="32">
                  <c:v>0.55535928785880551</c:v>
                </c:pt>
                <c:pt idx="33">
                  <c:v>0.53976832793641516</c:v>
                </c:pt>
                <c:pt idx="34">
                  <c:v>0.54261220743028449</c:v>
                </c:pt>
                <c:pt idx="35">
                  <c:v>0.54864123195728765</c:v>
                </c:pt>
                <c:pt idx="36">
                  <c:v>0.56605841392418565</c:v>
                </c:pt>
                <c:pt idx="37">
                  <c:v>0.54681850361191464</c:v>
                </c:pt>
                <c:pt idx="38">
                  <c:v>0.53363280919857758</c:v>
                </c:pt>
                <c:pt idx="39">
                  <c:v>0.54769692691088956</c:v>
                </c:pt>
                <c:pt idx="40">
                  <c:v>0.552935879565564</c:v>
                </c:pt>
              </c:numCache>
            </c:numRef>
          </c:xVal>
          <c:yVal>
            <c:numRef>
              <c:f>FirnCore_KPSL_20240930!$C$12:$C$53</c:f>
              <c:numCache>
                <c:formatCode>??0</c:formatCode>
                <c:ptCount val="42"/>
                <c:pt idx="0">
                  <c:v>0</c:v>
                </c:pt>
                <c:pt idx="1">
                  <c:v>10</c:v>
                </c:pt>
                <c:pt idx="2">
                  <c:v>20</c:v>
                </c:pt>
                <c:pt idx="3">
                  <c:v>30</c:v>
                </c:pt>
                <c:pt idx="4">
                  <c:v>40</c:v>
                </c:pt>
                <c:pt idx="5">
                  <c:v>50</c:v>
                </c:pt>
                <c:pt idx="6">
                  <c:v>60</c:v>
                </c:pt>
                <c:pt idx="7">
                  <c:v>70</c:v>
                </c:pt>
                <c:pt idx="8">
                  <c:v>80</c:v>
                </c:pt>
                <c:pt idx="9">
                  <c:v>90</c:v>
                </c:pt>
                <c:pt idx="12">
                  <c:v>182</c:v>
                </c:pt>
                <c:pt idx="13">
                  <c:v>218</c:v>
                </c:pt>
                <c:pt idx="14">
                  <c:v>264</c:v>
                </c:pt>
                <c:pt idx="15">
                  <c:v>298</c:v>
                </c:pt>
                <c:pt idx="16">
                  <c:v>336</c:v>
                </c:pt>
                <c:pt idx="17">
                  <c:v>382</c:v>
                </c:pt>
                <c:pt idx="18">
                  <c:v>420</c:v>
                </c:pt>
                <c:pt idx="19">
                  <c:v>462</c:v>
                </c:pt>
                <c:pt idx="20">
                  <c:v>497</c:v>
                </c:pt>
                <c:pt idx="21">
                  <c:v>529</c:v>
                </c:pt>
                <c:pt idx="22">
                  <c:v>564</c:v>
                </c:pt>
                <c:pt idx="23">
                  <c:v>625</c:v>
                </c:pt>
                <c:pt idx="24">
                  <c:v>676</c:v>
                </c:pt>
                <c:pt idx="25">
                  <c:v>709</c:v>
                </c:pt>
                <c:pt idx="26">
                  <c:v>737</c:v>
                </c:pt>
                <c:pt idx="27">
                  <c:v>760</c:v>
                </c:pt>
                <c:pt idx="28">
                  <c:v>785</c:v>
                </c:pt>
                <c:pt idx="29">
                  <c:v>862</c:v>
                </c:pt>
                <c:pt idx="30">
                  <c:v>901</c:v>
                </c:pt>
                <c:pt idx="31">
                  <c:v>932</c:v>
                </c:pt>
                <c:pt idx="32">
                  <c:v>971</c:v>
                </c:pt>
                <c:pt idx="33">
                  <c:v>1006</c:v>
                </c:pt>
                <c:pt idx="34">
                  <c:v>1067</c:v>
                </c:pt>
                <c:pt idx="35">
                  <c:v>1109</c:v>
                </c:pt>
                <c:pt idx="36">
                  <c:v>1149</c:v>
                </c:pt>
                <c:pt idx="37">
                  <c:v>1217</c:v>
                </c:pt>
                <c:pt idx="38">
                  <c:v>1253</c:v>
                </c:pt>
                <c:pt idx="39">
                  <c:v>1300</c:v>
                </c:pt>
                <c:pt idx="40">
                  <c:v>1344.5</c:v>
                </c:pt>
                <c:pt idx="41">
                  <c:v>1381</c:v>
                </c:pt>
              </c:numCache>
            </c:numRef>
          </c:yVal>
          <c:smooth val="1"/>
          <c:extLst>
            <c:ext xmlns:c16="http://schemas.microsoft.com/office/drawing/2014/chart" uri="{C3380CC4-5D6E-409C-BE32-E72D297353CC}">
              <c16:uniqueId val="{00000001-81E2-4CCB-B75E-56BB886F3D27}"/>
            </c:ext>
          </c:extLst>
        </c:ser>
        <c:dLbls>
          <c:showLegendKey val="0"/>
          <c:showVal val="0"/>
          <c:showCatName val="0"/>
          <c:showSerName val="0"/>
          <c:showPercent val="0"/>
          <c:showBubbleSize val="0"/>
        </c:dLbls>
        <c:axId val="169073280"/>
        <c:axId val="169108608"/>
      </c:scatterChart>
      <c:valAx>
        <c:axId val="169073280"/>
        <c:scaling>
          <c:orientation val="minMax"/>
        </c:scaling>
        <c:delete val="0"/>
        <c:axPos val="t"/>
        <c:title>
          <c:tx>
            <c:rich>
              <a:bodyPr/>
              <a:lstStyle/>
              <a:p>
                <a:pPr>
                  <a:defRPr sz="1200"/>
                </a:pPr>
                <a:r>
                  <a:rPr lang="en-US" sz="1200"/>
                  <a:t>Density (g/cm^3)</a:t>
                </a:r>
              </a:p>
            </c:rich>
          </c:tx>
          <c:layout>
            <c:manualLayout>
              <c:xMode val="edge"/>
              <c:yMode val="edge"/>
              <c:x val="0.32826974597539704"/>
              <c:y val="0.10621548676871315"/>
            </c:manualLayout>
          </c:layout>
          <c:overlay val="0"/>
        </c:title>
        <c:numFmt formatCode="0.00" sourceLinked="1"/>
        <c:majorTickMark val="in"/>
        <c:minorTickMark val="none"/>
        <c:tickLblPos val="nextTo"/>
        <c:crossAx val="169108608"/>
        <c:crosses val="autoZero"/>
        <c:crossBetween val="midCat"/>
      </c:valAx>
      <c:valAx>
        <c:axId val="169108608"/>
        <c:scaling>
          <c:orientation val="maxMin"/>
        </c:scaling>
        <c:delete val="0"/>
        <c:axPos val="l"/>
        <c:majorGridlines>
          <c:spPr>
            <a:ln>
              <a:prstDash val="sysDash"/>
            </a:ln>
          </c:spPr>
        </c:majorGridlines>
        <c:title>
          <c:tx>
            <c:rich>
              <a:bodyPr rot="-5400000" vert="horz"/>
              <a:lstStyle/>
              <a:p>
                <a:pPr>
                  <a:defRPr sz="1200"/>
                </a:pPr>
                <a:r>
                  <a:rPr lang="en-US" sz="1200"/>
                  <a:t>Depth (cm)</a:t>
                </a:r>
              </a:p>
            </c:rich>
          </c:tx>
          <c:overlay val="0"/>
        </c:title>
        <c:numFmt formatCode="??0" sourceLinked="1"/>
        <c:majorTickMark val="in"/>
        <c:minorTickMark val="none"/>
        <c:tickLblPos val="nextTo"/>
        <c:crossAx val="169073280"/>
        <c:crosses val="autoZero"/>
        <c:crossBetween val="midCat"/>
      </c:valAx>
      <c:spPr>
        <a:ln>
          <a:solidFill>
            <a:schemeClr val="tx1"/>
          </a:solidFill>
          <a:prstDash val="solid"/>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22860</xdr:colOff>
      <xdr:row>0</xdr:row>
      <xdr:rowOff>0</xdr:rowOff>
    </xdr:from>
    <xdr:to>
      <xdr:col>17</xdr:col>
      <xdr:colOff>327660</xdr:colOff>
      <xdr:row>17</xdr:row>
      <xdr:rowOff>53340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EDC17B47-AEA3-4363-9CCC-C4783C3C5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50</xdr:row>
      <xdr:rowOff>30480</xdr:rowOff>
    </xdr:to>
    <xdr:graphicFrame macro="">
      <xdr:nvGraphicFramePr>
        <xdr:cNvPr id="2" name="Chart 1">
          <a:extLst>
            <a:ext uri="{FF2B5EF4-FFF2-40B4-BE49-F238E27FC236}">
              <a16:creationId xmlns:a16="http://schemas.microsoft.com/office/drawing/2014/main" id="{1D4A6013-0D59-40FB-A716-1A2FB22B3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32</xdr:col>
      <xdr:colOff>22861</xdr:colOff>
      <xdr:row>6</xdr:row>
      <xdr:rowOff>30480</xdr:rowOff>
    </xdr:from>
    <xdr:to>
      <xdr:col>39</xdr:col>
      <xdr:colOff>335281</xdr:colOff>
      <xdr:row>52</xdr:row>
      <xdr:rowOff>30480</xdr:rowOff>
    </xdr:to>
    <xdr:graphicFrame macro="">
      <xdr:nvGraphicFramePr>
        <xdr:cNvPr id="2" name="Chart 1">
          <a:extLst>
            <a:ext uri="{FF2B5EF4-FFF2-40B4-BE49-F238E27FC236}">
              <a16:creationId xmlns:a16="http://schemas.microsoft.com/office/drawing/2014/main" id="{83FEF6D1-33B4-4877-94E7-C77C8B69B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C64868E0-2482-471A-8660-D8D1CE6B3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10F7E68A-15C0-4688-901D-A50FDF90A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32</xdr:col>
      <xdr:colOff>22861</xdr:colOff>
      <xdr:row>6</xdr:row>
      <xdr:rowOff>30480</xdr:rowOff>
    </xdr:from>
    <xdr:to>
      <xdr:col>39</xdr:col>
      <xdr:colOff>335281</xdr:colOff>
      <xdr:row>49</xdr:row>
      <xdr:rowOff>30480</xdr:rowOff>
    </xdr:to>
    <xdr:graphicFrame macro="">
      <xdr:nvGraphicFramePr>
        <xdr:cNvPr id="2" name="Chart 1">
          <a:extLst>
            <a:ext uri="{FF2B5EF4-FFF2-40B4-BE49-F238E27FC236}">
              <a16:creationId xmlns:a16="http://schemas.microsoft.com/office/drawing/2014/main" id="{561AD801-9801-42CF-ADE8-F8844BFEA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22861</xdr:colOff>
      <xdr:row>6</xdr:row>
      <xdr:rowOff>30480</xdr:rowOff>
    </xdr:from>
    <xdr:to>
      <xdr:col>21</xdr:col>
      <xdr:colOff>335281</xdr:colOff>
      <xdr:row>52</xdr:row>
      <xdr:rowOff>30480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29</xdr:col>
      <xdr:colOff>22861</xdr:colOff>
      <xdr:row>6</xdr:row>
      <xdr:rowOff>30480</xdr:rowOff>
    </xdr:from>
    <xdr:to>
      <xdr:col>36</xdr:col>
      <xdr:colOff>335281</xdr:colOff>
      <xdr:row>52</xdr:row>
      <xdr:rowOff>30480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57</xdr:row>
      <xdr:rowOff>142875</xdr:rowOff>
    </xdr:to>
    <xdr:sp macro="" textlink="">
      <xdr:nvSpPr>
        <xdr:cNvPr id="2" name="AutoShape 5">
          <a:extLst>
            <a:ext uri="{FF2B5EF4-FFF2-40B4-BE49-F238E27FC236}">
              <a16:creationId xmlns:a16="http://schemas.microsoft.com/office/drawing/2014/main" id="{7B0FE9AB-ECA5-4513-B79F-09DA6094CA18}"/>
            </a:ext>
          </a:extLst>
        </xdr:cNvPr>
        <xdr:cNvSpPr>
          <a:spLocks noChangeArrowheads="1"/>
        </xdr:cNvSpPr>
      </xdr:nvSpPr>
      <xdr:spPr bwMode="auto">
        <a:xfrm>
          <a:off x="0" y="0"/>
          <a:ext cx="13366750" cy="11379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3" name="AutoShape 5">
          <a:extLst>
            <a:ext uri="{FF2B5EF4-FFF2-40B4-BE49-F238E27FC236}">
              <a16:creationId xmlns:a16="http://schemas.microsoft.com/office/drawing/2014/main" id="{8D15CF2A-F320-4486-A63A-9FC6A58C0D61}"/>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57</xdr:row>
      <xdr:rowOff>142875</xdr:rowOff>
    </xdr:to>
    <xdr:sp macro="" textlink="">
      <xdr:nvSpPr>
        <xdr:cNvPr id="4" name="AutoShape 5">
          <a:extLst>
            <a:ext uri="{FF2B5EF4-FFF2-40B4-BE49-F238E27FC236}">
              <a16:creationId xmlns:a16="http://schemas.microsoft.com/office/drawing/2014/main" id="{BA6DD2A9-CFA5-44BF-B7A6-FF1F935C8203}"/>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5" name="AutoShape 5">
          <a:extLst>
            <a:ext uri="{FF2B5EF4-FFF2-40B4-BE49-F238E27FC236}">
              <a16:creationId xmlns:a16="http://schemas.microsoft.com/office/drawing/2014/main" id="{E3C93615-34BC-471F-9A7C-6EEACC801DA4}"/>
            </a:ext>
          </a:extLst>
        </xdr:cNvPr>
        <xdr:cNvSpPr>
          <a:spLocks noChangeArrowheads="1"/>
        </xdr:cNvSpPr>
      </xdr:nvSpPr>
      <xdr:spPr bwMode="auto">
        <a:xfrm>
          <a:off x="0" y="0"/>
          <a:ext cx="13366750" cy="11582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6" name="AutoShape 5">
          <a:extLst>
            <a:ext uri="{FF2B5EF4-FFF2-40B4-BE49-F238E27FC236}">
              <a16:creationId xmlns:a16="http://schemas.microsoft.com/office/drawing/2014/main" id="{55C91B5C-2FA9-4ADC-85B1-1B2E1B63609D}"/>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7" name="AutoShape 5">
          <a:extLst>
            <a:ext uri="{FF2B5EF4-FFF2-40B4-BE49-F238E27FC236}">
              <a16:creationId xmlns:a16="http://schemas.microsoft.com/office/drawing/2014/main" id="{FE5FA3C6-C3BE-433D-9FD8-09E3416E1494}"/>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58</xdr:row>
      <xdr:rowOff>142875</xdr:rowOff>
    </xdr:to>
    <xdr:sp macro="" textlink="">
      <xdr:nvSpPr>
        <xdr:cNvPr id="2" name="AutoShape 5">
          <a:extLst>
            <a:ext uri="{FF2B5EF4-FFF2-40B4-BE49-F238E27FC236}">
              <a16:creationId xmlns:a16="http://schemas.microsoft.com/office/drawing/2014/main" id="{6C100BFA-89A5-42D5-83BF-5051F73BACBA}"/>
            </a:ext>
          </a:extLst>
        </xdr:cNvPr>
        <xdr:cNvSpPr>
          <a:spLocks noChangeArrowheads="1"/>
        </xdr:cNvSpPr>
      </xdr:nvSpPr>
      <xdr:spPr bwMode="auto">
        <a:xfrm>
          <a:off x="0" y="0"/>
          <a:ext cx="13366750" cy="11379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3" name="AutoShape 5">
          <a:extLst>
            <a:ext uri="{FF2B5EF4-FFF2-40B4-BE49-F238E27FC236}">
              <a16:creationId xmlns:a16="http://schemas.microsoft.com/office/drawing/2014/main" id="{2D00E15D-9A4A-4209-91CA-AB0044CFFA6B}"/>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4" name="AutoShape 5">
          <a:extLst>
            <a:ext uri="{FF2B5EF4-FFF2-40B4-BE49-F238E27FC236}">
              <a16:creationId xmlns:a16="http://schemas.microsoft.com/office/drawing/2014/main" id="{8BBD6361-EC28-421F-B3E2-5908AD61B8B8}"/>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5" name="AutoShape 5">
          <a:extLst>
            <a:ext uri="{FF2B5EF4-FFF2-40B4-BE49-F238E27FC236}">
              <a16:creationId xmlns:a16="http://schemas.microsoft.com/office/drawing/2014/main" id="{967003C4-346D-430A-8485-60962A6E8E04}"/>
            </a:ext>
          </a:extLst>
        </xdr:cNvPr>
        <xdr:cNvSpPr>
          <a:spLocks noChangeArrowheads="1"/>
        </xdr:cNvSpPr>
      </xdr:nvSpPr>
      <xdr:spPr bwMode="auto">
        <a:xfrm>
          <a:off x="0" y="0"/>
          <a:ext cx="13366750" cy="11582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6" name="AutoShape 5">
          <a:extLst>
            <a:ext uri="{FF2B5EF4-FFF2-40B4-BE49-F238E27FC236}">
              <a16:creationId xmlns:a16="http://schemas.microsoft.com/office/drawing/2014/main" id="{EE4E729B-C684-4782-A3AD-7BA14F386A59}"/>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7" name="AutoShape 5">
          <a:extLst>
            <a:ext uri="{FF2B5EF4-FFF2-40B4-BE49-F238E27FC236}">
              <a16:creationId xmlns:a16="http://schemas.microsoft.com/office/drawing/2014/main" id="{4D1E90A5-E046-49E6-B1E6-232B535A351B}"/>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58</xdr:row>
      <xdr:rowOff>142875</xdr:rowOff>
    </xdr:to>
    <xdr:sp macro="" textlink="">
      <xdr:nvSpPr>
        <xdr:cNvPr id="2" name="AutoShape 5">
          <a:extLst>
            <a:ext uri="{FF2B5EF4-FFF2-40B4-BE49-F238E27FC236}">
              <a16:creationId xmlns:a16="http://schemas.microsoft.com/office/drawing/2014/main" id="{3927C1A7-50DE-4D59-886C-25C68930A097}"/>
            </a:ext>
          </a:extLst>
        </xdr:cNvPr>
        <xdr:cNvSpPr>
          <a:spLocks noChangeArrowheads="1"/>
        </xdr:cNvSpPr>
      </xdr:nvSpPr>
      <xdr:spPr bwMode="auto">
        <a:xfrm>
          <a:off x="0" y="0"/>
          <a:ext cx="13366750" cy="11379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3" name="AutoShape 5">
          <a:extLst>
            <a:ext uri="{FF2B5EF4-FFF2-40B4-BE49-F238E27FC236}">
              <a16:creationId xmlns:a16="http://schemas.microsoft.com/office/drawing/2014/main" id="{7FEB7676-2033-4957-92A6-8A59BB8A54D3}"/>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58</xdr:row>
      <xdr:rowOff>142875</xdr:rowOff>
    </xdr:to>
    <xdr:sp macro="" textlink="">
      <xdr:nvSpPr>
        <xdr:cNvPr id="4" name="AutoShape 5">
          <a:extLst>
            <a:ext uri="{FF2B5EF4-FFF2-40B4-BE49-F238E27FC236}">
              <a16:creationId xmlns:a16="http://schemas.microsoft.com/office/drawing/2014/main" id="{B911E8FB-6BEC-4C28-B50E-540DE6F96AE8}"/>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5" name="AutoShape 5">
          <a:extLst>
            <a:ext uri="{FF2B5EF4-FFF2-40B4-BE49-F238E27FC236}">
              <a16:creationId xmlns:a16="http://schemas.microsoft.com/office/drawing/2014/main" id="{FA57C629-9FB0-431A-8891-6AB72CEA1161}"/>
            </a:ext>
          </a:extLst>
        </xdr:cNvPr>
        <xdr:cNvSpPr>
          <a:spLocks noChangeArrowheads="1"/>
        </xdr:cNvSpPr>
      </xdr:nvSpPr>
      <xdr:spPr bwMode="auto">
        <a:xfrm>
          <a:off x="0" y="0"/>
          <a:ext cx="13366750" cy="11582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6" name="AutoShape 5">
          <a:extLst>
            <a:ext uri="{FF2B5EF4-FFF2-40B4-BE49-F238E27FC236}">
              <a16:creationId xmlns:a16="http://schemas.microsoft.com/office/drawing/2014/main" id="{628A3381-4A37-4AB1-B49A-FC0DCAB5820C}"/>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59</xdr:row>
      <xdr:rowOff>142875</xdr:rowOff>
    </xdr:to>
    <xdr:sp macro="" textlink="">
      <xdr:nvSpPr>
        <xdr:cNvPr id="7" name="AutoShape 5">
          <a:extLst>
            <a:ext uri="{FF2B5EF4-FFF2-40B4-BE49-F238E27FC236}">
              <a16:creationId xmlns:a16="http://schemas.microsoft.com/office/drawing/2014/main" id="{975CED5C-24A9-4855-9832-9A0151EF088D}"/>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55</xdr:row>
      <xdr:rowOff>142875</xdr:rowOff>
    </xdr:to>
    <xdr:sp macro="" textlink="">
      <xdr:nvSpPr>
        <xdr:cNvPr id="2053" name="Rectangle 5" hidden="1">
          <a:extLst>
            <a:ext uri="{FF2B5EF4-FFF2-40B4-BE49-F238E27FC236}">
              <a16:creationId xmlns:a16="http://schemas.microsoft.com/office/drawing/2014/main" id="{00000000-0008-0000-0100-000005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3" name="AutoShape 5">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4" name="AutoShape 5">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5" name="AutoShape 5">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6" name="AutoShape 5">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34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7" name="AutoShape 5">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3452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8" name="AutoShape 5">
          <a:extLst>
            <a:ext uri="{FF2B5EF4-FFF2-40B4-BE49-F238E27FC236}">
              <a16:creationId xmlns:a16="http://schemas.microsoft.com/office/drawing/2014/main" id="{00000000-0008-0000-0100-000008000000}"/>
            </a:ext>
          </a:extLst>
        </xdr:cNvPr>
        <xdr:cNvSpPr>
          <a:spLocks noChangeArrowheads="1"/>
        </xdr:cNvSpPr>
      </xdr:nvSpPr>
      <xdr:spPr bwMode="auto">
        <a:xfrm>
          <a:off x="0" y="0"/>
          <a:ext cx="9525000" cy="953452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55</xdr:row>
      <xdr:rowOff>142875</xdr:rowOff>
    </xdr:to>
    <xdr:sp macro="" textlink="">
      <xdr:nvSpPr>
        <xdr:cNvPr id="2" name="AutoShape 5">
          <a:extLst>
            <a:ext uri="{FF2B5EF4-FFF2-40B4-BE49-F238E27FC236}">
              <a16:creationId xmlns:a16="http://schemas.microsoft.com/office/drawing/2014/main" id="{C6CD20CF-784F-476C-9CDC-81D2BC4F8FE9}"/>
            </a:ext>
          </a:extLst>
        </xdr:cNvPr>
        <xdr:cNvSpPr>
          <a:spLocks noChangeArrowheads="1"/>
        </xdr:cNvSpPr>
      </xdr:nvSpPr>
      <xdr:spPr bwMode="auto">
        <a:xfrm>
          <a:off x="0" y="0"/>
          <a:ext cx="13366750" cy="11379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3" name="AutoShape 5">
          <a:extLst>
            <a:ext uri="{FF2B5EF4-FFF2-40B4-BE49-F238E27FC236}">
              <a16:creationId xmlns:a16="http://schemas.microsoft.com/office/drawing/2014/main" id="{B62BA7B1-DF19-4361-BE08-A872E418A7AF}"/>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4" name="AutoShape 5">
          <a:extLst>
            <a:ext uri="{FF2B5EF4-FFF2-40B4-BE49-F238E27FC236}">
              <a16:creationId xmlns:a16="http://schemas.microsoft.com/office/drawing/2014/main" id="{E6B9D81B-1AD7-4473-9B34-A4F02C3BB9BC}"/>
            </a:ext>
          </a:extLst>
        </xdr:cNvPr>
        <xdr:cNvSpPr>
          <a:spLocks noChangeArrowheads="1"/>
        </xdr:cNvSpPr>
      </xdr:nvSpPr>
      <xdr:spPr bwMode="auto">
        <a:xfrm>
          <a:off x="0" y="0"/>
          <a:ext cx="13366750" cy="113792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5" name="AutoShape 5">
          <a:extLst>
            <a:ext uri="{FF2B5EF4-FFF2-40B4-BE49-F238E27FC236}">
              <a16:creationId xmlns:a16="http://schemas.microsoft.com/office/drawing/2014/main" id="{716F9914-7CD7-42B1-A99F-B3BE4AEAC14C}"/>
            </a:ext>
          </a:extLst>
        </xdr:cNvPr>
        <xdr:cNvSpPr>
          <a:spLocks noChangeArrowheads="1"/>
        </xdr:cNvSpPr>
      </xdr:nvSpPr>
      <xdr:spPr bwMode="auto">
        <a:xfrm>
          <a:off x="0" y="0"/>
          <a:ext cx="13366750" cy="11582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6" name="AutoShape 5">
          <a:extLst>
            <a:ext uri="{FF2B5EF4-FFF2-40B4-BE49-F238E27FC236}">
              <a16:creationId xmlns:a16="http://schemas.microsoft.com/office/drawing/2014/main" id="{51C361DE-3236-4010-A2EA-92F096E22B04}"/>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7" name="AutoShape 5">
          <a:extLst>
            <a:ext uri="{FF2B5EF4-FFF2-40B4-BE49-F238E27FC236}">
              <a16:creationId xmlns:a16="http://schemas.microsoft.com/office/drawing/2014/main" id="{E051B360-415C-44EB-A965-5DD15859909D}"/>
            </a:ext>
          </a:extLst>
        </xdr:cNvPr>
        <xdr:cNvSpPr>
          <a:spLocks noChangeArrowheads="1"/>
        </xdr:cNvSpPr>
      </xdr:nvSpPr>
      <xdr:spPr bwMode="auto">
        <a:xfrm>
          <a:off x="0" y="0"/>
          <a:ext cx="13366750" cy="115824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361950</xdr:colOff>
      <xdr:row>55</xdr:row>
      <xdr:rowOff>142875</xdr:rowOff>
    </xdr:to>
    <xdr:sp macro="" textlink="">
      <xdr:nvSpPr>
        <xdr:cNvPr id="2" name="AutoShape 5">
          <a:extLst>
            <a:ext uri="{FF2B5EF4-FFF2-40B4-BE49-F238E27FC236}">
              <a16:creationId xmlns:a16="http://schemas.microsoft.com/office/drawing/2014/main" id="{F9803015-8420-48A7-B0AF-59292B173BDE}"/>
            </a:ext>
          </a:extLst>
        </xdr:cNvPr>
        <xdr:cNvSpPr>
          <a:spLocks noChangeArrowheads="1"/>
        </xdr:cNvSpPr>
      </xdr:nvSpPr>
      <xdr:spPr bwMode="auto">
        <a:xfrm>
          <a:off x="0" y="0"/>
          <a:ext cx="13344525" cy="11449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3" name="AutoShape 5">
          <a:extLst>
            <a:ext uri="{FF2B5EF4-FFF2-40B4-BE49-F238E27FC236}">
              <a16:creationId xmlns:a16="http://schemas.microsoft.com/office/drawing/2014/main" id="{4305D0D5-F9FC-46C3-A113-4CE9F2E4BE82}"/>
            </a:ext>
          </a:extLst>
        </xdr:cNvPr>
        <xdr:cNvSpPr>
          <a:spLocks noChangeArrowheads="1"/>
        </xdr:cNvSpPr>
      </xdr:nvSpPr>
      <xdr:spPr bwMode="auto">
        <a:xfrm>
          <a:off x="0" y="0"/>
          <a:ext cx="13344525" cy="114490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55</xdr:row>
      <xdr:rowOff>142875</xdr:rowOff>
    </xdr:to>
    <xdr:sp macro="" textlink="">
      <xdr:nvSpPr>
        <xdr:cNvPr id="4" name="AutoShape 5">
          <a:extLst>
            <a:ext uri="{FF2B5EF4-FFF2-40B4-BE49-F238E27FC236}">
              <a16:creationId xmlns:a16="http://schemas.microsoft.com/office/drawing/2014/main" id="{9762DA3A-F892-42B3-88A1-B1A243AA7AFC}"/>
            </a:ext>
          </a:extLst>
        </xdr:cNvPr>
        <xdr:cNvSpPr>
          <a:spLocks noChangeArrowheads="1"/>
        </xdr:cNvSpPr>
      </xdr:nvSpPr>
      <xdr:spPr bwMode="auto">
        <a:xfrm>
          <a:off x="0" y="0"/>
          <a:ext cx="13344525" cy="114490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5" name="AutoShape 5">
          <a:extLst>
            <a:ext uri="{FF2B5EF4-FFF2-40B4-BE49-F238E27FC236}">
              <a16:creationId xmlns:a16="http://schemas.microsoft.com/office/drawing/2014/main" id="{7A619280-4847-40C2-9FEA-5AAD2B8203A5}"/>
            </a:ext>
          </a:extLst>
        </xdr:cNvPr>
        <xdr:cNvSpPr>
          <a:spLocks noChangeArrowheads="1"/>
        </xdr:cNvSpPr>
      </xdr:nvSpPr>
      <xdr:spPr bwMode="auto">
        <a:xfrm>
          <a:off x="0" y="0"/>
          <a:ext cx="13344525" cy="116490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6" name="AutoShape 5">
          <a:extLst>
            <a:ext uri="{FF2B5EF4-FFF2-40B4-BE49-F238E27FC236}">
              <a16:creationId xmlns:a16="http://schemas.microsoft.com/office/drawing/2014/main" id="{2129720C-632B-41E6-A145-794C5CEA4D8D}"/>
            </a:ext>
          </a:extLst>
        </xdr:cNvPr>
        <xdr:cNvSpPr>
          <a:spLocks noChangeArrowheads="1"/>
        </xdr:cNvSpPr>
      </xdr:nvSpPr>
      <xdr:spPr bwMode="auto">
        <a:xfrm>
          <a:off x="0" y="0"/>
          <a:ext cx="13344525" cy="116490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361950</xdr:colOff>
      <xdr:row>56</xdr:row>
      <xdr:rowOff>142875</xdr:rowOff>
    </xdr:to>
    <xdr:sp macro="" textlink="">
      <xdr:nvSpPr>
        <xdr:cNvPr id="7" name="AutoShape 5">
          <a:extLst>
            <a:ext uri="{FF2B5EF4-FFF2-40B4-BE49-F238E27FC236}">
              <a16:creationId xmlns:a16="http://schemas.microsoft.com/office/drawing/2014/main" id="{44AF4BB8-2124-4052-96C3-74A9AFF48876}"/>
            </a:ext>
          </a:extLst>
        </xdr:cNvPr>
        <xdr:cNvSpPr>
          <a:spLocks noChangeArrowheads="1"/>
        </xdr:cNvSpPr>
      </xdr:nvSpPr>
      <xdr:spPr bwMode="auto">
        <a:xfrm>
          <a:off x="0" y="0"/>
          <a:ext cx="13344525" cy="116490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21</xdr:col>
      <xdr:colOff>53341</xdr:colOff>
      <xdr:row>4</xdr:row>
      <xdr:rowOff>76200</xdr:rowOff>
    </xdr:from>
    <xdr:to>
      <xdr:col>29</xdr:col>
      <xdr:colOff>60961</xdr:colOff>
      <xdr:row>50</xdr:row>
      <xdr:rowOff>0</xdr:rowOff>
    </xdr:to>
    <xdr:graphicFrame macro="">
      <xdr:nvGraphicFramePr>
        <xdr:cNvPr id="2" name="Chart 1">
          <a:extLst>
            <a:ext uri="{FF2B5EF4-FFF2-40B4-BE49-F238E27FC236}">
              <a16:creationId xmlns:a16="http://schemas.microsoft.com/office/drawing/2014/main" id="{B10356D7-6AE9-48AB-86A6-A18BAA0A0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23</xdr:col>
      <xdr:colOff>22861</xdr:colOff>
      <xdr:row>6</xdr:row>
      <xdr:rowOff>30480</xdr:rowOff>
    </xdr:from>
    <xdr:to>
      <xdr:col>30</xdr:col>
      <xdr:colOff>335281</xdr:colOff>
      <xdr:row>50</xdr:row>
      <xdr:rowOff>30480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OLVERINE\STAKEB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OLVERINE\Wolv-C%20Snowpi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WOLVERINE\Wolv-B%20Snowp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ke A"/>
      <sheetName val="Stake B"/>
      <sheetName val="Stake C"/>
      <sheetName val="SNOWPIT"/>
    </sheetNames>
    <sheetDataSet>
      <sheetData sheetId="0">
        <row r="103">
          <cell r="A103">
            <v>32784</v>
          </cell>
          <cell r="D103" t="str">
            <v>89T157</v>
          </cell>
          <cell r="E103" t="str">
            <v>89-A</v>
          </cell>
          <cell r="F103" t="str">
            <v>I</v>
          </cell>
          <cell r="H103">
            <v>7.9</v>
          </cell>
          <cell r="I103">
            <v>0</v>
          </cell>
          <cell r="J103">
            <v>0</v>
          </cell>
          <cell r="K103" t="str">
            <v/>
          </cell>
          <cell r="M103">
            <v>7.9</v>
          </cell>
          <cell r="N103" t="str">
            <v/>
          </cell>
          <cell r="X103" t="str">
            <v/>
          </cell>
          <cell r="Z103" t="str">
            <v/>
          </cell>
          <cell r="AA103" t="str">
            <v/>
          </cell>
          <cell r="AF103" t="str">
            <v/>
          </cell>
          <cell r="AJ103" t="str">
            <v/>
          </cell>
          <cell r="AM103" t="str">
            <v/>
          </cell>
          <cell r="AN103" t="str">
            <v/>
          </cell>
          <cell r="BG103" t="str">
            <v/>
          </cell>
          <cell r="BK103" t="str">
            <v/>
          </cell>
          <cell r="BL103" t="str">
            <v/>
          </cell>
          <cell r="BO103">
            <v>7.65</v>
          </cell>
          <cell r="BP103">
            <v>7.9</v>
          </cell>
          <cell r="BQ103">
            <v>7.9</v>
          </cell>
          <cell r="BU103" t="str">
            <v/>
          </cell>
          <cell r="BW103">
            <v>0</v>
          </cell>
          <cell r="BX103">
            <v>0</v>
          </cell>
          <cell r="BY103">
            <v>0</v>
          </cell>
          <cell r="BZ103">
            <v>0.23</v>
          </cell>
          <cell r="CA103">
            <v>0.23</v>
          </cell>
          <cell r="CB103">
            <v>0.23</v>
          </cell>
        </row>
        <row r="104">
          <cell r="A104">
            <v>32789</v>
          </cell>
          <cell r="D104" t="str">
            <v>89T160</v>
          </cell>
          <cell r="E104" t="str">
            <v>89-A</v>
          </cell>
          <cell r="F104" t="str">
            <v>I</v>
          </cell>
          <cell r="G104" t="str">
            <v>?/?</v>
          </cell>
          <cell r="H104">
            <v>7.85</v>
          </cell>
          <cell r="K104" t="str">
            <v/>
          </cell>
          <cell r="M104">
            <v>7.85</v>
          </cell>
          <cell r="N104" t="str">
            <v/>
          </cell>
          <cell r="X104" t="str">
            <v/>
          </cell>
          <cell r="Z104" t="str">
            <v/>
          </cell>
          <cell r="AA104" t="str">
            <v/>
          </cell>
          <cell r="AF104" t="str">
            <v/>
          </cell>
          <cell r="AJ104" t="str">
            <v/>
          </cell>
          <cell r="AM104" t="str">
            <v/>
          </cell>
          <cell r="AN104" t="str">
            <v/>
          </cell>
          <cell r="BG104" t="str">
            <v/>
          </cell>
          <cell r="BK104" t="str">
            <v/>
          </cell>
          <cell r="BL104" t="str">
            <v/>
          </cell>
          <cell r="BO104">
            <v>7.65</v>
          </cell>
          <cell r="BP104">
            <v>7.85</v>
          </cell>
          <cell r="BQ104">
            <v>7.85</v>
          </cell>
          <cell r="BU104" t="str">
            <v/>
          </cell>
          <cell r="BW104">
            <v>0</v>
          </cell>
          <cell r="BX104">
            <v>0</v>
          </cell>
          <cell r="BY104">
            <v>0</v>
          </cell>
          <cell r="BZ104">
            <v>0.18</v>
          </cell>
          <cell r="CA104">
            <v>0.18</v>
          </cell>
          <cell r="CB104">
            <v>0.18</v>
          </cell>
        </row>
        <row r="105">
          <cell r="A105">
            <v>32918</v>
          </cell>
          <cell r="D105" t="str">
            <v>90T53</v>
          </cell>
          <cell r="E105" t="str">
            <v>89-A</v>
          </cell>
          <cell r="F105" t="str">
            <v>S</v>
          </cell>
          <cell r="G105" t="str">
            <v>12/12</v>
          </cell>
          <cell r="H105">
            <v>9.5</v>
          </cell>
          <cell r="I105">
            <v>7.18</v>
          </cell>
          <cell r="J105">
            <v>7.15</v>
          </cell>
          <cell r="K105">
            <v>2.9999999999999361E-2</v>
          </cell>
          <cell r="M105">
            <v>9.4700000000000006</v>
          </cell>
          <cell r="N105">
            <v>1.8200000000000003</v>
          </cell>
          <cell r="X105">
            <v>1.82</v>
          </cell>
          <cell r="Z105" t="str">
            <v/>
          </cell>
          <cell r="AA105">
            <v>1</v>
          </cell>
          <cell r="AE105">
            <v>0.36</v>
          </cell>
          <cell r="AF105">
            <v>0.36</v>
          </cell>
          <cell r="AI105">
            <v>-1</v>
          </cell>
          <cell r="AJ105">
            <v>-1</v>
          </cell>
          <cell r="AM105">
            <v>7.65</v>
          </cell>
          <cell r="AN105">
            <v>7.65</v>
          </cell>
          <cell r="BG105" t="str">
            <v/>
          </cell>
          <cell r="BK105" t="str">
            <v/>
          </cell>
          <cell r="BL105" t="str">
            <v/>
          </cell>
          <cell r="BO105">
            <v>7.65</v>
          </cell>
          <cell r="BP105">
            <v>7.65</v>
          </cell>
          <cell r="BQ105">
            <v>7.65</v>
          </cell>
          <cell r="BU105">
            <v>0.66</v>
          </cell>
          <cell r="BW105">
            <v>0</v>
          </cell>
          <cell r="BX105">
            <v>0</v>
          </cell>
          <cell r="BY105">
            <v>0</v>
          </cell>
          <cell r="BZ105">
            <v>0</v>
          </cell>
          <cell r="CA105">
            <v>0.66</v>
          </cell>
          <cell r="CB105">
            <v>0</v>
          </cell>
        </row>
        <row r="106">
          <cell r="A106">
            <v>32949</v>
          </cell>
          <cell r="D106" t="str">
            <v>90T63</v>
          </cell>
          <cell r="E106" t="str">
            <v>89-A</v>
          </cell>
          <cell r="F106" t="str">
            <v>S</v>
          </cell>
          <cell r="G106" t="str">
            <v>12/12</v>
          </cell>
          <cell r="H106">
            <v>9.6</v>
          </cell>
          <cell r="K106" t="str">
            <v/>
          </cell>
          <cell r="M106">
            <v>9.6</v>
          </cell>
          <cell r="N106">
            <v>1.9499999999999993</v>
          </cell>
          <cell r="U106">
            <v>1.95</v>
          </cell>
          <cell r="V106">
            <v>3</v>
          </cell>
          <cell r="X106">
            <v>1.95</v>
          </cell>
          <cell r="AA106">
            <v>4</v>
          </cell>
          <cell r="AE106">
            <v>0.36</v>
          </cell>
          <cell r="AF106">
            <v>0.36</v>
          </cell>
          <cell r="AI106">
            <v>-1</v>
          </cell>
          <cell r="AJ106">
            <v>-1</v>
          </cell>
          <cell r="AM106">
            <v>7.65</v>
          </cell>
          <cell r="AN106">
            <v>7.65</v>
          </cell>
          <cell r="BG106" t="str">
            <v/>
          </cell>
          <cell r="BK106" t="str">
            <v/>
          </cell>
          <cell r="BL106" t="str">
            <v/>
          </cell>
          <cell r="BO106">
            <v>7.65</v>
          </cell>
          <cell r="BP106">
            <v>7.65</v>
          </cell>
          <cell r="BQ106">
            <v>7.65</v>
          </cell>
          <cell r="BU106">
            <v>0.7</v>
          </cell>
          <cell r="BW106">
            <v>0</v>
          </cell>
          <cell r="BX106">
            <v>0</v>
          </cell>
          <cell r="BY106">
            <v>0</v>
          </cell>
          <cell r="BZ106">
            <v>0</v>
          </cell>
          <cell r="CA106">
            <v>0.7</v>
          </cell>
          <cell r="CB106">
            <v>0</v>
          </cell>
        </row>
        <row r="107">
          <cell r="A107">
            <v>33026</v>
          </cell>
          <cell r="D107" t="str">
            <v>90M24</v>
          </cell>
          <cell r="E107" t="str">
            <v>89-A</v>
          </cell>
          <cell r="F107" t="str">
            <v>I</v>
          </cell>
          <cell r="G107" t="str">
            <v>12/6</v>
          </cell>
          <cell r="H107">
            <v>7.87</v>
          </cell>
          <cell r="I107">
            <v>3.26</v>
          </cell>
          <cell r="J107">
            <v>3.3</v>
          </cell>
          <cell r="K107">
            <v>-4.0000000000000036E-2</v>
          </cell>
          <cell r="M107">
            <v>7.91</v>
          </cell>
          <cell r="N107" t="str">
            <v/>
          </cell>
          <cell r="X107" t="str">
            <v/>
          </cell>
          <cell r="AA107" t="str">
            <v/>
          </cell>
          <cell r="AE107">
            <v>0.35</v>
          </cell>
          <cell r="AF107" t="str">
            <v/>
          </cell>
          <cell r="AI107">
            <v>-1</v>
          </cell>
          <cell r="AJ107" t="str">
            <v/>
          </cell>
          <cell r="AM107" t="str">
            <v/>
          </cell>
          <cell r="AN107" t="str">
            <v/>
          </cell>
          <cell r="BG107" t="str">
            <v/>
          </cell>
          <cell r="BK107" t="str">
            <v/>
          </cell>
          <cell r="BL107" t="str">
            <v/>
          </cell>
          <cell r="BO107">
            <v>7.65</v>
          </cell>
          <cell r="BP107">
            <v>7.91</v>
          </cell>
          <cell r="BQ107">
            <v>7.91</v>
          </cell>
          <cell r="BU107" t="str">
            <v/>
          </cell>
          <cell r="BW107">
            <v>0</v>
          </cell>
          <cell r="BX107">
            <v>0</v>
          </cell>
          <cell r="BY107">
            <v>0</v>
          </cell>
          <cell r="BZ107">
            <v>0.23</v>
          </cell>
          <cell r="CA107">
            <v>0.23</v>
          </cell>
          <cell r="CB107">
            <v>0.23</v>
          </cell>
        </row>
        <row r="108">
          <cell r="A108">
            <v>33123</v>
          </cell>
          <cell r="D108" t="str">
            <v>90M35</v>
          </cell>
          <cell r="E108" t="str">
            <v>89-A</v>
          </cell>
          <cell r="F108" t="str">
            <v>I</v>
          </cell>
          <cell r="G108" t="str">
            <v>9/3</v>
          </cell>
          <cell r="H108">
            <v>1.2</v>
          </cell>
          <cell r="I108">
            <v>3.29</v>
          </cell>
          <cell r="J108">
            <v>3.33</v>
          </cell>
          <cell r="K108">
            <v>-4.0000000000000036E-2</v>
          </cell>
          <cell r="M108">
            <v>1.2400000000000002</v>
          </cell>
          <cell r="N108" t="str">
            <v/>
          </cell>
          <cell r="X108" t="str">
            <v/>
          </cell>
          <cell r="AA108" t="str">
            <v/>
          </cell>
          <cell r="AF108" t="str">
            <v/>
          </cell>
          <cell r="AJ108" t="str">
            <v/>
          </cell>
          <cell r="AM108" t="str">
            <v/>
          </cell>
          <cell r="AN108" t="str">
            <v/>
          </cell>
          <cell r="BG108" t="str">
            <v/>
          </cell>
          <cell r="BK108" t="str">
            <v/>
          </cell>
          <cell r="BL108" t="str">
            <v/>
          </cell>
          <cell r="BO108">
            <v>7.65</v>
          </cell>
          <cell r="BP108">
            <v>1.2400000000000002</v>
          </cell>
          <cell r="BQ108">
            <v>1.2400000000000002</v>
          </cell>
          <cell r="BU108" t="str">
            <v/>
          </cell>
          <cell r="BW108">
            <v>0</v>
          </cell>
          <cell r="BX108">
            <v>0</v>
          </cell>
          <cell r="BY108">
            <v>0</v>
          </cell>
          <cell r="BZ108">
            <v>-5.77</v>
          </cell>
          <cell r="CA108">
            <v>-5.77</v>
          </cell>
          <cell r="CB108">
            <v>-5.77</v>
          </cell>
        </row>
        <row r="109">
          <cell r="D109" t="str">
            <v>bn 1990</v>
          </cell>
          <cell r="F109" t="str">
            <v>I</v>
          </cell>
          <cell r="M109" t="e">
            <v>#VALUE!</v>
          </cell>
          <cell r="BO109">
            <v>7.91</v>
          </cell>
          <cell r="BP109" t="e">
            <v>#VALUE!</v>
          </cell>
          <cell r="BQ109" t="e">
            <v>#VALUE!</v>
          </cell>
          <cell r="BU109" t="str">
            <v/>
          </cell>
          <cell r="BW109">
            <v>0</v>
          </cell>
          <cell r="BX109">
            <v>0</v>
          </cell>
          <cell r="BY109">
            <v>0</v>
          </cell>
          <cell r="BZ109" t="e">
            <v>#VALUE!</v>
          </cell>
          <cell r="CA109" t="e">
            <v>#VALUE!</v>
          </cell>
          <cell r="CB109" t="e">
            <v>#VALUE!</v>
          </cell>
        </row>
        <row r="110">
          <cell r="D110" t="str">
            <v>1990 HY end</v>
          </cell>
        </row>
        <row r="111">
          <cell r="K111" t="str">
            <v/>
          </cell>
          <cell r="N111" t="str">
            <v/>
          </cell>
          <cell r="X111" t="str">
            <v/>
          </cell>
          <cell r="AA111" t="str">
            <v/>
          </cell>
          <cell r="AF111" t="str">
            <v/>
          </cell>
          <cell r="AJ111" t="str">
            <v/>
          </cell>
          <cell r="AM111" t="str">
            <v/>
          </cell>
          <cell r="AN111" t="str">
            <v/>
          </cell>
          <cell r="BG111" t="str">
            <v/>
          </cell>
          <cell r="BK111" t="str">
            <v/>
          </cell>
          <cell r="BL111" t="str">
            <v/>
          </cell>
          <cell r="BP111" t="str">
            <v/>
          </cell>
          <cell r="BQ111" t="str">
            <v/>
          </cell>
          <cell r="BU111" t="str">
            <v/>
          </cell>
        </row>
        <row r="112">
          <cell r="A112">
            <v>33123</v>
          </cell>
          <cell r="D112" t="str">
            <v>90M35</v>
          </cell>
          <cell r="E112" t="str">
            <v>90-A</v>
          </cell>
          <cell r="F112" t="str">
            <v>I</v>
          </cell>
          <cell r="G112" t="str">
            <v>0/12</v>
          </cell>
          <cell r="H112">
            <v>8.1</v>
          </cell>
          <cell r="K112" t="str">
            <v/>
          </cell>
          <cell r="M112">
            <v>8.1</v>
          </cell>
          <cell r="N112" t="str">
            <v/>
          </cell>
          <cell r="X112" t="str">
            <v/>
          </cell>
          <cell r="AA112" t="str">
            <v/>
          </cell>
          <cell r="AF112" t="str">
            <v/>
          </cell>
          <cell r="AJ112" t="str">
            <v/>
          </cell>
          <cell r="AM112" t="str">
            <v/>
          </cell>
          <cell r="AN112" t="str">
            <v/>
          </cell>
          <cell r="BG112" t="str">
            <v/>
          </cell>
          <cell r="BK112" t="str">
            <v/>
          </cell>
          <cell r="BL112" t="str">
            <v/>
          </cell>
          <cell r="BO112">
            <v>8.1</v>
          </cell>
          <cell r="BP112">
            <v>8.1</v>
          </cell>
          <cell r="BQ112">
            <v>8.1</v>
          </cell>
          <cell r="BU112" t="str">
            <v/>
          </cell>
          <cell r="BW112">
            <v>0</v>
          </cell>
          <cell r="BX112">
            <v>0</v>
          </cell>
          <cell r="BY112">
            <v>0</v>
          </cell>
          <cell r="BZ112">
            <v>0</v>
          </cell>
          <cell r="CA112">
            <v>0</v>
          </cell>
          <cell r="CB112">
            <v>0</v>
          </cell>
        </row>
        <row r="113">
          <cell r="D113" t="str">
            <v>bn 1990</v>
          </cell>
          <cell r="F113" t="str">
            <v>I</v>
          </cell>
          <cell r="M113" t="e">
            <v>#VALUE!</v>
          </cell>
        </row>
        <row r="114">
          <cell r="D114" t="str">
            <v>1990 HY end</v>
          </cell>
        </row>
        <row r="115">
          <cell r="A115">
            <v>33245</v>
          </cell>
          <cell r="D115" t="str">
            <v>91M6</v>
          </cell>
          <cell r="E115" t="str">
            <v>90-A</v>
          </cell>
          <cell r="F115" t="str">
            <v>S</v>
          </cell>
          <cell r="G115" t="str">
            <v>12/12</v>
          </cell>
          <cell r="H115">
            <v>7.75</v>
          </cell>
          <cell r="I115">
            <v>3.3</v>
          </cell>
          <cell r="J115">
            <v>3.26</v>
          </cell>
          <cell r="K115">
            <v>4.0000000000000036E-2</v>
          </cell>
          <cell r="M115">
            <v>7.71</v>
          </cell>
          <cell r="N115" t="str">
            <v/>
          </cell>
          <cell r="U115">
            <v>0.12000000000000002</v>
          </cell>
          <cell r="V115">
            <v>10</v>
          </cell>
          <cell r="X115" t="e">
            <v>#VALUE!</v>
          </cell>
          <cell r="AA115">
            <v>10</v>
          </cell>
          <cell r="AE115">
            <v>0.37</v>
          </cell>
          <cell r="AF115">
            <v>0.37</v>
          </cell>
          <cell r="AI115">
            <v>-1</v>
          </cell>
          <cell r="AJ115" t="str">
            <v/>
          </cell>
          <cell r="AM115" t="e">
            <v>#VALUE!</v>
          </cell>
          <cell r="AN115" t="e">
            <v>#VALUE!</v>
          </cell>
          <cell r="BG115" t="str">
            <v/>
          </cell>
          <cell r="BK115" t="str">
            <v/>
          </cell>
          <cell r="BL115" t="str">
            <v/>
          </cell>
          <cell r="BO115" t="e">
            <v>#VALUE!</v>
          </cell>
          <cell r="BP115" t="e">
            <v>#VALUE!</v>
          </cell>
          <cell r="BQ115" t="e">
            <v>#VALUE!</v>
          </cell>
          <cell r="BU115" t="e">
            <v>#VALUE!</v>
          </cell>
          <cell r="BW115">
            <v>0</v>
          </cell>
          <cell r="BX115">
            <v>0</v>
          </cell>
          <cell r="BY115">
            <v>0</v>
          </cell>
          <cell r="BZ115">
            <v>0</v>
          </cell>
          <cell r="CA115" t="e">
            <v>#VALUE!</v>
          </cell>
          <cell r="CB115">
            <v>0</v>
          </cell>
        </row>
        <row r="116">
          <cell r="A116">
            <v>33371</v>
          </cell>
          <cell r="D116" t="str">
            <v>91M16</v>
          </cell>
          <cell r="E116" t="str">
            <v>90-A</v>
          </cell>
          <cell r="F116" t="str">
            <v>S</v>
          </cell>
          <cell r="G116" t="str">
            <v>12/9</v>
          </cell>
          <cell r="I116">
            <v>0</v>
          </cell>
          <cell r="J116">
            <v>0</v>
          </cell>
          <cell r="M116" t="str">
            <v/>
          </cell>
          <cell r="N116" t="str">
            <v/>
          </cell>
          <cell r="X116" t="str">
            <v/>
          </cell>
          <cell r="AA116" t="str">
            <v/>
          </cell>
          <cell r="AE116">
            <v>0.37</v>
          </cell>
          <cell r="AF116" t="str">
            <v/>
          </cell>
          <cell r="AI116">
            <v>-1</v>
          </cell>
          <cell r="AJ116" t="str">
            <v/>
          </cell>
          <cell r="AM116" t="str">
            <v/>
          </cell>
          <cell r="AN116" t="str">
            <v/>
          </cell>
          <cell r="BG116" t="str">
            <v/>
          </cell>
          <cell r="BK116" t="str">
            <v/>
          </cell>
          <cell r="BL116" t="str">
            <v/>
          </cell>
          <cell r="BO116" t="e">
            <v>#VALUE!</v>
          </cell>
          <cell r="BP116" t="str">
            <v/>
          </cell>
          <cell r="BQ116" t="str">
            <v/>
          </cell>
          <cell r="BU116" t="e">
            <v>#VALUE!</v>
          </cell>
          <cell r="BW116">
            <v>0</v>
          </cell>
          <cell r="BX116">
            <v>0</v>
          </cell>
          <cell r="BY116">
            <v>0</v>
          </cell>
          <cell r="BZ116">
            <v>0</v>
          </cell>
          <cell r="CA116" t="e">
            <v>#VALUE!</v>
          </cell>
          <cell r="CB116">
            <v>0</v>
          </cell>
        </row>
        <row r="117">
          <cell r="A117">
            <v>33493</v>
          </cell>
          <cell r="D117" t="str">
            <v>91M32</v>
          </cell>
          <cell r="E117" t="str">
            <v>90-A</v>
          </cell>
          <cell r="F117" t="str">
            <v>I</v>
          </cell>
          <cell r="G117" t="str">
            <v>9/6</v>
          </cell>
          <cell r="H117">
            <v>3.48</v>
          </cell>
          <cell r="I117">
            <v>3.57</v>
          </cell>
          <cell r="J117">
            <v>3.57</v>
          </cell>
          <cell r="K117" t="str">
            <v/>
          </cell>
          <cell r="M117">
            <v>3.48</v>
          </cell>
          <cell r="N117" t="str">
            <v/>
          </cell>
          <cell r="X117" t="str">
            <v/>
          </cell>
          <cell r="AA117" t="str">
            <v/>
          </cell>
          <cell r="AF117" t="str">
            <v/>
          </cell>
          <cell r="AJ117" t="str">
            <v/>
          </cell>
          <cell r="AM117" t="str">
            <v/>
          </cell>
          <cell r="AN117" t="str">
            <v/>
          </cell>
          <cell r="BG117" t="str">
            <v/>
          </cell>
          <cell r="BK117" t="str">
            <v/>
          </cell>
          <cell r="BL117" t="str">
            <v/>
          </cell>
          <cell r="BO117" t="e">
            <v>#VALUE!</v>
          </cell>
          <cell r="BP117">
            <v>3.48</v>
          </cell>
          <cell r="BQ117">
            <v>3.48</v>
          </cell>
          <cell r="BU117" t="str">
            <v/>
          </cell>
          <cell r="BW117">
            <v>0</v>
          </cell>
          <cell r="BX117">
            <v>0</v>
          </cell>
          <cell r="BY117">
            <v>0</v>
          </cell>
          <cell r="BZ117">
            <v>0</v>
          </cell>
          <cell r="CA117">
            <v>0</v>
          </cell>
          <cell r="CB117">
            <v>0</v>
          </cell>
        </row>
        <row r="118">
          <cell r="A118">
            <v>33499</v>
          </cell>
          <cell r="D118" t="str">
            <v>91M39</v>
          </cell>
          <cell r="E118" t="str">
            <v>90-A</v>
          </cell>
          <cell r="F118" t="str">
            <v>I</v>
          </cell>
          <cell r="G118" t="str">
            <v>9/6</v>
          </cell>
          <cell r="H118">
            <v>3.15</v>
          </cell>
          <cell r="K118" t="str">
            <v/>
          </cell>
          <cell r="M118">
            <v>3.15</v>
          </cell>
          <cell r="N118" t="str">
            <v/>
          </cell>
          <cell r="X118" t="str">
            <v/>
          </cell>
          <cell r="AA118" t="str">
            <v/>
          </cell>
          <cell r="AF118" t="str">
            <v/>
          </cell>
          <cell r="AJ118" t="str">
            <v/>
          </cell>
          <cell r="AM118" t="str">
            <v/>
          </cell>
          <cell r="AN118" t="str">
            <v/>
          </cell>
          <cell r="BG118" t="str">
            <v/>
          </cell>
          <cell r="BK118" t="str">
            <v/>
          </cell>
          <cell r="BL118" t="str">
            <v/>
          </cell>
          <cell r="BO118" t="e">
            <v>#VALUE!</v>
          </cell>
          <cell r="BP118">
            <v>3.15</v>
          </cell>
          <cell r="BQ118">
            <v>3.15</v>
          </cell>
          <cell r="BU118" t="str">
            <v/>
          </cell>
          <cell r="BW118">
            <v>0</v>
          </cell>
          <cell r="BX118">
            <v>0</v>
          </cell>
          <cell r="BY118">
            <v>0</v>
          </cell>
          <cell r="BZ118">
            <v>0</v>
          </cell>
          <cell r="CA118">
            <v>0</v>
          </cell>
          <cell r="CB118">
            <v>0</v>
          </cell>
        </row>
        <row r="119">
          <cell r="D119" t="str">
            <v>bn 1991</v>
          </cell>
          <cell r="F119" t="str">
            <v>I</v>
          </cell>
          <cell r="M119" t="e">
            <v>#VALUE!</v>
          </cell>
          <cell r="BO119" t="str">
            <v/>
          </cell>
          <cell r="BP119" t="e">
            <v>#VALUE!</v>
          </cell>
          <cell r="BQ119" t="e">
            <v>#VALUE!</v>
          </cell>
          <cell r="BU119" t="str">
            <v/>
          </cell>
          <cell r="BW119">
            <v>0</v>
          </cell>
          <cell r="BX119">
            <v>0</v>
          </cell>
          <cell r="BY119">
            <v>0</v>
          </cell>
          <cell r="BZ119">
            <v>0</v>
          </cell>
          <cell r="CA119">
            <v>0</v>
          </cell>
          <cell r="CB119">
            <v>0</v>
          </cell>
        </row>
        <row r="120">
          <cell r="D120" t="str">
            <v>1991 HY end</v>
          </cell>
        </row>
        <row r="121">
          <cell r="K121" t="str">
            <v/>
          </cell>
          <cell r="N121" t="str">
            <v/>
          </cell>
          <cell r="X121" t="str">
            <v/>
          </cell>
          <cell r="AA121" t="str">
            <v/>
          </cell>
          <cell r="AF121" t="str">
            <v/>
          </cell>
          <cell r="AJ121" t="str">
            <v/>
          </cell>
          <cell r="AM121" t="str">
            <v/>
          </cell>
          <cell r="AN121" t="str">
            <v/>
          </cell>
          <cell r="BG121" t="str">
            <v/>
          </cell>
          <cell r="BK121" t="str">
            <v/>
          </cell>
          <cell r="BL121" t="str">
            <v/>
          </cell>
          <cell r="BP121" t="str">
            <v/>
          </cell>
          <cell r="BQ121" t="str">
            <v/>
          </cell>
          <cell r="BU121" t="str">
            <v/>
          </cell>
        </row>
        <row r="122">
          <cell r="A122">
            <v>33499</v>
          </cell>
          <cell r="D122" t="str">
            <v>91M39</v>
          </cell>
          <cell r="E122" t="str">
            <v>91-A</v>
          </cell>
          <cell r="F122" t="str">
            <v>I</v>
          </cell>
          <cell r="G122" t="str">
            <v>0/12</v>
          </cell>
          <cell r="H122">
            <v>8.9</v>
          </cell>
          <cell r="K122" t="str">
            <v/>
          </cell>
          <cell r="M122">
            <v>8.9</v>
          </cell>
          <cell r="N122" t="str">
            <v/>
          </cell>
          <cell r="X122" t="str">
            <v/>
          </cell>
          <cell r="AA122" t="str">
            <v/>
          </cell>
          <cell r="AF122" t="str">
            <v/>
          </cell>
          <cell r="AJ122" t="str">
            <v/>
          </cell>
          <cell r="AM122" t="str">
            <v/>
          </cell>
          <cell r="AN122" t="str">
            <v/>
          </cell>
          <cell r="BG122" t="str">
            <v/>
          </cell>
          <cell r="BK122" t="str">
            <v/>
          </cell>
          <cell r="BL122" t="str">
            <v/>
          </cell>
          <cell r="BP122">
            <v>8.9</v>
          </cell>
          <cell r="BQ122">
            <v>8.9</v>
          </cell>
          <cell r="BU122" t="str">
            <v/>
          </cell>
          <cell r="BW122">
            <v>0</v>
          </cell>
          <cell r="BX122">
            <v>0</v>
          </cell>
          <cell r="BY122">
            <v>0</v>
          </cell>
          <cell r="BZ122">
            <v>0</v>
          </cell>
          <cell r="CA122">
            <v>0</v>
          </cell>
          <cell r="CB122">
            <v>0</v>
          </cell>
        </row>
        <row r="123">
          <cell r="D123" t="str">
            <v>bn 1991</v>
          </cell>
          <cell r="F123" t="str">
            <v>I</v>
          </cell>
          <cell r="M123" t="e">
            <v>#VALUE!</v>
          </cell>
        </row>
        <row r="124">
          <cell r="D124" t="str">
            <v>1991 HY end</v>
          </cell>
        </row>
        <row r="125">
          <cell r="A125">
            <v>33626</v>
          </cell>
          <cell r="D125" t="str">
            <v>92M3&amp;7</v>
          </cell>
          <cell r="E125" t="str">
            <v>91-A</v>
          </cell>
          <cell r="F125" t="str">
            <v>S</v>
          </cell>
          <cell r="I125">
            <v>3.29</v>
          </cell>
          <cell r="J125">
            <v>3.24</v>
          </cell>
          <cell r="K125">
            <v>4.9999999999999822E-2</v>
          </cell>
          <cell r="M125">
            <v>3.24</v>
          </cell>
          <cell r="N125" t="str">
            <v/>
          </cell>
          <cell r="X125" t="str">
            <v/>
          </cell>
          <cell r="AA125" t="str">
            <v/>
          </cell>
          <cell r="AE125">
            <v>0.39</v>
          </cell>
          <cell r="AF125" t="str">
            <v/>
          </cell>
          <cell r="AI125">
            <v>-1</v>
          </cell>
          <cell r="AJ125" t="str">
            <v/>
          </cell>
          <cell r="AM125" t="e">
            <v>#VALUE!</v>
          </cell>
          <cell r="AN125" t="e">
            <v>#VALUE!</v>
          </cell>
          <cell r="BG125" t="str">
            <v/>
          </cell>
          <cell r="BK125" t="str">
            <v/>
          </cell>
          <cell r="BL125" t="str">
            <v/>
          </cell>
          <cell r="BO125" t="e">
            <v>#VALUE!</v>
          </cell>
          <cell r="BP125" t="e">
            <v>#VALUE!</v>
          </cell>
          <cell r="BQ125" t="e">
            <v>#VALUE!</v>
          </cell>
          <cell r="BU125" t="e">
            <v>#VALUE!</v>
          </cell>
          <cell r="BW125">
            <v>0</v>
          </cell>
          <cell r="BX125">
            <v>0</v>
          </cell>
          <cell r="BY125">
            <v>0</v>
          </cell>
          <cell r="BZ125">
            <v>0</v>
          </cell>
          <cell r="CA125" t="e">
            <v>#VALUE!</v>
          </cell>
          <cell r="CB125">
            <v>0</v>
          </cell>
        </row>
        <row r="126">
          <cell r="A126">
            <v>33737</v>
          </cell>
          <cell r="D126" t="str">
            <v>92M12,14</v>
          </cell>
          <cell r="E126" t="str">
            <v>91-A</v>
          </cell>
          <cell r="F126" t="str">
            <v>S</v>
          </cell>
          <cell r="H126">
            <v>10.73</v>
          </cell>
          <cell r="I126">
            <v>0</v>
          </cell>
          <cell r="J126">
            <v>0</v>
          </cell>
          <cell r="K126" t="str">
            <v/>
          </cell>
          <cell r="M126">
            <v>10.73</v>
          </cell>
          <cell r="N126" t="str">
            <v/>
          </cell>
          <cell r="U126">
            <v>1.8233333333333333</v>
          </cell>
          <cell r="V126">
            <v>6</v>
          </cell>
          <cell r="X126" t="e">
            <v>#VALUE!</v>
          </cell>
          <cell r="AA126">
            <v>6</v>
          </cell>
          <cell r="AE126">
            <v>0.39</v>
          </cell>
          <cell r="AF126">
            <v>0.39</v>
          </cell>
          <cell r="AI126">
            <v>-1</v>
          </cell>
          <cell r="AJ126" t="str">
            <v/>
          </cell>
          <cell r="AM126" t="e">
            <v>#VALUE!</v>
          </cell>
          <cell r="AN126" t="e">
            <v>#VALUE!</v>
          </cell>
          <cell r="BG126" t="str">
            <v/>
          </cell>
          <cell r="BK126" t="str">
            <v/>
          </cell>
          <cell r="BL126" t="str">
            <v/>
          </cell>
          <cell r="BO126" t="e">
            <v>#VALUE!</v>
          </cell>
          <cell r="BP126" t="e">
            <v>#VALUE!</v>
          </cell>
          <cell r="BQ126" t="e">
            <v>#VALUE!</v>
          </cell>
          <cell r="BU126" t="e">
            <v>#VALUE!</v>
          </cell>
          <cell r="BW126">
            <v>0</v>
          </cell>
          <cell r="BX126">
            <v>0</v>
          </cell>
          <cell r="BY126">
            <v>0</v>
          </cell>
          <cell r="BZ126">
            <v>0</v>
          </cell>
          <cell r="CA126" t="e">
            <v>#VALUE!</v>
          </cell>
          <cell r="CB126">
            <v>0</v>
          </cell>
        </row>
        <row r="127">
          <cell r="A127">
            <v>33853</v>
          </cell>
          <cell r="D127" t="str">
            <v>92M61</v>
          </cell>
          <cell r="E127" t="str">
            <v>91-A</v>
          </cell>
          <cell r="F127" t="str">
            <v>I</v>
          </cell>
          <cell r="G127" t="str">
            <v>12/9</v>
          </cell>
          <cell r="I127">
            <v>4.79</v>
          </cell>
          <cell r="J127">
            <v>4.5999999999999996</v>
          </cell>
          <cell r="K127">
            <v>0.19000000000000039</v>
          </cell>
          <cell r="M127">
            <v>4.5999999999999996</v>
          </cell>
          <cell r="N127" t="str">
            <v/>
          </cell>
          <cell r="X127" t="str">
            <v/>
          </cell>
          <cell r="AA127" t="str">
            <v/>
          </cell>
          <cell r="AF127" t="str">
            <v/>
          </cell>
          <cell r="AJ127" t="str">
            <v/>
          </cell>
          <cell r="AM127" t="str">
            <v/>
          </cell>
          <cell r="AN127" t="str">
            <v/>
          </cell>
          <cell r="BG127" t="str">
            <v/>
          </cell>
          <cell r="BK127" t="str">
            <v/>
          </cell>
          <cell r="BL127" t="str">
            <v/>
          </cell>
          <cell r="BO127" t="e">
            <v>#VALUE!</v>
          </cell>
          <cell r="BP127">
            <v>4.5999999999999996</v>
          </cell>
          <cell r="BQ127">
            <v>4.5999999999999996</v>
          </cell>
          <cell r="BU127" t="str">
            <v/>
          </cell>
          <cell r="BW127">
            <v>0</v>
          </cell>
          <cell r="BX127">
            <v>0</v>
          </cell>
          <cell r="BY127">
            <v>0</v>
          </cell>
          <cell r="BZ127">
            <v>0</v>
          </cell>
          <cell r="CA127">
            <v>0</v>
          </cell>
          <cell r="CB127">
            <v>0</v>
          </cell>
        </row>
        <row r="128">
          <cell r="D128" t="str">
            <v>bn 1992</v>
          </cell>
          <cell r="F128" t="str">
            <v>I</v>
          </cell>
          <cell r="M128">
            <v>4.54</v>
          </cell>
          <cell r="BO128" t="e">
            <v>#VALUE!</v>
          </cell>
          <cell r="BP128">
            <v>4.54</v>
          </cell>
          <cell r="BQ128">
            <v>4.54</v>
          </cell>
          <cell r="BU128" t="str">
            <v/>
          </cell>
          <cell r="BW128">
            <v>0</v>
          </cell>
          <cell r="BX128">
            <v>0</v>
          </cell>
          <cell r="BY128">
            <v>0</v>
          </cell>
          <cell r="BZ128">
            <v>0</v>
          </cell>
          <cell r="CA128">
            <v>0</v>
          </cell>
          <cell r="CB128">
            <v>0</v>
          </cell>
        </row>
        <row r="129">
          <cell r="D129" t="str">
            <v>1992 HY end</v>
          </cell>
        </row>
        <row r="130">
          <cell r="A130">
            <v>34009</v>
          </cell>
          <cell r="D130" t="str">
            <v>93M5</v>
          </cell>
          <cell r="E130" t="str">
            <v>91-A</v>
          </cell>
          <cell r="F130" t="str">
            <v>S</v>
          </cell>
          <cell r="I130">
            <v>4.47</v>
          </cell>
          <cell r="J130">
            <v>4.3899999999999997</v>
          </cell>
          <cell r="K130">
            <v>8.0000000000000071E-2</v>
          </cell>
          <cell r="M130">
            <v>4.3899999999999997</v>
          </cell>
          <cell r="N130" t="str">
            <v/>
          </cell>
          <cell r="U130">
            <v>-0.15000000000000036</v>
          </cell>
          <cell r="V130">
            <v>1</v>
          </cell>
          <cell r="X130" t="e">
            <v>#VALUE!</v>
          </cell>
          <cell r="AA130">
            <v>1</v>
          </cell>
          <cell r="AE130">
            <v>0.39</v>
          </cell>
          <cell r="AF130">
            <v>0.39</v>
          </cell>
          <cell r="AI130">
            <v>-1</v>
          </cell>
          <cell r="AJ130" t="str">
            <v/>
          </cell>
          <cell r="AM130" t="e">
            <v>#VALUE!</v>
          </cell>
          <cell r="AN130" t="e">
            <v>#VALUE!</v>
          </cell>
          <cell r="BG130" t="str">
            <v/>
          </cell>
          <cell r="BK130" t="str">
            <v/>
          </cell>
          <cell r="BL130" t="str">
            <v/>
          </cell>
          <cell r="BO130" t="e">
            <v>#VALUE!</v>
          </cell>
          <cell r="BP130" t="e">
            <v>#VALUE!</v>
          </cell>
          <cell r="BQ130" t="e">
            <v>#VALUE!</v>
          </cell>
          <cell r="BU130" t="e">
            <v>#VALUE!</v>
          </cell>
          <cell r="BW130">
            <v>0</v>
          </cell>
          <cell r="BX130">
            <v>0</v>
          </cell>
          <cell r="BY130">
            <v>0</v>
          </cell>
          <cell r="BZ130">
            <v>0</v>
          </cell>
          <cell r="CA130" t="e">
            <v>#VALUE!</v>
          </cell>
          <cell r="CB130">
            <v>0</v>
          </cell>
        </row>
        <row r="131">
          <cell r="A131">
            <v>34105</v>
          </cell>
          <cell r="D131" t="str">
            <v>93M7</v>
          </cell>
          <cell r="E131" t="str">
            <v>91-A</v>
          </cell>
          <cell r="F131" t="str">
            <v>S</v>
          </cell>
          <cell r="G131" t="str">
            <v>13.?/12</v>
          </cell>
          <cell r="I131">
            <v>4.9000000000000004</v>
          </cell>
          <cell r="J131">
            <v>4.8499999999999996</v>
          </cell>
          <cell r="K131">
            <v>5.0000000000000711E-2</v>
          </cell>
          <cell r="M131">
            <v>4.8499999999999996</v>
          </cell>
          <cell r="N131" t="str">
            <v/>
          </cell>
          <cell r="X131" t="str">
            <v/>
          </cell>
          <cell r="AA131" t="str">
            <v/>
          </cell>
          <cell r="AE131">
            <v>0.39</v>
          </cell>
          <cell r="AF131" t="str">
            <v/>
          </cell>
          <cell r="AI131">
            <v>-1</v>
          </cell>
          <cell r="AJ131" t="str">
            <v/>
          </cell>
          <cell r="AM131" t="e">
            <v>#VALUE!</v>
          </cell>
          <cell r="AN131" t="e">
            <v>#VALUE!</v>
          </cell>
          <cell r="BG131" t="str">
            <v/>
          </cell>
          <cell r="BK131" t="str">
            <v/>
          </cell>
          <cell r="BL131" t="str">
            <v/>
          </cell>
          <cell r="BO131" t="e">
            <v>#VALUE!</v>
          </cell>
          <cell r="BP131" t="e">
            <v>#VALUE!</v>
          </cell>
          <cell r="BQ131" t="e">
            <v>#VALUE!</v>
          </cell>
          <cell r="BU131" t="e">
            <v>#VALUE!</v>
          </cell>
          <cell r="BW131">
            <v>0</v>
          </cell>
          <cell r="BX131">
            <v>0</v>
          </cell>
          <cell r="BY131">
            <v>0</v>
          </cell>
          <cell r="BZ131">
            <v>0</v>
          </cell>
          <cell r="CA131" t="e">
            <v>#VALUE!</v>
          </cell>
          <cell r="CB131">
            <v>0</v>
          </cell>
        </row>
        <row r="132">
          <cell r="A132">
            <v>34222</v>
          </cell>
          <cell r="D132" t="str">
            <v>93M32</v>
          </cell>
          <cell r="E132" t="str">
            <v>91-A</v>
          </cell>
          <cell r="F132" t="str">
            <v>I</v>
          </cell>
          <cell r="G132" t="str">
            <v>?/0</v>
          </cell>
          <cell r="H132" t="str">
            <v>STAKE MELTED OUT</v>
          </cell>
          <cell r="K132" t="str">
            <v/>
          </cell>
          <cell r="M132" t="str">
            <v>&lt;0</v>
          </cell>
          <cell r="N132" t="str">
            <v/>
          </cell>
          <cell r="X132" t="str">
            <v/>
          </cell>
          <cell r="AA132" t="str">
            <v/>
          </cell>
          <cell r="AF132" t="str">
            <v/>
          </cell>
          <cell r="AJ132" t="str">
            <v/>
          </cell>
          <cell r="AM132" t="str">
            <v/>
          </cell>
          <cell r="AN132" t="str">
            <v/>
          </cell>
          <cell r="BG132" t="str">
            <v/>
          </cell>
          <cell r="BK132" t="str">
            <v/>
          </cell>
          <cell r="BL132" t="str">
            <v/>
          </cell>
          <cell r="BO132" t="e">
            <v>#VALUE!</v>
          </cell>
          <cell r="BP132" t="str">
            <v>&lt;0</v>
          </cell>
          <cell r="BQ132">
            <v>0</v>
          </cell>
          <cell r="BU132" t="str">
            <v/>
          </cell>
          <cell r="BW132">
            <v>0</v>
          </cell>
          <cell r="BX132">
            <v>0</v>
          </cell>
          <cell r="BY132">
            <v>0</v>
          </cell>
          <cell r="BZ132">
            <v>0</v>
          </cell>
          <cell r="CA132">
            <v>0</v>
          </cell>
          <cell r="CB132">
            <v>0</v>
          </cell>
        </row>
        <row r="133">
          <cell r="K133" t="str">
            <v/>
          </cell>
          <cell r="N133" t="str">
            <v/>
          </cell>
          <cell r="X133" t="str">
            <v/>
          </cell>
          <cell r="AA133" t="str">
            <v/>
          </cell>
          <cell r="AF133" t="str">
            <v/>
          </cell>
          <cell r="AJ133" t="str">
            <v/>
          </cell>
          <cell r="AM133" t="str">
            <v/>
          </cell>
          <cell r="AN133" t="str">
            <v/>
          </cell>
          <cell r="BG133" t="str">
            <v/>
          </cell>
          <cell r="BK133" t="str">
            <v/>
          </cell>
          <cell r="BL133" t="str">
            <v/>
          </cell>
          <cell r="BP133" t="str">
            <v/>
          </cell>
          <cell r="BQ133" t="str">
            <v/>
          </cell>
          <cell r="BU133" t="str">
            <v/>
          </cell>
        </row>
        <row r="134">
          <cell r="A134">
            <v>33854</v>
          </cell>
          <cell r="D134" t="str">
            <v>92M63</v>
          </cell>
          <cell r="E134" t="str">
            <v>92-A</v>
          </cell>
          <cell r="F134" t="str">
            <v>I</v>
          </cell>
          <cell r="G134" t="str">
            <v>0/12</v>
          </cell>
          <cell r="H134">
            <v>8</v>
          </cell>
          <cell r="I134">
            <v>0</v>
          </cell>
          <cell r="J134">
            <v>0</v>
          </cell>
          <cell r="K134" t="str">
            <v/>
          </cell>
          <cell r="M134">
            <v>8</v>
          </cell>
          <cell r="N134" t="str">
            <v/>
          </cell>
          <cell r="X134" t="str">
            <v/>
          </cell>
          <cell r="AA134" t="str">
            <v/>
          </cell>
          <cell r="AF134" t="str">
            <v/>
          </cell>
          <cell r="AJ134" t="str">
            <v/>
          </cell>
          <cell r="AM134" t="str">
            <v/>
          </cell>
          <cell r="AN134" t="str">
            <v/>
          </cell>
          <cell r="BG134" t="str">
            <v/>
          </cell>
          <cell r="BK134" t="str">
            <v/>
          </cell>
          <cell r="BL134" t="str">
            <v/>
          </cell>
          <cell r="BO134" t="e">
            <v>#VALUE!</v>
          </cell>
          <cell r="BP134">
            <v>8</v>
          </cell>
          <cell r="BQ134">
            <v>8</v>
          </cell>
          <cell r="BU134" t="str">
            <v/>
          </cell>
          <cell r="BW134">
            <v>0</v>
          </cell>
          <cell r="BX134">
            <v>0</v>
          </cell>
          <cell r="BY134">
            <v>0</v>
          </cell>
          <cell r="BZ134">
            <v>0</v>
          </cell>
          <cell r="CA134">
            <v>0</v>
          </cell>
          <cell r="CB134">
            <v>0</v>
          </cell>
          <cell r="CC134" t="str">
            <v>This -2.93 agrees with B(I) for stk 91-A makes bn=-7.25</v>
          </cell>
        </row>
        <row r="135">
          <cell r="D135" t="str">
            <v>bn 1992</v>
          </cell>
          <cell r="M135">
            <v>7.94</v>
          </cell>
          <cell r="BO135" t="e">
            <v>#VALUE!</v>
          </cell>
          <cell r="BP135">
            <v>7.94</v>
          </cell>
          <cell r="BQ135">
            <v>7.94</v>
          </cell>
          <cell r="BU135" t="str">
            <v/>
          </cell>
          <cell r="BW135">
            <v>0</v>
          </cell>
          <cell r="BX135">
            <v>0</v>
          </cell>
          <cell r="BY135">
            <v>0</v>
          </cell>
          <cell r="BZ135">
            <v>0</v>
          </cell>
          <cell r="CA135">
            <v>0</v>
          </cell>
          <cell r="CB135">
            <v>0</v>
          </cell>
        </row>
        <row r="136">
          <cell r="D136" t="str">
            <v>1992 HY end</v>
          </cell>
        </row>
        <row r="137">
          <cell r="A137">
            <v>34105</v>
          </cell>
          <cell r="D137" t="str">
            <v>92M17</v>
          </cell>
          <cell r="E137" t="str">
            <v>92-A</v>
          </cell>
          <cell r="F137" t="str">
            <v>S</v>
          </cell>
          <cell r="I137">
            <v>4.57</v>
          </cell>
          <cell r="J137">
            <v>4.51</v>
          </cell>
          <cell r="K137">
            <v>6.0000000000000497E-2</v>
          </cell>
          <cell r="M137">
            <v>4.51</v>
          </cell>
          <cell r="N137" t="str">
            <v/>
          </cell>
          <cell r="U137">
            <v>-3.4300000000000006</v>
          </cell>
          <cell r="V137">
            <v>1</v>
          </cell>
          <cell r="X137" t="e">
            <v>#VALUE!</v>
          </cell>
          <cell r="AA137">
            <v>1</v>
          </cell>
          <cell r="AE137">
            <v>0.39</v>
          </cell>
          <cell r="AF137">
            <v>0.39</v>
          </cell>
          <cell r="AI137">
            <v>-1</v>
          </cell>
          <cell r="AJ137" t="str">
            <v/>
          </cell>
          <cell r="AM137" t="e">
            <v>#VALUE!</v>
          </cell>
          <cell r="AN137" t="e">
            <v>#VALUE!</v>
          </cell>
          <cell r="BG137" t="str">
            <v/>
          </cell>
          <cell r="BK137" t="str">
            <v/>
          </cell>
          <cell r="BL137" t="str">
            <v/>
          </cell>
          <cell r="BO137" t="e">
            <v>#VALUE!</v>
          </cell>
          <cell r="BP137" t="e">
            <v>#VALUE!</v>
          </cell>
          <cell r="BQ137" t="e">
            <v>#VALUE!</v>
          </cell>
          <cell r="BU137" t="e">
            <v>#VALUE!</v>
          </cell>
          <cell r="BW137">
            <v>0</v>
          </cell>
          <cell r="BX137">
            <v>0</v>
          </cell>
          <cell r="BY137">
            <v>0</v>
          </cell>
          <cell r="BZ137">
            <v>0</v>
          </cell>
          <cell r="CA137" t="e">
            <v>#VALUE!</v>
          </cell>
          <cell r="CB137">
            <v>0</v>
          </cell>
        </row>
        <row r="138">
          <cell r="A138">
            <v>34222</v>
          </cell>
          <cell r="D138" t="str">
            <v>93M32,34,37</v>
          </cell>
          <cell r="E138" t="str">
            <v>92-A</v>
          </cell>
          <cell r="F138" t="str">
            <v>I</v>
          </cell>
          <cell r="G138" t="str">
            <v>12/8</v>
          </cell>
          <cell r="H138">
            <v>3.7</v>
          </cell>
          <cell r="I138">
            <v>6.83</v>
          </cell>
          <cell r="J138">
            <v>6.53</v>
          </cell>
          <cell r="K138">
            <v>0.29999999999999982</v>
          </cell>
          <cell r="M138">
            <v>3.4000000000000004</v>
          </cell>
          <cell r="N138" t="str">
            <v/>
          </cell>
          <cell r="X138" t="str">
            <v/>
          </cell>
          <cell r="AA138" t="str">
            <v/>
          </cell>
          <cell r="AF138" t="str">
            <v/>
          </cell>
          <cell r="AJ138" t="str">
            <v/>
          </cell>
          <cell r="AM138" t="str">
            <v/>
          </cell>
          <cell r="AN138" t="str">
            <v/>
          </cell>
          <cell r="BG138" t="str">
            <v/>
          </cell>
          <cell r="BK138" t="str">
            <v/>
          </cell>
          <cell r="BL138" t="str">
            <v/>
          </cell>
          <cell r="BO138" t="e">
            <v>#VALUE!</v>
          </cell>
          <cell r="BP138">
            <v>3.4000000000000004</v>
          </cell>
          <cell r="BQ138">
            <v>3.4000000000000004</v>
          </cell>
          <cell r="BU138" t="str">
            <v/>
          </cell>
          <cell r="BW138">
            <v>0</v>
          </cell>
          <cell r="BX138">
            <v>0</v>
          </cell>
          <cell r="BY138">
            <v>0</v>
          </cell>
          <cell r="BZ138">
            <v>0</v>
          </cell>
          <cell r="CA138">
            <v>0</v>
          </cell>
          <cell r="CB138">
            <v>0</v>
          </cell>
        </row>
        <row r="139">
          <cell r="A139">
            <v>34225</v>
          </cell>
          <cell r="D139" t="str">
            <v>93M37</v>
          </cell>
          <cell r="E139" t="str">
            <v>92-A</v>
          </cell>
          <cell r="F139" t="str">
            <v>I</v>
          </cell>
          <cell r="G139" t="str">
            <v>8/8</v>
          </cell>
          <cell r="H139">
            <v>3.4</v>
          </cell>
          <cell r="K139" t="str">
            <v/>
          </cell>
          <cell r="M139">
            <v>3.4</v>
          </cell>
          <cell r="N139" t="str">
            <v/>
          </cell>
          <cell r="X139" t="str">
            <v/>
          </cell>
          <cell r="AA139" t="str">
            <v/>
          </cell>
          <cell r="AF139" t="str">
            <v/>
          </cell>
          <cell r="AJ139" t="str">
            <v/>
          </cell>
          <cell r="AM139" t="str">
            <v/>
          </cell>
          <cell r="AN139" t="str">
            <v/>
          </cell>
          <cell r="BG139" t="str">
            <v/>
          </cell>
          <cell r="BK139" t="str">
            <v/>
          </cell>
          <cell r="BL139" t="str">
            <v/>
          </cell>
          <cell r="BO139" t="e">
            <v>#VALUE!</v>
          </cell>
          <cell r="BP139">
            <v>3.4</v>
          </cell>
          <cell r="BQ139">
            <v>3.4</v>
          </cell>
          <cell r="BU139" t="str">
            <v/>
          </cell>
          <cell r="BW139">
            <v>0</v>
          </cell>
          <cell r="BX139">
            <v>0</v>
          </cell>
          <cell r="BY139">
            <v>0</v>
          </cell>
          <cell r="BZ139">
            <v>0</v>
          </cell>
          <cell r="CA139">
            <v>0</v>
          </cell>
          <cell r="CB139">
            <v>0</v>
          </cell>
        </row>
        <row r="140">
          <cell r="D140" t="str">
            <v>bn 1993</v>
          </cell>
          <cell r="F140" t="str">
            <v>I</v>
          </cell>
          <cell r="M140" t="e">
            <v>#VALUE!</v>
          </cell>
          <cell r="N140" t="str">
            <v/>
          </cell>
          <cell r="BO140" t="e">
            <v>#VALUE!</v>
          </cell>
          <cell r="BP140" t="e">
            <v>#VALUE!</v>
          </cell>
          <cell r="BQ140" t="e">
            <v>#VALUE!</v>
          </cell>
          <cell r="BU140" t="str">
            <v/>
          </cell>
          <cell r="BW140">
            <v>0</v>
          </cell>
          <cell r="BX140">
            <v>0</v>
          </cell>
          <cell r="BY140">
            <v>0</v>
          </cell>
          <cell r="BZ140">
            <v>0</v>
          </cell>
          <cell r="CA140">
            <v>0</v>
          </cell>
          <cell r="CB140">
            <v>0</v>
          </cell>
        </row>
        <row r="141">
          <cell r="D141" t="str">
            <v>1993 HY end</v>
          </cell>
        </row>
        <row r="142">
          <cell r="A142">
            <v>34370</v>
          </cell>
          <cell r="D142" t="str">
            <v>94M4</v>
          </cell>
          <cell r="E142" t="str">
            <v>92-A</v>
          </cell>
          <cell r="F142" t="str">
            <v>S</v>
          </cell>
          <cell r="I142">
            <v>4.3600000000000003</v>
          </cell>
          <cell r="J142">
            <v>3.95</v>
          </cell>
          <cell r="K142">
            <v>0.41000000000000014</v>
          </cell>
          <cell r="M142">
            <v>3.95</v>
          </cell>
          <cell r="N142" t="str">
            <v/>
          </cell>
          <cell r="X142" t="str">
            <v/>
          </cell>
          <cell r="AA142" t="str">
            <v/>
          </cell>
          <cell r="AE142">
            <v>0.38</v>
          </cell>
          <cell r="AF142" t="str">
            <v/>
          </cell>
          <cell r="AI142">
            <v>-1</v>
          </cell>
          <cell r="AJ142" t="str">
            <v/>
          </cell>
          <cell r="AM142" t="e">
            <v>#VALUE!</v>
          </cell>
          <cell r="AN142" t="e">
            <v>#VALUE!</v>
          </cell>
          <cell r="BG142" t="str">
            <v/>
          </cell>
          <cell r="BK142" t="str">
            <v/>
          </cell>
          <cell r="BL142" t="str">
            <v/>
          </cell>
          <cell r="BO142" t="e">
            <v>#VALUE!</v>
          </cell>
          <cell r="BP142" t="e">
            <v>#VALUE!</v>
          </cell>
          <cell r="BQ142" t="e">
            <v>#VALUE!</v>
          </cell>
          <cell r="BU142" t="e">
            <v>#VALUE!</v>
          </cell>
          <cell r="BW142">
            <v>0</v>
          </cell>
          <cell r="BX142">
            <v>0</v>
          </cell>
          <cell r="BY142">
            <v>0</v>
          </cell>
          <cell r="BZ142">
            <v>0</v>
          </cell>
          <cell r="CA142" t="e">
            <v>#VALUE!</v>
          </cell>
          <cell r="CB142">
            <v>0</v>
          </cell>
        </row>
        <row r="143">
          <cell r="A143">
            <v>34469</v>
          </cell>
          <cell r="D143" t="str">
            <v>94M14,16</v>
          </cell>
          <cell r="E143" t="str">
            <v>92-A</v>
          </cell>
          <cell r="F143" t="str">
            <v>S</v>
          </cell>
          <cell r="G143" t="str">
            <v>8/6?</v>
          </cell>
          <cell r="H143">
            <v>4.55</v>
          </cell>
          <cell r="I143">
            <v>0</v>
          </cell>
          <cell r="J143">
            <v>0</v>
          </cell>
          <cell r="K143" t="str">
            <v/>
          </cell>
          <cell r="M143">
            <v>4.55</v>
          </cell>
          <cell r="N143" t="str">
            <v/>
          </cell>
          <cell r="U143">
            <v>1.8199999999999998</v>
          </cell>
          <cell r="V143">
            <v>5</v>
          </cell>
          <cell r="X143" t="e">
            <v>#VALUE!</v>
          </cell>
          <cell r="AA143">
            <v>5</v>
          </cell>
          <cell r="AE143">
            <v>0.39</v>
          </cell>
          <cell r="AF143">
            <v>0.39</v>
          </cell>
          <cell r="AI143">
            <v>-1</v>
          </cell>
          <cell r="AJ143" t="str">
            <v/>
          </cell>
          <cell r="AM143" t="e">
            <v>#VALUE!</v>
          </cell>
          <cell r="AN143" t="e">
            <v>#VALUE!</v>
          </cell>
          <cell r="BG143" t="str">
            <v/>
          </cell>
          <cell r="BK143" t="str">
            <v/>
          </cell>
          <cell r="BL143" t="str">
            <v/>
          </cell>
          <cell r="BO143" t="e">
            <v>#VALUE!</v>
          </cell>
          <cell r="BP143" t="e">
            <v>#VALUE!</v>
          </cell>
          <cell r="BQ143" t="e">
            <v>#VALUE!</v>
          </cell>
          <cell r="BU143" t="e">
            <v>#VALUE!</v>
          </cell>
          <cell r="BW143">
            <v>0</v>
          </cell>
          <cell r="BX143">
            <v>0</v>
          </cell>
          <cell r="BY143">
            <v>0</v>
          </cell>
          <cell r="BZ143">
            <v>0</v>
          </cell>
          <cell r="CA143" t="e">
            <v>#VALUE!</v>
          </cell>
          <cell r="CB143">
            <v>0</v>
          </cell>
        </row>
        <row r="144">
          <cell r="K144" t="str">
            <v/>
          </cell>
          <cell r="N144" t="str">
            <v/>
          </cell>
          <cell r="X144" t="str">
            <v/>
          </cell>
          <cell r="AA144" t="str">
            <v/>
          </cell>
          <cell r="AF144" t="str">
            <v/>
          </cell>
          <cell r="AJ144" t="str">
            <v/>
          </cell>
          <cell r="AM144" t="str">
            <v/>
          </cell>
          <cell r="AN144" t="str">
            <v/>
          </cell>
          <cell r="BG144" t="str">
            <v/>
          </cell>
          <cell r="BK144" t="str">
            <v/>
          </cell>
          <cell r="BL144" t="str">
            <v/>
          </cell>
          <cell r="BP144" t="str">
            <v/>
          </cell>
          <cell r="BQ144" t="str">
            <v/>
          </cell>
          <cell r="BU144" t="str">
            <v/>
          </cell>
        </row>
        <row r="145">
          <cell r="A145">
            <v>34225</v>
          </cell>
          <cell r="D145" t="str">
            <v>93M37</v>
          </cell>
          <cell r="E145" t="str">
            <v>93-A</v>
          </cell>
          <cell r="F145" t="str">
            <v>I</v>
          </cell>
          <cell r="G145" t="str">
            <v>0/12</v>
          </cell>
          <cell r="H145">
            <v>9.1300000000000008</v>
          </cell>
          <cell r="I145">
            <v>6.83</v>
          </cell>
          <cell r="J145">
            <v>2.2599999999999998</v>
          </cell>
          <cell r="K145">
            <v>4.57</v>
          </cell>
          <cell r="M145">
            <v>4.5600000000000005</v>
          </cell>
          <cell r="N145" t="str">
            <v/>
          </cell>
          <cell r="X145" t="str">
            <v/>
          </cell>
          <cell r="AA145" t="str">
            <v/>
          </cell>
          <cell r="AF145" t="str">
            <v/>
          </cell>
          <cell r="AJ145" t="str">
            <v/>
          </cell>
          <cell r="AM145" t="str">
            <v/>
          </cell>
          <cell r="AN145" t="str">
            <v/>
          </cell>
          <cell r="BG145" t="str">
            <v/>
          </cell>
          <cell r="BK145" t="str">
            <v/>
          </cell>
          <cell r="BL145" t="str">
            <v/>
          </cell>
          <cell r="BP145">
            <v>4.5600000000000005</v>
          </cell>
          <cell r="BQ145">
            <v>4.5600000000000005</v>
          </cell>
          <cell r="BU145" t="str">
            <v/>
          </cell>
          <cell r="BW145">
            <v>0</v>
          </cell>
          <cell r="BX145">
            <v>0</v>
          </cell>
          <cell r="BY145">
            <v>0</v>
          </cell>
          <cell r="BZ145">
            <v>0</v>
          </cell>
          <cell r="CA145">
            <v>0</v>
          </cell>
          <cell r="CB145">
            <v>0</v>
          </cell>
        </row>
        <row r="146">
          <cell r="D146" t="str">
            <v>bn 1993</v>
          </cell>
          <cell r="F146" t="str">
            <v>I</v>
          </cell>
          <cell r="M146">
            <v>8.8800000000000008</v>
          </cell>
          <cell r="BP146">
            <v>8.8800000000000008</v>
          </cell>
          <cell r="BQ146">
            <v>8.8800000000000008</v>
          </cell>
          <cell r="BU146" t="str">
            <v/>
          </cell>
          <cell r="BW146">
            <v>0</v>
          </cell>
          <cell r="BX146">
            <v>0</v>
          </cell>
          <cell r="BY146">
            <v>0</v>
          </cell>
          <cell r="BZ146">
            <v>0</v>
          </cell>
          <cell r="CA146">
            <v>0</v>
          </cell>
          <cell r="CB146">
            <v>0</v>
          </cell>
        </row>
        <row r="147">
          <cell r="D147" t="str">
            <v>1993 HY end</v>
          </cell>
        </row>
        <row r="148">
          <cell r="A148">
            <v>34370</v>
          </cell>
          <cell r="D148" t="str">
            <v>94M4</v>
          </cell>
          <cell r="E148" t="str">
            <v>93-A</v>
          </cell>
          <cell r="F148" t="str">
            <v>S</v>
          </cell>
          <cell r="I148" t="str">
            <v>not observed or surveyed</v>
          </cell>
          <cell r="N148" t="str">
            <v/>
          </cell>
          <cell r="X148" t="str">
            <v/>
          </cell>
          <cell r="AA148" t="str">
            <v/>
          </cell>
          <cell r="AF148" t="str">
            <v/>
          </cell>
          <cell r="AI148">
            <v>-1</v>
          </cell>
          <cell r="AJ148" t="str">
            <v/>
          </cell>
          <cell r="AM148" t="str">
            <v/>
          </cell>
          <cell r="AN148" t="str">
            <v/>
          </cell>
          <cell r="BG148" t="str">
            <v/>
          </cell>
          <cell r="BK148" t="str">
            <v/>
          </cell>
          <cell r="BL148" t="str">
            <v/>
          </cell>
          <cell r="BU148" t="e">
            <v>#VALUE!</v>
          </cell>
          <cell r="BW148">
            <v>0</v>
          </cell>
          <cell r="BX148">
            <v>0</v>
          </cell>
          <cell r="BY148">
            <v>0</v>
          </cell>
          <cell r="BZ148">
            <v>0</v>
          </cell>
          <cell r="CA148" t="e">
            <v>#VALUE!</v>
          </cell>
          <cell r="CB148">
            <v>0</v>
          </cell>
        </row>
        <row r="149">
          <cell r="A149">
            <v>34468</v>
          </cell>
          <cell r="D149" t="str">
            <v>94M14,16</v>
          </cell>
          <cell r="E149" t="str">
            <v>93-A</v>
          </cell>
          <cell r="F149" t="str">
            <v>S</v>
          </cell>
          <cell r="G149" t="str">
            <v>9/9 or 12/12?</v>
          </cell>
          <cell r="H149">
            <v>10.7</v>
          </cell>
          <cell r="I149">
            <v>6.82</v>
          </cell>
          <cell r="J149">
            <v>6.82</v>
          </cell>
          <cell r="K149" t="str">
            <v/>
          </cell>
          <cell r="M149">
            <v>10.7</v>
          </cell>
          <cell r="U149">
            <v>1.8199999999999998</v>
          </cell>
          <cell r="V149">
            <v>5</v>
          </cell>
          <cell r="X149">
            <v>1.82</v>
          </cell>
          <cell r="AA149">
            <v>5</v>
          </cell>
          <cell r="AE149">
            <v>0.39</v>
          </cell>
          <cell r="AF149">
            <v>0.39</v>
          </cell>
          <cell r="AI149">
            <v>-1</v>
          </cell>
          <cell r="AJ149">
            <v>-1</v>
          </cell>
          <cell r="AM149">
            <v>8.8800000000000008</v>
          </cell>
          <cell r="AN149">
            <v>8.8800000000000008</v>
          </cell>
          <cell r="BG149" t="str">
            <v/>
          </cell>
          <cell r="BK149" t="str">
            <v/>
          </cell>
          <cell r="BL149" t="str">
            <v/>
          </cell>
          <cell r="BO149">
            <v>8.8800000000000008</v>
          </cell>
          <cell r="BP149">
            <v>8.8800000000000008</v>
          </cell>
          <cell r="BQ149">
            <v>8.8800000000000008</v>
          </cell>
          <cell r="BU149">
            <v>0.71</v>
          </cell>
          <cell r="BW149">
            <v>0</v>
          </cell>
          <cell r="BX149">
            <v>0</v>
          </cell>
          <cell r="BY149">
            <v>0</v>
          </cell>
          <cell r="BZ149">
            <v>0</v>
          </cell>
          <cell r="CA149">
            <v>0.71</v>
          </cell>
          <cell r="CB149">
            <v>0</v>
          </cell>
        </row>
        <row r="150">
          <cell r="A150">
            <v>34586</v>
          </cell>
          <cell r="D150" t="str">
            <v>94M27</v>
          </cell>
          <cell r="E150" t="str">
            <v>93-A</v>
          </cell>
          <cell r="F150" t="str">
            <v>I</v>
          </cell>
          <cell r="I150">
            <v>6.83</v>
          </cell>
          <cell r="J150">
            <v>2.2599999999999998</v>
          </cell>
          <cell r="K150">
            <v>4.57</v>
          </cell>
          <cell r="M150">
            <v>2.2599999999999998</v>
          </cell>
          <cell r="N150" t="str">
            <v/>
          </cell>
          <cell r="X150" t="str">
            <v/>
          </cell>
          <cell r="AA150" t="str">
            <v/>
          </cell>
          <cell r="AF150" t="str">
            <v/>
          </cell>
          <cell r="AJ150" t="str">
            <v/>
          </cell>
          <cell r="AM150" t="str">
            <v/>
          </cell>
          <cell r="AN150" t="str">
            <v/>
          </cell>
          <cell r="BG150" t="str">
            <v/>
          </cell>
          <cell r="BK150" t="str">
            <v/>
          </cell>
          <cell r="BL150" t="str">
            <v/>
          </cell>
          <cell r="BO150">
            <v>8.8800000000000008</v>
          </cell>
          <cell r="BP150">
            <v>2.2599999999999998</v>
          </cell>
          <cell r="BQ150">
            <v>2.2599999999999998</v>
          </cell>
          <cell r="BU150" t="str">
            <v/>
          </cell>
          <cell r="BW150">
            <v>0</v>
          </cell>
          <cell r="BX150">
            <v>0</v>
          </cell>
          <cell r="BY150">
            <v>0</v>
          </cell>
          <cell r="BZ150">
            <v>-5.96</v>
          </cell>
          <cell r="CA150">
            <v>-5.96</v>
          </cell>
          <cell r="CB150">
            <v>-5.96</v>
          </cell>
        </row>
        <row r="151">
          <cell r="D151" t="str">
            <v>bn 1994</v>
          </cell>
          <cell r="F151" t="str">
            <v>I</v>
          </cell>
          <cell r="M151">
            <v>0.77333333333333343</v>
          </cell>
          <cell r="BO151">
            <v>7.49</v>
          </cell>
          <cell r="BP151">
            <v>0.77333333333333343</v>
          </cell>
          <cell r="BQ151">
            <v>0.77333333333333343</v>
          </cell>
          <cell r="BU151" t="str">
            <v/>
          </cell>
          <cell r="BW151">
            <v>0</v>
          </cell>
          <cell r="BX151">
            <v>0</v>
          </cell>
          <cell r="BY151">
            <v>0</v>
          </cell>
          <cell r="BZ151">
            <v>-6.05</v>
          </cell>
          <cell r="CA151">
            <v>-6.05</v>
          </cell>
          <cell r="CB151">
            <v>-6.05</v>
          </cell>
        </row>
        <row r="152">
          <cell r="D152" t="str">
            <v>1994 HY end</v>
          </cell>
        </row>
        <row r="153">
          <cell r="A153">
            <v>34730</v>
          </cell>
          <cell r="D153" t="str">
            <v>95M3</v>
          </cell>
          <cell r="E153" t="str">
            <v>93-A</v>
          </cell>
          <cell r="F153" t="str">
            <v>S</v>
          </cell>
          <cell r="I153">
            <v>6.82</v>
          </cell>
          <cell r="J153">
            <v>6.82</v>
          </cell>
          <cell r="K153" t="str">
            <v/>
          </cell>
          <cell r="M153">
            <v>6.82</v>
          </cell>
          <cell r="N153">
            <v>3.33</v>
          </cell>
          <cell r="U153">
            <v>1.32</v>
          </cell>
          <cell r="V153">
            <v>1</v>
          </cell>
          <cell r="X153">
            <v>2.33</v>
          </cell>
          <cell r="AA153">
            <v>2</v>
          </cell>
          <cell r="AE153">
            <v>0.38</v>
          </cell>
          <cell r="AF153">
            <v>0.38</v>
          </cell>
          <cell r="AI153">
            <v>-1</v>
          </cell>
          <cell r="AJ153">
            <v>-1</v>
          </cell>
          <cell r="AM153">
            <v>4.49</v>
          </cell>
          <cell r="AN153">
            <v>4.49</v>
          </cell>
          <cell r="BG153" t="str">
            <v/>
          </cell>
          <cell r="BK153" t="str">
            <v/>
          </cell>
          <cell r="BL153" t="str">
            <v/>
          </cell>
          <cell r="BO153">
            <v>3.49</v>
          </cell>
          <cell r="BP153">
            <v>4.49</v>
          </cell>
          <cell r="BQ153">
            <v>4.49</v>
          </cell>
          <cell r="BU153">
            <v>0.89</v>
          </cell>
          <cell r="BW153">
            <v>0</v>
          </cell>
          <cell r="BX153">
            <v>0</v>
          </cell>
          <cell r="BY153">
            <v>0</v>
          </cell>
          <cell r="BZ153">
            <v>0.9</v>
          </cell>
          <cell r="CA153">
            <v>1.79</v>
          </cell>
          <cell r="CB153">
            <v>0.9</v>
          </cell>
        </row>
        <row r="154">
          <cell r="A154">
            <v>34833</v>
          </cell>
          <cell r="D154" t="str">
            <v>95M9,12</v>
          </cell>
          <cell r="E154" t="str">
            <v>93-A</v>
          </cell>
          <cell r="F154" t="str">
            <v>S</v>
          </cell>
          <cell r="I154">
            <v>1.5</v>
          </cell>
          <cell r="J154">
            <v>1.29</v>
          </cell>
          <cell r="K154">
            <v>0.20999999999999996</v>
          </cell>
          <cell r="M154">
            <v>1.29</v>
          </cell>
          <cell r="N154">
            <v>-2.2000000000000002</v>
          </cell>
          <cell r="U154">
            <v>1.952</v>
          </cell>
          <cell r="V154">
            <v>5</v>
          </cell>
          <cell r="X154">
            <v>1.26</v>
          </cell>
          <cell r="AA154">
            <v>6</v>
          </cell>
          <cell r="AE154">
            <v>0.4</v>
          </cell>
          <cell r="AF154">
            <v>0.4</v>
          </cell>
          <cell r="AJ154" t="e">
            <v>#DIV/0!</v>
          </cell>
          <cell r="AM154">
            <v>0.03</v>
          </cell>
          <cell r="AN154">
            <v>0.03</v>
          </cell>
          <cell r="BG154" t="str">
            <v/>
          </cell>
          <cell r="BK154" t="str">
            <v/>
          </cell>
          <cell r="BL154" t="str">
            <v/>
          </cell>
          <cell r="BO154">
            <v>3.49</v>
          </cell>
          <cell r="BP154">
            <v>0.03</v>
          </cell>
          <cell r="BQ154">
            <v>0.03</v>
          </cell>
          <cell r="BU154">
            <v>0.5</v>
          </cell>
          <cell r="BW154">
            <v>0</v>
          </cell>
          <cell r="BX154">
            <v>0</v>
          </cell>
          <cell r="BY154">
            <v>0</v>
          </cell>
          <cell r="BZ154">
            <v>-3.11</v>
          </cell>
          <cell r="CA154">
            <v>-2.61</v>
          </cell>
          <cell r="CB154">
            <v>-3.11</v>
          </cell>
        </row>
        <row r="155">
          <cell r="A155">
            <v>34957</v>
          </cell>
          <cell r="D155" t="str">
            <v>95M31</v>
          </cell>
          <cell r="E155" t="str">
            <v>93-A</v>
          </cell>
          <cell r="F155" t="str">
            <v>I</v>
          </cell>
          <cell r="G155" t="str">
            <v>6/0</v>
          </cell>
          <cell r="H155">
            <v>0.71</v>
          </cell>
          <cell r="K155" t="str">
            <v/>
          </cell>
          <cell r="M155">
            <v>0.71</v>
          </cell>
          <cell r="N155" t="str">
            <v/>
          </cell>
          <cell r="X155" t="str">
            <v/>
          </cell>
          <cell r="AA155" t="str">
            <v/>
          </cell>
          <cell r="AF155" t="str">
            <v/>
          </cell>
          <cell r="AJ155" t="str">
            <v/>
          </cell>
          <cell r="AM155" t="str">
            <v/>
          </cell>
          <cell r="AN155" t="str">
            <v/>
          </cell>
          <cell r="BG155" t="str">
            <v/>
          </cell>
          <cell r="BK155" t="str">
            <v/>
          </cell>
          <cell r="BL155" t="str">
            <v/>
          </cell>
          <cell r="BO155">
            <v>3.49</v>
          </cell>
          <cell r="BP155">
            <v>0.71</v>
          </cell>
          <cell r="BQ155">
            <v>0.71</v>
          </cell>
          <cell r="BU155" t="str">
            <v/>
          </cell>
          <cell r="BW155">
            <v>0</v>
          </cell>
          <cell r="BX155">
            <v>0</v>
          </cell>
          <cell r="BY155">
            <v>0</v>
          </cell>
          <cell r="BZ155">
            <v>-2.5</v>
          </cell>
          <cell r="CA155">
            <v>-2.5</v>
          </cell>
          <cell r="CB155">
            <v>-2.5</v>
          </cell>
        </row>
        <row r="156">
          <cell r="D156" t="str">
            <v>bn 1995</v>
          </cell>
        </row>
        <row r="157">
          <cell r="D157" t="str">
            <v>1995 HY end</v>
          </cell>
        </row>
        <row r="158">
          <cell r="K158" t="str">
            <v/>
          </cell>
          <cell r="N158" t="str">
            <v/>
          </cell>
          <cell r="X158" t="str">
            <v/>
          </cell>
          <cell r="AA158" t="str">
            <v/>
          </cell>
          <cell r="AF158" t="str">
            <v/>
          </cell>
          <cell r="AJ158" t="str">
            <v/>
          </cell>
          <cell r="AM158" t="str">
            <v/>
          </cell>
          <cell r="AN158" t="str">
            <v/>
          </cell>
          <cell r="BG158" t="str">
            <v/>
          </cell>
          <cell r="BK158" t="str">
            <v/>
          </cell>
          <cell r="BL158" t="str">
            <v/>
          </cell>
          <cell r="BP158" t="str">
            <v/>
          </cell>
          <cell r="BQ158" t="str">
            <v/>
          </cell>
          <cell r="BU158" t="str">
            <v/>
          </cell>
        </row>
        <row r="159">
          <cell r="A159">
            <v>34584</v>
          </cell>
          <cell r="D159" t="str">
            <v>94M25</v>
          </cell>
          <cell r="E159" t="str">
            <v>94-A</v>
          </cell>
          <cell r="F159" t="str">
            <v>I</v>
          </cell>
          <cell r="K159" t="str">
            <v/>
          </cell>
          <cell r="M159" t="str">
            <v/>
          </cell>
          <cell r="N159" t="str">
            <v/>
          </cell>
          <cell r="X159" t="str">
            <v/>
          </cell>
          <cell r="AA159" t="str">
            <v/>
          </cell>
          <cell r="AF159" t="str">
            <v/>
          </cell>
          <cell r="AJ159" t="str">
            <v/>
          </cell>
          <cell r="AM159" t="str">
            <v/>
          </cell>
          <cell r="AN159" t="str">
            <v/>
          </cell>
          <cell r="BG159" t="str">
            <v/>
          </cell>
          <cell r="BK159" t="str">
            <v/>
          </cell>
          <cell r="BL159" t="str">
            <v/>
          </cell>
          <cell r="BP159" t="str">
            <v/>
          </cell>
          <cell r="BQ159" t="str">
            <v/>
          </cell>
          <cell r="BU159" t="str">
            <v/>
          </cell>
          <cell r="BW159">
            <v>0</v>
          </cell>
          <cell r="BX159">
            <v>0</v>
          </cell>
          <cell r="BY159">
            <v>0</v>
          </cell>
          <cell r="BZ159">
            <v>0</v>
          </cell>
          <cell r="CA159">
            <v>0</v>
          </cell>
          <cell r="CB159">
            <v>0</v>
          </cell>
        </row>
        <row r="160">
          <cell r="A160">
            <v>34586</v>
          </cell>
          <cell r="D160" t="str">
            <v>94M27</v>
          </cell>
          <cell r="E160" t="str">
            <v>94-A</v>
          </cell>
          <cell r="F160" t="str">
            <v>I</v>
          </cell>
          <cell r="I160">
            <v>3.15</v>
          </cell>
          <cell r="J160">
            <v>3.17</v>
          </cell>
          <cell r="K160">
            <v>-2.0000000000000018E-2</v>
          </cell>
          <cell r="M160">
            <v>3.17</v>
          </cell>
          <cell r="N160" t="str">
            <v/>
          </cell>
          <cell r="X160" t="str">
            <v/>
          </cell>
          <cell r="AA160" t="str">
            <v/>
          </cell>
          <cell r="AF160" t="str">
            <v/>
          </cell>
          <cell r="AJ160" t="str">
            <v/>
          </cell>
          <cell r="AM160" t="str">
            <v/>
          </cell>
          <cell r="AN160" t="str">
            <v/>
          </cell>
          <cell r="BG160" t="str">
            <v/>
          </cell>
          <cell r="BK160" t="str">
            <v/>
          </cell>
          <cell r="BL160" t="str">
            <v/>
          </cell>
          <cell r="BO160">
            <v>15.58</v>
          </cell>
          <cell r="BP160">
            <v>3.17</v>
          </cell>
          <cell r="BQ160">
            <v>3.17</v>
          </cell>
          <cell r="BU160" t="str">
            <v/>
          </cell>
          <cell r="BW160">
            <v>0</v>
          </cell>
          <cell r="BX160">
            <v>0</v>
          </cell>
          <cell r="BY160">
            <v>0</v>
          </cell>
          <cell r="BZ160">
            <v>-11.17</v>
          </cell>
          <cell r="CA160">
            <v>-11.17</v>
          </cell>
          <cell r="CB160">
            <v>-11.17</v>
          </cell>
        </row>
        <row r="161">
          <cell r="D161" t="str">
            <v>bn 1994</v>
          </cell>
          <cell r="F161" t="str">
            <v>I</v>
          </cell>
          <cell r="M161" t="e">
            <v>#VALUE!</v>
          </cell>
          <cell r="BP161" t="e">
            <v>#VALUE!</v>
          </cell>
          <cell r="BQ161" t="e">
            <v>#VALUE!</v>
          </cell>
          <cell r="BU161" t="str">
            <v/>
          </cell>
          <cell r="BW161">
            <v>0</v>
          </cell>
          <cell r="BX161">
            <v>0</v>
          </cell>
          <cell r="BY161">
            <v>0</v>
          </cell>
          <cell r="BZ161">
            <v>0</v>
          </cell>
          <cell r="CA161">
            <v>0</v>
          </cell>
          <cell r="CB161">
            <v>0</v>
          </cell>
        </row>
        <row r="162">
          <cell r="D162" t="str">
            <v>1994 HY end</v>
          </cell>
        </row>
        <row r="163">
          <cell r="A163">
            <v>34730</v>
          </cell>
          <cell r="D163" t="str">
            <v>95M3</v>
          </cell>
          <cell r="E163" t="str">
            <v>94-A</v>
          </cell>
          <cell r="F163" t="str">
            <v>S</v>
          </cell>
          <cell r="I163">
            <v>1.96</v>
          </cell>
          <cell r="J163">
            <v>1.98</v>
          </cell>
          <cell r="K163">
            <v>-2.0000000000000018E-2</v>
          </cell>
          <cell r="M163">
            <v>1.98</v>
          </cell>
          <cell r="N163">
            <v>-7.4599999999999991</v>
          </cell>
          <cell r="U163">
            <v>1.32</v>
          </cell>
          <cell r="V163">
            <v>1</v>
          </cell>
          <cell r="X163">
            <v>-3.07</v>
          </cell>
          <cell r="AA163">
            <v>2</v>
          </cell>
          <cell r="AE163">
            <v>0.38</v>
          </cell>
          <cell r="AF163">
            <v>0.38</v>
          </cell>
          <cell r="AI163">
            <v>-1</v>
          </cell>
          <cell r="AJ163">
            <v>-1</v>
          </cell>
          <cell r="AM163">
            <v>5.05</v>
          </cell>
          <cell r="AN163">
            <v>5.05</v>
          </cell>
          <cell r="BG163" t="str">
            <v/>
          </cell>
          <cell r="BK163" t="str">
            <v/>
          </cell>
          <cell r="BL163" t="str">
            <v/>
          </cell>
          <cell r="BO163">
            <v>9.44</v>
          </cell>
          <cell r="BP163">
            <v>5.05</v>
          </cell>
          <cell r="BQ163">
            <v>5.05</v>
          </cell>
          <cell r="BU163">
            <v>-1.17</v>
          </cell>
          <cell r="BW163">
            <v>0</v>
          </cell>
          <cell r="BX163">
            <v>0</v>
          </cell>
          <cell r="BY163">
            <v>0</v>
          </cell>
          <cell r="BZ163">
            <v>-3.95</v>
          </cell>
          <cell r="CA163">
            <v>-5.12</v>
          </cell>
          <cell r="CB163">
            <v>-3.95</v>
          </cell>
        </row>
        <row r="164">
          <cell r="A164">
            <v>34831</v>
          </cell>
          <cell r="D164" t="str">
            <v>95M9,12</v>
          </cell>
          <cell r="E164" t="str">
            <v>94-A</v>
          </cell>
          <cell r="F164" t="str">
            <v>S</v>
          </cell>
          <cell r="G164" t="str">
            <v>12/12</v>
          </cell>
          <cell r="H164">
            <v>11.43</v>
          </cell>
          <cell r="I164" t="str">
            <v>No Data</v>
          </cell>
          <cell r="J164" t="str">
            <v>No Data</v>
          </cell>
          <cell r="K164" t="e">
            <v>#VALUE!</v>
          </cell>
          <cell r="M164" t="e">
            <v>#VALUE!</v>
          </cell>
          <cell r="N164" t="e">
            <v>#VALUE!</v>
          </cell>
          <cell r="U164">
            <v>1.952</v>
          </cell>
          <cell r="V164">
            <v>5</v>
          </cell>
          <cell r="X164" t="e">
            <v>#VALUE!</v>
          </cell>
          <cell r="AA164">
            <v>5</v>
          </cell>
          <cell r="AE164">
            <v>0.4</v>
          </cell>
          <cell r="AF164">
            <v>0.4</v>
          </cell>
          <cell r="AJ164" t="str">
            <v/>
          </cell>
          <cell r="AM164" t="str">
            <v/>
          </cell>
          <cell r="AN164" t="str">
            <v/>
          </cell>
          <cell r="BG164" t="str">
            <v/>
          </cell>
          <cell r="BK164" t="str">
            <v/>
          </cell>
          <cell r="BL164" t="str">
            <v/>
          </cell>
          <cell r="BO164">
            <v>9.44</v>
          </cell>
          <cell r="BP164" t="str">
            <v/>
          </cell>
          <cell r="BQ164" t="str">
            <v/>
          </cell>
          <cell r="BU164" t="e">
            <v>#VALUE!</v>
          </cell>
          <cell r="BW164">
            <v>0</v>
          </cell>
          <cell r="BX164">
            <v>0</v>
          </cell>
          <cell r="BY164">
            <v>0</v>
          </cell>
          <cell r="BZ164" t="e">
            <v>#VALUE!</v>
          </cell>
          <cell r="CA164" t="e">
            <v>#VALUE!</v>
          </cell>
          <cell r="CB164" t="e">
            <v>#VALUE!</v>
          </cell>
        </row>
        <row r="165">
          <cell r="A165">
            <v>34956</v>
          </cell>
          <cell r="D165" t="str">
            <v>95M26</v>
          </cell>
          <cell r="E165" t="str">
            <v>94-A</v>
          </cell>
          <cell r="F165" t="str">
            <v>I</v>
          </cell>
          <cell r="G165" t="str">
            <v>6/9</v>
          </cell>
          <cell r="H165">
            <v>5.09</v>
          </cell>
          <cell r="I165">
            <v>0</v>
          </cell>
          <cell r="J165">
            <v>0</v>
          </cell>
          <cell r="K165" t="str">
            <v/>
          </cell>
          <cell r="M165">
            <v>5.09</v>
          </cell>
          <cell r="N165" t="str">
            <v/>
          </cell>
          <cell r="X165" t="str">
            <v/>
          </cell>
          <cell r="AA165" t="str">
            <v/>
          </cell>
          <cell r="AF165" t="str">
            <v/>
          </cell>
          <cell r="AJ165" t="str">
            <v/>
          </cell>
          <cell r="AM165" t="str">
            <v/>
          </cell>
          <cell r="AN165" t="str">
            <v/>
          </cell>
          <cell r="BG165" t="str">
            <v/>
          </cell>
          <cell r="BK165" t="str">
            <v/>
          </cell>
          <cell r="BL165" t="str">
            <v/>
          </cell>
          <cell r="BO165">
            <v>9.44</v>
          </cell>
          <cell r="BP165">
            <v>5.09</v>
          </cell>
          <cell r="BQ165">
            <v>5.09</v>
          </cell>
          <cell r="BU165" t="str">
            <v/>
          </cell>
          <cell r="BW165">
            <v>0</v>
          </cell>
          <cell r="BX165">
            <v>0</v>
          </cell>
          <cell r="BY165">
            <v>0</v>
          </cell>
          <cell r="BZ165">
            <v>-3.92</v>
          </cell>
          <cell r="CA165">
            <v>-3.92</v>
          </cell>
          <cell r="CB165">
            <v>-3.92</v>
          </cell>
        </row>
        <row r="166">
          <cell r="F166" t="str">
            <v>I</v>
          </cell>
          <cell r="M166">
            <v>4.1499999999999995</v>
          </cell>
          <cell r="BO166">
            <v>9.44</v>
          </cell>
          <cell r="BP166">
            <v>4.1499999999999995</v>
          </cell>
          <cell r="BQ166">
            <v>4.1499999999999995</v>
          </cell>
          <cell r="BU166" t="str">
            <v/>
          </cell>
          <cell r="BW166">
            <v>0</v>
          </cell>
          <cell r="BX166">
            <v>0</v>
          </cell>
          <cell r="BY166">
            <v>0</v>
          </cell>
          <cell r="BZ166">
            <v>-4.76</v>
          </cell>
          <cell r="CA166">
            <v>-4.76</v>
          </cell>
          <cell r="CB166">
            <v>-4.76</v>
          </cell>
        </row>
        <row r="167">
          <cell r="M167">
            <v>4.16</v>
          </cell>
          <cell r="N167" t="str">
            <v/>
          </cell>
          <cell r="X167" t="str">
            <v/>
          </cell>
        </row>
        <row r="168">
          <cell r="F168" t="str">
            <v>S</v>
          </cell>
          <cell r="G168" t="str">
            <v>9/9</v>
          </cell>
          <cell r="H168">
            <v>5.0999999999999996</v>
          </cell>
          <cell r="I168">
            <v>4.8499999999999996</v>
          </cell>
          <cell r="J168">
            <v>4.8499999999999996</v>
          </cell>
          <cell r="K168" t="str">
            <v/>
          </cell>
          <cell r="M168">
            <v>5.0999999999999996</v>
          </cell>
          <cell r="N168">
            <v>0.94999999999999929</v>
          </cell>
          <cell r="S168">
            <v>0.9</v>
          </cell>
          <cell r="T168">
            <v>4</v>
          </cell>
          <cell r="U168">
            <v>0.96</v>
          </cell>
          <cell r="V168">
            <v>20</v>
          </cell>
          <cell r="X168">
            <v>0.95</v>
          </cell>
          <cell r="AA168">
            <v>25</v>
          </cell>
          <cell r="AD168">
            <v>0.35199999999999998</v>
          </cell>
          <cell r="AF168">
            <v>0.35199999999999998</v>
          </cell>
          <cell r="AJ168" t="e">
            <v>#DIV/0!</v>
          </cell>
          <cell r="AM168">
            <v>4.1500000000000004</v>
          </cell>
          <cell r="AN168">
            <v>4.1500000000000004</v>
          </cell>
          <cell r="BG168" t="str">
            <v/>
          </cell>
          <cell r="BK168" t="str">
            <v/>
          </cell>
          <cell r="BL168" t="str">
            <v/>
          </cell>
          <cell r="BO168">
            <v>4.1500000000000004</v>
          </cell>
          <cell r="BP168">
            <v>4.1500000000000004</v>
          </cell>
          <cell r="BQ168">
            <v>4.1500000000000004</v>
          </cell>
          <cell r="BU168">
            <v>0.33</v>
          </cell>
          <cell r="BW168">
            <v>0</v>
          </cell>
          <cell r="BX168">
            <v>0</v>
          </cell>
          <cell r="BY168">
            <v>0</v>
          </cell>
          <cell r="BZ168">
            <v>0</v>
          </cell>
          <cell r="CA168">
            <v>0.33</v>
          </cell>
          <cell r="CB168">
            <v>0</v>
          </cell>
        </row>
        <row r="169">
          <cell r="F169" t="str">
            <v>I</v>
          </cell>
          <cell r="G169" t="str">
            <v>9/3</v>
          </cell>
          <cell r="H169">
            <v>4.1500000000000004</v>
          </cell>
          <cell r="I169">
            <v>2.61</v>
          </cell>
          <cell r="J169">
            <v>2.64</v>
          </cell>
          <cell r="K169">
            <v>-3.0000000000000249E-2</v>
          </cell>
          <cell r="M169">
            <v>4.1800000000000006</v>
          </cell>
        </row>
        <row r="170">
          <cell r="K170" t="str">
            <v/>
          </cell>
          <cell r="N170" t="str">
            <v/>
          </cell>
          <cell r="X170" t="str">
            <v/>
          </cell>
          <cell r="AA170" t="str">
            <v/>
          </cell>
          <cell r="AF170" t="str">
            <v/>
          </cell>
          <cell r="AJ170" t="str">
            <v/>
          </cell>
          <cell r="AM170" t="str">
            <v/>
          </cell>
          <cell r="AN170" t="str">
            <v/>
          </cell>
          <cell r="BG170" t="str">
            <v/>
          </cell>
          <cell r="BK170" t="str">
            <v/>
          </cell>
          <cell r="BL170" t="str">
            <v/>
          </cell>
          <cell r="BP170" t="str">
            <v/>
          </cell>
          <cell r="BQ170" t="str">
            <v/>
          </cell>
          <cell r="BU170" t="str">
            <v/>
          </cell>
        </row>
        <row r="171">
          <cell r="F171" t="str">
            <v>I</v>
          </cell>
          <cell r="G171" t="str">
            <v>0/12</v>
          </cell>
          <cell r="H171">
            <v>9.1999999999999993</v>
          </cell>
          <cell r="I171">
            <v>7.98</v>
          </cell>
          <cell r="J171">
            <v>7.96</v>
          </cell>
          <cell r="K171">
            <v>2.0000000000000462E-2</v>
          </cell>
          <cell r="M171">
            <v>9.18</v>
          </cell>
          <cell r="N171" t="str">
            <v/>
          </cell>
          <cell r="X171" t="str">
            <v/>
          </cell>
          <cell r="AA171" t="str">
            <v/>
          </cell>
          <cell r="AF171" t="str">
            <v/>
          </cell>
          <cell r="AJ171" t="str">
            <v/>
          </cell>
          <cell r="AM171" t="str">
            <v/>
          </cell>
          <cell r="AN171" t="str">
            <v/>
          </cell>
          <cell r="BG171" t="str">
            <v/>
          </cell>
          <cell r="BK171" t="str">
            <v/>
          </cell>
          <cell r="BL171" t="str">
            <v/>
          </cell>
          <cell r="BO171">
            <v>9.0499999999999989</v>
          </cell>
          <cell r="BP171">
            <v>9.18</v>
          </cell>
          <cell r="BQ171">
            <v>9.18</v>
          </cell>
          <cell r="BU171" t="str">
            <v/>
          </cell>
          <cell r="BW171">
            <v>0</v>
          </cell>
          <cell r="BX171">
            <v>0</v>
          </cell>
          <cell r="BY171">
            <v>0</v>
          </cell>
          <cell r="BZ171">
            <v>0.12</v>
          </cell>
          <cell r="CA171">
            <v>0.12</v>
          </cell>
          <cell r="CB171">
            <v>0.12</v>
          </cell>
        </row>
        <row r="172">
          <cell r="F172" t="str">
            <v>S</v>
          </cell>
          <cell r="G172" t="str">
            <v>12/12</v>
          </cell>
          <cell r="H172">
            <v>9.41</v>
          </cell>
          <cell r="I172">
            <v>9.4600000000000009</v>
          </cell>
          <cell r="J172">
            <v>9.41</v>
          </cell>
          <cell r="K172">
            <v>5.0000000000000711E-2</v>
          </cell>
          <cell r="M172">
            <v>9.36</v>
          </cell>
          <cell r="N172">
            <v>0.3100000000000005</v>
          </cell>
          <cell r="S172">
            <v>0.9</v>
          </cell>
          <cell r="T172">
            <v>4</v>
          </cell>
          <cell r="U172">
            <v>0.96</v>
          </cell>
          <cell r="V172">
            <v>20</v>
          </cell>
          <cell r="X172">
            <v>0.92</v>
          </cell>
          <cell r="AA172">
            <v>25</v>
          </cell>
          <cell r="AD172">
            <v>0.35199999999999998</v>
          </cell>
          <cell r="AF172">
            <v>0.35199999999999998</v>
          </cell>
          <cell r="AJ172" t="e">
            <v>#DIV/0!</v>
          </cell>
          <cell r="AM172">
            <v>8.44</v>
          </cell>
          <cell r="AN172">
            <v>8.44</v>
          </cell>
          <cell r="BG172" t="str">
            <v/>
          </cell>
          <cell r="BK172" t="str">
            <v/>
          </cell>
          <cell r="BL172" t="str">
            <v/>
          </cell>
          <cell r="BO172">
            <v>9.0499999999999989</v>
          </cell>
          <cell r="BP172">
            <v>8.44</v>
          </cell>
          <cell r="BQ172">
            <v>8.44</v>
          </cell>
          <cell r="BU172">
            <v>0.32</v>
          </cell>
          <cell r="BW172">
            <v>0</v>
          </cell>
          <cell r="BX172">
            <v>0</v>
          </cell>
          <cell r="BY172">
            <v>0</v>
          </cell>
          <cell r="BZ172">
            <v>-0.55000000000000004</v>
          </cell>
          <cell r="CA172">
            <v>-0.23000000000000004</v>
          </cell>
          <cell r="CB172">
            <v>-0.55000000000000004</v>
          </cell>
        </row>
        <row r="173">
          <cell r="F173" t="str">
            <v>I</v>
          </cell>
          <cell r="G173" t="str">
            <v>12/9</v>
          </cell>
          <cell r="H173">
            <v>8.2799999999999994</v>
          </cell>
          <cell r="I173">
            <v>7.89</v>
          </cell>
          <cell r="J173">
            <v>7.77</v>
          </cell>
          <cell r="K173">
            <v>0.12000000000000011</v>
          </cell>
          <cell r="M173">
            <v>8.16</v>
          </cell>
          <cell r="N173" t="str">
            <v/>
          </cell>
          <cell r="X173" t="str">
            <v/>
          </cell>
          <cell r="AA173" t="str">
            <v/>
          </cell>
          <cell r="AF173" t="str">
            <v/>
          </cell>
          <cell r="AJ173" t="str">
            <v/>
          </cell>
          <cell r="AM173" t="str">
            <v/>
          </cell>
          <cell r="AN173" t="str">
            <v/>
          </cell>
          <cell r="BG173" t="str">
            <v/>
          </cell>
          <cell r="BK173" t="str">
            <v/>
          </cell>
          <cell r="BL173" t="str">
            <v/>
          </cell>
          <cell r="BO173">
            <v>9.0499999999999989</v>
          </cell>
          <cell r="BP173">
            <v>8.16</v>
          </cell>
          <cell r="BQ173">
            <v>8.16</v>
          </cell>
          <cell r="BU173" t="str">
            <v/>
          </cell>
          <cell r="BW173">
            <v>0</v>
          </cell>
          <cell r="BX173">
            <v>0</v>
          </cell>
          <cell r="BY173">
            <v>0</v>
          </cell>
          <cell r="BZ173">
            <v>-0.8</v>
          </cell>
          <cell r="CA173">
            <v>-0.8</v>
          </cell>
          <cell r="CB173">
            <v>-0.8</v>
          </cell>
        </row>
        <row r="174">
          <cell r="F174" t="str">
            <v>I</v>
          </cell>
          <cell r="G174" t="str">
            <v>6/6</v>
          </cell>
          <cell r="H174">
            <v>2.5</v>
          </cell>
          <cell r="I174">
            <v>2.0499999999999998</v>
          </cell>
          <cell r="J174">
            <v>1.36</v>
          </cell>
          <cell r="K174">
            <v>0.68999999999999972</v>
          </cell>
          <cell r="M174">
            <v>1.8100000000000003</v>
          </cell>
          <cell r="N174" t="str">
            <v/>
          </cell>
          <cell r="X174" t="str">
            <v/>
          </cell>
          <cell r="AA174" t="str">
            <v/>
          </cell>
          <cell r="AF174" t="str">
            <v/>
          </cell>
          <cell r="AJ174" t="str">
            <v/>
          </cell>
          <cell r="AM174" t="str">
            <v/>
          </cell>
          <cell r="AN174" t="str">
            <v/>
          </cell>
          <cell r="BG174" t="str">
            <v/>
          </cell>
          <cell r="BK174" t="str">
            <v/>
          </cell>
          <cell r="BL174" t="str">
            <v/>
          </cell>
          <cell r="BO174">
            <v>9.0499999999999989</v>
          </cell>
          <cell r="BP174">
            <v>1.8100000000000003</v>
          </cell>
          <cell r="BQ174">
            <v>1.8100000000000003</v>
          </cell>
          <cell r="BU174" t="str">
            <v/>
          </cell>
          <cell r="BW174">
            <v>0</v>
          </cell>
          <cell r="BX174">
            <v>0</v>
          </cell>
          <cell r="BY174">
            <v>0</v>
          </cell>
          <cell r="BZ174">
            <v>-6.52</v>
          </cell>
          <cell r="CA174">
            <v>-6.52</v>
          </cell>
          <cell r="CB174">
            <v>-6.52</v>
          </cell>
        </row>
        <row r="175">
          <cell r="F175" t="str">
            <v>I</v>
          </cell>
          <cell r="M175">
            <v>2.44</v>
          </cell>
          <cell r="BO175">
            <v>9.0499999999999989</v>
          </cell>
          <cell r="BP175">
            <v>2.44</v>
          </cell>
          <cell r="BQ175">
            <v>2.44</v>
          </cell>
          <cell r="BU175" t="str">
            <v/>
          </cell>
          <cell r="BW175">
            <v>0</v>
          </cell>
          <cell r="BX175">
            <v>0</v>
          </cell>
          <cell r="BY175">
            <v>0</v>
          </cell>
          <cell r="BZ175">
            <v>-5.95</v>
          </cell>
          <cell r="CA175">
            <v>-5.95</v>
          </cell>
          <cell r="CB175">
            <v>-5.95</v>
          </cell>
        </row>
        <row r="176">
          <cell r="N176" t="str">
            <v/>
          </cell>
          <cell r="X176" t="str">
            <v/>
          </cell>
        </row>
        <row r="177">
          <cell r="F177" t="str">
            <v>S</v>
          </cell>
          <cell r="G177" t="str">
            <v>6/6</v>
          </cell>
          <cell r="H177">
            <v>3.37</v>
          </cell>
          <cell r="I177">
            <v>0</v>
          </cell>
          <cell r="J177">
            <v>0</v>
          </cell>
          <cell r="K177" t="str">
            <v/>
          </cell>
          <cell r="M177">
            <v>3.37</v>
          </cell>
          <cell r="N177">
            <v>0.93000000000000016</v>
          </cell>
          <cell r="U177">
            <v>0.93</v>
          </cell>
          <cell r="V177">
            <v>3</v>
          </cell>
          <cell r="X177">
            <v>0.93</v>
          </cell>
          <cell r="AA177">
            <v>4</v>
          </cell>
          <cell r="AF177" t="e">
            <v>#DIV/0!</v>
          </cell>
          <cell r="AJ177" t="e">
            <v>#DIV/0!</v>
          </cell>
          <cell r="AM177">
            <v>2.44</v>
          </cell>
          <cell r="AN177">
            <v>2.44</v>
          </cell>
          <cell r="BG177" t="str">
            <v/>
          </cell>
          <cell r="BK177" t="str">
            <v/>
          </cell>
          <cell r="BL177" t="str">
            <v/>
          </cell>
          <cell r="BO177">
            <v>2.44</v>
          </cell>
          <cell r="BP177">
            <v>2.44</v>
          </cell>
          <cell r="BQ177">
            <v>2.44</v>
          </cell>
          <cell r="BU177" t="e">
            <v>#DIV/0!</v>
          </cell>
          <cell r="BW177">
            <v>0</v>
          </cell>
          <cell r="BX177">
            <v>0</v>
          </cell>
          <cell r="BY177">
            <v>0</v>
          </cell>
          <cell r="BZ177">
            <v>0</v>
          </cell>
          <cell r="CA177" t="e">
            <v>#DIV/0!</v>
          </cell>
          <cell r="CB177">
            <v>0</v>
          </cell>
        </row>
        <row r="178">
          <cell r="F178" t="str">
            <v>S</v>
          </cell>
          <cell r="G178" t="str">
            <v>-</v>
          </cell>
          <cell r="H178">
            <v>3.96</v>
          </cell>
          <cell r="AJ178" t="str">
            <v/>
          </cell>
          <cell r="BO178">
            <v>2.44</v>
          </cell>
          <cell r="BP178" t="str">
            <v/>
          </cell>
          <cell r="BQ178" t="str">
            <v/>
          </cell>
        </row>
        <row r="179">
          <cell r="AJ179" t="str">
            <v/>
          </cell>
          <cell r="BP179" t="str">
            <v/>
          </cell>
          <cell r="BQ179" t="str">
            <v/>
          </cell>
        </row>
        <row r="180">
          <cell r="K180" t="str">
            <v/>
          </cell>
          <cell r="N180" t="str">
            <v/>
          </cell>
          <cell r="X180" t="str">
            <v/>
          </cell>
          <cell r="AA180" t="str">
            <v/>
          </cell>
          <cell r="AF180" t="str">
            <v/>
          </cell>
          <cell r="AJ180" t="str">
            <v/>
          </cell>
          <cell r="AM180" t="str">
            <v/>
          </cell>
          <cell r="AN180" t="str">
            <v/>
          </cell>
          <cell r="BG180" t="str">
            <v/>
          </cell>
          <cell r="BK180" t="str">
            <v/>
          </cell>
          <cell r="BL180" t="str">
            <v/>
          </cell>
          <cell r="BP180" t="str">
            <v/>
          </cell>
          <cell r="BQ180" t="str">
            <v/>
          </cell>
          <cell r="BU180" t="str">
            <v/>
          </cell>
        </row>
        <row r="181">
          <cell r="F181" t="str">
            <v>I</v>
          </cell>
          <cell r="G181" t="str">
            <v>0/9</v>
          </cell>
          <cell r="H181">
            <v>5.56</v>
          </cell>
          <cell r="I181">
            <v>0</v>
          </cell>
          <cell r="J181">
            <v>0</v>
          </cell>
          <cell r="K181" t="str">
            <v/>
          </cell>
          <cell r="M181">
            <v>5.56</v>
          </cell>
          <cell r="N181" t="str">
            <v/>
          </cell>
          <cell r="X181" t="str">
            <v/>
          </cell>
          <cell r="AA181" t="str">
            <v/>
          </cell>
          <cell r="AF181" t="str">
            <v/>
          </cell>
          <cell r="AJ181" t="str">
            <v/>
          </cell>
          <cell r="AM181" t="str">
            <v/>
          </cell>
          <cell r="AN181" t="str">
            <v/>
          </cell>
          <cell r="BG181" t="str">
            <v/>
          </cell>
          <cell r="BK181" t="str">
            <v/>
          </cell>
          <cell r="BL181" t="str">
            <v/>
          </cell>
          <cell r="BO181">
            <v>5.56</v>
          </cell>
          <cell r="BP181">
            <v>5.56</v>
          </cell>
          <cell r="BQ181">
            <v>5.56</v>
          </cell>
          <cell r="BU181" t="str">
            <v/>
          </cell>
          <cell r="BW181">
            <v>0</v>
          </cell>
          <cell r="BX181">
            <v>0</v>
          </cell>
          <cell r="BY181">
            <v>0</v>
          </cell>
          <cell r="BZ181">
            <v>0</v>
          </cell>
          <cell r="CA181">
            <v>0</v>
          </cell>
          <cell r="CB181">
            <v>0</v>
          </cell>
        </row>
        <row r="182">
          <cell r="F182" t="str">
            <v>I</v>
          </cell>
          <cell r="M182" t="e">
            <v>#VALUE!</v>
          </cell>
          <cell r="BP182" t="e">
            <v>#VALUE!</v>
          </cell>
          <cell r="BQ182" t="e">
            <v>#VALUE!</v>
          </cell>
          <cell r="BU182" t="str">
            <v/>
          </cell>
          <cell r="BW182">
            <v>0</v>
          </cell>
          <cell r="BX182">
            <v>0</v>
          </cell>
          <cell r="BY182">
            <v>0</v>
          </cell>
          <cell r="BZ182">
            <v>0</v>
          </cell>
          <cell r="CA182">
            <v>0</v>
          </cell>
          <cell r="CB182">
            <v>0</v>
          </cell>
        </row>
        <row r="183">
          <cell r="N183" t="str">
            <v/>
          </cell>
          <cell r="X183" t="str">
            <v/>
          </cell>
        </row>
        <row r="184">
          <cell r="F184" t="str">
            <v>S</v>
          </cell>
          <cell r="G184" t="str">
            <v>9/9</v>
          </cell>
          <cell r="H184">
            <v>6.46</v>
          </cell>
          <cell r="I184">
            <v>8.1</v>
          </cell>
          <cell r="J184">
            <v>8.1</v>
          </cell>
          <cell r="K184" t="str">
            <v/>
          </cell>
          <cell r="M184">
            <v>6.46</v>
          </cell>
          <cell r="N184" t="str">
            <v/>
          </cell>
          <cell r="U184">
            <v>0.93</v>
          </cell>
          <cell r="V184">
            <v>3</v>
          </cell>
          <cell r="X184" t="e">
            <v>#VALUE!</v>
          </cell>
          <cell r="AA184">
            <v>3</v>
          </cell>
          <cell r="AF184" t="e">
            <v>#DIV/0!</v>
          </cell>
          <cell r="AJ184" t="str">
            <v/>
          </cell>
          <cell r="AM184" t="e">
            <v>#VALUE!</v>
          </cell>
          <cell r="AN184" t="e">
            <v>#VALUE!</v>
          </cell>
          <cell r="BG184" t="str">
            <v/>
          </cell>
          <cell r="BK184" t="str">
            <v/>
          </cell>
          <cell r="BL184" t="str">
            <v/>
          </cell>
          <cell r="BO184" t="e">
            <v>#VALUE!</v>
          </cell>
          <cell r="BP184" t="e">
            <v>#VALUE!</v>
          </cell>
          <cell r="BQ184" t="e">
            <v>#VALUE!</v>
          </cell>
          <cell r="BU184" t="e">
            <v>#VALUE!</v>
          </cell>
          <cell r="BW184">
            <v>0</v>
          </cell>
          <cell r="BX184">
            <v>0</v>
          </cell>
          <cell r="BY184">
            <v>0</v>
          </cell>
          <cell r="BZ184">
            <v>0</v>
          </cell>
          <cell r="CA184" t="e">
            <v>#VALUE!</v>
          </cell>
          <cell r="CB184">
            <v>0</v>
          </cell>
        </row>
        <row r="185">
          <cell r="F185" t="str">
            <v>S</v>
          </cell>
          <cell r="G185" t="str">
            <v>-</v>
          </cell>
          <cell r="H185">
            <v>7.03</v>
          </cell>
          <cell r="K185" t="str">
            <v/>
          </cell>
          <cell r="M185">
            <v>7.03</v>
          </cell>
          <cell r="N185" t="str">
            <v/>
          </cell>
          <cell r="X185" t="str">
            <v/>
          </cell>
          <cell r="AA185" t="str">
            <v/>
          </cell>
          <cell r="AE185">
            <v>0.4</v>
          </cell>
          <cell r="AF185" t="str">
            <v/>
          </cell>
          <cell r="AJ185" t="str">
            <v/>
          </cell>
          <cell r="AM185" t="e">
            <v>#VALUE!</v>
          </cell>
          <cell r="AN185" t="e">
            <v>#VALUE!</v>
          </cell>
          <cell r="BG185" t="str">
            <v/>
          </cell>
          <cell r="BK185" t="str">
            <v/>
          </cell>
          <cell r="BL185" t="str">
            <v/>
          </cell>
          <cell r="BO185" t="e">
            <v>#VALUE!</v>
          </cell>
          <cell r="BP185" t="e">
            <v>#VALUE!</v>
          </cell>
          <cell r="BQ185" t="e">
            <v>#VALUE!</v>
          </cell>
          <cell r="BU185" t="e">
            <v>#VALUE!</v>
          </cell>
          <cell r="BW185">
            <v>0</v>
          </cell>
          <cell r="BX185">
            <v>0</v>
          </cell>
          <cell r="BY185">
            <v>0</v>
          </cell>
          <cell r="BZ185">
            <v>0</v>
          </cell>
          <cell r="CA185" t="e">
            <v>#VALUE!</v>
          </cell>
          <cell r="CB185">
            <v>0</v>
          </cell>
        </row>
        <row r="186">
          <cell r="F186" t="str">
            <v>I</v>
          </cell>
          <cell r="G186" t="str">
            <v>3/0</v>
          </cell>
          <cell r="H186">
            <v>0.45</v>
          </cell>
          <cell r="BO186" t="e">
            <v>#VALUE!</v>
          </cell>
        </row>
        <row r="187">
          <cell r="F187" t="str">
            <v>I</v>
          </cell>
          <cell r="M187">
            <v>0.15</v>
          </cell>
          <cell r="BO187" t="e">
            <v>#VALUE!</v>
          </cell>
          <cell r="BP187">
            <v>0.15</v>
          </cell>
          <cell r="BQ187">
            <v>0.15</v>
          </cell>
          <cell r="BU187" t="str">
            <v/>
          </cell>
          <cell r="BW187">
            <v>0</v>
          </cell>
          <cell r="BX187">
            <v>0</v>
          </cell>
          <cell r="BY187">
            <v>0</v>
          </cell>
          <cell r="BZ187">
            <v>0</v>
          </cell>
          <cell r="CA187">
            <v>0</v>
          </cell>
          <cell r="CB187">
            <v>0</v>
          </cell>
        </row>
        <row r="188">
          <cell r="N188" t="str">
            <v/>
          </cell>
          <cell r="X188" t="str">
            <v/>
          </cell>
        </row>
        <row r="191">
          <cell r="F191" t="str">
            <v>S</v>
          </cell>
          <cell r="G191" t="str">
            <v>0/12</v>
          </cell>
          <cell r="H191">
            <v>9.61</v>
          </cell>
          <cell r="I191">
            <v>3.49</v>
          </cell>
          <cell r="J191">
            <v>3</v>
          </cell>
          <cell r="K191">
            <v>0.49000000000000021</v>
          </cell>
          <cell r="M191">
            <v>9.1199999999999992</v>
          </cell>
          <cell r="N191">
            <v>0.92999999999999972</v>
          </cell>
          <cell r="U191">
            <v>0.93</v>
          </cell>
          <cell r="V191">
            <v>3</v>
          </cell>
          <cell r="X191">
            <v>0.93</v>
          </cell>
          <cell r="AA191">
            <v>4</v>
          </cell>
          <cell r="AF191" t="e">
            <v>#DIV/0!</v>
          </cell>
          <cell r="AJ191" t="e">
            <v>#DIV/0!</v>
          </cell>
          <cell r="AM191">
            <v>8.19</v>
          </cell>
          <cell r="AN191">
            <v>8.19</v>
          </cell>
          <cell r="BG191" t="str">
            <v/>
          </cell>
          <cell r="BK191" t="str">
            <v/>
          </cell>
          <cell r="BL191" t="str">
            <v/>
          </cell>
          <cell r="BO191">
            <v>8.19</v>
          </cell>
          <cell r="BP191">
            <v>8.19</v>
          </cell>
          <cell r="BQ191">
            <v>8.19</v>
          </cell>
          <cell r="BU191" t="e">
            <v>#DIV/0!</v>
          </cell>
          <cell r="BW191">
            <v>0</v>
          </cell>
          <cell r="BX191">
            <v>0</v>
          </cell>
          <cell r="BY191">
            <v>0</v>
          </cell>
          <cell r="BZ191">
            <v>0</v>
          </cell>
          <cell r="CA191" t="e">
            <v>#DIV/0!</v>
          </cell>
          <cell r="CB191">
            <v>0</v>
          </cell>
        </row>
        <row r="192">
          <cell r="F192" t="str">
            <v>S</v>
          </cell>
          <cell r="G192" t="str">
            <v>12/9</v>
          </cell>
          <cell r="H192">
            <v>10.26</v>
          </cell>
          <cell r="K192" t="str">
            <v/>
          </cell>
          <cell r="M192">
            <v>10.26</v>
          </cell>
          <cell r="N192">
            <v>1.08</v>
          </cell>
          <cell r="X192">
            <v>1.08</v>
          </cell>
          <cell r="AA192">
            <v>1</v>
          </cell>
          <cell r="AF192" t="e">
            <v>#DIV/0!</v>
          </cell>
          <cell r="AJ192" t="e">
            <v>#DIV/0!</v>
          </cell>
          <cell r="AM192">
            <v>9.18</v>
          </cell>
          <cell r="AN192">
            <v>9.18</v>
          </cell>
          <cell r="BG192" t="str">
            <v/>
          </cell>
          <cell r="BK192" t="str">
            <v/>
          </cell>
          <cell r="BL192" t="str">
            <v/>
          </cell>
          <cell r="BO192">
            <v>9.18</v>
          </cell>
          <cell r="BP192">
            <v>9.18</v>
          </cell>
          <cell r="BQ192">
            <v>9.18</v>
          </cell>
          <cell r="BU192" t="e">
            <v>#DIV/0!</v>
          </cell>
          <cell r="BW192">
            <v>0</v>
          </cell>
          <cell r="BX192">
            <v>0</v>
          </cell>
          <cell r="BY192">
            <v>0</v>
          </cell>
          <cell r="BZ192">
            <v>0</v>
          </cell>
          <cell r="CA192" t="e">
            <v>#DIV/0!</v>
          </cell>
          <cell r="CB192">
            <v>0</v>
          </cell>
        </row>
        <row r="193">
          <cell r="F193" t="str">
            <v>I</v>
          </cell>
          <cell r="G193" t="str">
            <v>9/6</v>
          </cell>
          <cell r="H193">
            <v>3.5300000000000002</v>
          </cell>
        </row>
        <row r="194">
          <cell r="F194" t="str">
            <v>I</v>
          </cell>
          <cell r="M194">
            <v>0</v>
          </cell>
          <cell r="BO194">
            <v>0</v>
          </cell>
          <cell r="BP194">
            <v>0</v>
          </cell>
          <cell r="BQ194">
            <v>0</v>
          </cell>
          <cell r="BU194" t="str">
            <v/>
          </cell>
          <cell r="BW194">
            <v>0</v>
          </cell>
          <cell r="BX194">
            <v>0</v>
          </cell>
          <cell r="BY194">
            <v>0</v>
          </cell>
          <cell r="BZ194">
            <v>0</v>
          </cell>
          <cell r="CA194">
            <v>0</v>
          </cell>
          <cell r="CB194">
            <v>0</v>
          </cell>
        </row>
        <row r="195">
          <cell r="N195" t="str">
            <v/>
          </cell>
          <cell r="X195" t="str">
            <v/>
          </cell>
        </row>
        <row r="198">
          <cell r="F198" t="str">
            <v>S</v>
          </cell>
          <cell r="G198" t="str">
            <v>6/3</v>
          </cell>
          <cell r="H198">
            <v>5.4370000000000003</v>
          </cell>
          <cell r="I198">
            <v>5.47</v>
          </cell>
          <cell r="J198">
            <v>4.96</v>
          </cell>
          <cell r="K198">
            <v>0.50999999999999979</v>
          </cell>
          <cell r="M198">
            <v>4.9270000000000005</v>
          </cell>
          <cell r="N198" t="str">
            <v/>
          </cell>
          <cell r="U198">
            <v>2.9292857142857147</v>
          </cell>
          <cell r="V198">
            <v>14</v>
          </cell>
          <cell r="X198" t="e">
            <v>#VALUE!</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t Template"/>
      <sheetName val="Core Template"/>
      <sheetName val="SNOWPIT"/>
      <sheetName val="70.09.29"/>
      <sheetName val="76.10.20"/>
      <sheetName val="77.06.08"/>
      <sheetName val="96.01.13"/>
      <sheetName val="96.09.20"/>
      <sheetName val="97.05.19"/>
      <sheetName val="98.05.27"/>
      <sheetName val="99.05.14"/>
      <sheetName val="99.05.15"/>
      <sheetName val="99.09.24"/>
      <sheetName val="00.05.12"/>
      <sheetName val="00.05.12redone"/>
      <sheetName val="00.09.20"/>
      <sheetName val="01.05.17"/>
      <sheetName val="02.05.16"/>
      <sheetName val="02.10.02 core"/>
      <sheetName val="02.10.04 pit"/>
      <sheetName val="03.05.29"/>
      <sheetName val="03.09.14"/>
      <sheetName val="04.05.13 Pit"/>
      <sheetName val="04.05.13core"/>
      <sheetName val="2005.05.14Pit"/>
      <sheetName val="2005.05.14Core"/>
      <sheetName val="2006.05.13Pit"/>
      <sheetName val="2006.05.13Core"/>
      <sheetName val="2006.09.24Pit"/>
      <sheetName val="2007.05.10 Core"/>
      <sheetName val="2007.09.17Core"/>
      <sheetName val="2008.5.18 Core"/>
      <sheetName val="2008.5.18 Core (2)"/>
      <sheetName val="2008.9.28 Core"/>
      <sheetName val="2009.04.28 Pit"/>
      <sheetName val="2009.04.28 Core"/>
      <sheetName val="2010.05.05 Pit"/>
      <sheetName val="2010.05.05 Core"/>
      <sheetName val="2010.09.13 Core"/>
      <sheetName val="2011.04.27 Pit "/>
      <sheetName val="2011.04.27 Core"/>
    </sheetNames>
    <sheetDataSet>
      <sheetData sheetId="0"/>
      <sheetData sheetId="1"/>
      <sheetData sheetId="2">
        <row r="1">
          <cell r="Q1">
            <v>41.05</v>
          </cell>
        </row>
        <row r="9">
          <cell r="P9">
            <v>0</v>
          </cell>
          <cell r="Q9">
            <v>0</v>
          </cell>
        </row>
        <row r="10">
          <cell r="P10">
            <v>10</v>
          </cell>
          <cell r="Q10">
            <v>0</v>
          </cell>
        </row>
        <row r="11">
          <cell r="P11">
            <v>20</v>
          </cell>
          <cell r="Q11">
            <v>0</v>
          </cell>
        </row>
        <row r="12">
          <cell r="P12">
            <v>40</v>
          </cell>
          <cell r="Q12">
            <v>0</v>
          </cell>
        </row>
        <row r="13">
          <cell r="P13">
            <v>60</v>
          </cell>
          <cell r="Q13">
            <v>0</v>
          </cell>
        </row>
        <row r="14">
          <cell r="P14">
            <v>100</v>
          </cell>
          <cell r="Q14">
            <v>0</v>
          </cell>
        </row>
        <row r="15">
          <cell r="P15">
            <v>150</v>
          </cell>
          <cell r="Q15">
            <v>0</v>
          </cell>
        </row>
        <row r="16">
          <cell r="P16">
            <v>200</v>
          </cell>
          <cell r="Q16">
            <v>0</v>
          </cell>
        </row>
        <row r="17">
          <cell r="P17">
            <v>250</v>
          </cell>
          <cell r="Q17">
            <v>0</v>
          </cell>
        </row>
        <row r="18">
          <cell r="P18">
            <v>300</v>
          </cell>
          <cell r="Q18">
            <v>0</v>
          </cell>
        </row>
        <row r="19">
          <cell r="P19">
            <v>350</v>
          </cell>
          <cell r="Q19">
            <v>0</v>
          </cell>
        </row>
        <row r="20">
          <cell r="P20">
            <v>400</v>
          </cell>
          <cell r="Q20">
            <v>0</v>
          </cell>
        </row>
      </sheetData>
      <sheetData sheetId="3"/>
      <sheetData sheetId="4"/>
      <sheetData sheetId="5"/>
      <sheetData sheetId="6"/>
      <sheetData sheetId="7"/>
      <sheetData sheetId="8"/>
      <sheetData sheetId="9">
        <row r="3">
          <cell r="K3">
            <v>45.6</v>
          </cell>
        </row>
      </sheetData>
      <sheetData sheetId="10">
        <row r="3">
          <cell r="M3">
            <v>45.6</v>
          </cell>
        </row>
      </sheetData>
      <sheetData sheetId="11"/>
      <sheetData sheetId="12"/>
      <sheetData sheetId="13">
        <row r="3">
          <cell r="M3">
            <v>45.6</v>
          </cell>
        </row>
      </sheetData>
      <sheetData sheetId="14"/>
      <sheetData sheetId="15"/>
      <sheetData sheetId="16"/>
      <sheetData sheetId="17"/>
      <sheetData sheetId="18"/>
      <sheetData sheetId="19"/>
      <sheetData sheetId="20">
        <row r="35">
          <cell r="K35">
            <v>0.57713054921597162</v>
          </cell>
        </row>
      </sheetData>
      <sheetData sheetId="21"/>
      <sheetData sheetId="22"/>
      <sheetData sheetId="23">
        <row r="45">
          <cell r="G45">
            <v>0.54024015122222246</v>
          </cell>
        </row>
      </sheetData>
      <sheetData sheetId="24"/>
      <sheetData sheetId="25">
        <row r="33">
          <cell r="H33">
            <v>0.59710988796244679</v>
          </cell>
        </row>
      </sheetData>
      <sheetData sheetId="26"/>
      <sheetData sheetId="27">
        <row r="47">
          <cell r="M47">
            <v>-2.7</v>
          </cell>
        </row>
      </sheetData>
      <sheetData sheetId="28">
        <row r="13">
          <cell r="L13">
            <v>0.60899999999999999</v>
          </cell>
        </row>
      </sheetData>
      <sheetData sheetId="29">
        <row r="64">
          <cell r="I64">
            <v>0.48714429343263665</v>
          </cell>
        </row>
      </sheetData>
      <sheetData sheetId="30">
        <row r="32">
          <cell r="I32">
            <v>0.66464019559897736</v>
          </cell>
        </row>
      </sheetData>
      <sheetData sheetId="31">
        <row r="91">
          <cell r="I91">
            <v>0.55362323186368045</v>
          </cell>
        </row>
      </sheetData>
      <sheetData sheetId="32"/>
      <sheetData sheetId="33">
        <row r="12">
          <cell r="G12">
            <v>31</v>
          </cell>
        </row>
      </sheetData>
      <sheetData sheetId="34">
        <row r="28">
          <cell r="L28">
            <v>0.42199999999999999</v>
          </cell>
        </row>
      </sheetData>
      <sheetData sheetId="35"/>
      <sheetData sheetId="36">
        <row r="20">
          <cell r="Q20">
            <v>-1.7</v>
          </cell>
        </row>
      </sheetData>
      <sheetData sheetId="37">
        <row r="22">
          <cell r="R22">
            <v>0.41078164602432693</v>
          </cell>
        </row>
      </sheetData>
      <sheetData sheetId="38"/>
      <sheetData sheetId="39"/>
      <sheetData sheetId="4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nowpit Template"/>
      <sheetName val="Core Density Template"/>
      <sheetName val="SCD May 97, 1998"/>
      <sheetName val="Sipri Core 5-13-99"/>
      <sheetName val="Sipri 5-13-99"/>
      <sheetName val="Sipri 5-10-2000"/>
      <sheetName val="2001.05.16"/>
      <sheetName val="2002.05.14"/>
      <sheetName val="2004.05.12"/>
      <sheetName val="2005.05.12 Pit"/>
      <sheetName val="2006.5.12 Pit"/>
      <sheetName val="2006.5.12 Core"/>
      <sheetName val="2007.05.10 Core"/>
      <sheetName val="2008.5.18.Core"/>
      <sheetName val="2008.09.28 Pit"/>
      <sheetName val="2009.04.27 Pit"/>
      <sheetName val="2010.5.04.Core"/>
      <sheetName val="2010.05.04 Core 2"/>
      <sheetName val="2011.04.28 Pit"/>
    </sheetNames>
    <sheetDataSet>
      <sheetData sheetId="0"/>
      <sheetData sheetId="1"/>
      <sheetData sheetId="2">
        <row r="4">
          <cell r="K4">
            <v>41.05</v>
          </cell>
        </row>
      </sheetData>
      <sheetData sheetId="3"/>
      <sheetData sheetId="4"/>
      <sheetData sheetId="5">
        <row r="28">
          <cell r="K28">
            <v>0.48334576705493021</v>
          </cell>
        </row>
      </sheetData>
      <sheetData sheetId="6">
        <row r="68">
          <cell r="K68">
            <v>0.53855464348355564</v>
          </cell>
        </row>
      </sheetData>
      <sheetData sheetId="7">
        <row r="19">
          <cell r="L19">
            <v>0.55000000000000004</v>
          </cell>
        </row>
      </sheetData>
      <sheetData sheetId="8">
        <row r="9">
          <cell r="X9">
            <v>2.52</v>
          </cell>
        </row>
      </sheetData>
      <sheetData sheetId="9">
        <row r="19">
          <cell r="L19">
            <v>0.63100000000000001</v>
          </cell>
        </row>
      </sheetData>
      <sheetData sheetId="10">
        <row r="9">
          <cell r="P9">
            <v>0</v>
          </cell>
        </row>
        <row r="10">
          <cell r="P10">
            <v>20</v>
          </cell>
          <cell r="Q10">
            <v>0</v>
          </cell>
        </row>
        <row r="11">
          <cell r="P11">
            <v>40</v>
          </cell>
          <cell r="Q11">
            <v>-1.2</v>
          </cell>
        </row>
        <row r="12">
          <cell r="P12">
            <v>60</v>
          </cell>
          <cell r="Q12">
            <v>-2.6</v>
          </cell>
        </row>
        <row r="13">
          <cell r="P13">
            <v>120</v>
          </cell>
          <cell r="Q13">
            <v>-3.5</v>
          </cell>
        </row>
        <row r="14">
          <cell r="P14">
            <v>160</v>
          </cell>
          <cell r="Q14">
            <v>-4</v>
          </cell>
        </row>
        <row r="15">
          <cell r="P15">
            <v>200</v>
          </cell>
          <cell r="Q15">
            <v>-4</v>
          </cell>
        </row>
        <row r="16">
          <cell r="P16">
            <v>230</v>
          </cell>
          <cell r="Q16">
            <v>-4</v>
          </cell>
        </row>
        <row r="17">
          <cell r="P17">
            <v>243</v>
          </cell>
          <cell r="Q17">
            <v>-2.4</v>
          </cell>
        </row>
        <row r="18">
          <cell r="P18">
            <v>298</v>
          </cell>
          <cell r="Q18">
            <v>-2.4</v>
          </cell>
        </row>
        <row r="19">
          <cell r="P19">
            <v>330</v>
          </cell>
          <cell r="Q19">
            <v>-2.7</v>
          </cell>
        </row>
        <row r="20">
          <cell r="P20">
            <v>380</v>
          </cell>
          <cell r="Q20">
            <v>-2</v>
          </cell>
        </row>
        <row r="21">
          <cell r="P21">
            <v>416</v>
          </cell>
          <cell r="Q21">
            <v>-0.9</v>
          </cell>
        </row>
        <row r="22">
          <cell r="P22">
            <v>440</v>
          </cell>
          <cell r="Q22">
            <v>-0.6</v>
          </cell>
        </row>
        <row r="23">
          <cell r="P23">
            <v>477</v>
          </cell>
          <cell r="Q23">
            <v>-0.6</v>
          </cell>
        </row>
      </sheetData>
      <sheetData sheetId="11">
        <row r="31">
          <cell r="M31">
            <v>0.49883238314309786</v>
          </cell>
        </row>
      </sheetData>
      <sheetData sheetId="12">
        <row r="37">
          <cell r="T37">
            <v>0.12153188881934174</v>
          </cell>
        </row>
      </sheetData>
      <sheetData sheetId="13">
        <row r="60">
          <cell r="O60">
            <v>-1.1000000000000001</v>
          </cell>
        </row>
      </sheetData>
      <sheetData sheetId="14">
        <row r="9">
          <cell r="P9">
            <v>0</v>
          </cell>
        </row>
        <row r="10">
          <cell r="P10">
            <v>20</v>
          </cell>
          <cell r="Q10">
            <v>0</v>
          </cell>
        </row>
      </sheetData>
      <sheetData sheetId="15">
        <row r="17">
          <cell r="L17">
            <v>0.40899999999999997</v>
          </cell>
        </row>
      </sheetData>
      <sheetData sheetId="16"/>
      <sheetData sheetId="17">
        <row r="37">
          <cell r="U37">
            <v>0.47323391440778073</v>
          </cell>
        </row>
      </sheetData>
      <sheetData sheetId="18"/>
    </sheetDataSet>
  </externalBook>
</externalLink>
</file>

<file path=xl/persons/person.xml><?xml version="1.0" encoding="utf-8"?>
<personList xmlns="http://schemas.microsoft.com/office/spreadsheetml/2018/threadedcomments" xmlns:x="http://schemas.openxmlformats.org/spreadsheetml/2006/main">
  <person displayName="Sass, Louis" id="{9ABCE699-6A6D-4E83-BF75-16E981D45A7A}" userId="S::lsass@usgs.gov::532b36c5-14fd-4389-948c-e9e662e1f233" providerId="AD"/>
  <person displayName="Baker, Emily H" id="{8C33EC80-8D35-4855-A7DD-26609DFF0D77}" userId="S::ehbaker@usgs.gov::571f2d89-d821-443e-b68c-9dc70dd3957d" providerId="AD"/>
</personList>
</file>

<file path=xl/theme/theme1.xml><?xml version="1.0" encoding="utf-8"?>
<a:theme xmlns:a="http://schemas.openxmlformats.org/drawingml/2006/main" name="Office Theme 2007 - 2010">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8" dT="2024-05-30T00:35:31.37" personId="{9ABCE699-6A6D-4E83-BF75-16E981D45A7A}" id="{D95F26CE-2D57-4247-BB4D-9C012E718FB8}">
    <text xml:space="preserve">This makes no sense at all. I suspect someone messed with this stake. I do not expect any winter ablation given the lateness of the fall measurement and the new snow on the ground, but I also don't expect stake punch in solid ice. </text>
  </threadedComment>
</ThreadedComments>
</file>

<file path=xl/threadedComments/threadedComment2.xml><?xml version="1.0" encoding="utf-8"?>
<ThreadedComments xmlns="http://schemas.microsoft.com/office/spreadsheetml/2018/threadedcomments" xmlns:x="http://schemas.openxmlformats.org/spreadsheetml/2006/main">
  <threadedComment ref="C30" dT="2024-12-13T01:13:22.48" personId="{8C33EC80-8D35-4855-A7DD-26609DFF0D77}" id="{02521B79-A61D-4D51-93DD-15575E39F6F1}">
    <text>Average of 2 stake-calculated annual balances, and one site-average-snow-depth balance</text>
  </threadedComment>
</ThreadedComments>
</file>

<file path=xl/threadedComments/threadedComment3.xml><?xml version="1.0" encoding="utf-8"?>
<ThreadedComments xmlns="http://schemas.microsoft.com/office/spreadsheetml/2018/threadedcomments" xmlns:x="http://schemas.openxmlformats.org/spreadsheetml/2006/main">
  <threadedComment ref="E13" dT="2024-05-31T00:00:07.65" personId="{9ABCE699-6A6D-4E83-BF75-16E981D45A7A}" id="{307DAA04-D71E-42D3-9354-E15415F8393B}">
    <text>Assuming the top of the external coupler is 6.20 m above base. Probably close.</text>
  </threadedComment>
</ThreadedComments>
</file>

<file path=xl/threadedComments/threadedComment4.xml><?xml version="1.0" encoding="utf-8"?>
<ThreadedComments xmlns="http://schemas.microsoft.com/office/spreadsheetml/2018/threadedcomments" xmlns:x="http://schemas.openxmlformats.org/spreadsheetml/2006/main">
  <threadedComment ref="K7" dT="2024-10-21T18:44:29.01" personId="{9ABCE699-6A6D-4E83-BF75-16E981D45A7A}" id="{9633F040-4EE4-41B7-B3CD-75D7A6768527}">
    <text>Density From K17b</text>
  </threadedComment>
  <threadedComment ref="K8" dT="2024-10-21T19:14:04.86" personId="{9ABCE699-6A6D-4E83-BF75-16E981D45A7A}" id="{EBC64C5C-711C-42A4-8176-B2B7E3665795}">
    <text>From K17b</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0.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1.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2.bin"/><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topLeftCell="C1" workbookViewId="0">
      <selection activeCell="B18" sqref="B18"/>
    </sheetView>
  </sheetViews>
  <sheetFormatPr defaultRowHeight="12.75"/>
  <cols>
    <col min="3" max="3" width="14.7109375" style="641" customWidth="1"/>
    <col min="4" max="4" width="11.28515625" bestFit="1" customWidth="1"/>
    <col min="5" max="5" width="9.42578125" bestFit="1" customWidth="1"/>
    <col min="8" max="8" width="13.5703125" customWidth="1"/>
    <col min="9" max="9" width="21.5703125" customWidth="1"/>
  </cols>
  <sheetData>
    <row r="1" spans="1:9">
      <c r="A1" s="230" t="s">
        <v>128</v>
      </c>
      <c r="B1" s="230" t="s">
        <v>55</v>
      </c>
      <c r="C1" s="639" t="s">
        <v>62</v>
      </c>
      <c r="D1" s="230" t="s">
        <v>63</v>
      </c>
      <c r="E1" s="230" t="s">
        <v>56</v>
      </c>
      <c r="F1" s="230" t="s">
        <v>57</v>
      </c>
      <c r="G1" s="230" t="s">
        <v>58</v>
      </c>
      <c r="H1" s="230" t="s">
        <v>67</v>
      </c>
      <c r="I1" s="231" t="s">
        <v>68</v>
      </c>
    </row>
    <row r="2" spans="1:9">
      <c r="A2" s="714">
        <v>2024</v>
      </c>
      <c r="B2" s="714" t="s">
        <v>151</v>
      </c>
      <c r="C2" s="715">
        <f>'K53'!G26</f>
        <v>45437</v>
      </c>
      <c r="D2" s="715">
        <f>'K53'!A9</f>
        <v>45534</v>
      </c>
      <c r="E2" s="716">
        <v>1120</v>
      </c>
      <c r="F2" s="717">
        <f>'K53'!C27</f>
        <v>0.91</v>
      </c>
      <c r="G2" s="718">
        <f>'K53'!C29</f>
        <v>-1.2600000000000007</v>
      </c>
      <c r="H2" s="719">
        <f>'K53'!C31</f>
        <v>0</v>
      </c>
      <c r="I2" s="731">
        <f>'K53'!C32</f>
        <v>0</v>
      </c>
    </row>
    <row r="3" spans="1:9">
      <c r="A3" s="714">
        <v>2024</v>
      </c>
      <c r="B3" s="714" t="s">
        <v>144</v>
      </c>
      <c r="C3" s="715">
        <f>K17b!G27</f>
        <v>45437</v>
      </c>
      <c r="D3" s="715">
        <f>K17b!I27</f>
        <v>45565</v>
      </c>
      <c r="E3" s="716">
        <v>1948</v>
      </c>
      <c r="F3" s="719">
        <f>K17b!C28</f>
        <v>1.1595000000000002</v>
      </c>
      <c r="G3" s="719">
        <f>K17b!C30</f>
        <v>0.44291666666666663</v>
      </c>
      <c r="H3" s="718">
        <f>K17b!C32</f>
        <v>0</v>
      </c>
      <c r="I3" s="731">
        <f>K17b!C33</f>
        <v>0.2084</v>
      </c>
    </row>
    <row r="4" spans="1:9">
      <c r="A4" s="714">
        <v>2024</v>
      </c>
      <c r="B4" s="714" t="s">
        <v>152</v>
      </c>
      <c r="C4" s="715">
        <f>KIA!A9</f>
        <v>45437</v>
      </c>
      <c r="D4" s="715">
        <f>KIA!I27</f>
        <v>45565</v>
      </c>
      <c r="E4" s="716">
        <v>2174</v>
      </c>
      <c r="F4" s="719">
        <f>KIA!C28</f>
        <v>1.1234</v>
      </c>
      <c r="G4" s="719">
        <f>KIA!C30</f>
        <v>0.87000000000000055</v>
      </c>
      <c r="H4" s="718">
        <f>KIA!C32</f>
        <v>0</v>
      </c>
      <c r="I4" s="731">
        <f>KIA!C33</f>
        <v>0.24960000000000002</v>
      </c>
    </row>
    <row r="5" spans="1:9">
      <c r="A5" s="714">
        <v>2024</v>
      </c>
      <c r="B5" s="714" t="s">
        <v>139</v>
      </c>
      <c r="C5" s="715">
        <f>KQU!G24</f>
        <v>45437</v>
      </c>
      <c r="D5" s="715">
        <f>KQU!I24</f>
        <v>45565</v>
      </c>
      <c r="E5" s="716">
        <v>2657</v>
      </c>
      <c r="F5" s="719">
        <f>KQU!C25</f>
        <v>1.044</v>
      </c>
      <c r="G5" s="718">
        <f>KQU!C27</f>
        <v>0.99250000000000016</v>
      </c>
      <c r="H5" s="720">
        <f>KQU!C29</f>
        <v>0</v>
      </c>
      <c r="I5" s="731">
        <f>KQU!C30</f>
        <v>0.38080000000000003</v>
      </c>
    </row>
    <row r="6" spans="1:9">
      <c r="A6" s="714">
        <v>2024</v>
      </c>
      <c r="B6" s="786" t="s">
        <v>184</v>
      </c>
      <c r="C6" s="787" t="s">
        <v>154</v>
      </c>
      <c r="D6" s="715">
        <f>KPSL!I24</f>
        <v>45565</v>
      </c>
      <c r="E6" s="716">
        <v>3050</v>
      </c>
      <c r="F6" s="720" t="s">
        <v>154</v>
      </c>
      <c r="G6" s="718">
        <f>KPSL!C27</f>
        <v>2.4319999999999999</v>
      </c>
      <c r="H6" s="720">
        <f>KPSL!C29</f>
        <v>0</v>
      </c>
      <c r="I6" s="731">
        <f>KPSL!C30</f>
        <v>0.62649999999999995</v>
      </c>
    </row>
    <row r="7" spans="1:9">
      <c r="A7" s="714">
        <v>2024</v>
      </c>
      <c r="B7" s="714" t="s">
        <v>153</v>
      </c>
      <c r="C7" s="715">
        <f>KPS!A6</f>
        <v>45438</v>
      </c>
      <c r="D7" s="787" t="s">
        <v>154</v>
      </c>
      <c r="E7" s="716">
        <v>3100</v>
      </c>
      <c r="F7" s="718">
        <f>KPS!C25</f>
        <v>3.3839999999999999</v>
      </c>
      <c r="G7" s="788" t="s">
        <v>154</v>
      </c>
      <c r="H7" s="719">
        <f>KPS!C29</f>
        <v>0</v>
      </c>
      <c r="I7" s="789" t="s">
        <v>154</v>
      </c>
    </row>
    <row r="8" spans="1:9">
      <c r="A8" s="139"/>
      <c r="B8" s="139"/>
      <c r="C8" s="237"/>
      <c r="D8" s="237"/>
      <c r="E8" s="709"/>
      <c r="F8" s="233"/>
      <c r="G8" s="233"/>
      <c r="H8" s="233"/>
      <c r="I8" s="234"/>
    </row>
    <row r="9" spans="1:9">
      <c r="A9" s="139"/>
      <c r="B9" s="139"/>
      <c r="C9" s="237"/>
      <c r="D9" s="237"/>
      <c r="E9" s="709"/>
      <c r="F9" s="183"/>
      <c r="G9" s="183"/>
      <c r="H9" s="233"/>
      <c r="I9" s="234"/>
    </row>
    <row r="10" spans="1:9">
      <c r="A10" s="139"/>
      <c r="B10" s="139"/>
      <c r="C10" s="237"/>
      <c r="D10" s="139"/>
      <c r="E10" s="709"/>
      <c r="F10" s="139"/>
      <c r="G10" s="139"/>
      <c r="H10" s="139"/>
      <c r="I10" s="234"/>
    </row>
    <row r="11" spans="1:9">
      <c r="A11" s="139"/>
      <c r="B11" s="139"/>
      <c r="C11" s="237"/>
      <c r="D11" s="139"/>
      <c r="E11" s="709"/>
      <c r="F11" s="139"/>
      <c r="G11" s="139"/>
      <c r="H11" s="139"/>
      <c r="I11" s="234"/>
    </row>
    <row r="12" spans="1:9">
      <c r="A12" s="139"/>
      <c r="B12" s="139"/>
      <c r="C12" s="237"/>
      <c r="D12" s="139"/>
      <c r="E12" s="709"/>
      <c r="F12" s="139"/>
      <c r="G12" s="139"/>
      <c r="H12" s="139"/>
      <c r="I12" s="234"/>
    </row>
    <row r="13" spans="1:9">
      <c r="A13" s="139"/>
      <c r="B13" s="139"/>
      <c r="C13" s="237"/>
      <c r="D13" s="139"/>
      <c r="E13" s="709"/>
      <c r="F13" s="139"/>
      <c r="G13" s="139"/>
      <c r="H13" s="139"/>
      <c r="I13" s="234"/>
    </row>
    <row r="14" spans="1:9">
      <c r="A14" s="139"/>
      <c r="B14" s="139"/>
      <c r="C14" s="237"/>
      <c r="D14" s="139"/>
      <c r="E14" s="709"/>
      <c r="F14" s="139"/>
      <c r="G14" s="139"/>
      <c r="H14" s="139"/>
      <c r="I14" s="234"/>
    </row>
    <row r="15" spans="1:9">
      <c r="A15" s="139"/>
      <c r="B15" s="139"/>
      <c r="C15" s="237"/>
      <c r="D15" s="139"/>
      <c r="E15" s="709"/>
      <c r="F15" s="139"/>
      <c r="G15" s="139"/>
      <c r="H15" s="139"/>
      <c r="I15" s="234"/>
    </row>
    <row r="16" spans="1:9">
      <c r="A16" s="139"/>
      <c r="B16" s="139"/>
      <c r="C16" s="237"/>
      <c r="D16" s="139"/>
      <c r="E16" s="709"/>
      <c r="F16" s="139"/>
      <c r="G16" s="139"/>
      <c r="H16" s="139"/>
      <c r="I16" s="234"/>
    </row>
    <row r="17" spans="1:9" ht="13.5" thickBot="1">
      <c r="A17" s="235"/>
      <c r="B17" s="235"/>
      <c r="C17" s="640"/>
      <c r="D17" s="235"/>
      <c r="E17" s="235"/>
      <c r="F17" s="235"/>
      <c r="G17" s="235"/>
      <c r="H17" s="235"/>
      <c r="I17" s="236"/>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6C0D5-D7C1-435B-A6B9-A96EF4C81514}">
  <dimension ref="A1:Q169"/>
  <sheetViews>
    <sheetView workbookViewId="0">
      <selection activeCell="L4" sqref="L4"/>
    </sheetView>
  </sheetViews>
  <sheetFormatPr defaultColWidth="7.85546875" defaultRowHeight="11.25"/>
  <cols>
    <col min="1" max="1" width="15.7109375" style="93" bestFit="1" customWidth="1"/>
    <col min="2" max="2" width="9.5703125" style="93" bestFit="1" customWidth="1"/>
    <col min="3" max="3" width="5.140625" style="113" customWidth="1"/>
    <col min="4" max="6" width="7.7109375" style="113" customWidth="1"/>
    <col min="7" max="7" width="6.28515625" style="109" customWidth="1"/>
    <col min="8" max="8" width="6.85546875" style="114" customWidth="1"/>
    <col min="9" max="9" width="9.7109375" style="109" customWidth="1"/>
    <col min="10" max="10" width="8.7109375" style="109" bestFit="1" customWidth="1"/>
    <col min="11" max="11" width="12.5703125" style="104" customWidth="1"/>
    <col min="12" max="12" width="17.28515625" style="110" bestFit="1" customWidth="1"/>
    <col min="13" max="13" width="12.85546875" style="93" customWidth="1"/>
    <col min="14" max="14" width="11.28515625" style="93" customWidth="1"/>
    <col min="15" max="15" width="14.5703125" style="56" customWidth="1"/>
    <col min="16" max="16" width="2.42578125" style="56" customWidth="1"/>
    <col min="17" max="17" width="14" style="93" bestFit="1" customWidth="1"/>
    <col min="18" max="18" width="5.42578125" style="93" customWidth="1"/>
    <col min="19" max="27" width="5.28515625" style="93" customWidth="1"/>
    <col min="28" max="28" width="17" style="93" customWidth="1"/>
    <col min="29" max="16384" width="7.85546875" style="93"/>
  </cols>
  <sheetData>
    <row r="1" spans="1:15" s="32" customFormat="1" ht="12.75">
      <c r="A1" s="367" t="s">
        <v>51</v>
      </c>
      <c r="B1" s="368" t="s">
        <v>138</v>
      </c>
      <c r="C1" s="290"/>
      <c r="D1" s="368"/>
      <c r="E1" s="291"/>
      <c r="F1" s="291"/>
      <c r="G1" s="292"/>
      <c r="H1" s="293" t="s">
        <v>69</v>
      </c>
      <c r="I1" s="294">
        <v>274</v>
      </c>
      <c r="J1" s="295"/>
      <c r="K1" s="368"/>
      <c r="L1" s="368"/>
      <c r="M1" s="39"/>
      <c r="N1" s="33"/>
    </row>
    <row r="2" spans="1:15" s="32" customFormat="1" ht="12.75">
      <c r="A2" s="369" t="s">
        <v>25</v>
      </c>
      <c r="B2" s="304" t="s">
        <v>152</v>
      </c>
      <c r="C2" s="297"/>
      <c r="D2" s="304"/>
      <c r="E2" s="298"/>
      <c r="F2" s="298"/>
      <c r="G2" s="299"/>
      <c r="H2" s="300" t="s">
        <v>70</v>
      </c>
      <c r="I2" s="370">
        <v>274</v>
      </c>
      <c r="J2" s="302"/>
      <c r="K2" s="304"/>
      <c r="L2" s="304"/>
      <c r="M2" s="371"/>
      <c r="N2" s="35"/>
    </row>
    <row r="3" spans="1:15" s="36" customFormat="1" ht="11.25" customHeight="1">
      <c r="A3" s="372" t="s">
        <v>50</v>
      </c>
      <c r="B3" s="634">
        <v>45437</v>
      </c>
      <c r="C3" s="297"/>
      <c r="D3" s="298"/>
      <c r="E3" s="298"/>
      <c r="F3" s="298"/>
      <c r="G3" s="299"/>
      <c r="H3" s="303" t="s">
        <v>71</v>
      </c>
      <c r="I3" s="374">
        <f>M53/100</f>
        <v>2.74</v>
      </c>
      <c r="J3" s="302"/>
      <c r="K3" s="304"/>
      <c r="L3" s="304"/>
      <c r="M3" s="373"/>
      <c r="N3" s="37"/>
    </row>
    <row r="4" spans="1:15" s="32" customFormat="1" ht="12.75">
      <c r="A4" s="372" t="s">
        <v>49</v>
      </c>
      <c r="B4" s="304" t="s">
        <v>157</v>
      </c>
      <c r="C4" s="297"/>
      <c r="D4" s="298"/>
      <c r="E4" s="298"/>
      <c r="F4" s="298"/>
      <c r="G4" s="299"/>
      <c r="H4" s="303" t="s">
        <v>72</v>
      </c>
      <c r="I4" s="374">
        <f>J38</f>
        <v>0.41302080972027022</v>
      </c>
      <c r="J4" s="302"/>
      <c r="K4" s="304"/>
      <c r="L4" s="304"/>
      <c r="M4" s="371"/>
      <c r="N4" s="33"/>
    </row>
    <row r="5" spans="1:15" s="54" customFormat="1" ht="12.75">
      <c r="A5" s="369" t="s">
        <v>24</v>
      </c>
      <c r="B5" s="307" t="s">
        <v>26</v>
      </c>
      <c r="C5" s="297"/>
      <c r="D5" s="298"/>
      <c r="E5" s="298"/>
      <c r="F5" s="298"/>
      <c r="G5" s="299"/>
      <c r="H5" s="303"/>
      <c r="I5" s="375"/>
      <c r="J5" s="302"/>
      <c r="K5" s="304"/>
      <c r="L5" s="304"/>
      <c r="M5" s="53"/>
      <c r="N5" s="52"/>
    </row>
    <row r="6" spans="1:15" s="52" customFormat="1" ht="13.5" thickBot="1">
      <c r="A6" s="376"/>
      <c r="B6" s="377"/>
      <c r="C6" s="310"/>
      <c r="D6" s="311"/>
      <c r="E6" s="311"/>
      <c r="F6" s="311"/>
      <c r="G6" s="312"/>
      <c r="H6" s="313"/>
      <c r="I6" s="314"/>
      <c r="J6" s="312"/>
      <c r="K6" s="407"/>
      <c r="L6" s="377"/>
      <c r="M6" s="378"/>
    </row>
    <row r="7" spans="1:15" s="54" customFormat="1" ht="13.15" customHeight="1">
      <c r="A7" s="38" t="s">
        <v>27</v>
      </c>
      <c r="B7" s="20"/>
      <c r="C7" s="21"/>
      <c r="D7" s="255"/>
      <c r="E7" s="356" t="s">
        <v>54</v>
      </c>
      <c r="F7" s="20"/>
      <c r="G7" s="41" t="s">
        <v>28</v>
      </c>
      <c r="H7" s="42"/>
      <c r="I7" s="43" t="s">
        <v>29</v>
      </c>
      <c r="J7" s="43"/>
      <c r="K7" s="44"/>
      <c r="L7" s="968" t="s">
        <v>86</v>
      </c>
      <c r="M7" s="969"/>
      <c r="N7" s="52"/>
      <c r="O7" s="52"/>
    </row>
    <row r="8" spans="1:15" s="74" customFormat="1" ht="11.25" customHeight="1">
      <c r="A8" s="45"/>
      <c r="B8" s="46"/>
      <c r="C8" s="47"/>
      <c r="D8" s="256"/>
      <c r="E8" s="357"/>
      <c r="F8" s="256"/>
      <c r="G8" s="48"/>
      <c r="H8" s="49"/>
      <c r="I8" s="50"/>
      <c r="J8" s="50"/>
      <c r="K8" s="51"/>
      <c r="L8" s="53"/>
      <c r="M8" s="53"/>
      <c r="N8" s="73"/>
    </row>
    <row r="9" spans="1:15" s="79" customFormat="1">
      <c r="C9" s="55"/>
      <c r="D9" s="257"/>
      <c r="E9" s="357" t="s">
        <v>30</v>
      </c>
      <c r="F9" s="256"/>
      <c r="G9" s="48"/>
      <c r="H9" s="49"/>
      <c r="I9" s="56"/>
      <c r="J9" s="56"/>
      <c r="K9" s="51"/>
      <c r="L9" s="58"/>
      <c r="M9" s="59"/>
      <c r="N9" s="77"/>
      <c r="O9" s="78"/>
    </row>
    <row r="10" spans="1:15" s="79" customFormat="1">
      <c r="A10" s="60" t="s">
        <v>31</v>
      </c>
      <c r="B10" s="61" t="s">
        <v>32</v>
      </c>
      <c r="C10" s="62" t="s">
        <v>33</v>
      </c>
      <c r="D10" s="63" t="s">
        <v>66</v>
      </c>
      <c r="E10" s="57" t="s">
        <v>34</v>
      </c>
      <c r="F10" s="63" t="s">
        <v>35</v>
      </c>
      <c r="G10" s="48" t="s">
        <v>2</v>
      </c>
      <c r="H10" s="49" t="s">
        <v>36</v>
      </c>
      <c r="I10" s="50" t="s">
        <v>36</v>
      </c>
      <c r="J10" s="50" t="s">
        <v>2</v>
      </c>
      <c r="K10" s="408" t="s">
        <v>48</v>
      </c>
      <c r="L10" s="58" t="s">
        <v>85</v>
      </c>
      <c r="M10" s="58" t="s">
        <v>53</v>
      </c>
      <c r="N10" s="17"/>
    </row>
    <row r="11" spans="1:15" s="79" customFormat="1" ht="12" thickBot="1">
      <c r="A11" s="64" t="s">
        <v>37</v>
      </c>
      <c r="B11" s="65" t="s">
        <v>37</v>
      </c>
      <c r="C11" s="66" t="s">
        <v>38</v>
      </c>
      <c r="D11" s="67" t="s">
        <v>81</v>
      </c>
      <c r="E11" s="71" t="s">
        <v>38</v>
      </c>
      <c r="F11" s="67" t="s">
        <v>38</v>
      </c>
      <c r="G11" s="68" t="s">
        <v>52</v>
      </c>
      <c r="H11" s="69" t="s">
        <v>39</v>
      </c>
      <c r="I11" s="70" t="s">
        <v>39</v>
      </c>
      <c r="J11" s="70" t="s">
        <v>52</v>
      </c>
      <c r="K11" s="409"/>
      <c r="L11" s="406"/>
      <c r="M11" s="72" t="s">
        <v>38</v>
      </c>
      <c r="N11" s="17"/>
    </row>
    <row r="12" spans="1:15" s="79" customFormat="1">
      <c r="A12" s="284"/>
      <c r="B12" s="91"/>
      <c r="C12" s="351">
        <v>0</v>
      </c>
      <c r="D12" s="285"/>
      <c r="E12" s="358"/>
      <c r="F12" s="359"/>
      <c r="G12" s="24"/>
      <c r="H12" s="75"/>
      <c r="I12" s="252"/>
      <c r="J12" s="253"/>
      <c r="K12" s="246"/>
      <c r="L12" s="23" t="s">
        <v>40</v>
      </c>
      <c r="M12" s="76">
        <v>274</v>
      </c>
      <c r="N12" s="18"/>
    </row>
    <row r="13" spans="1:15" s="79" customFormat="1">
      <c r="A13" s="284">
        <v>385</v>
      </c>
      <c r="B13" s="91">
        <v>0</v>
      </c>
      <c r="C13" s="351">
        <v>10</v>
      </c>
      <c r="D13" s="285">
        <v>966</v>
      </c>
      <c r="E13" s="360">
        <f>C12</f>
        <v>0</v>
      </c>
      <c r="F13" s="80">
        <f>(C13+C14-10)/2</f>
        <v>10</v>
      </c>
      <c r="G13" s="16">
        <f t="shared" ref="G13:G38" si="0">(A13-B13)/966</f>
        <v>0.39855072463768115</v>
      </c>
      <c r="H13" s="82">
        <f t="shared" ref="H13:H38" si="1">(G13*(F13-E13))/100</f>
        <v>3.9855072463768113E-2</v>
      </c>
      <c r="I13" s="83">
        <f>SUM(H$13:H13)</f>
        <v>3.9855072463768113E-2</v>
      </c>
      <c r="J13" s="254">
        <f t="shared" ref="J13:J38" si="2">I13/F13*100</f>
        <v>0.39855072463768115</v>
      </c>
      <c r="K13" s="246"/>
      <c r="L13" s="22" t="s">
        <v>41</v>
      </c>
      <c r="M13" s="84"/>
      <c r="N13" s="17"/>
    </row>
    <row r="14" spans="1:15" s="79" customFormat="1">
      <c r="A14" s="284">
        <v>380</v>
      </c>
      <c r="B14" s="91">
        <v>0</v>
      </c>
      <c r="C14" s="351">
        <v>20</v>
      </c>
      <c r="D14" s="285">
        <v>966</v>
      </c>
      <c r="E14" s="360">
        <f>(C13+C14-10)/2</f>
        <v>10</v>
      </c>
      <c r="F14" s="80">
        <f t="shared" ref="F14:F37" si="3">(C14+C15-10)/2</f>
        <v>20</v>
      </c>
      <c r="G14" s="16">
        <f t="shared" si="0"/>
        <v>0.39337474120082816</v>
      </c>
      <c r="H14" s="82">
        <f t="shared" si="1"/>
        <v>3.9337474120082816E-2</v>
      </c>
      <c r="I14" s="83">
        <f>SUM(H$13:H14)</f>
        <v>7.9192546583850928E-2</v>
      </c>
      <c r="J14" s="254">
        <f t="shared" si="2"/>
        <v>0.39596273291925466</v>
      </c>
      <c r="K14" s="246"/>
      <c r="L14" s="22" t="s">
        <v>41</v>
      </c>
      <c r="M14" s="84"/>
      <c r="N14" s="17"/>
    </row>
    <row r="15" spans="1:15" s="79" customFormat="1">
      <c r="A15" s="284">
        <v>365</v>
      </c>
      <c r="B15" s="91">
        <v>0</v>
      </c>
      <c r="C15" s="351">
        <v>30</v>
      </c>
      <c r="D15" s="285">
        <v>966</v>
      </c>
      <c r="E15" s="360">
        <f>(C14+C15-10)/2</f>
        <v>20</v>
      </c>
      <c r="F15" s="80">
        <f t="shared" si="3"/>
        <v>30</v>
      </c>
      <c r="G15" s="16">
        <f t="shared" si="0"/>
        <v>0.37784679089026912</v>
      </c>
      <c r="H15" s="82">
        <f t="shared" si="1"/>
        <v>3.7784679089026912E-2</v>
      </c>
      <c r="I15" s="83">
        <f>SUM(H$13:H15)</f>
        <v>0.11697722567287784</v>
      </c>
      <c r="J15" s="254">
        <f t="shared" si="2"/>
        <v>0.38992408557625952</v>
      </c>
      <c r="K15" s="246"/>
      <c r="L15" s="22" t="s">
        <v>41</v>
      </c>
      <c r="M15" s="85"/>
      <c r="N15" s="17"/>
    </row>
    <row r="16" spans="1:15" s="79" customFormat="1">
      <c r="A16" s="286">
        <v>355</v>
      </c>
      <c r="B16" s="91">
        <v>0</v>
      </c>
      <c r="C16" s="351">
        <v>40</v>
      </c>
      <c r="D16" s="285">
        <v>966</v>
      </c>
      <c r="E16" s="360">
        <f t="shared" ref="E16:E38" si="4">(C15+C16-10)/2</f>
        <v>30</v>
      </c>
      <c r="F16" s="80">
        <f t="shared" si="3"/>
        <v>40</v>
      </c>
      <c r="G16" s="16">
        <f t="shared" si="0"/>
        <v>0.36749482401656314</v>
      </c>
      <c r="H16" s="82">
        <f t="shared" si="1"/>
        <v>3.6749482401656312E-2</v>
      </c>
      <c r="I16" s="83">
        <f>SUM(H$13:H16)</f>
        <v>0.15372670807453415</v>
      </c>
      <c r="J16" s="254">
        <f t="shared" si="2"/>
        <v>0.38431677018633537</v>
      </c>
      <c r="K16" s="246"/>
      <c r="L16" s="22" t="s">
        <v>41</v>
      </c>
      <c r="M16" s="84"/>
      <c r="N16" s="17"/>
    </row>
    <row r="17" spans="1:16" s="79" customFormat="1">
      <c r="A17" s="286">
        <v>370</v>
      </c>
      <c r="B17" s="91">
        <v>0</v>
      </c>
      <c r="C17" s="351">
        <v>50</v>
      </c>
      <c r="D17" s="285">
        <v>966</v>
      </c>
      <c r="E17" s="360">
        <f t="shared" si="4"/>
        <v>40</v>
      </c>
      <c r="F17" s="80">
        <f t="shared" si="3"/>
        <v>50</v>
      </c>
      <c r="G17" s="16">
        <f t="shared" si="0"/>
        <v>0.38302277432712217</v>
      </c>
      <c r="H17" s="82">
        <f t="shared" si="1"/>
        <v>3.8302277432712216E-2</v>
      </c>
      <c r="I17" s="83">
        <f>SUM(H$13:H17)</f>
        <v>0.19202898550724637</v>
      </c>
      <c r="J17" s="254">
        <f t="shared" si="2"/>
        <v>0.38405797101449274</v>
      </c>
      <c r="K17" s="247" t="s">
        <v>47</v>
      </c>
      <c r="L17" s="22" t="s">
        <v>41</v>
      </c>
      <c r="M17" s="84"/>
      <c r="N17" s="77"/>
    </row>
    <row r="18" spans="1:16" s="79" customFormat="1">
      <c r="A18" s="286">
        <v>370</v>
      </c>
      <c r="B18" s="91">
        <v>0</v>
      </c>
      <c r="C18" s="351">
        <v>60</v>
      </c>
      <c r="D18" s="285">
        <v>966</v>
      </c>
      <c r="E18" s="360">
        <f t="shared" si="4"/>
        <v>50</v>
      </c>
      <c r="F18" s="80">
        <f t="shared" si="3"/>
        <v>60</v>
      </c>
      <c r="G18" s="16">
        <f t="shared" si="0"/>
        <v>0.38302277432712217</v>
      </c>
      <c r="H18" s="82">
        <f t="shared" si="1"/>
        <v>3.8302277432712216E-2</v>
      </c>
      <c r="I18" s="83">
        <f>SUM(H$13:H18)</f>
        <v>0.23033126293995859</v>
      </c>
      <c r="J18" s="254">
        <f t="shared" si="2"/>
        <v>0.38388543823326432</v>
      </c>
      <c r="K18" s="244"/>
      <c r="L18" s="22" t="s">
        <v>41</v>
      </c>
      <c r="M18" s="84"/>
      <c r="N18" s="77"/>
    </row>
    <row r="19" spans="1:16" s="79" customFormat="1" ht="10.15" customHeight="1">
      <c r="A19" s="286">
        <v>370</v>
      </c>
      <c r="B19" s="91">
        <v>0</v>
      </c>
      <c r="C19" s="351">
        <v>70</v>
      </c>
      <c r="D19" s="285">
        <v>966</v>
      </c>
      <c r="E19" s="360">
        <f t="shared" si="4"/>
        <v>60</v>
      </c>
      <c r="F19" s="80">
        <f t="shared" si="3"/>
        <v>70</v>
      </c>
      <c r="G19" s="16">
        <f t="shared" si="0"/>
        <v>0.38302277432712217</v>
      </c>
      <c r="H19" s="82">
        <f t="shared" si="1"/>
        <v>3.8302277432712216E-2</v>
      </c>
      <c r="I19" s="83">
        <f>SUM(H$13:H19)</f>
        <v>0.26863354037267079</v>
      </c>
      <c r="J19" s="254">
        <f t="shared" si="2"/>
        <v>0.3837622005323868</v>
      </c>
      <c r="K19" s="244"/>
      <c r="L19" s="22" t="s">
        <v>41</v>
      </c>
      <c r="M19" s="84"/>
      <c r="N19" s="87"/>
    </row>
    <row r="20" spans="1:16" s="79" customFormat="1">
      <c r="A20" s="286">
        <v>385</v>
      </c>
      <c r="B20" s="91">
        <v>0</v>
      </c>
      <c r="C20" s="351">
        <v>80</v>
      </c>
      <c r="D20" s="285">
        <v>966</v>
      </c>
      <c r="E20" s="360">
        <f t="shared" si="4"/>
        <v>70</v>
      </c>
      <c r="F20" s="80">
        <f t="shared" si="3"/>
        <v>80</v>
      </c>
      <c r="G20" s="16">
        <f t="shared" si="0"/>
        <v>0.39855072463768115</v>
      </c>
      <c r="H20" s="82">
        <f t="shared" si="1"/>
        <v>3.9855072463768113E-2</v>
      </c>
      <c r="I20" s="83">
        <f>SUM(H$13:H20)</f>
        <v>0.30848861283643891</v>
      </c>
      <c r="J20" s="254">
        <f t="shared" si="2"/>
        <v>0.38561076604554867</v>
      </c>
      <c r="K20" s="246"/>
      <c r="L20" s="22" t="s">
        <v>41</v>
      </c>
      <c r="M20" s="84"/>
      <c r="N20" s="89"/>
    </row>
    <row r="21" spans="1:16" s="90" customFormat="1">
      <c r="A21" s="286">
        <v>420</v>
      </c>
      <c r="B21" s="91">
        <v>0</v>
      </c>
      <c r="C21" s="351">
        <v>90</v>
      </c>
      <c r="D21" s="285">
        <v>966</v>
      </c>
      <c r="E21" s="360">
        <f t="shared" si="4"/>
        <v>80</v>
      </c>
      <c r="F21" s="80">
        <f t="shared" si="3"/>
        <v>90</v>
      </c>
      <c r="G21" s="16">
        <f t="shared" si="0"/>
        <v>0.43478260869565216</v>
      </c>
      <c r="H21" s="82">
        <f t="shared" si="1"/>
        <v>4.3478260869565216E-2</v>
      </c>
      <c r="I21" s="83">
        <f>SUM(H$13:H21)</f>
        <v>0.3519668737060041</v>
      </c>
      <c r="J21" s="254">
        <f t="shared" si="2"/>
        <v>0.39107430411778238</v>
      </c>
      <c r="K21" s="248"/>
      <c r="L21" s="22" t="s">
        <v>41</v>
      </c>
      <c r="M21" s="84"/>
      <c r="N21" s="89"/>
    </row>
    <row r="22" spans="1:16" s="90" customFormat="1">
      <c r="A22" s="286">
        <v>440</v>
      </c>
      <c r="B22" s="91">
        <v>0</v>
      </c>
      <c r="C22" s="351">
        <v>100</v>
      </c>
      <c r="D22" s="285">
        <v>966</v>
      </c>
      <c r="E22" s="360">
        <f t="shared" si="4"/>
        <v>90</v>
      </c>
      <c r="F22" s="80">
        <f t="shared" si="3"/>
        <v>100</v>
      </c>
      <c r="G22" s="16">
        <f t="shared" si="0"/>
        <v>0.45548654244306419</v>
      </c>
      <c r="H22" s="82">
        <f t="shared" si="1"/>
        <v>4.5548654244306423E-2</v>
      </c>
      <c r="I22" s="83">
        <f>SUM(H$13:H22)</f>
        <v>0.39751552795031053</v>
      </c>
      <c r="J22" s="254">
        <f t="shared" si="2"/>
        <v>0.39751552795031059</v>
      </c>
      <c r="K22" s="246"/>
      <c r="L22" s="22" t="s">
        <v>41</v>
      </c>
      <c r="M22" s="86"/>
      <c r="N22" s="89"/>
    </row>
    <row r="23" spans="1:16" s="90" customFormat="1">
      <c r="A23" s="286">
        <v>480</v>
      </c>
      <c r="B23" s="91">
        <v>0</v>
      </c>
      <c r="C23" s="351">
        <v>110</v>
      </c>
      <c r="D23" s="285">
        <v>966</v>
      </c>
      <c r="E23" s="360">
        <f t="shared" si="4"/>
        <v>100</v>
      </c>
      <c r="F23" s="80">
        <f t="shared" si="3"/>
        <v>110</v>
      </c>
      <c r="G23" s="16">
        <f t="shared" si="0"/>
        <v>0.49689440993788819</v>
      </c>
      <c r="H23" s="82">
        <f t="shared" si="1"/>
        <v>4.9689440993788817E-2</v>
      </c>
      <c r="I23" s="83">
        <f>SUM(H$13:H23)</f>
        <v>0.44720496894409933</v>
      </c>
      <c r="J23" s="254">
        <f t="shared" si="2"/>
        <v>0.40654997176736302</v>
      </c>
      <c r="K23" s="249"/>
      <c r="L23" s="22" t="s">
        <v>41</v>
      </c>
      <c r="M23" s="88"/>
      <c r="N23" s="92"/>
    </row>
    <row r="24" spans="1:16" s="90" customFormat="1">
      <c r="A24" s="286">
        <v>395</v>
      </c>
      <c r="B24" s="91">
        <v>0</v>
      </c>
      <c r="C24" s="351">
        <v>120</v>
      </c>
      <c r="D24" s="285">
        <v>966</v>
      </c>
      <c r="E24" s="360">
        <f t="shared" si="4"/>
        <v>110</v>
      </c>
      <c r="F24" s="80">
        <f t="shared" si="3"/>
        <v>120</v>
      </c>
      <c r="G24" s="16">
        <f t="shared" si="0"/>
        <v>0.40890269151138714</v>
      </c>
      <c r="H24" s="82">
        <f t="shared" si="1"/>
        <v>4.0890269151138713E-2</v>
      </c>
      <c r="I24" s="83">
        <f>SUM(H$13:H24)</f>
        <v>0.48809523809523803</v>
      </c>
      <c r="J24" s="254">
        <f t="shared" si="2"/>
        <v>0.40674603174603169</v>
      </c>
      <c r="K24" s="250"/>
      <c r="L24" s="22" t="s">
        <v>41</v>
      </c>
      <c r="M24" s="88"/>
      <c r="N24" s="92"/>
    </row>
    <row r="25" spans="1:16" s="90" customFormat="1">
      <c r="A25" s="286">
        <v>380</v>
      </c>
      <c r="B25" s="91">
        <v>0</v>
      </c>
      <c r="C25" s="351">
        <v>130</v>
      </c>
      <c r="D25" s="285">
        <v>966</v>
      </c>
      <c r="E25" s="360">
        <f t="shared" si="4"/>
        <v>120</v>
      </c>
      <c r="F25" s="80">
        <f t="shared" si="3"/>
        <v>130</v>
      </c>
      <c r="G25" s="16">
        <f t="shared" si="0"/>
        <v>0.39337474120082816</v>
      </c>
      <c r="H25" s="82">
        <f t="shared" si="1"/>
        <v>3.9337474120082816E-2</v>
      </c>
      <c r="I25" s="83">
        <f>SUM(H$13:H25)</f>
        <v>0.52743271221532084</v>
      </c>
      <c r="J25" s="254">
        <f t="shared" si="2"/>
        <v>0.40571747093486216</v>
      </c>
      <c r="K25" s="250"/>
      <c r="L25" s="22" t="s">
        <v>41</v>
      </c>
      <c r="M25" s="88"/>
      <c r="N25" s="92"/>
    </row>
    <row r="26" spans="1:16" s="90" customFormat="1">
      <c r="A26" s="286">
        <v>405</v>
      </c>
      <c r="B26" s="91">
        <v>0</v>
      </c>
      <c r="C26" s="351">
        <v>140</v>
      </c>
      <c r="D26" s="285">
        <v>966</v>
      </c>
      <c r="E26" s="360">
        <f t="shared" si="4"/>
        <v>130</v>
      </c>
      <c r="F26" s="80">
        <f t="shared" si="3"/>
        <v>140</v>
      </c>
      <c r="G26" s="16">
        <f t="shared" si="0"/>
        <v>0.41925465838509318</v>
      </c>
      <c r="H26" s="82">
        <f t="shared" si="1"/>
        <v>4.192546583850932E-2</v>
      </c>
      <c r="I26" s="83">
        <f>SUM(H$13:H26)</f>
        <v>0.56935817805383016</v>
      </c>
      <c r="J26" s="254">
        <f t="shared" si="2"/>
        <v>0.40668441289559293</v>
      </c>
      <c r="K26" s="250"/>
      <c r="L26" s="22" t="s">
        <v>41</v>
      </c>
      <c r="M26" s="84"/>
      <c r="N26" s="92"/>
    </row>
    <row r="27" spans="1:16" s="90" customFormat="1">
      <c r="A27" s="286">
        <v>380</v>
      </c>
      <c r="B27" s="91">
        <v>0</v>
      </c>
      <c r="C27" s="351">
        <v>150</v>
      </c>
      <c r="D27" s="285">
        <v>966</v>
      </c>
      <c r="E27" s="360">
        <f t="shared" si="4"/>
        <v>140</v>
      </c>
      <c r="F27" s="80">
        <f t="shared" si="3"/>
        <v>150</v>
      </c>
      <c r="G27" s="16">
        <f t="shared" si="0"/>
        <v>0.39337474120082816</v>
      </c>
      <c r="H27" s="82">
        <f t="shared" si="1"/>
        <v>3.9337474120082816E-2</v>
      </c>
      <c r="I27" s="83">
        <f>SUM(H$13:H27)</f>
        <v>0.60869565217391297</v>
      </c>
      <c r="J27" s="254">
        <f t="shared" si="2"/>
        <v>0.40579710144927528</v>
      </c>
      <c r="K27" s="250"/>
      <c r="L27" s="22" t="s">
        <v>41</v>
      </c>
      <c r="M27" s="84"/>
      <c r="N27" s="92"/>
    </row>
    <row r="28" spans="1:16" s="90" customFormat="1">
      <c r="A28" s="286">
        <v>400</v>
      </c>
      <c r="B28" s="91">
        <v>0</v>
      </c>
      <c r="C28" s="351">
        <v>160</v>
      </c>
      <c r="D28" s="285">
        <v>966</v>
      </c>
      <c r="E28" s="360">
        <f t="shared" si="4"/>
        <v>150</v>
      </c>
      <c r="F28" s="80">
        <f t="shared" si="3"/>
        <v>160</v>
      </c>
      <c r="G28" s="16">
        <f t="shared" si="0"/>
        <v>0.41407867494824019</v>
      </c>
      <c r="H28" s="82">
        <f t="shared" si="1"/>
        <v>4.1407867494824016E-2</v>
      </c>
      <c r="I28" s="83">
        <f>SUM(H$13:H28)</f>
        <v>0.65010351966873703</v>
      </c>
      <c r="J28" s="254">
        <f t="shared" si="2"/>
        <v>0.40631469979296064</v>
      </c>
      <c r="K28" s="250"/>
      <c r="L28" s="22" t="s">
        <v>41</v>
      </c>
      <c r="M28" s="84"/>
      <c r="N28" s="92"/>
    </row>
    <row r="29" spans="1:16">
      <c r="A29" s="286">
        <v>390</v>
      </c>
      <c r="B29" s="91">
        <v>0</v>
      </c>
      <c r="C29" s="351">
        <v>170</v>
      </c>
      <c r="D29" s="285">
        <v>966</v>
      </c>
      <c r="E29" s="360">
        <f t="shared" si="4"/>
        <v>160</v>
      </c>
      <c r="F29" s="80">
        <f t="shared" si="3"/>
        <v>170</v>
      </c>
      <c r="G29" s="16">
        <f t="shared" si="0"/>
        <v>0.40372670807453415</v>
      </c>
      <c r="H29" s="82">
        <f t="shared" si="1"/>
        <v>4.0372670807453409E-2</v>
      </c>
      <c r="I29" s="83">
        <f>SUM(H$13:H29)</f>
        <v>0.69047619047619047</v>
      </c>
      <c r="J29" s="254">
        <f t="shared" si="2"/>
        <v>0.40616246498599445</v>
      </c>
      <c r="K29" s="250"/>
      <c r="L29" s="22" t="s">
        <v>41</v>
      </c>
      <c r="M29" s="84"/>
      <c r="N29" s="92"/>
      <c r="O29" s="90"/>
      <c r="P29" s="90"/>
    </row>
    <row r="30" spans="1:16">
      <c r="A30" s="286">
        <v>390</v>
      </c>
      <c r="B30" s="91">
        <v>0</v>
      </c>
      <c r="C30" s="351">
        <v>180</v>
      </c>
      <c r="D30" s="285">
        <v>966</v>
      </c>
      <c r="E30" s="360">
        <f t="shared" si="4"/>
        <v>170</v>
      </c>
      <c r="F30" s="80">
        <f t="shared" si="3"/>
        <v>180</v>
      </c>
      <c r="G30" s="16">
        <f t="shared" si="0"/>
        <v>0.40372670807453415</v>
      </c>
      <c r="H30" s="82">
        <f t="shared" si="1"/>
        <v>4.0372670807453409E-2</v>
      </c>
      <c r="I30" s="83">
        <f>SUM(H$13:H30)</f>
        <v>0.7308488612836439</v>
      </c>
      <c r="J30" s="254">
        <f t="shared" si="2"/>
        <v>0.40602714515757993</v>
      </c>
      <c r="K30" s="250"/>
      <c r="L30" s="22" t="s">
        <v>41</v>
      </c>
      <c r="M30" s="84"/>
      <c r="N30" s="92"/>
      <c r="O30" s="90"/>
      <c r="P30" s="90"/>
    </row>
    <row r="31" spans="1:16">
      <c r="A31" s="286">
        <v>405</v>
      </c>
      <c r="B31" s="91">
        <v>0</v>
      </c>
      <c r="C31" s="351">
        <v>190</v>
      </c>
      <c r="D31" s="285">
        <v>966</v>
      </c>
      <c r="E31" s="360">
        <f t="shared" si="4"/>
        <v>180</v>
      </c>
      <c r="F31" s="80">
        <f t="shared" si="3"/>
        <v>190</v>
      </c>
      <c r="G31" s="16">
        <f t="shared" si="0"/>
        <v>0.41925465838509318</v>
      </c>
      <c r="H31" s="82">
        <f t="shared" si="1"/>
        <v>4.192546583850932E-2</v>
      </c>
      <c r="I31" s="83">
        <f>SUM(H$13:H31)</f>
        <v>0.77277432712215322</v>
      </c>
      <c r="J31" s="254">
        <f t="shared" si="2"/>
        <v>0.40672333006429118</v>
      </c>
      <c r="K31" s="250"/>
      <c r="L31" s="22" t="s">
        <v>41</v>
      </c>
      <c r="M31" s="84"/>
      <c r="N31" s="92"/>
      <c r="O31" s="90"/>
      <c r="P31" s="90"/>
    </row>
    <row r="32" spans="1:16">
      <c r="A32" s="286">
        <v>385</v>
      </c>
      <c r="B32" s="91">
        <v>0</v>
      </c>
      <c r="C32" s="351">
        <v>200</v>
      </c>
      <c r="D32" s="285">
        <v>966</v>
      </c>
      <c r="E32" s="360">
        <f t="shared" si="4"/>
        <v>190</v>
      </c>
      <c r="F32" s="80">
        <f t="shared" si="3"/>
        <v>200</v>
      </c>
      <c r="G32" s="16">
        <f t="shared" si="0"/>
        <v>0.39855072463768115</v>
      </c>
      <c r="H32" s="82">
        <f t="shared" si="1"/>
        <v>3.9855072463768113E-2</v>
      </c>
      <c r="I32" s="83">
        <f>SUM(H$13:H32)</f>
        <v>0.81262939958592129</v>
      </c>
      <c r="J32" s="254">
        <f t="shared" si="2"/>
        <v>0.40631469979296064</v>
      </c>
      <c r="K32" s="251"/>
      <c r="L32" s="22" t="s">
        <v>41</v>
      </c>
      <c r="M32" s="84"/>
      <c r="N32" s="92"/>
      <c r="O32" s="90"/>
      <c r="P32" s="90"/>
    </row>
    <row r="33" spans="1:17">
      <c r="A33" s="286">
        <v>335</v>
      </c>
      <c r="B33" s="91">
        <v>0</v>
      </c>
      <c r="C33" s="351">
        <v>210</v>
      </c>
      <c r="D33" s="285">
        <v>966</v>
      </c>
      <c r="E33" s="360">
        <f t="shared" si="4"/>
        <v>200</v>
      </c>
      <c r="F33" s="80">
        <f t="shared" si="3"/>
        <v>210</v>
      </c>
      <c r="G33" s="16">
        <f t="shared" si="0"/>
        <v>0.34679089026915116</v>
      </c>
      <c r="H33" s="82">
        <f t="shared" si="1"/>
        <v>3.4679089026915119E-2</v>
      </c>
      <c r="I33" s="83">
        <f>SUM(H$13:H33)</f>
        <v>0.84730848861283636</v>
      </c>
      <c r="J33" s="254">
        <f t="shared" si="2"/>
        <v>0.40348023267277922</v>
      </c>
      <c r="K33" s="251"/>
      <c r="L33" s="22" t="s">
        <v>41</v>
      </c>
      <c r="M33" s="84"/>
      <c r="N33" s="92"/>
      <c r="O33" s="90"/>
      <c r="P33" s="90"/>
    </row>
    <row r="34" spans="1:17">
      <c r="A34" s="286">
        <v>355</v>
      </c>
      <c r="B34" s="91">
        <v>0</v>
      </c>
      <c r="C34" s="351">
        <v>220</v>
      </c>
      <c r="D34" s="285">
        <v>966</v>
      </c>
      <c r="E34" s="360">
        <f t="shared" si="4"/>
        <v>210</v>
      </c>
      <c r="F34" s="80">
        <f t="shared" si="3"/>
        <v>220</v>
      </c>
      <c r="G34" s="16">
        <f t="shared" si="0"/>
        <v>0.36749482401656314</v>
      </c>
      <c r="H34" s="82">
        <f t="shared" si="1"/>
        <v>3.6749482401656312E-2</v>
      </c>
      <c r="I34" s="83">
        <f>SUM(H$13:H34)</f>
        <v>0.88405797101449268</v>
      </c>
      <c r="J34" s="254">
        <f t="shared" si="2"/>
        <v>0.40184453227931488</v>
      </c>
      <c r="K34" s="251"/>
      <c r="L34" s="22"/>
      <c r="M34" s="84"/>
      <c r="N34" s="94"/>
      <c r="O34" s="93"/>
      <c r="P34" s="93"/>
    </row>
    <row r="35" spans="1:17">
      <c r="A35" s="286">
        <v>440</v>
      </c>
      <c r="B35" s="91">
        <v>0</v>
      </c>
      <c r="C35" s="351">
        <v>230</v>
      </c>
      <c r="D35" s="285">
        <v>966</v>
      </c>
      <c r="E35" s="360">
        <f t="shared" si="4"/>
        <v>220</v>
      </c>
      <c r="F35" s="80">
        <f t="shared" si="3"/>
        <v>230</v>
      </c>
      <c r="G35" s="16">
        <f t="shared" si="0"/>
        <v>0.45548654244306419</v>
      </c>
      <c r="H35" s="82">
        <f t="shared" si="1"/>
        <v>4.5548654244306423E-2</v>
      </c>
      <c r="I35" s="83">
        <f>SUM(H$13:H35)</f>
        <v>0.92960662525879911</v>
      </c>
      <c r="J35" s="254">
        <f t="shared" si="2"/>
        <v>0.40417679359078224</v>
      </c>
      <c r="K35" s="251"/>
      <c r="L35" s="22"/>
      <c r="M35" s="84"/>
      <c r="N35" s="238"/>
      <c r="O35" s="97"/>
      <c r="P35" s="239"/>
      <c r="Q35" s="97"/>
    </row>
    <row r="36" spans="1:17">
      <c r="A36" s="286">
        <v>400</v>
      </c>
      <c r="B36" s="91">
        <v>0</v>
      </c>
      <c r="C36" s="351">
        <v>240</v>
      </c>
      <c r="D36" s="285">
        <v>966</v>
      </c>
      <c r="E36" s="360">
        <f t="shared" si="4"/>
        <v>230</v>
      </c>
      <c r="F36" s="80">
        <f t="shared" si="3"/>
        <v>240</v>
      </c>
      <c r="G36" s="16">
        <f t="shared" si="0"/>
        <v>0.41407867494824019</v>
      </c>
      <c r="H36" s="82">
        <f t="shared" si="1"/>
        <v>4.1407867494824016E-2</v>
      </c>
      <c r="I36" s="83">
        <f>SUM(H$13:H36)</f>
        <v>0.97101449275362317</v>
      </c>
      <c r="J36" s="254">
        <f t="shared" si="2"/>
        <v>0.40458937198067629</v>
      </c>
      <c r="K36" s="251"/>
      <c r="L36" s="22"/>
      <c r="M36" s="84"/>
      <c r="N36" s="238"/>
      <c r="O36" s="97"/>
      <c r="P36" s="240"/>
      <c r="Q36" s="97"/>
    </row>
    <row r="37" spans="1:17">
      <c r="A37" s="286">
        <v>400</v>
      </c>
      <c r="B37" s="91">
        <v>0</v>
      </c>
      <c r="C37" s="351">
        <v>250</v>
      </c>
      <c r="D37" s="285">
        <v>966</v>
      </c>
      <c r="E37" s="360">
        <f t="shared" si="4"/>
        <v>240</v>
      </c>
      <c r="F37" s="80">
        <f t="shared" si="3"/>
        <v>250</v>
      </c>
      <c r="G37" s="16">
        <f t="shared" si="0"/>
        <v>0.41407867494824019</v>
      </c>
      <c r="H37" s="82">
        <f t="shared" si="1"/>
        <v>4.1407867494824016E-2</v>
      </c>
      <c r="I37" s="83">
        <f>SUM(H$13:H37)</f>
        <v>1.0124223602484472</v>
      </c>
      <c r="J37" s="254">
        <f t="shared" si="2"/>
        <v>0.40496894409937889</v>
      </c>
      <c r="K37" s="251"/>
      <c r="L37" s="22"/>
      <c r="M37" s="84"/>
      <c r="N37" s="241"/>
      <c r="O37" s="97"/>
      <c r="P37" s="97"/>
      <c r="Q37" s="97"/>
    </row>
    <row r="38" spans="1:17">
      <c r="A38" s="286">
        <v>480</v>
      </c>
      <c r="B38" s="91">
        <v>0</v>
      </c>
      <c r="C38" s="351">
        <v>260</v>
      </c>
      <c r="D38" s="285">
        <v>966</v>
      </c>
      <c r="E38" s="360">
        <f t="shared" si="4"/>
        <v>250</v>
      </c>
      <c r="F38" s="80">
        <v>274</v>
      </c>
      <c r="G38" s="16">
        <f t="shared" si="0"/>
        <v>0.49689440993788819</v>
      </c>
      <c r="H38" s="82">
        <f t="shared" si="1"/>
        <v>0.11925465838509317</v>
      </c>
      <c r="I38" s="83">
        <f>SUM(H$13:H38)</f>
        <v>1.1316770186335403</v>
      </c>
      <c r="J38" s="254">
        <f t="shared" si="2"/>
        <v>0.41302080972027022</v>
      </c>
      <c r="K38" s="251"/>
      <c r="L38" s="22"/>
      <c r="M38" s="84"/>
      <c r="N38" s="98"/>
      <c r="O38" s="99"/>
      <c r="P38" s="93"/>
    </row>
    <row r="39" spans="1:17">
      <c r="A39" s="286"/>
      <c r="B39" s="91"/>
      <c r="C39" s="351"/>
      <c r="D39" s="285"/>
      <c r="E39" s="360"/>
      <c r="F39" s="80"/>
      <c r="G39" s="16"/>
      <c r="H39" s="82"/>
      <c r="I39" s="83"/>
      <c r="J39" s="254"/>
      <c r="K39" s="251"/>
      <c r="L39" s="22"/>
      <c r="M39" s="84"/>
      <c r="N39" s="99"/>
      <c r="O39" s="99"/>
      <c r="P39" s="93"/>
    </row>
    <row r="40" spans="1:17">
      <c r="A40" s="286"/>
      <c r="B40" s="91"/>
      <c r="C40" s="351"/>
      <c r="D40" s="285"/>
      <c r="E40" s="360"/>
      <c r="F40" s="80"/>
      <c r="G40" s="16"/>
      <c r="H40" s="82"/>
      <c r="I40" s="83"/>
      <c r="J40" s="254"/>
      <c r="K40" s="251"/>
      <c r="L40" s="22"/>
      <c r="M40" s="84"/>
      <c r="O40" s="93"/>
      <c r="P40" s="93"/>
    </row>
    <row r="41" spans="1:17">
      <c r="A41" s="286"/>
      <c r="B41" s="91"/>
      <c r="C41" s="351"/>
      <c r="D41" s="285"/>
      <c r="E41" s="360"/>
      <c r="F41" s="80"/>
      <c r="G41" s="16"/>
      <c r="H41" s="82"/>
      <c r="I41" s="83"/>
      <c r="J41" s="254"/>
      <c r="K41" s="251"/>
      <c r="L41" s="22"/>
      <c r="M41" s="84"/>
      <c r="O41" s="93"/>
      <c r="P41" s="93"/>
    </row>
    <row r="42" spans="1:17">
      <c r="A42" s="286"/>
      <c r="B42" s="91"/>
      <c r="C42" s="351"/>
      <c r="D42" s="285"/>
      <c r="E42" s="360"/>
      <c r="F42" s="80"/>
      <c r="G42" s="16"/>
      <c r="H42" s="82"/>
      <c r="I42" s="83"/>
      <c r="K42" s="251"/>
      <c r="L42" s="22"/>
      <c r="M42" s="84"/>
      <c r="O42" s="93"/>
      <c r="P42" s="93"/>
    </row>
    <row r="43" spans="1:17">
      <c r="A43" s="286"/>
      <c r="B43" s="91"/>
      <c r="C43" s="351"/>
      <c r="D43" s="285"/>
      <c r="E43" s="360"/>
      <c r="F43" s="80"/>
      <c r="G43" s="16"/>
      <c r="H43" s="82"/>
      <c r="I43" s="83"/>
      <c r="J43" s="254"/>
      <c r="K43" s="251"/>
      <c r="L43" s="22"/>
      <c r="M43" s="84"/>
      <c r="O43" s="93"/>
      <c r="P43" s="93"/>
    </row>
    <row r="44" spans="1:17">
      <c r="A44" s="286"/>
      <c r="B44" s="91"/>
      <c r="C44" s="351"/>
      <c r="D44" s="285"/>
      <c r="E44" s="360"/>
      <c r="F44" s="80"/>
      <c r="G44" s="16"/>
      <c r="H44" s="82"/>
      <c r="I44" s="83"/>
      <c r="J44" s="254"/>
      <c r="K44" s="251"/>
      <c r="L44" s="22"/>
      <c r="M44" s="84"/>
      <c r="O44" s="93"/>
      <c r="P44" s="93"/>
    </row>
    <row r="45" spans="1:17">
      <c r="A45" s="286"/>
      <c r="B45" s="91"/>
      <c r="C45" s="351"/>
      <c r="D45" s="285"/>
      <c r="E45" s="360"/>
      <c r="F45" s="80"/>
      <c r="G45" s="16"/>
      <c r="H45" s="82"/>
      <c r="I45" s="83"/>
      <c r="J45" s="254"/>
      <c r="K45" s="251"/>
      <c r="L45" s="22"/>
      <c r="M45" s="84"/>
      <c r="O45" s="93"/>
      <c r="P45" s="93"/>
    </row>
    <row r="46" spans="1:17">
      <c r="A46" s="286"/>
      <c r="B46" s="91"/>
      <c r="C46" s="351"/>
      <c r="D46" s="285"/>
      <c r="E46" s="360"/>
      <c r="F46" s="80"/>
      <c r="G46" s="16"/>
      <c r="H46" s="82"/>
      <c r="I46" s="83"/>
      <c r="J46" s="254"/>
      <c r="K46" s="251"/>
      <c r="L46" s="22"/>
      <c r="M46" s="84"/>
      <c r="O46" s="93"/>
      <c r="P46" s="93"/>
    </row>
    <row r="47" spans="1:17">
      <c r="A47" s="286"/>
      <c r="B47" s="91"/>
      <c r="C47" s="351"/>
      <c r="D47" s="285"/>
      <c r="E47" s="360"/>
      <c r="F47" s="80"/>
      <c r="G47" s="16"/>
      <c r="H47" s="82"/>
      <c r="I47" s="83"/>
      <c r="J47" s="254"/>
      <c r="K47" s="251"/>
      <c r="L47" s="22"/>
      <c r="M47" s="84"/>
      <c r="O47" s="93"/>
      <c r="P47" s="93"/>
    </row>
    <row r="48" spans="1:17">
      <c r="A48" s="286"/>
      <c r="B48" s="91"/>
      <c r="C48" s="351"/>
      <c r="D48" s="285"/>
      <c r="E48" s="360"/>
      <c r="F48" s="80"/>
      <c r="G48" s="16"/>
      <c r="H48" s="82"/>
      <c r="I48" s="83"/>
      <c r="J48" s="254"/>
      <c r="K48" s="251"/>
      <c r="L48" s="22"/>
      <c r="M48" s="84"/>
      <c r="O48" s="93"/>
      <c r="P48" s="93"/>
    </row>
    <row r="49" spans="1:17">
      <c r="A49" s="286"/>
      <c r="B49" s="91"/>
      <c r="C49" s="351"/>
      <c r="D49" s="285"/>
      <c r="E49" s="360"/>
      <c r="F49" s="80"/>
      <c r="G49" s="16"/>
      <c r="H49" s="82"/>
      <c r="I49" s="83"/>
      <c r="J49" s="254"/>
      <c r="K49" s="251"/>
      <c r="L49" s="22"/>
      <c r="M49" s="84"/>
      <c r="O49" s="93"/>
      <c r="P49" s="93"/>
    </row>
    <row r="50" spans="1:17">
      <c r="A50" s="286"/>
      <c r="B50" s="91"/>
      <c r="C50" s="351"/>
      <c r="D50" s="285"/>
      <c r="E50" s="360"/>
      <c r="F50" s="80"/>
      <c r="G50" s="16"/>
      <c r="H50" s="82"/>
      <c r="I50" s="83"/>
      <c r="J50" s="254"/>
      <c r="K50" s="251"/>
      <c r="L50" s="22"/>
      <c r="M50" s="84"/>
      <c r="O50" s="93"/>
      <c r="P50" s="93"/>
    </row>
    <row r="51" spans="1:17">
      <c r="A51" s="286"/>
      <c r="B51" s="91"/>
      <c r="C51" s="351"/>
      <c r="D51" s="285"/>
      <c r="E51" s="360"/>
      <c r="F51" s="80"/>
      <c r="G51" s="16"/>
      <c r="H51" s="82"/>
      <c r="I51" s="83"/>
      <c r="J51" s="254"/>
      <c r="K51" s="251"/>
      <c r="L51" s="22"/>
      <c r="M51" s="84"/>
      <c r="O51" s="93"/>
      <c r="P51" s="93"/>
    </row>
    <row r="52" spans="1:17" ht="12" thickBot="1">
      <c r="A52" s="286"/>
      <c r="B52" s="91"/>
      <c r="C52" s="351"/>
      <c r="D52" s="285"/>
      <c r="E52" s="360"/>
      <c r="F52" s="80"/>
      <c r="G52" s="16"/>
      <c r="H52" s="82"/>
      <c r="I52" s="83"/>
      <c r="J52" s="254"/>
      <c r="K52" s="251"/>
      <c r="L52" s="22"/>
      <c r="M52" s="95"/>
      <c r="O52" s="93"/>
      <c r="P52" s="93"/>
    </row>
    <row r="53" spans="1:17">
      <c r="A53" s="286"/>
      <c r="B53" s="91"/>
      <c r="C53" s="351"/>
      <c r="D53" s="285"/>
      <c r="E53" s="360"/>
      <c r="F53" s="80"/>
      <c r="G53" s="16"/>
      <c r="H53" s="82"/>
      <c r="I53" s="83"/>
      <c r="J53" s="254"/>
      <c r="K53" s="251"/>
      <c r="L53" s="242" t="s">
        <v>42</v>
      </c>
      <c r="M53" s="96">
        <f>AVERAGE(M12:M52)</f>
        <v>274</v>
      </c>
      <c r="O53" s="93"/>
      <c r="P53" s="93"/>
    </row>
    <row r="54" spans="1:17">
      <c r="A54" s="286"/>
      <c r="B54" s="91"/>
      <c r="C54" s="351"/>
      <c r="D54" s="285"/>
      <c r="E54" s="360"/>
      <c r="F54" s="80"/>
      <c r="G54" s="16"/>
      <c r="H54" s="82"/>
      <c r="I54" s="83"/>
      <c r="J54" s="254"/>
      <c r="K54" s="251"/>
      <c r="L54" s="33" t="s">
        <v>43</v>
      </c>
      <c r="M54" s="95" t="e">
        <f>STDEV(M12:M52)</f>
        <v>#DIV/0!</v>
      </c>
      <c r="N54" s="56"/>
      <c r="P54" s="93"/>
    </row>
    <row r="55" spans="1:17">
      <c r="A55" s="287" t="s">
        <v>73</v>
      </c>
      <c r="B55" s="258"/>
      <c r="C55" s="352"/>
      <c r="D55" s="259"/>
      <c r="E55" s="361"/>
      <c r="F55" s="362"/>
      <c r="G55" s="261"/>
      <c r="H55" s="262"/>
      <c r="I55" s="263"/>
      <c r="J55" s="264"/>
      <c r="K55" s="265"/>
      <c r="L55" s="33" t="s">
        <v>44</v>
      </c>
      <c r="M55" s="95" t="e">
        <f>M54/SQRT(COUNT(M12:M51))</f>
        <v>#DIV/0!</v>
      </c>
      <c r="N55" s="98"/>
      <c r="Q55" s="56"/>
    </row>
    <row r="56" spans="1:17">
      <c r="A56" s="266"/>
      <c r="B56" s="267"/>
      <c r="C56" s="353"/>
      <c r="D56" s="268"/>
      <c r="E56" s="363"/>
      <c r="F56" s="364"/>
      <c r="G56" s="270"/>
      <c r="H56" s="271"/>
      <c r="I56" s="272"/>
      <c r="J56" s="273"/>
      <c r="K56" s="274"/>
      <c r="L56" s="33" t="s">
        <v>45</v>
      </c>
      <c r="M56" s="95">
        <f>MAX(M12:M51)</f>
        <v>274</v>
      </c>
      <c r="N56" s="98"/>
      <c r="O56" s="93"/>
      <c r="P56" s="93"/>
    </row>
    <row r="57" spans="1:17" ht="12" thickBot="1">
      <c r="A57" s="275"/>
      <c r="B57" s="276"/>
      <c r="C57" s="354"/>
      <c r="D57" s="277"/>
      <c r="E57" s="365"/>
      <c r="F57" s="366"/>
      <c r="G57" s="279"/>
      <c r="H57" s="280"/>
      <c r="I57" s="281"/>
      <c r="J57" s="282"/>
      <c r="K57" s="283"/>
      <c r="L57" s="243" t="s">
        <v>46</v>
      </c>
      <c r="M57" s="100">
        <f>MIN(M12:M51)</f>
        <v>274</v>
      </c>
      <c r="N57" s="56"/>
      <c r="O57" s="93"/>
      <c r="P57" s="93"/>
    </row>
    <row r="58" spans="1:17">
      <c r="A58" s="15"/>
      <c r="B58" s="15"/>
      <c r="C58" s="14"/>
      <c r="D58" s="105"/>
      <c r="E58" s="105"/>
      <c r="F58" s="105"/>
      <c r="G58" s="13"/>
      <c r="H58" s="106"/>
      <c r="I58" s="107"/>
      <c r="J58" s="104"/>
      <c r="K58" s="101"/>
      <c r="L58" s="102"/>
      <c r="M58" s="56"/>
      <c r="O58" s="93"/>
      <c r="P58" s="93"/>
    </row>
    <row r="59" spans="1:17">
      <c r="A59" s="56"/>
      <c r="B59" s="56"/>
      <c r="C59" s="108"/>
      <c r="D59" s="108"/>
      <c r="E59" s="108"/>
      <c r="F59" s="108"/>
      <c r="G59" s="107"/>
      <c r="H59" s="106"/>
      <c r="I59" s="107"/>
      <c r="J59" s="104"/>
      <c r="K59" s="103"/>
      <c r="L59" s="102"/>
      <c r="M59" s="56"/>
      <c r="O59" s="93"/>
      <c r="P59" s="93"/>
    </row>
    <row r="60" spans="1:17">
      <c r="A60" s="109"/>
      <c r="B60" s="109"/>
      <c r="C60" s="109"/>
      <c r="D60" s="109"/>
      <c r="E60" s="104"/>
      <c r="F60" s="110"/>
      <c r="G60" s="56"/>
      <c r="H60" s="93"/>
      <c r="I60" s="56"/>
      <c r="J60" s="93"/>
      <c r="K60" s="93"/>
      <c r="L60" s="56"/>
      <c r="M60" s="56"/>
      <c r="O60" s="93"/>
      <c r="P60" s="93"/>
    </row>
    <row r="61" spans="1:17">
      <c r="A61" s="111"/>
      <c r="B61" s="111"/>
      <c r="C61" s="109"/>
      <c r="D61" s="109"/>
      <c r="E61" s="104"/>
      <c r="F61" s="110"/>
      <c r="G61" s="93"/>
      <c r="H61" s="93"/>
      <c r="I61" s="56"/>
      <c r="J61" s="93"/>
      <c r="K61" s="93"/>
      <c r="L61" s="56"/>
      <c r="M61" s="56"/>
      <c r="O61" s="93"/>
      <c r="P61" s="93"/>
    </row>
    <row r="62" spans="1:17">
      <c r="A62" s="50"/>
      <c r="B62" s="50"/>
      <c r="C62" s="109"/>
      <c r="D62" s="109"/>
      <c r="E62" s="104"/>
      <c r="F62" s="110"/>
      <c r="G62" s="93"/>
      <c r="H62" s="93"/>
      <c r="I62" s="56"/>
      <c r="J62" s="93"/>
      <c r="K62" s="93"/>
      <c r="L62" s="56"/>
      <c r="M62" s="56"/>
      <c r="O62" s="93"/>
      <c r="P62" s="93"/>
    </row>
    <row r="63" spans="1:17">
      <c r="A63" s="109"/>
      <c r="B63" s="109"/>
      <c r="C63" s="109"/>
      <c r="D63" s="109"/>
      <c r="E63" s="104"/>
      <c r="F63" s="110"/>
      <c r="G63" s="93"/>
      <c r="H63" s="93"/>
      <c r="I63" s="56"/>
      <c r="J63" s="93"/>
      <c r="K63" s="93"/>
      <c r="L63" s="56"/>
      <c r="M63" s="56"/>
      <c r="O63" s="93"/>
      <c r="P63" s="93"/>
    </row>
    <row r="64" spans="1:17">
      <c r="A64" s="109"/>
      <c r="B64" s="109"/>
      <c r="C64" s="109"/>
      <c r="D64" s="109"/>
      <c r="E64" s="104"/>
      <c r="F64" s="110"/>
      <c r="G64" s="93"/>
      <c r="H64" s="93"/>
      <c r="I64" s="56"/>
      <c r="J64" s="107"/>
      <c r="K64" s="93"/>
      <c r="L64" s="56"/>
      <c r="M64" s="56"/>
      <c r="O64" s="93"/>
      <c r="P64" s="93"/>
    </row>
    <row r="65" spans="1:16">
      <c r="A65" s="109"/>
      <c r="B65" s="109"/>
      <c r="C65" s="109"/>
      <c r="D65" s="109"/>
      <c r="E65" s="104"/>
      <c r="F65" s="110"/>
      <c r="G65" s="93"/>
      <c r="H65" s="93"/>
      <c r="I65" s="56"/>
      <c r="J65" s="107"/>
      <c r="K65" s="93"/>
      <c r="L65" s="56"/>
      <c r="M65" s="56"/>
      <c r="O65" s="93"/>
      <c r="P65" s="93"/>
    </row>
    <row r="66" spans="1:16">
      <c r="A66" s="109"/>
      <c r="B66" s="109"/>
      <c r="C66" s="109"/>
      <c r="D66" s="109"/>
      <c r="E66" s="104"/>
      <c r="F66" s="110"/>
      <c r="G66" s="93"/>
      <c r="H66" s="93"/>
      <c r="I66" s="56"/>
      <c r="J66" s="93"/>
      <c r="K66" s="93"/>
      <c r="L66" s="56"/>
      <c r="M66" s="56"/>
      <c r="O66" s="93"/>
      <c r="P66" s="93"/>
    </row>
    <row r="67" spans="1:16">
      <c r="A67" s="109"/>
      <c r="B67" s="109"/>
      <c r="C67" s="109"/>
      <c r="D67" s="109"/>
      <c r="E67" s="104"/>
      <c r="F67" s="110"/>
      <c r="G67" s="93"/>
      <c r="H67" s="93"/>
      <c r="I67" s="56"/>
      <c r="J67" s="93"/>
      <c r="K67" s="93"/>
      <c r="L67" s="56"/>
      <c r="M67" s="56"/>
      <c r="O67" s="93"/>
      <c r="P67" s="93"/>
    </row>
    <row r="68" spans="1:16">
      <c r="A68" s="109"/>
      <c r="B68" s="109"/>
      <c r="C68" s="109"/>
      <c r="D68" s="109"/>
      <c r="E68" s="104"/>
      <c r="F68" s="110"/>
      <c r="G68" s="93"/>
      <c r="H68" s="93"/>
      <c r="I68" s="56"/>
      <c r="J68" s="93"/>
      <c r="K68" s="93"/>
      <c r="L68" s="56"/>
      <c r="M68" s="56"/>
      <c r="O68" s="93"/>
      <c r="P68" s="93"/>
    </row>
    <row r="69" spans="1:16">
      <c r="A69" s="109"/>
      <c r="B69" s="109"/>
      <c r="C69" s="109"/>
      <c r="D69" s="109"/>
      <c r="E69" s="104"/>
      <c r="F69" s="110"/>
      <c r="G69" s="93"/>
      <c r="H69" s="93"/>
      <c r="I69" s="56"/>
      <c r="J69" s="93"/>
      <c r="K69" s="93"/>
      <c r="L69" s="56"/>
      <c r="M69" s="56"/>
      <c r="O69" s="93"/>
      <c r="P69" s="93"/>
    </row>
    <row r="70" spans="1:16">
      <c r="A70" s="109"/>
      <c r="B70" s="109"/>
      <c r="C70" s="109"/>
      <c r="D70" s="109"/>
      <c r="E70" s="104"/>
      <c r="F70" s="110"/>
      <c r="G70" s="93"/>
      <c r="H70" s="93"/>
      <c r="I70" s="56"/>
      <c r="J70" s="93"/>
      <c r="K70" s="93"/>
      <c r="L70" s="56"/>
      <c r="M70" s="56"/>
      <c r="O70" s="93"/>
      <c r="P70" s="93"/>
    </row>
    <row r="71" spans="1:16">
      <c r="A71" s="109"/>
      <c r="B71" s="109"/>
      <c r="C71" s="109"/>
      <c r="D71" s="109"/>
      <c r="E71" s="104"/>
      <c r="F71" s="110"/>
      <c r="G71" s="93"/>
      <c r="H71" s="93"/>
      <c r="I71" s="56"/>
      <c r="J71" s="93"/>
      <c r="K71" s="93"/>
      <c r="L71" s="56"/>
      <c r="O71" s="93"/>
      <c r="P71" s="93"/>
    </row>
    <row r="72" spans="1:16">
      <c r="A72" s="109"/>
      <c r="B72" s="109"/>
      <c r="C72" s="109"/>
      <c r="D72" s="109"/>
      <c r="E72" s="104"/>
      <c r="F72" s="110"/>
      <c r="G72" s="93"/>
      <c r="H72" s="93"/>
      <c r="I72" s="56"/>
      <c r="J72" s="93"/>
      <c r="K72" s="93"/>
      <c r="L72" s="56"/>
      <c r="O72" s="93"/>
      <c r="P72" s="93"/>
    </row>
    <row r="73" spans="1:16">
      <c r="A73" s="109"/>
      <c r="B73" s="109"/>
      <c r="C73" s="109"/>
      <c r="D73" s="109"/>
      <c r="E73" s="104"/>
      <c r="F73" s="110"/>
      <c r="G73" s="93"/>
      <c r="H73" s="93"/>
      <c r="I73" s="56"/>
      <c r="J73" s="93"/>
      <c r="K73" s="93"/>
      <c r="L73" s="93"/>
      <c r="O73" s="93"/>
      <c r="P73" s="93"/>
    </row>
    <row r="74" spans="1:16">
      <c r="A74" s="109"/>
      <c r="B74" s="109"/>
      <c r="C74" s="109"/>
      <c r="D74" s="109"/>
      <c r="E74" s="104"/>
      <c r="F74" s="110"/>
      <c r="G74" s="93"/>
      <c r="H74" s="93"/>
      <c r="I74" s="56"/>
      <c r="J74" s="93"/>
      <c r="K74" s="93"/>
      <c r="L74" s="93"/>
      <c r="O74" s="93"/>
      <c r="P74" s="93"/>
    </row>
    <row r="75" spans="1:16">
      <c r="A75" s="109"/>
      <c r="B75" s="109"/>
      <c r="C75" s="109"/>
      <c r="D75" s="109"/>
      <c r="E75" s="104"/>
      <c r="F75" s="110"/>
      <c r="G75" s="93"/>
      <c r="H75" s="93"/>
      <c r="I75" s="56"/>
      <c r="J75" s="93"/>
      <c r="K75" s="93"/>
      <c r="L75" s="93"/>
      <c r="O75" s="93"/>
      <c r="P75" s="93"/>
    </row>
    <row r="76" spans="1:16">
      <c r="A76" s="109"/>
      <c r="B76" s="109"/>
      <c r="C76" s="109"/>
      <c r="D76" s="109"/>
      <c r="E76" s="104"/>
      <c r="F76" s="110"/>
      <c r="G76" s="93"/>
      <c r="H76" s="93"/>
      <c r="I76" s="56"/>
      <c r="J76" s="93"/>
      <c r="K76" s="93"/>
      <c r="L76" s="93"/>
      <c r="O76" s="93"/>
      <c r="P76" s="93"/>
    </row>
    <row r="77" spans="1:16">
      <c r="A77" s="109"/>
      <c r="B77" s="109"/>
      <c r="C77" s="109"/>
      <c r="D77" s="109"/>
      <c r="E77" s="104"/>
      <c r="F77" s="110"/>
      <c r="G77" s="93"/>
      <c r="H77" s="93"/>
      <c r="I77" s="56"/>
      <c r="J77" s="93"/>
      <c r="K77" s="93"/>
      <c r="L77" s="93"/>
      <c r="O77" s="93"/>
      <c r="P77" s="93"/>
    </row>
    <row r="78" spans="1:16">
      <c r="A78" s="109"/>
      <c r="B78" s="109"/>
      <c r="C78" s="109"/>
      <c r="D78" s="109"/>
      <c r="E78" s="104"/>
      <c r="F78" s="110"/>
      <c r="G78" s="93"/>
      <c r="H78" s="93"/>
      <c r="I78" s="56"/>
      <c r="J78" s="93"/>
      <c r="K78" s="93"/>
      <c r="L78" s="93"/>
      <c r="O78" s="93"/>
      <c r="P78" s="93"/>
    </row>
    <row r="79" spans="1:16">
      <c r="A79" s="109"/>
      <c r="B79" s="109"/>
      <c r="C79" s="109"/>
      <c r="D79" s="109"/>
      <c r="E79" s="104"/>
      <c r="F79" s="110"/>
      <c r="G79" s="93"/>
      <c r="H79" s="93"/>
      <c r="I79" s="56"/>
      <c r="J79" s="93"/>
      <c r="K79" s="93"/>
      <c r="L79" s="93"/>
      <c r="O79" s="93"/>
      <c r="P79" s="93"/>
    </row>
    <row r="80" spans="1:16">
      <c r="A80" s="109"/>
      <c r="B80" s="109"/>
      <c r="C80" s="109"/>
      <c r="D80" s="109"/>
      <c r="E80" s="104"/>
      <c r="F80" s="110"/>
      <c r="G80" s="93"/>
      <c r="H80" s="93"/>
      <c r="I80" s="56"/>
      <c r="J80" s="93"/>
      <c r="K80" s="93"/>
      <c r="L80" s="93"/>
      <c r="O80" s="93"/>
      <c r="P80" s="93"/>
    </row>
    <row r="81" spans="1:17">
      <c r="A81" s="109"/>
      <c r="B81" s="109"/>
      <c r="C81" s="109"/>
      <c r="D81" s="109"/>
      <c r="E81" s="104"/>
      <c r="F81" s="110"/>
      <c r="G81" s="93"/>
      <c r="H81" s="93"/>
      <c r="I81" s="56"/>
      <c r="J81" s="93"/>
      <c r="K81" s="93"/>
      <c r="L81" s="93"/>
      <c r="O81" s="93"/>
      <c r="P81" s="93"/>
    </row>
    <row r="82" spans="1:17">
      <c r="A82" s="109"/>
      <c r="B82" s="109"/>
      <c r="C82" s="109"/>
      <c r="D82" s="109"/>
      <c r="E82" s="104"/>
      <c r="F82" s="110"/>
      <c r="G82" s="93"/>
      <c r="H82" s="93"/>
      <c r="I82" s="56"/>
      <c r="J82" s="93"/>
      <c r="K82" s="93"/>
      <c r="L82" s="93"/>
      <c r="O82" s="93"/>
      <c r="P82" s="93"/>
    </row>
    <row r="83" spans="1:17">
      <c r="A83" s="109"/>
      <c r="B83" s="109"/>
      <c r="C83" s="109"/>
      <c r="D83" s="109"/>
      <c r="E83" s="104"/>
      <c r="F83" s="110"/>
      <c r="G83" s="93"/>
      <c r="H83" s="93"/>
      <c r="I83" s="56"/>
      <c r="J83" s="93"/>
      <c r="K83" s="93"/>
      <c r="L83" s="93"/>
      <c r="O83" s="93"/>
      <c r="P83" s="93"/>
    </row>
    <row r="84" spans="1:17">
      <c r="A84" s="109"/>
      <c r="B84" s="109"/>
      <c r="C84" s="109"/>
      <c r="D84" s="109"/>
      <c r="E84" s="104"/>
      <c r="F84" s="110"/>
      <c r="G84" s="112"/>
      <c r="H84" s="93"/>
      <c r="I84" s="56"/>
      <c r="J84" s="93"/>
      <c r="K84" s="93"/>
      <c r="L84" s="93"/>
      <c r="O84" s="93"/>
      <c r="P84" s="93"/>
    </row>
    <row r="85" spans="1:17">
      <c r="A85" s="109"/>
      <c r="B85" s="109"/>
      <c r="C85" s="109"/>
      <c r="D85" s="109"/>
      <c r="E85" s="104"/>
      <c r="F85" s="110"/>
      <c r="G85" s="112"/>
      <c r="H85" s="93"/>
      <c r="I85" s="56"/>
      <c r="J85" s="93"/>
      <c r="K85" s="93"/>
      <c r="L85" s="93"/>
      <c r="O85" s="93"/>
      <c r="P85" s="93"/>
    </row>
    <row r="86" spans="1:17">
      <c r="A86" s="109"/>
      <c r="B86" s="109"/>
      <c r="C86" s="109"/>
      <c r="D86" s="109"/>
      <c r="E86" s="104"/>
      <c r="F86" s="110"/>
      <c r="G86" s="112"/>
      <c r="H86" s="93"/>
      <c r="I86" s="56"/>
      <c r="J86" s="93"/>
      <c r="K86" s="93"/>
      <c r="L86" s="93"/>
      <c r="O86" s="93"/>
      <c r="P86" s="93"/>
    </row>
    <row r="87" spans="1:17">
      <c r="A87" s="109"/>
      <c r="B87" s="109"/>
      <c r="C87" s="109"/>
      <c r="D87" s="109"/>
      <c r="E87" s="104"/>
      <c r="F87" s="110"/>
      <c r="G87" s="112"/>
      <c r="H87" s="93"/>
      <c r="I87" s="56"/>
      <c r="J87" s="93"/>
      <c r="K87" s="93"/>
      <c r="L87" s="93"/>
      <c r="O87" s="93"/>
      <c r="P87" s="93"/>
    </row>
    <row r="88" spans="1:17">
      <c r="A88" s="109"/>
      <c r="B88" s="109"/>
      <c r="C88" s="109"/>
      <c r="D88" s="109"/>
      <c r="E88" s="104"/>
      <c r="F88" s="110"/>
      <c r="G88" s="93"/>
      <c r="H88" s="93"/>
      <c r="I88" s="56"/>
      <c r="J88" s="93"/>
      <c r="K88" s="93"/>
      <c r="L88" s="93"/>
      <c r="O88" s="93"/>
      <c r="P88" s="93"/>
    </row>
    <row r="89" spans="1:17">
      <c r="A89" s="109"/>
      <c r="B89" s="109"/>
      <c r="C89" s="109"/>
      <c r="D89" s="109"/>
      <c r="E89" s="104"/>
      <c r="F89" s="110"/>
      <c r="G89" s="93"/>
      <c r="H89" s="93"/>
      <c r="I89" s="56"/>
      <c r="J89" s="93"/>
      <c r="K89" s="93"/>
      <c r="L89" s="93"/>
      <c r="O89" s="93"/>
      <c r="P89" s="93"/>
    </row>
    <row r="90" spans="1:17" s="109" customFormat="1">
      <c r="E90" s="104"/>
      <c r="F90" s="110"/>
      <c r="G90" s="93"/>
      <c r="H90" s="93"/>
      <c r="I90" s="56"/>
      <c r="J90" s="93"/>
      <c r="K90" s="93"/>
      <c r="L90" s="93"/>
      <c r="M90" s="93"/>
      <c r="N90" s="93"/>
      <c r="O90" s="93"/>
      <c r="P90" s="93"/>
      <c r="Q90" s="93"/>
    </row>
    <row r="91" spans="1:17" s="109" customFormat="1">
      <c r="E91" s="104"/>
      <c r="F91" s="110"/>
      <c r="G91" s="93"/>
      <c r="H91" s="93"/>
      <c r="I91" s="56"/>
      <c r="J91" s="93"/>
      <c r="K91" s="93"/>
      <c r="L91" s="93"/>
      <c r="M91" s="93"/>
      <c r="N91" s="93"/>
      <c r="O91" s="93"/>
      <c r="P91" s="93"/>
      <c r="Q91" s="93"/>
    </row>
    <row r="92" spans="1:17" s="109" customFormat="1">
      <c r="E92" s="104"/>
      <c r="F92" s="110"/>
      <c r="G92" s="93"/>
      <c r="H92" s="93"/>
      <c r="I92" s="56"/>
      <c r="J92" s="93"/>
      <c r="K92" s="93"/>
      <c r="L92" s="93"/>
      <c r="M92" s="93"/>
      <c r="N92" s="93"/>
      <c r="O92" s="93"/>
      <c r="P92" s="93"/>
      <c r="Q92" s="93"/>
    </row>
    <row r="93" spans="1:17" s="109" customFormat="1">
      <c r="E93" s="104"/>
      <c r="F93" s="110"/>
      <c r="G93" s="93"/>
      <c r="H93" s="93"/>
      <c r="I93" s="56"/>
      <c r="J93" s="93"/>
      <c r="K93" s="93"/>
      <c r="L93" s="93"/>
      <c r="M93" s="93"/>
      <c r="N93" s="93"/>
      <c r="O93" s="93"/>
      <c r="P93" s="93"/>
      <c r="Q93" s="93"/>
    </row>
    <row r="94" spans="1:17" s="109" customFormat="1">
      <c r="E94" s="104"/>
      <c r="F94" s="110"/>
      <c r="G94" s="93"/>
      <c r="H94" s="93"/>
      <c r="I94" s="56"/>
      <c r="J94" s="93"/>
      <c r="K94" s="93"/>
      <c r="L94" s="93"/>
      <c r="M94" s="93"/>
      <c r="N94" s="93"/>
      <c r="O94" s="93"/>
      <c r="P94" s="93"/>
      <c r="Q94" s="93"/>
    </row>
    <row r="95" spans="1:17" s="109" customFormat="1">
      <c r="E95" s="104"/>
      <c r="F95" s="110"/>
      <c r="G95" s="93"/>
      <c r="H95" s="93"/>
      <c r="I95" s="56"/>
      <c r="J95" s="93"/>
      <c r="K95" s="93"/>
      <c r="L95" s="93"/>
      <c r="M95" s="93"/>
    </row>
    <row r="96" spans="1:17" s="109" customFormat="1">
      <c r="E96" s="104"/>
      <c r="F96" s="110"/>
      <c r="G96" s="93"/>
      <c r="H96" s="93"/>
      <c r="I96" s="56"/>
      <c r="J96" s="93"/>
      <c r="K96" s="93"/>
      <c r="L96" s="93"/>
      <c r="M96" s="93"/>
    </row>
    <row r="97" spans="5:13" s="109" customFormat="1">
      <c r="E97" s="104"/>
      <c r="F97" s="110"/>
      <c r="G97" s="93"/>
      <c r="H97" s="93"/>
      <c r="I97" s="56"/>
      <c r="J97" s="93"/>
      <c r="K97" s="93"/>
      <c r="L97" s="93"/>
      <c r="M97" s="93"/>
    </row>
    <row r="98" spans="5:13" s="109" customFormat="1">
      <c r="E98" s="104"/>
      <c r="F98" s="110"/>
      <c r="G98" s="93"/>
      <c r="H98" s="93"/>
      <c r="I98" s="56"/>
      <c r="J98" s="93"/>
      <c r="K98" s="93"/>
      <c r="L98" s="93"/>
      <c r="M98" s="93"/>
    </row>
    <row r="99" spans="5:13" s="109" customFormat="1">
      <c r="E99" s="104"/>
      <c r="F99" s="110"/>
      <c r="G99" s="93"/>
      <c r="H99" s="93"/>
      <c r="I99" s="56"/>
      <c r="J99" s="93"/>
      <c r="K99" s="93"/>
      <c r="L99" s="93"/>
      <c r="M99" s="93"/>
    </row>
    <row r="100" spans="5:13" s="109" customFormat="1">
      <c r="E100" s="104"/>
      <c r="F100" s="110"/>
      <c r="G100" s="93"/>
      <c r="H100" s="93"/>
      <c r="I100" s="56"/>
      <c r="J100" s="93"/>
      <c r="K100" s="93"/>
      <c r="L100" s="93"/>
      <c r="M100" s="93"/>
    </row>
    <row r="101" spans="5:13" s="109" customFormat="1">
      <c r="E101" s="104"/>
      <c r="F101" s="110"/>
      <c r="G101" s="93"/>
      <c r="H101" s="93"/>
      <c r="I101" s="56"/>
      <c r="J101" s="93"/>
      <c r="K101" s="93"/>
      <c r="L101" s="93"/>
      <c r="M101" s="93"/>
    </row>
    <row r="102" spans="5:13" s="109" customFormat="1">
      <c r="E102" s="104"/>
      <c r="F102" s="110"/>
      <c r="G102" s="93"/>
      <c r="H102" s="93"/>
      <c r="I102" s="56"/>
      <c r="J102" s="93"/>
      <c r="K102" s="93"/>
      <c r="L102" s="93"/>
      <c r="M102" s="93"/>
    </row>
    <row r="103" spans="5:13" s="109" customFormat="1">
      <c r="E103" s="104"/>
      <c r="F103" s="110"/>
      <c r="G103" s="93"/>
      <c r="H103" s="93"/>
      <c r="I103" s="56"/>
      <c r="J103" s="93"/>
      <c r="K103" s="93"/>
      <c r="L103" s="93"/>
      <c r="M103" s="93"/>
    </row>
    <row r="104" spans="5:13" s="109" customFormat="1">
      <c r="E104" s="104"/>
      <c r="F104" s="110"/>
      <c r="G104" s="93"/>
      <c r="H104" s="93"/>
      <c r="I104" s="56"/>
      <c r="J104" s="93"/>
      <c r="K104" s="93"/>
      <c r="L104" s="93"/>
      <c r="M104" s="93"/>
    </row>
    <row r="105" spans="5:13" s="109" customFormat="1">
      <c r="E105" s="104"/>
      <c r="F105" s="110"/>
      <c r="G105" s="93"/>
      <c r="H105" s="93"/>
      <c r="I105" s="56"/>
      <c r="J105" s="93"/>
      <c r="K105" s="93"/>
      <c r="L105" s="93"/>
      <c r="M105" s="93"/>
    </row>
    <row r="106" spans="5:13" s="109" customFormat="1">
      <c r="E106" s="104"/>
      <c r="F106" s="110"/>
      <c r="G106" s="93"/>
      <c r="H106" s="93"/>
      <c r="I106" s="56"/>
      <c r="J106" s="93"/>
      <c r="K106" s="93"/>
      <c r="L106" s="93"/>
      <c r="M106" s="93"/>
    </row>
    <row r="107" spans="5:13" s="109" customFormat="1">
      <c r="E107" s="104"/>
      <c r="F107" s="110"/>
      <c r="G107" s="93"/>
      <c r="H107" s="93"/>
      <c r="I107" s="56"/>
      <c r="J107" s="93"/>
      <c r="K107" s="93"/>
      <c r="L107" s="93"/>
      <c r="M107" s="93"/>
    </row>
    <row r="108" spans="5:13" s="109" customFormat="1">
      <c r="E108" s="104"/>
      <c r="F108" s="110"/>
      <c r="G108" s="93"/>
      <c r="H108" s="93"/>
      <c r="I108" s="56"/>
      <c r="J108" s="93"/>
      <c r="K108" s="93"/>
      <c r="L108" s="93"/>
      <c r="M108" s="93"/>
    </row>
    <row r="109" spans="5:13" s="109" customFormat="1">
      <c r="E109" s="104"/>
      <c r="F109" s="110"/>
      <c r="G109" s="93"/>
      <c r="H109" s="93"/>
      <c r="I109" s="56"/>
      <c r="J109" s="93"/>
      <c r="K109" s="93"/>
      <c r="L109" s="93"/>
      <c r="M109" s="93"/>
    </row>
    <row r="110" spans="5:13" s="109" customFormat="1">
      <c r="E110" s="104"/>
      <c r="F110" s="110"/>
      <c r="G110" s="93"/>
      <c r="H110" s="93"/>
      <c r="I110" s="56"/>
      <c r="J110" s="93"/>
      <c r="K110" s="93"/>
      <c r="L110" s="93"/>
    </row>
    <row r="111" spans="5:13" s="109" customFormat="1">
      <c r="E111" s="104"/>
      <c r="F111" s="110"/>
      <c r="G111" s="93"/>
      <c r="H111" s="93"/>
      <c r="I111" s="56"/>
      <c r="J111" s="93"/>
      <c r="K111" s="93"/>
      <c r="L111" s="93"/>
    </row>
    <row r="112" spans="5:13" s="109" customFormat="1">
      <c r="E112" s="104"/>
      <c r="F112" s="110"/>
      <c r="G112" s="93"/>
      <c r="H112" s="93"/>
      <c r="I112" s="56"/>
      <c r="J112" s="93"/>
      <c r="K112" s="93"/>
      <c r="L112" s="93"/>
    </row>
    <row r="113" spans="5:12" s="109" customFormat="1">
      <c r="E113" s="104"/>
      <c r="F113" s="110"/>
      <c r="G113" s="93"/>
      <c r="H113" s="93"/>
      <c r="I113" s="56"/>
      <c r="J113" s="93"/>
      <c r="K113" s="93"/>
      <c r="L113" s="93"/>
    </row>
    <row r="114" spans="5:12" s="109" customFormat="1">
      <c r="E114" s="104"/>
      <c r="F114" s="110"/>
      <c r="G114" s="93"/>
      <c r="H114" s="93"/>
      <c r="I114" s="56"/>
      <c r="J114" s="93"/>
      <c r="K114" s="93"/>
      <c r="L114" s="93"/>
    </row>
    <row r="115" spans="5:12" s="109" customFormat="1">
      <c r="E115" s="104"/>
      <c r="F115" s="110"/>
      <c r="G115" s="93"/>
      <c r="H115" s="93"/>
      <c r="I115" s="56"/>
      <c r="J115" s="93"/>
      <c r="K115" s="93"/>
      <c r="L115" s="93"/>
    </row>
    <row r="116" spans="5:12" s="109" customFormat="1">
      <c r="E116" s="104"/>
      <c r="F116" s="110"/>
      <c r="G116" s="93"/>
      <c r="H116" s="93"/>
      <c r="I116" s="56"/>
      <c r="J116" s="93"/>
      <c r="K116" s="93"/>
      <c r="L116" s="93"/>
    </row>
    <row r="117" spans="5:12" s="109" customFormat="1">
      <c r="E117" s="104"/>
      <c r="F117" s="110"/>
      <c r="G117" s="93"/>
      <c r="H117" s="93"/>
      <c r="I117" s="56"/>
      <c r="J117" s="93"/>
      <c r="K117" s="93"/>
      <c r="L117" s="93"/>
    </row>
    <row r="118" spans="5:12" s="109" customFormat="1">
      <c r="E118" s="104"/>
      <c r="F118" s="110"/>
      <c r="G118" s="93"/>
      <c r="H118" s="93"/>
      <c r="I118" s="56"/>
      <c r="J118" s="93"/>
      <c r="K118" s="93"/>
      <c r="L118" s="93"/>
    </row>
    <row r="119" spans="5:12" s="109" customFormat="1">
      <c r="E119" s="104"/>
      <c r="F119" s="110"/>
      <c r="G119" s="93"/>
      <c r="H119" s="93"/>
      <c r="I119" s="56"/>
      <c r="J119" s="93"/>
      <c r="K119" s="93"/>
      <c r="L119" s="93"/>
    </row>
    <row r="120" spans="5:12" s="109" customFormat="1">
      <c r="E120" s="104"/>
      <c r="F120" s="110"/>
      <c r="G120" s="93"/>
      <c r="H120" s="93"/>
      <c r="I120" s="56"/>
      <c r="J120" s="93"/>
      <c r="K120" s="93"/>
      <c r="L120" s="93"/>
    </row>
    <row r="121" spans="5:12" s="109" customFormat="1">
      <c r="E121" s="104"/>
      <c r="F121" s="110"/>
      <c r="G121" s="93"/>
      <c r="H121" s="93"/>
      <c r="I121" s="56"/>
      <c r="J121" s="93"/>
      <c r="K121" s="93"/>
      <c r="L121" s="93"/>
    </row>
    <row r="122" spans="5:12" s="109" customFormat="1">
      <c r="E122" s="104"/>
      <c r="F122" s="110"/>
      <c r="G122" s="93"/>
      <c r="H122" s="93"/>
      <c r="I122" s="56"/>
      <c r="J122" s="93"/>
      <c r="K122" s="93"/>
      <c r="L122" s="93"/>
    </row>
    <row r="123" spans="5:12" s="109" customFormat="1">
      <c r="E123" s="104"/>
      <c r="F123" s="110"/>
      <c r="G123" s="93"/>
      <c r="H123" s="93"/>
      <c r="I123" s="56"/>
      <c r="J123" s="93"/>
      <c r="K123" s="93"/>
      <c r="L123" s="93"/>
    </row>
    <row r="124" spans="5:12" s="109" customFormat="1">
      <c r="E124" s="104"/>
      <c r="F124" s="110"/>
      <c r="G124" s="93"/>
      <c r="H124" s="93"/>
      <c r="I124" s="56"/>
      <c r="J124" s="93"/>
      <c r="K124" s="93"/>
      <c r="L124" s="93"/>
    </row>
    <row r="125" spans="5:12" s="109" customFormat="1">
      <c r="E125" s="104"/>
      <c r="F125" s="110"/>
      <c r="G125" s="93"/>
      <c r="H125" s="93"/>
      <c r="I125" s="56"/>
      <c r="J125" s="93"/>
      <c r="K125" s="93"/>
      <c r="L125" s="93"/>
    </row>
    <row r="126" spans="5:12" s="109" customFormat="1">
      <c r="E126" s="104"/>
      <c r="F126" s="110"/>
      <c r="G126" s="93"/>
      <c r="H126" s="93"/>
      <c r="I126" s="56"/>
      <c r="J126" s="93"/>
      <c r="K126" s="93"/>
      <c r="L126" s="93"/>
    </row>
    <row r="127" spans="5:12" s="109" customFormat="1">
      <c r="E127" s="104"/>
      <c r="F127" s="110"/>
      <c r="G127" s="93"/>
      <c r="H127" s="93"/>
      <c r="I127" s="56"/>
      <c r="J127" s="93"/>
      <c r="K127" s="93"/>
      <c r="L127" s="93"/>
    </row>
    <row r="128" spans="5:12" s="109" customFormat="1">
      <c r="E128" s="104"/>
      <c r="F128" s="110"/>
      <c r="G128" s="93"/>
      <c r="H128" s="93"/>
      <c r="I128" s="56"/>
      <c r="J128" s="93"/>
      <c r="K128" s="93"/>
      <c r="L128" s="93"/>
    </row>
    <row r="129" spans="5:12" s="109" customFormat="1">
      <c r="E129" s="104"/>
      <c r="F129" s="110"/>
      <c r="G129" s="93"/>
      <c r="H129" s="93"/>
      <c r="I129" s="56"/>
      <c r="J129" s="93"/>
      <c r="K129" s="93"/>
      <c r="L129" s="93"/>
    </row>
    <row r="130" spans="5:12" s="109" customFormat="1">
      <c r="E130" s="104"/>
      <c r="F130" s="110"/>
      <c r="G130" s="93"/>
      <c r="H130" s="93"/>
      <c r="I130" s="56"/>
      <c r="J130" s="93"/>
      <c r="K130" s="93"/>
      <c r="L130" s="93"/>
    </row>
    <row r="131" spans="5:12" s="109" customFormat="1">
      <c r="E131" s="104"/>
      <c r="F131" s="110"/>
      <c r="G131" s="93"/>
      <c r="H131" s="93"/>
      <c r="I131" s="56"/>
      <c r="J131" s="93"/>
      <c r="K131" s="93"/>
      <c r="L131" s="93"/>
    </row>
    <row r="132" spans="5:12" s="109" customFormat="1">
      <c r="E132" s="104"/>
      <c r="F132" s="110"/>
      <c r="G132" s="93"/>
      <c r="H132" s="93"/>
      <c r="I132" s="56"/>
      <c r="J132" s="93"/>
      <c r="K132" s="93"/>
      <c r="L132" s="93"/>
    </row>
    <row r="133" spans="5:12" s="109" customFormat="1">
      <c r="E133" s="104"/>
      <c r="F133" s="110"/>
      <c r="G133" s="93"/>
      <c r="H133" s="93"/>
      <c r="I133" s="56"/>
      <c r="J133" s="93"/>
      <c r="K133" s="93"/>
      <c r="L133" s="93"/>
    </row>
    <row r="134" spans="5:12" s="109" customFormat="1">
      <c r="E134" s="104"/>
      <c r="F134" s="110"/>
      <c r="G134" s="93"/>
      <c r="H134" s="93"/>
      <c r="I134" s="56"/>
      <c r="J134" s="93"/>
      <c r="K134" s="93"/>
      <c r="L134" s="93"/>
    </row>
    <row r="135" spans="5:12" s="109" customFormat="1">
      <c r="E135" s="104"/>
      <c r="F135" s="110"/>
      <c r="G135" s="93"/>
      <c r="H135" s="93"/>
      <c r="I135" s="56"/>
      <c r="J135" s="93"/>
      <c r="K135" s="93"/>
      <c r="L135" s="93"/>
    </row>
    <row r="136" spans="5:12" s="109" customFormat="1">
      <c r="E136" s="104"/>
      <c r="F136" s="110"/>
      <c r="G136" s="93"/>
      <c r="H136" s="93"/>
      <c r="I136" s="56"/>
      <c r="J136" s="93"/>
      <c r="K136" s="93"/>
      <c r="L136" s="93"/>
    </row>
    <row r="137" spans="5:12" s="109" customFormat="1">
      <c r="E137" s="104"/>
      <c r="F137" s="110"/>
      <c r="G137" s="93"/>
      <c r="H137" s="93"/>
      <c r="I137" s="56"/>
      <c r="J137" s="93"/>
      <c r="K137" s="93"/>
      <c r="L137" s="93"/>
    </row>
    <row r="138" spans="5:12" s="109" customFormat="1">
      <c r="E138" s="104"/>
      <c r="F138" s="110"/>
      <c r="G138" s="93"/>
      <c r="H138" s="93"/>
      <c r="I138" s="56"/>
      <c r="J138" s="93"/>
      <c r="K138" s="93"/>
      <c r="L138" s="93"/>
    </row>
    <row r="139" spans="5:12" s="109" customFormat="1">
      <c r="E139" s="104"/>
      <c r="F139" s="110"/>
      <c r="G139" s="93"/>
      <c r="H139" s="93"/>
      <c r="I139" s="56"/>
      <c r="J139" s="93"/>
      <c r="K139" s="93"/>
      <c r="L139" s="93"/>
    </row>
    <row r="140" spans="5:12" s="109" customFormat="1">
      <c r="E140" s="104"/>
      <c r="F140" s="110"/>
      <c r="G140" s="93"/>
      <c r="H140" s="93"/>
      <c r="I140" s="56"/>
      <c r="J140" s="93"/>
      <c r="K140" s="93"/>
      <c r="L140" s="93"/>
    </row>
    <row r="141" spans="5:12" s="109" customFormat="1">
      <c r="E141" s="104"/>
      <c r="F141" s="110"/>
      <c r="G141" s="93"/>
      <c r="H141" s="93"/>
      <c r="I141" s="56"/>
      <c r="J141" s="93"/>
      <c r="K141" s="93"/>
      <c r="L141" s="93"/>
    </row>
    <row r="142" spans="5:12" s="109" customFormat="1">
      <c r="E142" s="104"/>
      <c r="F142" s="110"/>
      <c r="G142" s="93"/>
      <c r="H142" s="93"/>
      <c r="I142" s="56"/>
      <c r="J142" s="93"/>
      <c r="K142" s="93"/>
      <c r="L142" s="93"/>
    </row>
    <row r="143" spans="5:12" s="109" customFormat="1">
      <c r="E143" s="104"/>
      <c r="F143" s="110"/>
      <c r="G143" s="93"/>
      <c r="H143" s="93"/>
      <c r="I143" s="56"/>
      <c r="J143" s="93"/>
      <c r="K143" s="93"/>
      <c r="L143" s="93"/>
    </row>
    <row r="144" spans="5:12" s="109" customFormat="1">
      <c r="E144" s="104"/>
      <c r="F144" s="110"/>
      <c r="G144" s="93"/>
      <c r="H144" s="93"/>
      <c r="I144" s="56"/>
      <c r="J144" s="93"/>
      <c r="K144" s="93"/>
      <c r="L144" s="93"/>
    </row>
    <row r="145" spans="1:17" s="109" customFormat="1">
      <c r="E145" s="104"/>
      <c r="F145" s="110"/>
      <c r="G145" s="93"/>
      <c r="H145" s="93"/>
      <c r="I145" s="56"/>
      <c r="J145" s="93"/>
      <c r="K145" s="93"/>
      <c r="L145" s="93"/>
    </row>
    <row r="146" spans="1:17" s="109" customFormat="1">
      <c r="E146" s="104"/>
      <c r="F146" s="110"/>
      <c r="G146" s="93"/>
      <c r="H146" s="93"/>
      <c r="I146" s="56"/>
      <c r="J146" s="93"/>
      <c r="K146" s="93"/>
      <c r="L146" s="93"/>
    </row>
    <row r="147" spans="1:17">
      <c r="A147" s="109"/>
      <c r="B147" s="109"/>
      <c r="C147" s="109"/>
      <c r="D147" s="109"/>
      <c r="E147" s="104"/>
      <c r="F147" s="110"/>
      <c r="G147" s="93"/>
      <c r="H147" s="93"/>
      <c r="I147" s="56"/>
      <c r="J147" s="93"/>
      <c r="K147" s="93"/>
      <c r="L147" s="93"/>
      <c r="M147" s="109"/>
      <c r="N147" s="109"/>
      <c r="O147" s="109"/>
      <c r="P147" s="109"/>
      <c r="Q147" s="109"/>
    </row>
    <row r="148" spans="1:17">
      <c r="A148" s="109"/>
      <c r="B148" s="109"/>
      <c r="C148" s="109"/>
      <c r="D148" s="109"/>
      <c r="E148" s="104"/>
      <c r="F148" s="110"/>
      <c r="G148" s="93"/>
      <c r="H148" s="93"/>
      <c r="I148" s="56"/>
      <c r="J148" s="93"/>
      <c r="K148" s="93"/>
      <c r="L148" s="93"/>
      <c r="M148" s="109"/>
      <c r="N148" s="109"/>
      <c r="O148" s="109"/>
      <c r="P148" s="109"/>
      <c r="Q148" s="109"/>
    </row>
    <row r="149" spans="1:17">
      <c r="A149" s="109"/>
      <c r="B149" s="109"/>
      <c r="C149" s="109"/>
      <c r="D149" s="109"/>
      <c r="E149" s="104"/>
      <c r="F149" s="110"/>
      <c r="G149" s="93"/>
      <c r="H149" s="93"/>
      <c r="I149" s="56"/>
      <c r="J149" s="93"/>
      <c r="K149" s="93"/>
      <c r="L149" s="93"/>
      <c r="M149" s="109"/>
      <c r="N149" s="109"/>
      <c r="O149" s="109"/>
      <c r="P149" s="109"/>
      <c r="Q149" s="109"/>
    </row>
    <row r="150" spans="1:17">
      <c r="A150" s="109"/>
      <c r="B150" s="109"/>
      <c r="C150" s="109"/>
      <c r="D150" s="109"/>
      <c r="E150" s="104"/>
      <c r="F150" s="110"/>
      <c r="G150" s="93"/>
      <c r="H150" s="93"/>
      <c r="I150" s="56"/>
      <c r="J150" s="93"/>
      <c r="K150" s="93"/>
      <c r="L150" s="93"/>
      <c r="M150" s="109"/>
      <c r="N150" s="109"/>
      <c r="O150" s="109"/>
      <c r="P150" s="109"/>
      <c r="Q150" s="109"/>
    </row>
    <row r="151" spans="1:17">
      <c r="A151" s="109"/>
      <c r="B151" s="109"/>
      <c r="C151" s="109"/>
      <c r="D151" s="109"/>
      <c r="E151" s="104"/>
      <c r="F151" s="110"/>
      <c r="G151" s="93"/>
      <c r="H151" s="93"/>
      <c r="I151" s="56"/>
      <c r="J151" s="93"/>
      <c r="K151" s="93"/>
      <c r="L151" s="93"/>
      <c r="M151" s="109"/>
      <c r="N151" s="109"/>
      <c r="O151" s="109"/>
      <c r="P151" s="109"/>
      <c r="Q151" s="109"/>
    </row>
    <row r="152" spans="1:17">
      <c r="A152" s="109"/>
      <c r="B152" s="109"/>
      <c r="C152" s="109"/>
      <c r="D152" s="109"/>
      <c r="E152" s="104"/>
      <c r="F152" s="110"/>
      <c r="G152" s="93"/>
      <c r="H152" s="93"/>
      <c r="I152" s="56"/>
      <c r="J152" s="93"/>
      <c r="K152" s="93"/>
      <c r="L152" s="93"/>
      <c r="M152" s="109"/>
    </row>
    <row r="153" spans="1:17">
      <c r="A153" s="109"/>
      <c r="B153" s="109"/>
      <c r="C153" s="109"/>
      <c r="D153" s="109"/>
      <c r="E153" s="104"/>
      <c r="F153" s="110"/>
      <c r="G153" s="93"/>
      <c r="H153" s="93"/>
      <c r="I153" s="56"/>
      <c r="J153" s="93"/>
      <c r="K153" s="93"/>
      <c r="L153" s="93"/>
      <c r="M153" s="109"/>
    </row>
    <row r="154" spans="1:17">
      <c r="A154" s="109"/>
      <c r="B154" s="109"/>
      <c r="C154" s="109"/>
      <c r="D154" s="109"/>
      <c r="E154" s="104"/>
      <c r="F154" s="110"/>
      <c r="G154" s="93"/>
      <c r="H154" s="93"/>
      <c r="I154" s="56"/>
      <c r="J154" s="93"/>
      <c r="K154" s="93"/>
      <c r="L154" s="93"/>
      <c r="M154" s="109"/>
    </row>
    <row r="155" spans="1:17">
      <c r="A155" s="109"/>
      <c r="B155" s="109"/>
      <c r="C155" s="109"/>
      <c r="D155" s="109"/>
      <c r="E155" s="104"/>
      <c r="F155" s="110"/>
      <c r="G155" s="93"/>
      <c r="H155" s="93"/>
      <c r="I155" s="56"/>
      <c r="J155" s="93"/>
      <c r="K155" s="93"/>
      <c r="L155" s="93"/>
      <c r="M155" s="109"/>
    </row>
    <row r="156" spans="1:17">
      <c r="J156" s="93"/>
      <c r="K156" s="93"/>
      <c r="L156" s="93"/>
      <c r="M156" s="109"/>
    </row>
    <row r="157" spans="1:17">
      <c r="J157" s="93"/>
      <c r="K157" s="93"/>
      <c r="L157" s="93"/>
      <c r="M157" s="109"/>
    </row>
    <row r="158" spans="1:17">
      <c r="J158" s="93"/>
      <c r="K158" s="93"/>
      <c r="L158" s="93"/>
      <c r="M158" s="109"/>
    </row>
    <row r="159" spans="1:17">
      <c r="J159" s="93"/>
      <c r="K159" s="93"/>
      <c r="L159" s="93"/>
      <c r="M159" s="109"/>
    </row>
    <row r="160" spans="1:17">
      <c r="J160" s="93"/>
      <c r="K160" s="93"/>
      <c r="L160" s="93"/>
      <c r="M160" s="109"/>
    </row>
    <row r="161" spans="10:13">
      <c r="J161" s="93"/>
      <c r="K161" s="93"/>
      <c r="L161" s="93"/>
      <c r="M161" s="109"/>
    </row>
    <row r="162" spans="10:13">
      <c r="K162" s="93"/>
      <c r="L162" s="93"/>
      <c r="M162" s="109"/>
    </row>
    <row r="163" spans="10:13">
      <c r="K163" s="93"/>
      <c r="L163" s="93"/>
      <c r="M163" s="109"/>
    </row>
    <row r="164" spans="10:13">
      <c r="K164" s="93"/>
      <c r="L164" s="93"/>
      <c r="M164" s="109"/>
    </row>
    <row r="165" spans="10:13">
      <c r="L165" s="93"/>
      <c r="M165" s="109"/>
    </row>
    <row r="166" spans="10:13">
      <c r="L166" s="93"/>
      <c r="M166" s="109"/>
    </row>
    <row r="167" spans="10:13">
      <c r="L167" s="93"/>
    </row>
    <row r="168" spans="10:13">
      <c r="L168" s="93"/>
    </row>
    <row r="169" spans="10:13">
      <c r="L169" s="93"/>
    </row>
  </sheetData>
  <mergeCells count="1">
    <mergeCell ref="L7:M7"/>
  </mergeCells>
  <dataValidations count="1">
    <dataValidation type="list" allowBlank="1" showInputMessage="1" showErrorMessage="1" sqref="B5" xr:uid="{F4F47C12-C173-47C6-BDC1-C20D0641BD34}">
      <formula1>$AB$5:$AB$8</formula1>
    </dataValidation>
  </dataValidations>
  <pageMargins left="0.7" right="0.7" top="0.75" bottom="0.75" header="0.3" footer="0.3"/>
  <pageSetup orientation="portrait" verticalDpi="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804D-73F1-4F5A-98AE-E91CE05DFD53}">
  <dimension ref="A1:AB167"/>
  <sheetViews>
    <sheetView topLeftCell="C1" workbookViewId="0">
      <selection activeCell="J31" sqref="J31"/>
    </sheetView>
  </sheetViews>
  <sheetFormatPr defaultColWidth="7.85546875" defaultRowHeight="11.25"/>
  <cols>
    <col min="1" max="1" width="15.7109375" style="93" bestFit="1" customWidth="1"/>
    <col min="2" max="2" width="9.5703125" style="93" bestFit="1" customWidth="1"/>
    <col min="3" max="3" width="5.140625" style="113" customWidth="1"/>
    <col min="4" max="6" width="7.7109375" style="113" customWidth="1"/>
    <col min="7" max="7" width="12" style="109" bestFit="1" customWidth="1"/>
    <col min="8" max="8" width="9.28515625" style="114" customWidth="1"/>
    <col min="9" max="10" width="8.42578125" style="109" bestFit="1" customWidth="1"/>
    <col min="11" max="11" width="8.42578125" style="104" bestFit="1" customWidth="1"/>
    <col min="12" max="12" width="13.7109375" style="110" bestFit="1" customWidth="1"/>
    <col min="13" max="13" width="6.28515625" style="93" bestFit="1" customWidth="1"/>
    <col min="14" max="14" width="5.7109375" style="93" bestFit="1" customWidth="1"/>
    <col min="15" max="15" width="5.85546875" style="56" bestFit="1" customWidth="1"/>
    <col min="16" max="16" width="5.85546875" style="435" bestFit="1" customWidth="1"/>
    <col min="17" max="17" width="14" style="112" bestFit="1" customWidth="1"/>
    <col min="18" max="18" width="6" style="112" bestFit="1" customWidth="1"/>
    <col min="19" max="19" width="8.7109375" style="112" bestFit="1" customWidth="1"/>
    <col min="20" max="20" width="17.28515625" style="850" bestFit="1" customWidth="1"/>
    <col min="21" max="21" width="17.28515625" style="93" bestFit="1" customWidth="1"/>
    <col min="22" max="22" width="9.28515625" style="93" bestFit="1" customWidth="1"/>
    <col min="23" max="27" width="5.28515625" style="93" customWidth="1"/>
    <col min="28" max="28" width="17" style="93" customWidth="1"/>
    <col min="29" max="16384" width="7.85546875" style="93"/>
  </cols>
  <sheetData>
    <row r="1" spans="1:24" s="32" customFormat="1" ht="12.75">
      <c r="A1" s="288" t="s">
        <v>51</v>
      </c>
      <c r="B1" s="289" t="s">
        <v>138</v>
      </c>
      <c r="C1" s="290"/>
      <c r="D1" s="289"/>
      <c r="E1" s="291"/>
      <c r="F1" s="291"/>
      <c r="G1" s="292"/>
      <c r="H1" s="293" t="s">
        <v>91</v>
      </c>
      <c r="I1" s="294">
        <v>312</v>
      </c>
      <c r="J1" s="295"/>
      <c r="K1" s="289"/>
      <c r="L1" s="289"/>
      <c r="N1" s="33"/>
      <c r="P1" s="428"/>
      <c r="Q1" s="428"/>
      <c r="R1" s="428"/>
      <c r="S1" s="428"/>
      <c r="T1" s="838"/>
    </row>
    <row r="2" spans="1:24" s="32" customFormat="1" ht="12.75">
      <c r="A2" s="296" t="s">
        <v>25</v>
      </c>
      <c r="B2" s="289" t="s">
        <v>139</v>
      </c>
      <c r="C2" s="297"/>
      <c r="D2" s="289"/>
      <c r="E2" s="298"/>
      <c r="F2" s="298"/>
      <c r="G2" s="299"/>
      <c r="H2" s="300" t="s">
        <v>92</v>
      </c>
      <c r="I2" s="301">
        <v>261</v>
      </c>
      <c r="J2" s="302"/>
      <c r="K2" s="289"/>
      <c r="L2" s="289"/>
      <c r="N2" s="35"/>
      <c r="P2" s="428"/>
      <c r="Q2" s="428"/>
      <c r="R2" s="428"/>
      <c r="S2" s="428"/>
      <c r="T2" s="838"/>
    </row>
    <row r="3" spans="1:24" s="36" customFormat="1" ht="11.25" customHeight="1">
      <c r="A3" s="303" t="s">
        <v>50</v>
      </c>
      <c r="B3" s="634">
        <v>45437</v>
      </c>
      <c r="C3" s="297"/>
      <c r="D3" s="298"/>
      <c r="E3" s="298"/>
      <c r="F3" s="298"/>
      <c r="G3" s="299"/>
      <c r="H3" s="303" t="s">
        <v>93</v>
      </c>
      <c r="I3" s="305">
        <f>V51/100</f>
        <v>2.61</v>
      </c>
      <c r="J3" s="302"/>
      <c r="K3" s="289"/>
      <c r="L3" s="289"/>
      <c r="N3" s="37"/>
      <c r="P3" s="429"/>
      <c r="Q3" s="429"/>
      <c r="R3" s="429"/>
      <c r="S3" s="429"/>
      <c r="T3" s="839"/>
    </row>
    <row r="4" spans="1:24" s="32" customFormat="1" ht="12.75">
      <c r="A4" s="303" t="s">
        <v>49</v>
      </c>
      <c r="B4" s="304" t="s">
        <v>140</v>
      </c>
      <c r="C4" s="297"/>
      <c r="D4" s="298"/>
      <c r="E4" s="298"/>
      <c r="F4" s="298"/>
      <c r="G4" s="299"/>
      <c r="H4" s="303" t="s">
        <v>94</v>
      </c>
      <c r="I4" s="306">
        <f>S26</f>
        <v>0.40412445319261803</v>
      </c>
      <c r="J4" s="302"/>
      <c r="K4" s="289"/>
      <c r="L4" s="289"/>
      <c r="M4" s="33"/>
      <c r="N4" s="33"/>
      <c r="P4" s="428"/>
      <c r="Q4" s="428"/>
      <c r="R4" s="428"/>
      <c r="S4" s="428"/>
      <c r="T4" s="838"/>
    </row>
    <row r="5" spans="1:24" s="54" customFormat="1" ht="12.75">
      <c r="A5" s="296" t="s">
        <v>24</v>
      </c>
      <c r="B5" s="307" t="s">
        <v>26</v>
      </c>
      <c r="C5" s="297"/>
      <c r="D5" s="298"/>
      <c r="E5" s="298"/>
      <c r="F5" s="298"/>
      <c r="G5" s="299"/>
      <c r="H5" s="303" t="s">
        <v>200</v>
      </c>
      <c r="I5" s="852">
        <f>I4*(I2/100)</f>
        <v>1.0547648228327331</v>
      </c>
      <c r="J5" s="302"/>
      <c r="K5" s="289"/>
      <c r="L5" s="289"/>
      <c r="M5" s="52"/>
      <c r="N5" s="52"/>
      <c r="P5" s="430"/>
      <c r="Q5" s="430"/>
      <c r="R5" s="430"/>
      <c r="S5" s="430"/>
      <c r="T5" s="840"/>
    </row>
    <row r="6" spans="1:24" s="52" customFormat="1" ht="13.5" thickBot="1">
      <c r="A6" s="383"/>
      <c r="B6" s="309"/>
      <c r="C6" s="384"/>
      <c r="D6" s="385"/>
      <c r="E6" s="385"/>
      <c r="F6" s="385"/>
      <c r="G6" s="386"/>
      <c r="H6" s="387"/>
      <c r="I6" s="388"/>
      <c r="J6" s="386"/>
      <c r="K6" s="309"/>
      <c r="L6" s="309"/>
      <c r="M6" s="46"/>
      <c r="P6" s="431"/>
      <c r="Q6" s="431"/>
      <c r="R6" s="431"/>
      <c r="S6" s="431"/>
      <c r="T6" s="841"/>
    </row>
    <row r="7" spans="1:24" s="54" customFormat="1" ht="13.15" customHeight="1">
      <c r="A7" s="970" t="s">
        <v>27</v>
      </c>
      <c r="B7" s="971"/>
      <c r="C7" s="971"/>
      <c r="D7" s="971"/>
      <c r="E7" s="971"/>
      <c r="F7" s="971"/>
      <c r="G7" s="971"/>
      <c r="H7" s="971"/>
      <c r="I7" s="971"/>
      <c r="J7" s="971"/>
      <c r="K7" s="971"/>
      <c r="L7" s="971"/>
      <c r="M7" s="972" t="s">
        <v>54</v>
      </c>
      <c r="N7" s="973"/>
      <c r="O7" s="974"/>
      <c r="P7" s="432" t="s">
        <v>28</v>
      </c>
      <c r="Q7" s="42"/>
      <c r="R7" s="432" t="s">
        <v>29</v>
      </c>
      <c r="S7" s="432"/>
      <c r="T7" s="842"/>
      <c r="U7" s="968" t="s">
        <v>86</v>
      </c>
      <c r="V7" s="969"/>
      <c r="W7" s="52"/>
      <c r="X7" s="52"/>
    </row>
    <row r="8" spans="1:24" s="74" customFormat="1">
      <c r="A8" s="45"/>
      <c r="B8" s="46"/>
      <c r="C8" s="47"/>
      <c r="D8" s="488"/>
      <c r="E8" s="379"/>
      <c r="F8" s="489"/>
      <c r="G8" s="395"/>
      <c r="H8" s="380"/>
      <c r="I8" s="380"/>
      <c r="J8" s="380"/>
      <c r="K8" s="380"/>
      <c r="L8" s="472"/>
      <c r="M8" s="475"/>
      <c r="N8" s="477"/>
      <c r="O8" s="256"/>
      <c r="P8" s="434"/>
      <c r="Q8" s="49"/>
      <c r="R8" s="434"/>
      <c r="S8" s="434"/>
      <c r="T8" s="843"/>
      <c r="U8" s="53"/>
      <c r="V8" s="53"/>
      <c r="W8" s="73"/>
    </row>
    <row r="9" spans="1:24" s="79" customFormat="1" ht="13.15" customHeight="1">
      <c r="A9" s="34"/>
      <c r="B9" s="52"/>
      <c r="C9" s="55"/>
      <c r="D9" s="978" t="s">
        <v>82</v>
      </c>
      <c r="E9" s="979"/>
      <c r="F9" s="980"/>
      <c r="G9" s="396"/>
      <c r="H9" s="975" t="s">
        <v>83</v>
      </c>
      <c r="I9" s="976"/>
      <c r="J9" s="976"/>
      <c r="K9" s="977"/>
      <c r="L9" s="632"/>
      <c r="M9" s="476"/>
      <c r="N9" s="477" t="s">
        <v>30</v>
      </c>
      <c r="O9" s="256"/>
      <c r="P9" s="434"/>
      <c r="Q9" s="49"/>
      <c r="R9" s="435"/>
      <c r="S9" s="435"/>
      <c r="T9" s="843"/>
      <c r="U9" s="58"/>
      <c r="V9" s="59"/>
      <c r="W9" s="77"/>
      <c r="X9" s="78"/>
    </row>
    <row r="10" spans="1:24" s="79" customFormat="1">
      <c r="A10" s="60" t="s">
        <v>31</v>
      </c>
      <c r="B10" s="61" t="s">
        <v>32</v>
      </c>
      <c r="C10" s="62" t="s">
        <v>33</v>
      </c>
      <c r="D10" s="490" t="s">
        <v>104</v>
      </c>
      <c r="E10" s="486" t="s">
        <v>105</v>
      </c>
      <c r="F10" s="487" t="s">
        <v>106</v>
      </c>
      <c r="G10" s="396" t="s">
        <v>112</v>
      </c>
      <c r="H10" s="633" t="s">
        <v>107</v>
      </c>
      <c r="I10" s="633" t="s">
        <v>108</v>
      </c>
      <c r="J10" s="633" t="s">
        <v>109</v>
      </c>
      <c r="K10" s="633" t="s">
        <v>110</v>
      </c>
      <c r="L10" s="632" t="s">
        <v>111</v>
      </c>
      <c r="M10" s="57" t="s">
        <v>66</v>
      </c>
      <c r="N10" s="478" t="s">
        <v>34</v>
      </c>
      <c r="O10" s="63" t="s">
        <v>35</v>
      </c>
      <c r="P10" s="50" t="s">
        <v>2</v>
      </c>
      <c r="Q10" s="49" t="s">
        <v>36</v>
      </c>
      <c r="R10" s="50" t="s">
        <v>36</v>
      </c>
      <c r="S10" s="50" t="s">
        <v>2</v>
      </c>
      <c r="T10" s="844" t="s">
        <v>48</v>
      </c>
      <c r="U10" s="58" t="s">
        <v>85</v>
      </c>
      <c r="V10" s="58" t="s">
        <v>53</v>
      </c>
      <c r="W10" s="17"/>
    </row>
    <row r="11" spans="1:24" s="79" customFormat="1" ht="12" thickBot="1">
      <c r="A11" s="64" t="s">
        <v>37</v>
      </c>
      <c r="B11" s="65" t="s">
        <v>37</v>
      </c>
      <c r="C11" s="66" t="s">
        <v>38</v>
      </c>
      <c r="D11" s="491" t="s">
        <v>84</v>
      </c>
      <c r="E11" s="391" t="s">
        <v>84</v>
      </c>
      <c r="F11" s="492" t="s">
        <v>84</v>
      </c>
      <c r="G11" s="453" t="s">
        <v>84</v>
      </c>
      <c r="H11" s="392" t="s">
        <v>84</v>
      </c>
      <c r="I11" s="392" t="s">
        <v>84</v>
      </c>
      <c r="J11" s="392" t="s">
        <v>84</v>
      </c>
      <c r="K11" s="392" t="s">
        <v>84</v>
      </c>
      <c r="L11" s="474" t="s">
        <v>84</v>
      </c>
      <c r="M11" s="71" t="s">
        <v>81</v>
      </c>
      <c r="N11" s="479" t="s">
        <v>38</v>
      </c>
      <c r="O11" s="67" t="s">
        <v>38</v>
      </c>
      <c r="P11" s="70" t="s">
        <v>52</v>
      </c>
      <c r="Q11" s="69" t="s">
        <v>39</v>
      </c>
      <c r="R11" s="437" t="s">
        <v>4</v>
      </c>
      <c r="S11" s="437" t="s">
        <v>88</v>
      </c>
      <c r="T11" s="409"/>
      <c r="U11" s="406"/>
      <c r="V11" s="72" t="s">
        <v>84</v>
      </c>
      <c r="W11" s="17"/>
    </row>
    <row r="12" spans="1:24" s="79" customFormat="1">
      <c r="A12" s="424" t="s">
        <v>89</v>
      </c>
      <c r="B12" s="420"/>
      <c r="C12" s="421">
        <v>0</v>
      </c>
      <c r="D12" s="493" t="s">
        <v>95</v>
      </c>
      <c r="E12" s="452" t="s">
        <v>95</v>
      </c>
      <c r="F12" s="456" t="s">
        <v>95</v>
      </c>
      <c r="G12" s="459" t="s">
        <v>95</v>
      </c>
      <c r="H12" s="452" t="s">
        <v>95</v>
      </c>
      <c r="I12" s="452" t="s">
        <v>95</v>
      </c>
      <c r="J12" s="452" t="s">
        <v>95</v>
      </c>
      <c r="K12" s="452" t="s">
        <v>95</v>
      </c>
      <c r="L12" s="461" t="s">
        <v>95</v>
      </c>
      <c r="M12" s="351"/>
      <c r="N12" s="480"/>
      <c r="O12" s="25"/>
      <c r="P12" s="438"/>
      <c r="Q12" s="423"/>
      <c r="R12" s="439"/>
      <c r="S12" s="440"/>
      <c r="T12" s="245"/>
      <c r="U12" s="23" t="s">
        <v>40</v>
      </c>
      <c r="V12" s="76">
        <v>261</v>
      </c>
      <c r="W12" s="18"/>
    </row>
    <row r="13" spans="1:24" s="79" customFormat="1">
      <c r="A13" s="284">
        <v>220</v>
      </c>
      <c r="B13" s="91">
        <v>0</v>
      </c>
      <c r="C13" s="351">
        <v>10</v>
      </c>
      <c r="D13" s="494" t="s">
        <v>95</v>
      </c>
      <c r="E13" s="455" t="s">
        <v>95</v>
      </c>
      <c r="F13" s="457" t="s">
        <v>95</v>
      </c>
      <c r="G13" s="460" t="s">
        <v>95</v>
      </c>
      <c r="H13" s="455" t="s">
        <v>95</v>
      </c>
      <c r="I13" s="455" t="s">
        <v>95</v>
      </c>
      <c r="J13" s="455" t="s">
        <v>95</v>
      </c>
      <c r="K13" s="455" t="s">
        <v>95</v>
      </c>
      <c r="L13" s="462" t="s">
        <v>95</v>
      </c>
      <c r="M13" s="351">
        <v>966</v>
      </c>
      <c r="N13" s="481">
        <f>C12</f>
        <v>0</v>
      </c>
      <c r="O13" s="81">
        <f t="shared" ref="O13:O19" si="0">(C13+C14-10)/2</f>
        <v>10</v>
      </c>
      <c r="P13" s="16">
        <f>(A13-B13)/M13</f>
        <v>0.2277432712215321</v>
      </c>
      <c r="Q13" s="75">
        <f t="shared" ref="Q13:Q20" si="1">(P13*(O13-N13))/100</f>
        <v>2.2774327122153212E-2</v>
      </c>
      <c r="R13" s="441">
        <f>SUM(Q$13:Q13)</f>
        <v>2.2774327122153212E-2</v>
      </c>
      <c r="S13" s="254">
        <f>R13/O13*100</f>
        <v>0.22774327122153212</v>
      </c>
      <c r="T13" s="246"/>
      <c r="U13" s="22" t="s">
        <v>41</v>
      </c>
      <c r="V13" s="84"/>
      <c r="W13" s="17"/>
    </row>
    <row r="14" spans="1:24" s="79" customFormat="1">
      <c r="A14" s="284">
        <v>230</v>
      </c>
      <c r="B14" s="91">
        <v>0</v>
      </c>
      <c r="C14" s="351">
        <v>20</v>
      </c>
      <c r="D14" s="494" t="s">
        <v>95</v>
      </c>
      <c r="E14" s="455" t="s">
        <v>95</v>
      </c>
      <c r="F14" s="457" t="s">
        <v>95</v>
      </c>
      <c r="G14" s="460" t="s">
        <v>95</v>
      </c>
      <c r="H14" s="455" t="s">
        <v>95</v>
      </c>
      <c r="I14" s="455" t="s">
        <v>95</v>
      </c>
      <c r="J14" s="455" t="s">
        <v>95</v>
      </c>
      <c r="K14" s="455" t="s">
        <v>95</v>
      </c>
      <c r="L14" s="462" t="s">
        <v>95</v>
      </c>
      <c r="M14" s="351">
        <v>966</v>
      </c>
      <c r="N14" s="481">
        <f t="shared" ref="N14:N20" si="2">(C13+C14-10)/2</f>
        <v>10</v>
      </c>
      <c r="O14" s="81">
        <f t="shared" si="0"/>
        <v>20</v>
      </c>
      <c r="P14" s="16">
        <f t="shared" ref="P14:P20" si="3">(A14-B14)/M14</f>
        <v>0.23809523809523808</v>
      </c>
      <c r="Q14" s="75">
        <f t="shared" si="1"/>
        <v>2.3809523809523808E-2</v>
      </c>
      <c r="R14" s="441">
        <f>SUM(Q$13:Q14)</f>
        <v>4.6583850931677023E-2</v>
      </c>
      <c r="S14" s="254">
        <f t="shared" ref="S14:S20" si="4">R14/O14*100</f>
        <v>0.23291925465838509</v>
      </c>
      <c r="T14" s="246"/>
      <c r="U14" s="22" t="s">
        <v>41</v>
      </c>
      <c r="V14" s="84"/>
      <c r="W14" s="17"/>
    </row>
    <row r="15" spans="1:24" s="79" customFormat="1">
      <c r="A15" s="284">
        <v>275</v>
      </c>
      <c r="B15" s="91">
        <v>0</v>
      </c>
      <c r="C15" s="351">
        <v>30</v>
      </c>
      <c r="D15" s="494" t="s">
        <v>95</v>
      </c>
      <c r="E15" s="455" t="s">
        <v>95</v>
      </c>
      <c r="F15" s="457" t="s">
        <v>95</v>
      </c>
      <c r="G15" s="460" t="s">
        <v>95</v>
      </c>
      <c r="H15" s="455" t="s">
        <v>95</v>
      </c>
      <c r="I15" s="455" t="s">
        <v>95</v>
      </c>
      <c r="J15" s="455" t="s">
        <v>95</v>
      </c>
      <c r="K15" s="455" t="s">
        <v>95</v>
      </c>
      <c r="L15" s="462" t="s">
        <v>95</v>
      </c>
      <c r="M15" s="351">
        <v>966</v>
      </c>
      <c r="N15" s="481">
        <f t="shared" si="2"/>
        <v>20</v>
      </c>
      <c r="O15" s="81">
        <f t="shared" si="0"/>
        <v>30</v>
      </c>
      <c r="P15" s="16">
        <f t="shared" si="3"/>
        <v>0.28467908902691513</v>
      </c>
      <c r="Q15" s="75">
        <f t="shared" si="1"/>
        <v>2.8467908902691512E-2</v>
      </c>
      <c r="R15" s="441">
        <f>SUM(Q$13:Q15)</f>
        <v>7.5051759834368542E-2</v>
      </c>
      <c r="S15" s="254">
        <f t="shared" si="4"/>
        <v>0.25017253278122847</v>
      </c>
      <c r="T15" s="246"/>
      <c r="U15" s="22" t="s">
        <v>41</v>
      </c>
      <c r="V15" s="85"/>
      <c r="W15" s="17"/>
    </row>
    <row r="16" spans="1:24" s="79" customFormat="1">
      <c r="A16" s="286">
        <v>325</v>
      </c>
      <c r="B16" s="91">
        <v>0</v>
      </c>
      <c r="C16" s="351">
        <v>40</v>
      </c>
      <c r="D16" s="494" t="s">
        <v>95</v>
      </c>
      <c r="E16" s="455" t="s">
        <v>95</v>
      </c>
      <c r="F16" s="457" t="s">
        <v>95</v>
      </c>
      <c r="G16" s="460" t="s">
        <v>95</v>
      </c>
      <c r="H16" s="455" t="s">
        <v>95</v>
      </c>
      <c r="I16" s="455" t="s">
        <v>95</v>
      </c>
      <c r="J16" s="455" t="s">
        <v>95</v>
      </c>
      <c r="K16" s="455" t="s">
        <v>95</v>
      </c>
      <c r="L16" s="462" t="s">
        <v>95</v>
      </c>
      <c r="M16" s="351">
        <v>966</v>
      </c>
      <c r="N16" s="481">
        <f t="shared" si="2"/>
        <v>30</v>
      </c>
      <c r="O16" s="81">
        <f t="shared" si="0"/>
        <v>40</v>
      </c>
      <c r="P16" s="16">
        <f t="shared" si="3"/>
        <v>0.33643892339544512</v>
      </c>
      <c r="Q16" s="75">
        <f t="shared" si="1"/>
        <v>3.3643892339544512E-2</v>
      </c>
      <c r="R16" s="441">
        <f>SUM(Q$13:Q16)</f>
        <v>0.10869565217391305</v>
      </c>
      <c r="S16" s="254">
        <f t="shared" si="4"/>
        <v>0.27173913043478265</v>
      </c>
      <c r="T16" s="246"/>
      <c r="U16" s="22" t="s">
        <v>41</v>
      </c>
      <c r="V16" s="84"/>
      <c r="W16" s="17"/>
    </row>
    <row r="17" spans="1:25" s="79" customFormat="1">
      <c r="A17" s="286">
        <v>370</v>
      </c>
      <c r="B17" s="91">
        <v>0</v>
      </c>
      <c r="C17" s="351">
        <v>50</v>
      </c>
      <c r="D17" s="494" t="s">
        <v>95</v>
      </c>
      <c r="E17" s="455" t="s">
        <v>95</v>
      </c>
      <c r="F17" s="457" t="s">
        <v>95</v>
      </c>
      <c r="G17" s="460" t="s">
        <v>95</v>
      </c>
      <c r="H17" s="455" t="s">
        <v>95</v>
      </c>
      <c r="I17" s="455" t="s">
        <v>95</v>
      </c>
      <c r="J17" s="455" t="s">
        <v>95</v>
      </c>
      <c r="K17" s="455" t="s">
        <v>95</v>
      </c>
      <c r="L17" s="462" t="s">
        <v>95</v>
      </c>
      <c r="M17" s="351">
        <v>966</v>
      </c>
      <c r="N17" s="481">
        <f t="shared" si="2"/>
        <v>40</v>
      </c>
      <c r="O17" s="81">
        <f t="shared" si="0"/>
        <v>50</v>
      </c>
      <c r="P17" s="16">
        <f t="shared" si="3"/>
        <v>0.38302277432712217</v>
      </c>
      <c r="Q17" s="75">
        <f t="shared" si="1"/>
        <v>3.8302277432712216E-2</v>
      </c>
      <c r="R17" s="441">
        <f>SUM(Q$13:Q17)</f>
        <v>0.14699792960662528</v>
      </c>
      <c r="S17" s="254">
        <f>R17/O17*100</f>
        <v>0.29399585921325055</v>
      </c>
      <c r="T17" s="246" t="s">
        <v>47</v>
      </c>
      <c r="U17" s="22" t="s">
        <v>41</v>
      </c>
      <c r="V17" s="84"/>
      <c r="W17" s="77"/>
    </row>
    <row r="18" spans="1:25" s="79" customFormat="1">
      <c r="A18" s="286">
        <v>360</v>
      </c>
      <c r="B18" s="91">
        <v>0</v>
      </c>
      <c r="C18" s="351">
        <v>60</v>
      </c>
      <c r="D18" s="494" t="s">
        <v>95</v>
      </c>
      <c r="E18" s="455" t="s">
        <v>95</v>
      </c>
      <c r="F18" s="457" t="s">
        <v>95</v>
      </c>
      <c r="G18" s="460" t="s">
        <v>95</v>
      </c>
      <c r="H18" s="455" t="s">
        <v>95</v>
      </c>
      <c r="I18" s="455" t="s">
        <v>95</v>
      </c>
      <c r="J18" s="455" t="s">
        <v>95</v>
      </c>
      <c r="K18" s="455" t="s">
        <v>95</v>
      </c>
      <c r="L18" s="462" t="s">
        <v>95</v>
      </c>
      <c r="M18" s="351">
        <v>966</v>
      </c>
      <c r="N18" s="481">
        <f t="shared" si="2"/>
        <v>50</v>
      </c>
      <c r="O18" s="81">
        <f t="shared" si="0"/>
        <v>60</v>
      </c>
      <c r="P18" s="16">
        <f t="shared" si="3"/>
        <v>0.37267080745341613</v>
      </c>
      <c r="Q18" s="75">
        <f t="shared" si="1"/>
        <v>3.7267080745341616E-2</v>
      </c>
      <c r="R18" s="441">
        <f>SUM(Q$13:Q18)</f>
        <v>0.18426501035196691</v>
      </c>
      <c r="S18" s="254">
        <f t="shared" si="4"/>
        <v>0.30710835058661151</v>
      </c>
      <c r="T18" s="244"/>
      <c r="U18" s="22" t="s">
        <v>41</v>
      </c>
      <c r="V18" s="84"/>
      <c r="W18" s="77"/>
    </row>
    <row r="19" spans="1:25" s="79" customFormat="1" ht="10.15" customHeight="1">
      <c r="A19" s="286">
        <v>365</v>
      </c>
      <c r="B19" s="91">
        <v>0</v>
      </c>
      <c r="C19" s="351">
        <v>70</v>
      </c>
      <c r="D19" s="494" t="s">
        <v>95</v>
      </c>
      <c r="E19" s="455" t="s">
        <v>95</v>
      </c>
      <c r="F19" s="457" t="s">
        <v>95</v>
      </c>
      <c r="G19" s="460" t="s">
        <v>95</v>
      </c>
      <c r="H19" s="455" t="s">
        <v>95</v>
      </c>
      <c r="I19" s="455" t="s">
        <v>95</v>
      </c>
      <c r="J19" s="455" t="s">
        <v>95</v>
      </c>
      <c r="K19" s="455" t="s">
        <v>95</v>
      </c>
      <c r="L19" s="462" t="s">
        <v>95</v>
      </c>
      <c r="M19" s="351">
        <v>966</v>
      </c>
      <c r="N19" s="481">
        <f t="shared" si="2"/>
        <v>60</v>
      </c>
      <c r="O19" s="81">
        <f t="shared" si="0"/>
        <v>70</v>
      </c>
      <c r="P19" s="16">
        <f t="shared" si="3"/>
        <v>0.37784679089026912</v>
      </c>
      <c r="Q19" s="75">
        <f t="shared" si="1"/>
        <v>3.7784679089026912E-2</v>
      </c>
      <c r="R19" s="441">
        <f>SUM(Q$13:Q19)</f>
        <v>0.22204968944099382</v>
      </c>
      <c r="S19" s="254">
        <f t="shared" si="4"/>
        <v>0.31721384205856257</v>
      </c>
      <c r="T19" s="244"/>
      <c r="U19" s="22" t="s">
        <v>41</v>
      </c>
      <c r="V19" s="84"/>
      <c r="W19" s="87"/>
    </row>
    <row r="20" spans="1:25" s="79" customFormat="1">
      <c r="A20" s="286">
        <v>400</v>
      </c>
      <c r="B20" s="91">
        <v>0</v>
      </c>
      <c r="C20" s="351">
        <v>80</v>
      </c>
      <c r="D20" s="494" t="s">
        <v>95</v>
      </c>
      <c r="E20" s="455" t="s">
        <v>95</v>
      </c>
      <c r="F20" s="457" t="s">
        <v>95</v>
      </c>
      <c r="G20" s="460" t="s">
        <v>95</v>
      </c>
      <c r="H20" s="455" t="s">
        <v>95</v>
      </c>
      <c r="I20" s="455" t="s">
        <v>95</v>
      </c>
      <c r="J20" s="455" t="s">
        <v>95</v>
      </c>
      <c r="K20" s="455" t="s">
        <v>95</v>
      </c>
      <c r="L20" s="462" t="s">
        <v>95</v>
      </c>
      <c r="M20" s="351">
        <v>966</v>
      </c>
      <c r="N20" s="481">
        <f t="shared" si="2"/>
        <v>70</v>
      </c>
      <c r="O20" s="81">
        <f>(C20+C23-G23)/2</f>
        <v>81.5</v>
      </c>
      <c r="P20" s="16">
        <f t="shared" si="3"/>
        <v>0.41407867494824019</v>
      </c>
      <c r="Q20" s="75">
        <f t="shared" si="1"/>
        <v>4.7619047619047616E-2</v>
      </c>
      <c r="R20" s="441">
        <f>SUM(Q$13:Q20)</f>
        <v>0.26966873706004146</v>
      </c>
      <c r="S20" s="254">
        <f t="shared" si="4"/>
        <v>0.33088188596324108</v>
      </c>
      <c r="T20" s="246"/>
      <c r="U20" s="22" t="s">
        <v>41</v>
      </c>
      <c r="V20" s="84"/>
      <c r="W20" s="89"/>
    </row>
    <row r="21" spans="1:25" s="90" customFormat="1" ht="12" thickBot="1">
      <c r="A21" s="410"/>
      <c r="B21" s="411"/>
      <c r="C21" s="412"/>
      <c r="D21" s="495"/>
      <c r="E21" s="412"/>
      <c r="F21" s="458"/>
      <c r="G21" s="413"/>
      <c r="H21" s="412"/>
      <c r="I21" s="412"/>
      <c r="J21" s="412"/>
      <c r="K21" s="412"/>
      <c r="L21" s="414"/>
      <c r="M21" s="412"/>
      <c r="N21" s="482"/>
      <c r="O21" s="415"/>
      <c r="P21" s="416"/>
      <c r="Q21" s="442"/>
      <c r="R21" s="443"/>
      <c r="S21" s="417"/>
      <c r="T21" s="845"/>
      <c r="U21" s="22" t="s">
        <v>41</v>
      </c>
      <c r="V21" s="88"/>
      <c r="W21" s="92"/>
    </row>
    <row r="22" spans="1:25" s="90" customFormat="1">
      <c r="A22" s="419" t="s">
        <v>90</v>
      </c>
      <c r="B22" s="91"/>
      <c r="C22" s="351"/>
      <c r="D22" s="496"/>
      <c r="E22" s="351"/>
      <c r="F22" s="394"/>
      <c r="G22" s="397"/>
      <c r="H22" s="351"/>
      <c r="I22" s="351"/>
      <c r="J22" s="351"/>
      <c r="K22" s="351"/>
      <c r="L22" s="402"/>
      <c r="M22" s="351"/>
      <c r="N22" s="481"/>
      <c r="O22" s="81"/>
      <c r="P22" s="16"/>
      <c r="Q22" s="75"/>
      <c r="R22" s="441"/>
      <c r="S22" s="254"/>
      <c r="T22" s="846"/>
      <c r="U22" s="22" t="s">
        <v>41</v>
      </c>
      <c r="V22" s="88"/>
      <c r="W22" s="92"/>
    </row>
    <row r="23" spans="1:25" s="90" customFormat="1">
      <c r="A23" s="286">
        <v>830</v>
      </c>
      <c r="B23" s="91">
        <v>0</v>
      </c>
      <c r="C23" s="351">
        <v>169</v>
      </c>
      <c r="D23" s="497">
        <v>86</v>
      </c>
      <c r="E23" s="425"/>
      <c r="F23" s="498"/>
      <c r="G23" s="427">
        <f t="shared" ref="G23:G27" si="5">AVERAGE(D23:F23)</f>
        <v>86</v>
      </c>
      <c r="H23" s="425">
        <v>5.7</v>
      </c>
      <c r="I23" s="425"/>
      <c r="J23" s="425"/>
      <c r="K23" s="425"/>
      <c r="L23" s="426">
        <f t="shared" ref="L23:L27" si="6">AVERAGE(H23:K23)</f>
        <v>5.7</v>
      </c>
      <c r="M23" s="351">
        <f>G23*    PI()* (L23/2)^2</f>
        <v>2194.5124242753463</v>
      </c>
      <c r="N23" s="481">
        <f>(C20+C23-G23)/2</f>
        <v>81.5</v>
      </c>
      <c r="O23" s="81">
        <f>(C23+C24-G24)/2</f>
        <v>159.5</v>
      </c>
      <c r="P23" s="16">
        <f>(A23-B23)/M23</f>
        <v>0.37821613166490764</v>
      </c>
      <c r="Q23" s="75">
        <f>(P23*(O23-N23))/100</f>
        <v>0.29500858269862795</v>
      </c>
      <c r="R23" s="441">
        <f>SUM(Q$13:Q23)</f>
        <v>0.56467731975866942</v>
      </c>
      <c r="S23" s="254">
        <f>R23/O23*100</f>
        <v>0.3540296675602943</v>
      </c>
      <c r="T23" s="846"/>
      <c r="U23" s="22" t="s">
        <v>41</v>
      </c>
      <c r="V23" s="88"/>
      <c r="W23" s="92"/>
    </row>
    <row r="24" spans="1:25" s="90" customFormat="1">
      <c r="A24" s="286">
        <f>870+190</f>
        <v>1060</v>
      </c>
      <c r="B24" s="91">
        <v>0</v>
      </c>
      <c r="C24" s="351">
        <v>238</v>
      </c>
      <c r="D24" s="497">
        <v>88</v>
      </c>
      <c r="E24" s="425"/>
      <c r="F24" s="498"/>
      <c r="G24" s="427">
        <f t="shared" si="5"/>
        <v>88</v>
      </c>
      <c r="H24" s="425">
        <v>5.7</v>
      </c>
      <c r="I24" s="425"/>
      <c r="J24" s="425"/>
      <c r="K24" s="425"/>
      <c r="L24" s="426">
        <f t="shared" si="6"/>
        <v>5.7</v>
      </c>
      <c r="M24" s="351">
        <f t="shared" ref="M24:M27" si="7">G24*    PI()* (L24/2)^2</f>
        <v>2245.5475969329123</v>
      </c>
      <c r="N24" s="481">
        <f>(C23+C24-G24)/2</f>
        <v>159.5</v>
      </c>
      <c r="O24" s="81">
        <f>(C24+C25-G25)/2</f>
        <v>238</v>
      </c>
      <c r="P24" s="16">
        <f>(A24-B24)/M24</f>
        <v>0.47204521580740666</v>
      </c>
      <c r="Q24" s="75">
        <f>(P24*(O24-N24))/100</f>
        <v>0.37055549440881419</v>
      </c>
      <c r="R24" s="441">
        <f>SUM(Q$13:Q24)</f>
        <v>0.93523281416748361</v>
      </c>
      <c r="S24" s="254">
        <f>R24/O24*100</f>
        <v>0.3929549639359175</v>
      </c>
      <c r="T24" s="846"/>
      <c r="U24" s="22" t="s">
        <v>41</v>
      </c>
      <c r="V24" s="84"/>
      <c r="W24" s="92"/>
    </row>
    <row r="25" spans="1:25" s="90" customFormat="1">
      <c r="A25" s="286">
        <v>340</v>
      </c>
      <c r="B25" s="91">
        <v>0</v>
      </c>
      <c r="C25" s="351">
        <v>260</v>
      </c>
      <c r="D25" s="497">
        <v>22</v>
      </c>
      <c r="E25" s="425"/>
      <c r="F25" s="498"/>
      <c r="G25" s="427">
        <f t="shared" si="5"/>
        <v>22</v>
      </c>
      <c r="H25" s="425">
        <v>5.7</v>
      </c>
      <c r="I25" s="425"/>
      <c r="J25" s="425"/>
      <c r="K25" s="425"/>
      <c r="L25" s="426">
        <f t="shared" si="6"/>
        <v>5.7</v>
      </c>
      <c r="M25" s="351">
        <f t="shared" si="7"/>
        <v>561.38689923322806</v>
      </c>
      <c r="N25" s="481">
        <f t="shared" ref="N25:N27" si="8">(C24+C25-G25)/2</f>
        <v>238</v>
      </c>
      <c r="O25" s="81">
        <f t="shared" ref="O25:O26" si="9">(C25+C26-G26)/2</f>
        <v>247</v>
      </c>
      <c r="P25" s="16">
        <f t="shared" ref="P25:P27" si="10">(A25-B25)/M25</f>
        <v>0.60564291839440854</v>
      </c>
      <c r="Q25" s="75">
        <f t="shared" ref="Q25:Q27" si="11">(P25*(O25-N25))/100</f>
        <v>5.4507862655496772E-2</v>
      </c>
      <c r="R25" s="441">
        <f>SUM(Q$13:Q25)</f>
        <v>0.98974067682298039</v>
      </c>
      <c r="S25" s="254">
        <f t="shared" ref="S25:S27" si="12">R25/O25*100</f>
        <v>0.40070472745869651</v>
      </c>
      <c r="U25" s="22" t="s">
        <v>41</v>
      </c>
      <c r="V25" s="84"/>
      <c r="W25" s="92"/>
    </row>
    <row r="26" spans="1:25" s="90" customFormat="1" ht="22.5">
      <c r="A26" s="286">
        <v>320</v>
      </c>
      <c r="B26" s="91">
        <v>0</v>
      </c>
      <c r="C26" s="351">
        <f>C27-D27</f>
        <v>261</v>
      </c>
      <c r="D26" s="497">
        <v>27</v>
      </c>
      <c r="E26" s="425"/>
      <c r="F26" s="498"/>
      <c r="G26" s="427">
        <f t="shared" si="5"/>
        <v>27</v>
      </c>
      <c r="H26" s="425">
        <v>5.7</v>
      </c>
      <c r="I26" s="425"/>
      <c r="J26" s="425"/>
      <c r="K26" s="425"/>
      <c r="L26" s="426">
        <f t="shared" si="6"/>
        <v>5.7</v>
      </c>
      <c r="M26" s="351">
        <f t="shared" si="7"/>
        <v>688.97483087714352</v>
      </c>
      <c r="N26" s="481">
        <f t="shared" si="8"/>
        <v>247</v>
      </c>
      <c r="O26" s="81">
        <f t="shared" si="9"/>
        <v>261</v>
      </c>
      <c r="P26" s="16">
        <f t="shared" si="10"/>
        <v>0.46445818578394732</v>
      </c>
      <c r="Q26" s="75">
        <f t="shared" si="11"/>
        <v>6.502414600975262E-2</v>
      </c>
      <c r="R26" s="441">
        <f>SUM(Q$13:Q26)</f>
        <v>1.0547648228327331</v>
      </c>
      <c r="S26" s="254">
        <f t="shared" si="12"/>
        <v>0.40412445319261803</v>
      </c>
      <c r="T26" s="846" t="s">
        <v>201</v>
      </c>
      <c r="U26" s="22" t="s">
        <v>41</v>
      </c>
      <c r="V26" s="84"/>
      <c r="W26" s="92"/>
    </row>
    <row r="27" spans="1:25">
      <c r="A27" s="286">
        <v>680</v>
      </c>
      <c r="B27" s="91">
        <v>0</v>
      </c>
      <c r="C27" s="351">
        <f>332-20</f>
        <v>312</v>
      </c>
      <c r="D27" s="497">
        <v>51</v>
      </c>
      <c r="E27" s="425"/>
      <c r="F27" s="498"/>
      <c r="G27" s="427">
        <f t="shared" si="5"/>
        <v>51</v>
      </c>
      <c r="H27" s="425">
        <v>5.7</v>
      </c>
      <c r="I27" s="425"/>
      <c r="J27" s="425"/>
      <c r="K27" s="425"/>
      <c r="L27" s="426">
        <f t="shared" si="6"/>
        <v>5.7</v>
      </c>
      <c r="M27" s="351">
        <f t="shared" si="7"/>
        <v>1301.3969027679379</v>
      </c>
      <c r="N27" s="481">
        <f t="shared" si="8"/>
        <v>261</v>
      </c>
      <c r="O27" s="81">
        <f>C27</f>
        <v>312</v>
      </c>
      <c r="P27" s="16">
        <f t="shared" si="10"/>
        <v>0.52251545900694063</v>
      </c>
      <c r="Q27" s="75">
        <f t="shared" si="11"/>
        <v>0.26648288409353976</v>
      </c>
      <c r="R27" s="441">
        <f>SUM(Q$13:Q27)</f>
        <v>1.3212477069262729</v>
      </c>
      <c r="S27" s="254">
        <f t="shared" si="12"/>
        <v>0.42347682914303614</v>
      </c>
      <c r="T27" s="846" t="s">
        <v>133</v>
      </c>
      <c r="U27" s="22" t="s">
        <v>41</v>
      </c>
      <c r="V27" s="84"/>
      <c r="W27" s="92"/>
      <c r="X27" s="90"/>
      <c r="Y27" s="90"/>
    </row>
    <row r="28" spans="1:25">
      <c r="A28" s="286"/>
      <c r="B28" s="91"/>
      <c r="C28" s="351"/>
      <c r="D28" s="497"/>
      <c r="E28" s="425"/>
      <c r="F28" s="498"/>
      <c r="G28" s="427"/>
      <c r="H28" s="425"/>
      <c r="I28" s="425"/>
      <c r="J28" s="425"/>
      <c r="K28" s="425"/>
      <c r="L28" s="426"/>
      <c r="M28" s="351"/>
      <c r="N28" s="481"/>
      <c r="O28" s="81"/>
      <c r="P28" s="16"/>
      <c r="Q28" s="75"/>
      <c r="R28" s="441"/>
      <c r="S28" s="254"/>
      <c r="T28" s="846"/>
      <c r="U28" s="22" t="s">
        <v>41</v>
      </c>
      <c r="V28" s="84"/>
      <c r="W28" s="92"/>
      <c r="X28" s="90"/>
      <c r="Y28" s="90"/>
    </row>
    <row r="29" spans="1:25">
      <c r="A29" s="286"/>
      <c r="B29" s="91"/>
      <c r="C29" s="351"/>
      <c r="D29" s="497"/>
      <c r="E29" s="425"/>
      <c r="F29" s="498"/>
      <c r="G29" s="427"/>
      <c r="H29" s="425"/>
      <c r="I29" s="425"/>
      <c r="J29" s="425"/>
      <c r="K29" s="425"/>
      <c r="L29" s="426"/>
      <c r="M29" s="351"/>
      <c r="N29" s="481"/>
      <c r="O29" s="81"/>
      <c r="P29" s="16"/>
      <c r="Q29" s="75"/>
      <c r="R29" s="441"/>
      <c r="S29" s="254"/>
      <c r="T29" s="846"/>
      <c r="U29" s="22" t="s">
        <v>41</v>
      </c>
      <c r="V29" s="84"/>
      <c r="W29" s="92"/>
      <c r="X29" s="90"/>
      <c r="Y29" s="90"/>
    </row>
    <row r="30" spans="1:25">
      <c r="A30" s="286"/>
      <c r="B30" s="91"/>
      <c r="C30" s="351"/>
      <c r="D30" s="497"/>
      <c r="E30" s="425"/>
      <c r="F30" s="498"/>
      <c r="G30" s="427"/>
      <c r="H30" s="425"/>
      <c r="I30" s="425"/>
      <c r="J30" s="425"/>
      <c r="K30" s="425"/>
      <c r="L30" s="426"/>
      <c r="M30" s="351"/>
      <c r="N30" s="481"/>
      <c r="O30" s="81"/>
      <c r="P30" s="16"/>
      <c r="Q30" s="75"/>
      <c r="R30" s="441"/>
      <c r="S30" s="254"/>
      <c r="T30" s="846"/>
      <c r="U30" s="22" t="s">
        <v>41</v>
      </c>
      <c r="V30" s="84"/>
      <c r="W30" s="92"/>
      <c r="X30" s="90"/>
      <c r="Y30" s="90"/>
    </row>
    <row r="31" spans="1:25">
      <c r="A31" s="286"/>
      <c r="B31" s="91"/>
      <c r="C31" s="351"/>
      <c r="D31" s="497"/>
      <c r="E31" s="425"/>
      <c r="F31" s="498"/>
      <c r="G31" s="427"/>
      <c r="H31" s="425"/>
      <c r="I31" s="425"/>
      <c r="J31" s="425"/>
      <c r="K31" s="425"/>
      <c r="L31" s="426"/>
      <c r="M31" s="351"/>
      <c r="N31" s="481"/>
      <c r="O31" s="81"/>
      <c r="P31" s="16"/>
      <c r="Q31" s="75"/>
      <c r="R31" s="441"/>
      <c r="S31" s="254"/>
      <c r="T31" s="846"/>
      <c r="U31" s="22" t="s">
        <v>41</v>
      </c>
      <c r="V31" s="84"/>
      <c r="W31" s="92"/>
      <c r="X31" s="90"/>
      <c r="Y31" s="90"/>
    </row>
    <row r="32" spans="1:25">
      <c r="A32" s="286"/>
      <c r="B32" s="91"/>
      <c r="C32" s="351"/>
      <c r="D32" s="497"/>
      <c r="E32" s="425"/>
      <c r="F32" s="498"/>
      <c r="G32" s="427"/>
      <c r="H32" s="425"/>
      <c r="I32" s="425"/>
      <c r="J32" s="425"/>
      <c r="K32" s="425"/>
      <c r="L32" s="426"/>
      <c r="M32" s="351"/>
      <c r="N32" s="481"/>
      <c r="O32" s="81"/>
      <c r="P32" s="16"/>
      <c r="Q32" s="75"/>
      <c r="R32" s="441"/>
      <c r="S32" s="254"/>
      <c r="T32" s="846"/>
      <c r="U32" s="22"/>
      <c r="V32" s="84"/>
      <c r="W32" s="94"/>
    </row>
    <row r="33" spans="1:26">
      <c r="A33" s="286"/>
      <c r="B33" s="91"/>
      <c r="C33" s="351"/>
      <c r="D33" s="497"/>
      <c r="E33" s="425"/>
      <c r="F33" s="498"/>
      <c r="G33" s="427"/>
      <c r="H33" s="425"/>
      <c r="I33" s="425"/>
      <c r="J33" s="425"/>
      <c r="K33" s="425"/>
      <c r="L33" s="426"/>
      <c r="M33" s="351"/>
      <c r="N33" s="481"/>
      <c r="O33" s="81"/>
      <c r="P33" s="16"/>
      <c r="Q33" s="75"/>
      <c r="R33" s="441"/>
      <c r="S33" s="254"/>
      <c r="T33" s="846"/>
      <c r="U33" s="22"/>
      <c r="V33" s="84"/>
      <c r="W33" s="238"/>
      <c r="X33" s="97"/>
      <c r="Y33" s="239"/>
      <c r="Z33" s="97"/>
    </row>
    <row r="34" spans="1:26">
      <c r="A34" s="286"/>
      <c r="B34" s="91"/>
      <c r="C34" s="351"/>
      <c r="D34" s="497"/>
      <c r="E34" s="425"/>
      <c r="F34" s="498"/>
      <c r="G34" s="427"/>
      <c r="H34" s="425"/>
      <c r="I34" s="425"/>
      <c r="J34" s="425"/>
      <c r="K34" s="425"/>
      <c r="L34" s="426"/>
      <c r="M34" s="351"/>
      <c r="N34" s="481"/>
      <c r="O34" s="81"/>
      <c r="P34" s="16"/>
      <c r="Q34" s="75"/>
      <c r="R34" s="441"/>
      <c r="S34" s="254"/>
      <c r="T34" s="846"/>
      <c r="U34" s="22"/>
      <c r="V34" s="84"/>
      <c r="W34" s="238"/>
      <c r="X34" s="97"/>
      <c r="Y34" s="240"/>
      <c r="Z34" s="97"/>
    </row>
    <row r="35" spans="1:26">
      <c r="A35" s="286"/>
      <c r="B35" s="91"/>
      <c r="C35" s="351"/>
      <c r="D35" s="497"/>
      <c r="E35" s="425"/>
      <c r="F35" s="498"/>
      <c r="G35" s="427"/>
      <c r="H35" s="425"/>
      <c r="I35" s="425"/>
      <c r="J35" s="425"/>
      <c r="K35" s="425"/>
      <c r="L35" s="426"/>
      <c r="M35" s="351"/>
      <c r="N35" s="481"/>
      <c r="O35" s="81"/>
      <c r="P35" s="16"/>
      <c r="Q35" s="75"/>
      <c r="R35" s="441"/>
      <c r="S35" s="254"/>
      <c r="T35" s="846"/>
      <c r="U35" s="22"/>
      <c r="V35" s="84"/>
      <c r="W35" s="241"/>
      <c r="X35" s="97"/>
      <c r="Y35" s="97"/>
      <c r="Z35" s="97"/>
    </row>
    <row r="36" spans="1:26">
      <c r="A36" s="286"/>
      <c r="B36" s="91"/>
      <c r="C36" s="351"/>
      <c r="D36" s="497"/>
      <c r="E36" s="425"/>
      <c r="F36" s="498"/>
      <c r="G36" s="427"/>
      <c r="H36" s="425"/>
      <c r="I36" s="425"/>
      <c r="J36" s="425"/>
      <c r="K36" s="425"/>
      <c r="L36" s="426"/>
      <c r="M36" s="351"/>
      <c r="N36" s="481"/>
      <c r="O36" s="81"/>
      <c r="P36" s="16"/>
      <c r="Q36" s="75"/>
      <c r="R36" s="441"/>
      <c r="S36" s="254"/>
      <c r="T36" s="846"/>
      <c r="U36" s="22"/>
      <c r="V36" s="84"/>
      <c r="W36" s="98"/>
      <c r="X36" s="99"/>
    </row>
    <row r="37" spans="1:26">
      <c r="A37" s="286"/>
      <c r="B37" s="91"/>
      <c r="C37" s="351"/>
      <c r="D37" s="497"/>
      <c r="E37" s="425"/>
      <c r="F37" s="498"/>
      <c r="G37" s="427"/>
      <c r="H37" s="425"/>
      <c r="I37" s="425"/>
      <c r="J37" s="425"/>
      <c r="K37" s="425"/>
      <c r="L37" s="426"/>
      <c r="M37" s="351"/>
      <c r="N37" s="481"/>
      <c r="O37" s="81"/>
      <c r="P37" s="16"/>
      <c r="Q37" s="75"/>
      <c r="R37" s="441"/>
      <c r="S37" s="254"/>
      <c r="T37" s="846"/>
      <c r="U37" s="22"/>
      <c r="V37" s="84"/>
      <c r="W37" s="99"/>
      <c r="X37" s="99"/>
    </row>
    <row r="38" spans="1:26">
      <c r="A38" s="286"/>
      <c r="B38" s="91"/>
      <c r="C38" s="351"/>
      <c r="D38" s="497"/>
      <c r="E38" s="425"/>
      <c r="F38" s="498"/>
      <c r="G38" s="427"/>
      <c r="H38" s="425"/>
      <c r="I38" s="425"/>
      <c r="J38" s="425"/>
      <c r="K38" s="425"/>
      <c r="L38" s="426"/>
      <c r="M38" s="351"/>
      <c r="N38" s="481"/>
      <c r="O38" s="81"/>
      <c r="P38" s="16"/>
      <c r="Q38" s="75"/>
      <c r="R38" s="441"/>
      <c r="S38" s="254"/>
      <c r="T38" s="846"/>
      <c r="U38" s="22"/>
      <c r="V38" s="84"/>
    </row>
    <row r="39" spans="1:26">
      <c r="A39" s="286"/>
      <c r="B39" s="91"/>
      <c r="C39" s="351"/>
      <c r="D39" s="497"/>
      <c r="E39" s="425"/>
      <c r="F39" s="498"/>
      <c r="G39" s="427"/>
      <c r="H39" s="425"/>
      <c r="I39" s="425"/>
      <c r="J39" s="425"/>
      <c r="K39" s="425"/>
      <c r="L39" s="426"/>
      <c r="M39" s="351"/>
      <c r="N39" s="481"/>
      <c r="O39" s="81"/>
      <c r="P39" s="16"/>
      <c r="Q39" s="75"/>
      <c r="R39" s="441"/>
      <c r="S39" s="254"/>
      <c r="T39" s="846"/>
      <c r="U39" s="22"/>
      <c r="V39" s="84"/>
    </row>
    <row r="40" spans="1:26">
      <c r="A40" s="286"/>
      <c r="B40" s="91"/>
      <c r="C40" s="351"/>
      <c r="D40" s="497"/>
      <c r="E40" s="425"/>
      <c r="F40" s="498"/>
      <c r="G40" s="427"/>
      <c r="H40" s="425"/>
      <c r="I40" s="425"/>
      <c r="J40" s="425"/>
      <c r="K40" s="425"/>
      <c r="L40" s="426"/>
      <c r="M40" s="351"/>
      <c r="N40" s="481"/>
      <c r="O40" s="81"/>
      <c r="P40" s="16"/>
      <c r="Q40" s="75"/>
      <c r="R40" s="441"/>
      <c r="S40" s="254"/>
      <c r="T40" s="846"/>
      <c r="U40" s="22"/>
      <c r="V40" s="84"/>
    </row>
    <row r="41" spans="1:26">
      <c r="A41" s="286"/>
      <c r="B41" s="91"/>
      <c r="C41" s="351"/>
      <c r="D41" s="497"/>
      <c r="E41" s="425"/>
      <c r="F41" s="498"/>
      <c r="G41" s="427"/>
      <c r="H41" s="425"/>
      <c r="I41" s="425"/>
      <c r="J41" s="425"/>
      <c r="K41" s="425"/>
      <c r="L41" s="426"/>
      <c r="M41" s="351"/>
      <c r="N41" s="481"/>
      <c r="O41" s="81"/>
      <c r="P41" s="16"/>
      <c r="Q41" s="75"/>
      <c r="R41" s="441"/>
      <c r="S41" s="254"/>
      <c r="T41" s="846"/>
      <c r="U41" s="22"/>
      <c r="V41" s="84"/>
    </row>
    <row r="42" spans="1:26">
      <c r="A42" s="286"/>
      <c r="B42" s="91"/>
      <c r="C42" s="351"/>
      <c r="D42" s="497"/>
      <c r="E42" s="425"/>
      <c r="F42" s="498"/>
      <c r="G42" s="427"/>
      <c r="H42" s="425"/>
      <c r="I42" s="425"/>
      <c r="J42" s="425"/>
      <c r="K42" s="425"/>
      <c r="L42" s="426"/>
      <c r="M42" s="351"/>
      <c r="N42" s="481"/>
      <c r="O42" s="81"/>
      <c r="P42" s="16"/>
      <c r="Q42" s="75"/>
      <c r="R42" s="441"/>
      <c r="S42" s="254"/>
      <c r="T42" s="846"/>
      <c r="U42" s="22"/>
      <c r="V42" s="84"/>
    </row>
    <row r="43" spans="1:26">
      <c r="A43" s="286"/>
      <c r="B43" s="91"/>
      <c r="C43" s="351"/>
      <c r="D43" s="497"/>
      <c r="E43" s="425"/>
      <c r="F43" s="498"/>
      <c r="G43" s="427"/>
      <c r="H43" s="425"/>
      <c r="I43" s="425"/>
      <c r="J43" s="425"/>
      <c r="K43" s="425"/>
      <c r="L43" s="426"/>
      <c r="M43" s="351"/>
      <c r="N43" s="481"/>
      <c r="O43" s="81"/>
      <c r="P43" s="16"/>
      <c r="Q43" s="75"/>
      <c r="R43" s="441"/>
      <c r="S43" s="254"/>
      <c r="T43" s="846"/>
      <c r="U43" s="22"/>
      <c r="V43" s="84"/>
    </row>
    <row r="44" spans="1:26">
      <c r="A44" s="286"/>
      <c r="B44" s="91"/>
      <c r="C44" s="351"/>
      <c r="D44" s="497"/>
      <c r="E44" s="425"/>
      <c r="F44" s="498"/>
      <c r="G44" s="427"/>
      <c r="H44" s="425"/>
      <c r="I44" s="425"/>
      <c r="J44" s="425"/>
      <c r="K44" s="425"/>
      <c r="L44" s="426"/>
      <c r="M44" s="351"/>
      <c r="N44" s="481"/>
      <c r="O44" s="81"/>
      <c r="P44" s="16"/>
      <c r="Q44" s="75"/>
      <c r="R44" s="441"/>
      <c r="S44" s="254"/>
      <c r="T44" s="846"/>
      <c r="U44" s="22"/>
      <c r="V44" s="84"/>
    </row>
    <row r="45" spans="1:26">
      <c r="A45" s="286"/>
      <c r="B45" s="91"/>
      <c r="C45" s="351"/>
      <c r="D45" s="497"/>
      <c r="E45" s="425"/>
      <c r="F45" s="498"/>
      <c r="G45" s="427"/>
      <c r="H45" s="425"/>
      <c r="I45" s="425"/>
      <c r="J45" s="425"/>
      <c r="K45" s="425"/>
      <c r="L45" s="426"/>
      <c r="M45" s="351"/>
      <c r="N45" s="481"/>
      <c r="O45" s="81"/>
      <c r="P45" s="16"/>
      <c r="Q45" s="75"/>
      <c r="R45" s="441"/>
      <c r="S45" s="254"/>
      <c r="T45" s="846"/>
      <c r="U45" s="22"/>
      <c r="V45" s="84"/>
    </row>
    <row r="46" spans="1:26">
      <c r="A46" s="286"/>
      <c r="B46" s="91"/>
      <c r="C46" s="351"/>
      <c r="D46" s="497"/>
      <c r="E46" s="425"/>
      <c r="F46" s="498"/>
      <c r="G46" s="427"/>
      <c r="H46" s="425"/>
      <c r="I46" s="425"/>
      <c r="J46" s="425"/>
      <c r="K46" s="425"/>
      <c r="L46" s="426"/>
      <c r="M46" s="351"/>
      <c r="N46" s="481"/>
      <c r="O46" s="81"/>
      <c r="P46" s="16"/>
      <c r="Q46" s="75"/>
      <c r="R46" s="441"/>
      <c r="S46" s="254"/>
      <c r="T46" s="846"/>
      <c r="U46" s="22"/>
      <c r="V46" s="84"/>
    </row>
    <row r="47" spans="1:26">
      <c r="A47" s="286"/>
      <c r="B47" s="91"/>
      <c r="C47" s="351"/>
      <c r="D47" s="497"/>
      <c r="E47" s="425"/>
      <c r="F47" s="498"/>
      <c r="G47" s="427"/>
      <c r="H47" s="425"/>
      <c r="I47" s="425"/>
      <c r="J47" s="425"/>
      <c r="K47" s="425"/>
      <c r="L47" s="426"/>
      <c r="M47" s="351"/>
      <c r="N47" s="481"/>
      <c r="O47" s="81"/>
      <c r="P47" s="16"/>
      <c r="Q47" s="75"/>
      <c r="R47" s="441"/>
      <c r="S47" s="254"/>
      <c r="T47" s="846"/>
      <c r="U47" s="22"/>
      <c r="V47" s="84"/>
    </row>
    <row r="48" spans="1:26">
      <c r="A48" s="286"/>
      <c r="B48" s="91"/>
      <c r="C48" s="351"/>
      <c r="D48" s="497"/>
      <c r="E48" s="425"/>
      <c r="F48" s="498"/>
      <c r="G48" s="427"/>
      <c r="H48" s="425"/>
      <c r="I48" s="425"/>
      <c r="J48" s="425"/>
      <c r="K48" s="425"/>
      <c r="L48" s="426"/>
      <c r="M48" s="351"/>
      <c r="N48" s="481"/>
      <c r="O48" s="81"/>
      <c r="P48" s="16"/>
      <c r="Q48" s="75"/>
      <c r="R48" s="441"/>
      <c r="S48" s="254"/>
      <c r="T48" s="846"/>
      <c r="U48" s="22"/>
      <c r="V48" s="84"/>
    </row>
    <row r="49" spans="1:28">
      <c r="A49" s="286"/>
      <c r="B49" s="91"/>
      <c r="C49" s="351"/>
      <c r="D49" s="497"/>
      <c r="E49" s="425"/>
      <c r="F49" s="498"/>
      <c r="G49" s="427"/>
      <c r="H49" s="425"/>
      <c r="I49" s="425"/>
      <c r="J49" s="425"/>
      <c r="K49" s="425"/>
      <c r="L49" s="426"/>
      <c r="M49" s="351"/>
      <c r="N49" s="481"/>
      <c r="O49" s="81"/>
      <c r="P49" s="16"/>
      <c r="Q49" s="75"/>
      <c r="R49" s="441"/>
      <c r="S49" s="254"/>
      <c r="T49" s="846"/>
      <c r="U49" s="22"/>
      <c r="V49" s="84"/>
    </row>
    <row r="50" spans="1:28" ht="12" thickBot="1">
      <c r="A50" s="286"/>
      <c r="B50" s="91"/>
      <c r="C50" s="351"/>
      <c r="D50" s="497"/>
      <c r="E50" s="425"/>
      <c r="F50" s="498"/>
      <c r="G50" s="427"/>
      <c r="H50" s="425"/>
      <c r="I50" s="425"/>
      <c r="J50" s="425"/>
      <c r="K50" s="425"/>
      <c r="L50" s="426"/>
      <c r="M50" s="351"/>
      <c r="N50" s="481"/>
      <c r="O50" s="81"/>
      <c r="P50" s="16"/>
      <c r="Q50" s="75"/>
      <c r="R50" s="441"/>
      <c r="S50" s="254"/>
      <c r="T50" s="846"/>
      <c r="U50" s="22"/>
      <c r="V50" s="95"/>
    </row>
    <row r="51" spans="1:28">
      <c r="A51" s="286"/>
      <c r="B51" s="91"/>
      <c r="C51" s="351"/>
      <c r="D51" s="497"/>
      <c r="E51" s="425"/>
      <c r="F51" s="498"/>
      <c r="G51" s="427"/>
      <c r="H51" s="425"/>
      <c r="I51" s="425"/>
      <c r="J51" s="425"/>
      <c r="K51" s="425"/>
      <c r="L51" s="426"/>
      <c r="M51" s="351"/>
      <c r="N51" s="481"/>
      <c r="O51" s="81"/>
      <c r="P51" s="16"/>
      <c r="Q51" s="75"/>
      <c r="R51" s="441"/>
      <c r="S51" s="254"/>
      <c r="T51" s="846"/>
      <c r="U51" s="242" t="s">
        <v>42</v>
      </c>
      <c r="V51" s="96">
        <f>AVERAGE(V12:V50)</f>
        <v>261</v>
      </c>
    </row>
    <row r="52" spans="1:28">
      <c r="A52" s="286"/>
      <c r="B52" s="91"/>
      <c r="C52" s="351"/>
      <c r="D52" s="497"/>
      <c r="E52" s="425"/>
      <c r="F52" s="498"/>
      <c r="G52" s="427"/>
      <c r="H52" s="425"/>
      <c r="I52" s="425"/>
      <c r="J52" s="425"/>
      <c r="K52" s="425"/>
      <c r="L52" s="426"/>
      <c r="M52" s="351"/>
      <c r="N52" s="481"/>
      <c r="O52" s="81"/>
      <c r="P52" s="16"/>
      <c r="Q52" s="75"/>
      <c r="R52" s="441"/>
      <c r="S52" s="254"/>
      <c r="T52" s="846"/>
      <c r="U52" s="33" t="s">
        <v>43</v>
      </c>
      <c r="V52" s="95" t="e">
        <f>STDEV(V12:V50)</f>
        <v>#DIV/0!</v>
      </c>
      <c r="W52" s="56"/>
      <c r="X52" s="56"/>
    </row>
    <row r="53" spans="1:28">
      <c r="A53" s="287" t="s">
        <v>73</v>
      </c>
      <c r="B53" s="258"/>
      <c r="C53" s="352"/>
      <c r="D53" s="352"/>
      <c r="E53" s="352"/>
      <c r="F53" s="352"/>
      <c r="G53" s="398"/>
      <c r="H53" s="352"/>
      <c r="I53" s="352"/>
      <c r="J53" s="352"/>
      <c r="K53" s="352"/>
      <c r="L53" s="403"/>
      <c r="M53" s="352"/>
      <c r="N53" s="483"/>
      <c r="O53" s="260"/>
      <c r="P53" s="261"/>
      <c r="Q53" s="444"/>
      <c r="R53" s="445"/>
      <c r="S53" s="264"/>
      <c r="T53" s="847"/>
      <c r="U53" s="33" t="s">
        <v>44</v>
      </c>
      <c r="V53" s="95" t="e">
        <f>V52/SQRT(COUNT(V12:V49))</f>
        <v>#DIV/0!</v>
      </c>
      <c r="W53" s="98"/>
      <c r="X53" s="56"/>
      <c r="Y53" s="56"/>
      <c r="Z53" s="56"/>
    </row>
    <row r="54" spans="1:28">
      <c r="A54" s="266"/>
      <c r="B54" s="267"/>
      <c r="C54" s="353"/>
      <c r="D54" s="353"/>
      <c r="E54" s="353"/>
      <c r="F54" s="353"/>
      <c r="G54" s="399"/>
      <c r="H54" s="353"/>
      <c r="I54" s="353"/>
      <c r="J54" s="353"/>
      <c r="K54" s="353"/>
      <c r="L54" s="404"/>
      <c r="M54" s="353"/>
      <c r="N54" s="484"/>
      <c r="O54" s="269"/>
      <c r="P54" s="446"/>
      <c r="Q54" s="271"/>
      <c r="R54" s="447"/>
      <c r="S54" s="448"/>
      <c r="T54" s="848"/>
      <c r="U54" s="33" t="s">
        <v>45</v>
      </c>
      <c r="V54" s="95">
        <f>MAX(V12:V50)</f>
        <v>261</v>
      </c>
      <c r="W54" s="98"/>
    </row>
    <row r="55" spans="1:28" ht="12" thickBot="1">
      <c r="A55" s="275"/>
      <c r="B55" s="276"/>
      <c r="C55" s="354"/>
      <c r="D55" s="354"/>
      <c r="E55" s="354"/>
      <c r="F55" s="354"/>
      <c r="G55" s="400"/>
      <c r="H55" s="354"/>
      <c r="I55" s="354"/>
      <c r="J55" s="354"/>
      <c r="K55" s="354"/>
      <c r="L55" s="405"/>
      <c r="M55" s="354"/>
      <c r="N55" s="485"/>
      <c r="O55" s="278"/>
      <c r="P55" s="449"/>
      <c r="Q55" s="280"/>
      <c r="R55" s="450"/>
      <c r="S55" s="451"/>
      <c r="T55" s="849"/>
      <c r="U55" s="243" t="s">
        <v>46</v>
      </c>
      <c r="V55" s="100">
        <f>MIN(V12:V50)</f>
        <v>261</v>
      </c>
      <c r="W55" s="56"/>
    </row>
    <row r="56" spans="1:28">
      <c r="A56" s="15"/>
      <c r="B56" s="15"/>
      <c r="C56" s="14"/>
      <c r="D56" s="105"/>
      <c r="E56" s="105"/>
      <c r="F56" s="105"/>
      <c r="G56" s="13"/>
      <c r="H56" s="106"/>
      <c r="I56" s="107"/>
      <c r="J56" s="104"/>
      <c r="K56" s="101"/>
      <c r="L56" s="102"/>
      <c r="M56" s="56"/>
      <c r="O56" s="93"/>
      <c r="P56" s="112"/>
    </row>
    <row r="57" spans="1:28">
      <c r="A57" s="56"/>
      <c r="B57" s="56"/>
      <c r="C57" s="108"/>
      <c r="D57" s="108"/>
      <c r="E57" s="108"/>
      <c r="F57" s="108"/>
      <c r="G57" s="107"/>
      <c r="H57" s="106"/>
      <c r="I57" s="107"/>
      <c r="J57" s="104"/>
      <c r="K57" s="103"/>
      <c r="L57" s="102"/>
      <c r="M57" s="56"/>
      <c r="O57" s="93"/>
      <c r="P57" s="112"/>
    </row>
    <row r="58" spans="1:28">
      <c r="A58" s="109"/>
      <c r="B58" s="109"/>
      <c r="C58" s="109"/>
      <c r="D58" s="109"/>
      <c r="E58" s="104"/>
      <c r="F58" s="110"/>
      <c r="G58" s="56"/>
      <c r="H58" s="93"/>
      <c r="I58" s="56"/>
      <c r="J58" s="93"/>
      <c r="K58" s="93"/>
      <c r="L58" s="56"/>
      <c r="M58" s="56"/>
      <c r="O58" s="93"/>
      <c r="P58" s="112"/>
    </row>
    <row r="59" spans="1:28">
      <c r="A59" s="111"/>
      <c r="B59" s="111"/>
      <c r="C59" s="109"/>
      <c r="D59" s="109"/>
      <c r="E59" s="104"/>
      <c r="F59" s="110"/>
      <c r="G59" s="93"/>
      <c r="H59" s="93"/>
      <c r="I59" s="56"/>
      <c r="J59" s="93"/>
      <c r="K59" s="93"/>
      <c r="L59" s="56"/>
      <c r="M59" s="56"/>
      <c r="O59" s="93"/>
      <c r="P59" s="112"/>
    </row>
    <row r="60" spans="1:28">
      <c r="A60" s="50"/>
      <c r="B60" s="50"/>
      <c r="C60" s="109"/>
      <c r="D60" s="109"/>
      <c r="E60" s="104"/>
      <c r="F60" s="110"/>
      <c r="G60" s="93"/>
      <c r="H60" s="93"/>
      <c r="I60" s="56"/>
      <c r="J60" s="93"/>
      <c r="K60" s="93"/>
      <c r="L60" s="56"/>
      <c r="M60" s="56"/>
      <c r="O60" s="93"/>
      <c r="P60" s="112"/>
    </row>
    <row r="61" spans="1:28">
      <c r="A61" s="109"/>
      <c r="B61" s="109"/>
      <c r="C61" s="109"/>
      <c r="D61" s="109"/>
      <c r="E61" s="104"/>
      <c r="F61" s="110"/>
      <c r="G61" s="93"/>
      <c r="H61" s="93"/>
      <c r="I61" s="56"/>
      <c r="J61" s="93"/>
      <c r="K61" s="93"/>
      <c r="L61" s="56"/>
      <c r="M61" s="56"/>
      <c r="O61" s="93"/>
      <c r="P61" s="112"/>
    </row>
    <row r="62" spans="1:28">
      <c r="A62" s="109"/>
      <c r="B62" s="109"/>
      <c r="C62" s="109"/>
      <c r="D62" s="109"/>
      <c r="E62" s="104"/>
      <c r="F62" s="110"/>
      <c r="G62" s="93"/>
      <c r="H62" s="93"/>
      <c r="I62" s="56"/>
      <c r="J62" s="107"/>
      <c r="K62" s="93"/>
      <c r="L62" s="56"/>
      <c r="M62" s="56"/>
      <c r="O62" s="93"/>
      <c r="P62" s="112"/>
    </row>
    <row r="63" spans="1:28" s="112" customFormat="1">
      <c r="A63" s="109"/>
      <c r="B63" s="109"/>
      <c r="C63" s="109"/>
      <c r="D63" s="109"/>
      <c r="E63" s="104"/>
      <c r="F63" s="110"/>
      <c r="G63" s="93"/>
      <c r="H63" s="93"/>
      <c r="I63" s="56"/>
      <c r="J63" s="107"/>
      <c r="K63" s="93"/>
      <c r="L63" s="56"/>
      <c r="M63" s="56"/>
      <c r="N63" s="93"/>
      <c r="O63" s="93"/>
      <c r="T63" s="850"/>
      <c r="U63" s="93"/>
      <c r="V63" s="93"/>
      <c r="W63" s="93"/>
      <c r="X63" s="93"/>
      <c r="Y63" s="93"/>
      <c r="Z63" s="93"/>
      <c r="AA63" s="93"/>
      <c r="AB63" s="93"/>
    </row>
    <row r="64" spans="1:28" s="112" customFormat="1">
      <c r="A64" s="109"/>
      <c r="B64" s="109"/>
      <c r="C64" s="109"/>
      <c r="D64" s="109"/>
      <c r="E64" s="104"/>
      <c r="F64" s="110"/>
      <c r="G64" s="93"/>
      <c r="H64" s="93"/>
      <c r="I64" s="56"/>
      <c r="J64" s="93"/>
      <c r="K64" s="93"/>
      <c r="L64" s="56"/>
      <c r="M64" s="56"/>
      <c r="N64" s="93"/>
      <c r="O64" s="93"/>
      <c r="T64" s="850"/>
      <c r="U64" s="93"/>
      <c r="V64" s="93"/>
      <c r="W64" s="93"/>
      <c r="X64" s="93"/>
      <c r="Y64" s="93"/>
      <c r="Z64" s="93"/>
      <c r="AA64" s="93"/>
      <c r="AB64" s="93"/>
    </row>
    <row r="65" spans="1:28" s="112" customFormat="1">
      <c r="A65" s="109"/>
      <c r="B65" s="109"/>
      <c r="C65" s="109"/>
      <c r="D65" s="109"/>
      <c r="E65" s="104"/>
      <c r="F65" s="110"/>
      <c r="G65" s="93"/>
      <c r="H65" s="93"/>
      <c r="I65" s="56"/>
      <c r="J65" s="93"/>
      <c r="K65" s="93"/>
      <c r="L65" s="56"/>
      <c r="M65" s="56"/>
      <c r="N65" s="93"/>
      <c r="O65" s="93"/>
      <c r="T65" s="850"/>
      <c r="U65" s="93"/>
      <c r="V65" s="93"/>
      <c r="W65" s="93"/>
      <c r="X65" s="93"/>
      <c r="Y65" s="93"/>
      <c r="Z65" s="93"/>
      <c r="AA65" s="93"/>
      <c r="AB65" s="93"/>
    </row>
    <row r="66" spans="1:28" s="112" customFormat="1">
      <c r="A66" s="109"/>
      <c r="B66" s="109"/>
      <c r="C66" s="109"/>
      <c r="D66" s="109"/>
      <c r="E66" s="104"/>
      <c r="F66" s="110"/>
      <c r="G66" s="93"/>
      <c r="H66" s="93"/>
      <c r="I66" s="56"/>
      <c r="J66" s="93"/>
      <c r="K66" s="93"/>
      <c r="L66" s="56"/>
      <c r="M66" s="56"/>
      <c r="N66" s="93"/>
      <c r="O66" s="93"/>
      <c r="T66" s="850"/>
      <c r="U66" s="93"/>
      <c r="V66" s="93"/>
      <c r="W66" s="93"/>
      <c r="X66" s="93"/>
      <c r="Y66" s="93"/>
      <c r="Z66" s="93"/>
      <c r="AA66" s="93"/>
      <c r="AB66" s="93"/>
    </row>
    <row r="67" spans="1:28" s="112" customFormat="1">
      <c r="A67" s="109"/>
      <c r="B67" s="109"/>
      <c r="C67" s="109"/>
      <c r="D67" s="109"/>
      <c r="E67" s="104"/>
      <c r="F67" s="110"/>
      <c r="G67" s="93"/>
      <c r="H67" s="93"/>
      <c r="I67" s="56"/>
      <c r="J67" s="93"/>
      <c r="K67" s="93"/>
      <c r="L67" s="56"/>
      <c r="M67" s="56"/>
      <c r="N67" s="93"/>
      <c r="O67" s="93"/>
      <c r="T67" s="850"/>
      <c r="U67" s="93"/>
      <c r="V67" s="93"/>
      <c r="W67" s="93"/>
      <c r="X67" s="93"/>
      <c r="Y67" s="93"/>
      <c r="Z67" s="93"/>
      <c r="AA67" s="93"/>
      <c r="AB67" s="93"/>
    </row>
    <row r="68" spans="1:28" s="112" customFormat="1">
      <c r="A68" s="109"/>
      <c r="B68" s="109"/>
      <c r="C68" s="109"/>
      <c r="D68" s="109"/>
      <c r="E68" s="104"/>
      <c r="F68" s="110"/>
      <c r="G68" s="93"/>
      <c r="H68" s="93"/>
      <c r="I68" s="56"/>
      <c r="J68" s="93"/>
      <c r="K68" s="93"/>
      <c r="L68" s="56"/>
      <c r="M68" s="56"/>
      <c r="N68" s="93"/>
      <c r="O68" s="93"/>
      <c r="T68" s="850"/>
      <c r="U68" s="93"/>
      <c r="V68" s="93"/>
      <c r="W68" s="93"/>
      <c r="X68" s="93"/>
      <c r="Y68" s="93"/>
      <c r="Z68" s="93"/>
      <c r="AA68" s="93"/>
      <c r="AB68" s="93"/>
    </row>
    <row r="69" spans="1:28" s="112" customFormat="1">
      <c r="A69" s="109"/>
      <c r="B69" s="109"/>
      <c r="C69" s="109"/>
      <c r="D69" s="109"/>
      <c r="E69" s="104"/>
      <c r="F69" s="110"/>
      <c r="G69" s="93"/>
      <c r="H69" s="93"/>
      <c r="I69" s="56"/>
      <c r="J69" s="93"/>
      <c r="K69" s="93"/>
      <c r="L69" s="56"/>
      <c r="M69" s="93"/>
      <c r="N69" s="93"/>
      <c r="O69" s="93"/>
      <c r="T69" s="850"/>
      <c r="U69" s="93"/>
      <c r="V69" s="93"/>
      <c r="W69" s="93"/>
      <c r="X69" s="93"/>
      <c r="Y69" s="93"/>
      <c r="Z69" s="93"/>
      <c r="AA69" s="93"/>
      <c r="AB69" s="93"/>
    </row>
    <row r="70" spans="1:28" s="112" customFormat="1">
      <c r="A70" s="109"/>
      <c r="B70" s="109"/>
      <c r="C70" s="109"/>
      <c r="D70" s="109"/>
      <c r="E70" s="104"/>
      <c r="F70" s="110"/>
      <c r="G70" s="93"/>
      <c r="H70" s="93"/>
      <c r="I70" s="56"/>
      <c r="J70" s="93"/>
      <c r="K70" s="93"/>
      <c r="L70" s="56"/>
      <c r="M70" s="93"/>
      <c r="N70" s="93"/>
      <c r="O70" s="93"/>
      <c r="T70" s="850"/>
      <c r="U70" s="93"/>
      <c r="V70" s="93"/>
      <c r="W70" s="93"/>
      <c r="X70" s="93"/>
      <c r="Y70" s="93"/>
      <c r="Z70" s="93"/>
      <c r="AA70" s="93"/>
      <c r="AB70" s="93"/>
    </row>
    <row r="71" spans="1:28" s="112" customFormat="1">
      <c r="A71" s="109"/>
      <c r="B71" s="109"/>
      <c r="C71" s="109"/>
      <c r="D71" s="109"/>
      <c r="E71" s="104"/>
      <c r="F71" s="110"/>
      <c r="G71" s="93"/>
      <c r="H71" s="93"/>
      <c r="I71" s="56"/>
      <c r="J71" s="93"/>
      <c r="K71" s="93"/>
      <c r="L71" s="93"/>
      <c r="M71" s="93"/>
      <c r="N71" s="93"/>
      <c r="O71" s="93"/>
      <c r="T71" s="850"/>
      <c r="U71" s="93"/>
      <c r="V71" s="93"/>
      <c r="W71" s="93"/>
      <c r="X71" s="93"/>
      <c r="Y71" s="93"/>
      <c r="Z71" s="93"/>
      <c r="AA71" s="93"/>
      <c r="AB71" s="93"/>
    </row>
    <row r="72" spans="1:28" s="112" customFormat="1">
      <c r="A72" s="109"/>
      <c r="B72" s="109"/>
      <c r="C72" s="109"/>
      <c r="D72" s="109"/>
      <c r="E72" s="104"/>
      <c r="F72" s="110"/>
      <c r="G72" s="93"/>
      <c r="H72" s="93"/>
      <c r="I72" s="56"/>
      <c r="J72" s="93"/>
      <c r="K72" s="93"/>
      <c r="L72" s="93"/>
      <c r="M72" s="93"/>
      <c r="N72" s="93"/>
      <c r="O72" s="93"/>
      <c r="T72" s="850"/>
      <c r="U72" s="93"/>
      <c r="V72" s="93"/>
      <c r="W72" s="93"/>
      <c r="X72" s="93"/>
      <c r="Y72" s="93"/>
      <c r="Z72" s="93"/>
      <c r="AA72" s="93"/>
      <c r="AB72" s="93"/>
    </row>
    <row r="73" spans="1:28" s="112" customFormat="1">
      <c r="A73" s="109"/>
      <c r="B73" s="109"/>
      <c r="C73" s="109"/>
      <c r="D73" s="109"/>
      <c r="E73" s="104"/>
      <c r="F73" s="110"/>
      <c r="G73" s="93"/>
      <c r="H73" s="93"/>
      <c r="I73" s="56"/>
      <c r="J73" s="93"/>
      <c r="K73" s="93"/>
      <c r="L73" s="93"/>
      <c r="M73" s="93"/>
      <c r="N73" s="93"/>
      <c r="O73" s="93"/>
      <c r="T73" s="850"/>
      <c r="U73" s="93"/>
      <c r="V73" s="93"/>
      <c r="W73" s="93"/>
      <c r="X73" s="93"/>
      <c r="Y73" s="93"/>
      <c r="Z73" s="93"/>
      <c r="AA73" s="93"/>
      <c r="AB73" s="93"/>
    </row>
    <row r="74" spans="1:28" s="112" customFormat="1">
      <c r="A74" s="109"/>
      <c r="B74" s="109"/>
      <c r="C74" s="109"/>
      <c r="D74" s="109"/>
      <c r="E74" s="104"/>
      <c r="F74" s="110"/>
      <c r="G74" s="93"/>
      <c r="H74" s="93"/>
      <c r="I74" s="56"/>
      <c r="J74" s="93"/>
      <c r="K74" s="93"/>
      <c r="L74" s="93"/>
      <c r="M74" s="93"/>
      <c r="N74" s="93"/>
      <c r="O74" s="93"/>
      <c r="T74" s="850"/>
      <c r="U74" s="93"/>
      <c r="V74" s="93"/>
      <c r="W74" s="93"/>
      <c r="X74" s="93"/>
      <c r="Y74" s="93"/>
      <c r="Z74" s="93"/>
      <c r="AA74" s="93"/>
      <c r="AB74" s="93"/>
    </row>
    <row r="75" spans="1:28" s="112" customFormat="1">
      <c r="A75" s="109"/>
      <c r="B75" s="109"/>
      <c r="C75" s="109"/>
      <c r="D75" s="109"/>
      <c r="E75" s="104"/>
      <c r="F75" s="110"/>
      <c r="G75" s="93"/>
      <c r="H75" s="93"/>
      <c r="I75" s="56"/>
      <c r="J75" s="93"/>
      <c r="K75" s="93"/>
      <c r="L75" s="93"/>
      <c r="M75" s="93"/>
      <c r="N75" s="93"/>
      <c r="O75" s="93"/>
      <c r="T75" s="850"/>
      <c r="U75" s="93"/>
      <c r="V75" s="93"/>
      <c r="W75" s="93"/>
      <c r="X75" s="93"/>
      <c r="Y75" s="93"/>
      <c r="Z75" s="93"/>
      <c r="AA75" s="93"/>
      <c r="AB75" s="93"/>
    </row>
    <row r="76" spans="1:28" s="112" customFormat="1">
      <c r="A76" s="109"/>
      <c r="B76" s="109"/>
      <c r="C76" s="109"/>
      <c r="D76" s="109"/>
      <c r="E76" s="104"/>
      <c r="F76" s="110"/>
      <c r="G76" s="93"/>
      <c r="H76" s="93"/>
      <c r="I76" s="56"/>
      <c r="J76" s="93"/>
      <c r="K76" s="93"/>
      <c r="L76" s="93"/>
      <c r="M76" s="93"/>
      <c r="N76" s="93"/>
      <c r="O76" s="93"/>
      <c r="T76" s="850"/>
      <c r="U76" s="93"/>
      <c r="V76" s="93"/>
      <c r="W76" s="93"/>
      <c r="X76" s="93"/>
      <c r="Y76" s="93"/>
      <c r="Z76" s="93"/>
      <c r="AA76" s="93"/>
      <c r="AB76" s="93"/>
    </row>
    <row r="77" spans="1:28" s="112" customFormat="1">
      <c r="A77" s="109"/>
      <c r="B77" s="109"/>
      <c r="C77" s="109"/>
      <c r="D77" s="109"/>
      <c r="E77" s="104"/>
      <c r="F77" s="110"/>
      <c r="G77" s="93"/>
      <c r="H77" s="93"/>
      <c r="I77" s="56"/>
      <c r="J77" s="93"/>
      <c r="K77" s="93"/>
      <c r="L77" s="93"/>
      <c r="M77" s="93"/>
      <c r="N77" s="93"/>
      <c r="O77" s="93"/>
      <c r="T77" s="850"/>
      <c r="U77" s="93"/>
      <c r="V77" s="93"/>
      <c r="W77" s="93"/>
      <c r="X77" s="93"/>
      <c r="Y77" s="93"/>
      <c r="Z77" s="93"/>
      <c r="AA77" s="93"/>
      <c r="AB77" s="93"/>
    </row>
    <row r="78" spans="1:28" s="112" customFormat="1">
      <c r="A78" s="109"/>
      <c r="B78" s="109"/>
      <c r="C78" s="109"/>
      <c r="D78" s="109"/>
      <c r="E78" s="104"/>
      <c r="F78" s="110"/>
      <c r="G78" s="93"/>
      <c r="H78" s="93"/>
      <c r="I78" s="56"/>
      <c r="J78" s="93"/>
      <c r="K78" s="93"/>
      <c r="L78" s="93"/>
      <c r="M78" s="93"/>
      <c r="N78" s="93"/>
      <c r="O78" s="93"/>
      <c r="T78" s="850"/>
      <c r="U78" s="93"/>
      <c r="V78" s="93"/>
      <c r="W78" s="93"/>
      <c r="X78" s="93"/>
      <c r="Y78" s="93"/>
      <c r="Z78" s="93"/>
      <c r="AA78" s="93"/>
      <c r="AB78" s="93"/>
    </row>
    <row r="79" spans="1:28">
      <c r="A79" s="109"/>
      <c r="B79" s="109"/>
      <c r="C79" s="109"/>
      <c r="D79" s="109"/>
      <c r="E79" s="104"/>
      <c r="F79" s="110"/>
      <c r="G79" s="93"/>
      <c r="H79" s="93"/>
      <c r="I79" s="56"/>
      <c r="J79" s="93"/>
      <c r="K79" s="93"/>
      <c r="L79" s="93"/>
      <c r="O79" s="93"/>
      <c r="P79" s="112"/>
    </row>
    <row r="80" spans="1:28">
      <c r="A80" s="109"/>
      <c r="B80" s="109"/>
      <c r="C80" s="109"/>
      <c r="D80" s="109"/>
      <c r="E80" s="104"/>
      <c r="F80" s="110"/>
      <c r="G80" s="93"/>
      <c r="H80" s="93"/>
      <c r="I80" s="56"/>
      <c r="J80" s="93"/>
      <c r="K80" s="93"/>
      <c r="L80" s="93"/>
      <c r="O80" s="93"/>
      <c r="P80" s="112"/>
    </row>
    <row r="81" spans="1:20">
      <c r="A81" s="109"/>
      <c r="B81" s="109"/>
      <c r="C81" s="109"/>
      <c r="D81" s="109"/>
      <c r="E81" s="104"/>
      <c r="F81" s="110"/>
      <c r="G81" s="93"/>
      <c r="H81" s="93"/>
      <c r="I81" s="56"/>
      <c r="J81" s="93"/>
      <c r="K81" s="93"/>
      <c r="L81" s="93"/>
      <c r="O81" s="93"/>
      <c r="P81" s="112"/>
    </row>
    <row r="82" spans="1:20">
      <c r="A82" s="109"/>
      <c r="B82" s="109"/>
      <c r="C82" s="109"/>
      <c r="D82" s="109"/>
      <c r="E82" s="104"/>
      <c r="F82" s="110"/>
      <c r="G82" s="112"/>
      <c r="H82" s="93"/>
      <c r="I82" s="56"/>
      <c r="J82" s="93"/>
      <c r="K82" s="93"/>
      <c r="L82" s="93"/>
      <c r="O82" s="93"/>
      <c r="P82" s="112"/>
    </row>
    <row r="83" spans="1:20">
      <c r="A83" s="109"/>
      <c r="B83" s="109"/>
      <c r="C83" s="109"/>
      <c r="D83" s="109"/>
      <c r="E83" s="104"/>
      <c r="F83" s="110"/>
      <c r="G83" s="112"/>
      <c r="H83" s="93"/>
      <c r="I83" s="56"/>
      <c r="J83" s="93"/>
      <c r="K83" s="93"/>
      <c r="L83" s="93"/>
      <c r="O83" s="93"/>
      <c r="P83" s="112"/>
    </row>
    <row r="84" spans="1:20">
      <c r="A84" s="109"/>
      <c r="B84" s="109"/>
      <c r="C84" s="109"/>
      <c r="D84" s="109"/>
      <c r="E84" s="104"/>
      <c r="F84" s="110"/>
      <c r="G84" s="112"/>
      <c r="H84" s="93"/>
      <c r="I84" s="56"/>
      <c r="J84" s="93"/>
      <c r="K84" s="93"/>
      <c r="L84" s="93"/>
      <c r="O84" s="93"/>
      <c r="P84" s="112"/>
    </row>
    <row r="85" spans="1:20">
      <c r="A85" s="109"/>
      <c r="B85" s="109"/>
      <c r="C85" s="109"/>
      <c r="D85" s="109"/>
      <c r="E85" s="104"/>
      <c r="F85" s="110"/>
      <c r="G85" s="112"/>
      <c r="H85" s="93"/>
      <c r="I85" s="56"/>
      <c r="J85" s="93"/>
      <c r="K85" s="93"/>
      <c r="L85" s="93"/>
      <c r="O85" s="93"/>
      <c r="P85" s="112"/>
    </row>
    <row r="86" spans="1:20">
      <c r="A86" s="109"/>
      <c r="B86" s="109"/>
      <c r="C86" s="109"/>
      <c r="D86" s="109"/>
      <c r="E86" s="104"/>
      <c r="F86" s="110"/>
      <c r="G86" s="93"/>
      <c r="H86" s="93"/>
      <c r="I86" s="56"/>
      <c r="J86" s="93"/>
      <c r="K86" s="93"/>
      <c r="L86" s="93"/>
      <c r="O86" s="93"/>
      <c r="P86" s="112"/>
    </row>
    <row r="87" spans="1:20">
      <c r="A87" s="109"/>
      <c r="B87" s="109"/>
      <c r="C87" s="109"/>
      <c r="D87" s="109"/>
      <c r="E87" s="104"/>
      <c r="F87" s="110"/>
      <c r="G87" s="93"/>
      <c r="H87" s="93"/>
      <c r="I87" s="56"/>
      <c r="J87" s="93"/>
      <c r="K87" s="93"/>
      <c r="L87" s="93"/>
      <c r="O87" s="93"/>
      <c r="P87" s="112"/>
    </row>
    <row r="88" spans="1:20" s="109" customFormat="1">
      <c r="E88" s="104"/>
      <c r="F88" s="110"/>
      <c r="G88" s="93"/>
      <c r="H88" s="93"/>
      <c r="I88" s="56"/>
      <c r="J88" s="93"/>
      <c r="K88" s="93"/>
      <c r="L88" s="93"/>
      <c r="M88" s="93"/>
      <c r="N88" s="93"/>
      <c r="O88" s="93"/>
      <c r="P88" s="112"/>
      <c r="Q88" s="112"/>
      <c r="R88" s="114"/>
      <c r="S88" s="114"/>
      <c r="T88" s="851"/>
    </row>
    <row r="89" spans="1:20" s="109" customFormat="1">
      <c r="E89" s="104"/>
      <c r="F89" s="110"/>
      <c r="G89" s="93"/>
      <c r="H89" s="93"/>
      <c r="I89" s="56"/>
      <c r="J89" s="93"/>
      <c r="K89" s="93"/>
      <c r="L89" s="93"/>
      <c r="M89" s="93"/>
      <c r="N89" s="93"/>
      <c r="O89" s="93"/>
      <c r="P89" s="112"/>
      <c r="Q89" s="112"/>
      <c r="R89" s="114"/>
      <c r="S89" s="114"/>
      <c r="T89" s="851"/>
    </row>
    <row r="90" spans="1:20" s="109" customFormat="1">
      <c r="E90" s="104"/>
      <c r="F90" s="110"/>
      <c r="G90" s="93"/>
      <c r="H90" s="93"/>
      <c r="I90" s="56"/>
      <c r="J90" s="93"/>
      <c r="K90" s="93"/>
      <c r="L90" s="93"/>
      <c r="M90" s="93"/>
      <c r="N90" s="93"/>
      <c r="O90" s="93"/>
      <c r="P90" s="112"/>
      <c r="Q90" s="112"/>
      <c r="R90" s="114"/>
      <c r="S90" s="114"/>
      <c r="T90" s="851"/>
    </row>
    <row r="91" spans="1:20" s="109" customFormat="1">
      <c r="E91" s="104"/>
      <c r="F91" s="110"/>
      <c r="G91" s="93"/>
      <c r="H91" s="93"/>
      <c r="I91" s="56"/>
      <c r="J91" s="93"/>
      <c r="K91" s="93"/>
      <c r="L91" s="93"/>
      <c r="M91" s="93"/>
      <c r="N91" s="93"/>
      <c r="O91" s="93"/>
      <c r="P91" s="112"/>
      <c r="Q91" s="112"/>
      <c r="R91" s="114"/>
      <c r="S91" s="114"/>
      <c r="T91" s="851"/>
    </row>
    <row r="92" spans="1:20" s="109" customFormat="1">
      <c r="E92" s="104"/>
      <c r="F92" s="110"/>
      <c r="G92" s="93"/>
      <c r="H92" s="93"/>
      <c r="I92" s="56"/>
      <c r="J92" s="93"/>
      <c r="K92" s="93"/>
      <c r="L92" s="93"/>
      <c r="M92" s="93"/>
      <c r="N92" s="93"/>
      <c r="O92" s="93"/>
      <c r="P92" s="112"/>
      <c r="Q92" s="112"/>
      <c r="R92" s="114"/>
      <c r="S92" s="114"/>
      <c r="T92" s="851"/>
    </row>
    <row r="93" spans="1:20" s="109" customFormat="1">
      <c r="E93" s="104"/>
      <c r="F93" s="110"/>
      <c r="G93" s="93"/>
      <c r="H93" s="93"/>
      <c r="I93" s="56"/>
      <c r="J93" s="93"/>
      <c r="K93" s="93"/>
      <c r="L93" s="93"/>
      <c r="M93" s="93"/>
      <c r="P93" s="114"/>
      <c r="Q93" s="114"/>
      <c r="R93" s="114"/>
      <c r="S93" s="114"/>
      <c r="T93" s="851"/>
    </row>
    <row r="94" spans="1:20" s="109" customFormat="1">
      <c r="E94" s="104"/>
      <c r="F94" s="110"/>
      <c r="G94" s="93"/>
      <c r="H94" s="93"/>
      <c r="I94" s="56"/>
      <c r="J94" s="93"/>
      <c r="K94" s="93"/>
      <c r="L94" s="93"/>
      <c r="M94" s="93"/>
      <c r="P94" s="114"/>
      <c r="Q94" s="114"/>
      <c r="R94" s="114"/>
      <c r="S94" s="114"/>
      <c r="T94" s="851"/>
    </row>
    <row r="95" spans="1:20" s="109" customFormat="1">
      <c r="E95" s="104"/>
      <c r="F95" s="110"/>
      <c r="G95" s="93"/>
      <c r="H95" s="93"/>
      <c r="I95" s="56"/>
      <c r="J95" s="93"/>
      <c r="K95" s="93"/>
      <c r="L95" s="93"/>
      <c r="M95" s="93"/>
      <c r="P95" s="114"/>
      <c r="Q95" s="114"/>
      <c r="R95" s="114"/>
      <c r="S95" s="114"/>
      <c r="T95" s="851"/>
    </row>
    <row r="96" spans="1:20" s="109" customFormat="1">
      <c r="E96" s="104"/>
      <c r="F96" s="110"/>
      <c r="G96" s="93"/>
      <c r="H96" s="93"/>
      <c r="I96" s="56"/>
      <c r="J96" s="93"/>
      <c r="K96" s="93"/>
      <c r="L96" s="93"/>
      <c r="M96" s="93"/>
      <c r="P96" s="114"/>
      <c r="Q96" s="114"/>
      <c r="R96" s="114"/>
      <c r="S96" s="114"/>
      <c r="T96" s="851"/>
    </row>
    <row r="97" spans="5:20" s="109" customFormat="1">
      <c r="E97" s="104"/>
      <c r="F97" s="110"/>
      <c r="G97" s="93"/>
      <c r="H97" s="93"/>
      <c r="I97" s="56"/>
      <c r="J97" s="93"/>
      <c r="K97" s="93"/>
      <c r="L97" s="93"/>
      <c r="M97" s="93"/>
      <c r="P97" s="114"/>
      <c r="Q97" s="114"/>
      <c r="R97" s="114"/>
      <c r="S97" s="114"/>
      <c r="T97" s="851"/>
    </row>
    <row r="98" spans="5:20" s="109" customFormat="1">
      <c r="E98" s="104"/>
      <c r="F98" s="110"/>
      <c r="G98" s="93"/>
      <c r="H98" s="93"/>
      <c r="I98" s="56"/>
      <c r="J98" s="93"/>
      <c r="K98" s="93"/>
      <c r="L98" s="93"/>
      <c r="M98" s="93"/>
      <c r="P98" s="114"/>
      <c r="Q98" s="114"/>
      <c r="R98" s="114"/>
      <c r="S98" s="114"/>
      <c r="T98" s="851"/>
    </row>
    <row r="99" spans="5:20" s="109" customFormat="1">
      <c r="E99" s="104"/>
      <c r="F99" s="110"/>
      <c r="G99" s="93"/>
      <c r="H99" s="93"/>
      <c r="I99" s="56"/>
      <c r="J99" s="93"/>
      <c r="K99" s="93"/>
      <c r="L99" s="93"/>
      <c r="M99" s="93"/>
      <c r="P99" s="114"/>
      <c r="Q99" s="114"/>
      <c r="R99" s="114"/>
      <c r="S99" s="114"/>
      <c r="T99" s="851"/>
    </row>
    <row r="100" spans="5:20" s="109" customFormat="1">
      <c r="E100" s="104"/>
      <c r="F100" s="110"/>
      <c r="G100" s="93"/>
      <c r="H100" s="93"/>
      <c r="I100" s="56"/>
      <c r="J100" s="93"/>
      <c r="K100" s="93"/>
      <c r="L100" s="93"/>
      <c r="M100" s="93"/>
      <c r="P100" s="114"/>
      <c r="Q100" s="114"/>
      <c r="R100" s="114"/>
      <c r="S100" s="114"/>
      <c r="T100" s="851"/>
    </row>
    <row r="101" spans="5:20" s="109" customFormat="1">
      <c r="E101" s="104"/>
      <c r="F101" s="110"/>
      <c r="G101" s="93"/>
      <c r="H101" s="93"/>
      <c r="I101" s="56"/>
      <c r="J101" s="93"/>
      <c r="K101" s="93"/>
      <c r="L101" s="93"/>
      <c r="M101" s="93"/>
      <c r="P101" s="114"/>
      <c r="Q101" s="114"/>
      <c r="R101" s="114"/>
      <c r="S101" s="114"/>
      <c r="T101" s="851"/>
    </row>
    <row r="102" spans="5:20" s="109" customFormat="1">
      <c r="E102" s="104"/>
      <c r="F102" s="110"/>
      <c r="G102" s="93"/>
      <c r="H102" s="93"/>
      <c r="I102" s="56"/>
      <c r="J102" s="93"/>
      <c r="K102" s="93"/>
      <c r="L102" s="93"/>
      <c r="M102" s="93"/>
      <c r="P102" s="114"/>
      <c r="Q102" s="114"/>
      <c r="R102" s="114"/>
      <c r="S102" s="114"/>
      <c r="T102" s="851"/>
    </row>
    <row r="103" spans="5:20" s="109" customFormat="1">
      <c r="E103" s="104"/>
      <c r="F103" s="110"/>
      <c r="G103" s="93"/>
      <c r="H103" s="93"/>
      <c r="I103" s="56"/>
      <c r="J103" s="93"/>
      <c r="K103" s="93"/>
      <c r="L103" s="93"/>
      <c r="M103" s="93"/>
      <c r="P103" s="114"/>
      <c r="Q103" s="114"/>
      <c r="R103" s="114"/>
      <c r="S103" s="114"/>
      <c r="T103" s="851"/>
    </row>
    <row r="104" spans="5:20" s="109" customFormat="1">
      <c r="E104" s="104"/>
      <c r="F104" s="110"/>
      <c r="G104" s="93"/>
      <c r="H104" s="93"/>
      <c r="I104" s="56"/>
      <c r="J104" s="93"/>
      <c r="K104" s="93"/>
      <c r="L104" s="93"/>
      <c r="M104" s="93"/>
      <c r="P104" s="114"/>
      <c r="Q104" s="114"/>
      <c r="R104" s="114"/>
      <c r="S104" s="114"/>
      <c r="T104" s="851"/>
    </row>
    <row r="105" spans="5:20" s="109" customFormat="1">
      <c r="E105" s="104"/>
      <c r="F105" s="110"/>
      <c r="G105" s="93"/>
      <c r="H105" s="93"/>
      <c r="I105" s="56"/>
      <c r="J105" s="93"/>
      <c r="K105" s="93"/>
      <c r="L105" s="93"/>
      <c r="M105" s="93"/>
      <c r="P105" s="114"/>
      <c r="Q105" s="114"/>
      <c r="R105" s="114"/>
      <c r="S105" s="114"/>
      <c r="T105" s="851"/>
    </row>
    <row r="106" spans="5:20" s="109" customFormat="1">
      <c r="E106" s="104"/>
      <c r="F106" s="110"/>
      <c r="G106" s="93"/>
      <c r="H106" s="93"/>
      <c r="I106" s="56"/>
      <c r="J106" s="93"/>
      <c r="K106" s="93"/>
      <c r="L106" s="93"/>
      <c r="M106" s="93"/>
      <c r="P106" s="114"/>
      <c r="Q106" s="114"/>
      <c r="R106" s="114"/>
      <c r="S106" s="114"/>
      <c r="T106" s="851"/>
    </row>
    <row r="107" spans="5:20" s="109" customFormat="1">
      <c r="E107" s="104"/>
      <c r="F107" s="110"/>
      <c r="G107" s="93"/>
      <c r="H107" s="93"/>
      <c r="I107" s="56"/>
      <c r="J107" s="93"/>
      <c r="K107" s="93"/>
      <c r="L107" s="93"/>
      <c r="M107" s="93"/>
      <c r="P107" s="114"/>
      <c r="Q107" s="114"/>
      <c r="R107" s="114"/>
      <c r="S107" s="114"/>
      <c r="T107" s="851"/>
    </row>
    <row r="108" spans="5:20" s="109" customFormat="1">
      <c r="E108" s="104"/>
      <c r="F108" s="110"/>
      <c r="G108" s="93"/>
      <c r="H108" s="93"/>
      <c r="I108" s="56"/>
      <c r="J108" s="93"/>
      <c r="K108" s="93"/>
      <c r="L108" s="93"/>
      <c r="P108" s="114"/>
      <c r="Q108" s="114"/>
      <c r="R108" s="114"/>
      <c r="S108" s="114"/>
      <c r="T108" s="851"/>
    </row>
    <row r="109" spans="5:20" s="109" customFormat="1">
      <c r="E109" s="104"/>
      <c r="F109" s="110"/>
      <c r="G109" s="93"/>
      <c r="H109" s="93"/>
      <c r="I109" s="56"/>
      <c r="J109" s="93"/>
      <c r="K109" s="93"/>
      <c r="L109" s="93"/>
      <c r="P109" s="114"/>
      <c r="Q109" s="114"/>
      <c r="R109" s="114"/>
      <c r="S109" s="114"/>
      <c r="T109" s="851"/>
    </row>
    <row r="110" spans="5:20" s="109" customFormat="1">
      <c r="E110" s="104"/>
      <c r="F110" s="110"/>
      <c r="G110" s="93"/>
      <c r="H110" s="93"/>
      <c r="I110" s="56"/>
      <c r="J110" s="93"/>
      <c r="K110" s="93"/>
      <c r="L110" s="93"/>
      <c r="P110" s="114"/>
      <c r="Q110" s="114"/>
      <c r="R110" s="114"/>
      <c r="S110" s="114"/>
      <c r="T110" s="851"/>
    </row>
    <row r="111" spans="5:20" s="109" customFormat="1">
      <c r="E111" s="104"/>
      <c r="F111" s="110"/>
      <c r="G111" s="93"/>
      <c r="H111" s="93"/>
      <c r="I111" s="56"/>
      <c r="J111" s="93"/>
      <c r="K111" s="93"/>
      <c r="L111" s="93"/>
      <c r="P111" s="114"/>
      <c r="Q111" s="114"/>
      <c r="R111" s="114"/>
      <c r="S111" s="114"/>
      <c r="T111" s="851"/>
    </row>
    <row r="112" spans="5:20" s="109" customFormat="1">
      <c r="E112" s="104"/>
      <c r="F112" s="110"/>
      <c r="G112" s="93"/>
      <c r="H112" s="93"/>
      <c r="I112" s="56"/>
      <c r="J112" s="93"/>
      <c r="K112" s="93"/>
      <c r="L112" s="93"/>
      <c r="P112" s="114"/>
      <c r="Q112" s="114"/>
      <c r="R112" s="114"/>
      <c r="S112" s="114"/>
      <c r="T112" s="851"/>
    </row>
    <row r="113" spans="5:20" s="109" customFormat="1">
      <c r="E113" s="104"/>
      <c r="F113" s="110"/>
      <c r="G113" s="93"/>
      <c r="H113" s="93"/>
      <c r="I113" s="56"/>
      <c r="J113" s="93"/>
      <c r="K113" s="93"/>
      <c r="L113" s="93"/>
      <c r="P113" s="114"/>
      <c r="Q113" s="114"/>
      <c r="R113" s="114"/>
      <c r="S113" s="114"/>
      <c r="T113" s="851"/>
    </row>
    <row r="114" spans="5:20" s="109" customFormat="1">
      <c r="E114" s="104"/>
      <c r="F114" s="110"/>
      <c r="G114" s="93"/>
      <c r="H114" s="93"/>
      <c r="I114" s="56"/>
      <c r="J114" s="93"/>
      <c r="K114" s="93"/>
      <c r="L114" s="93"/>
      <c r="P114" s="114"/>
      <c r="Q114" s="114"/>
      <c r="R114" s="114"/>
      <c r="S114" s="114"/>
      <c r="T114" s="851"/>
    </row>
    <row r="115" spans="5:20" s="109" customFormat="1">
      <c r="E115" s="104"/>
      <c r="F115" s="110"/>
      <c r="G115" s="93"/>
      <c r="H115" s="93"/>
      <c r="I115" s="56"/>
      <c r="J115" s="93"/>
      <c r="K115" s="93"/>
      <c r="L115" s="93"/>
      <c r="P115" s="114"/>
      <c r="Q115" s="114"/>
      <c r="R115" s="114"/>
      <c r="S115" s="114"/>
      <c r="T115" s="851"/>
    </row>
    <row r="116" spans="5:20" s="109" customFormat="1">
      <c r="E116" s="104"/>
      <c r="F116" s="110"/>
      <c r="G116" s="93"/>
      <c r="H116" s="93"/>
      <c r="I116" s="56"/>
      <c r="J116" s="93"/>
      <c r="K116" s="93"/>
      <c r="L116" s="93"/>
      <c r="P116" s="114"/>
      <c r="Q116" s="114"/>
      <c r="R116" s="114"/>
      <c r="S116" s="114"/>
      <c r="T116" s="851"/>
    </row>
    <row r="117" spans="5:20" s="109" customFormat="1">
      <c r="E117" s="104"/>
      <c r="F117" s="110"/>
      <c r="G117" s="93"/>
      <c r="H117" s="93"/>
      <c r="I117" s="56"/>
      <c r="J117" s="93"/>
      <c r="K117" s="93"/>
      <c r="L117" s="93"/>
      <c r="P117" s="114"/>
      <c r="Q117" s="114"/>
      <c r="R117" s="114"/>
      <c r="S117" s="114"/>
      <c r="T117" s="851"/>
    </row>
    <row r="118" spans="5:20" s="109" customFormat="1">
      <c r="E118" s="104"/>
      <c r="F118" s="110"/>
      <c r="G118" s="93"/>
      <c r="H118" s="93"/>
      <c r="I118" s="56"/>
      <c r="J118" s="93"/>
      <c r="K118" s="93"/>
      <c r="L118" s="93"/>
      <c r="P118" s="114"/>
      <c r="Q118" s="114"/>
      <c r="R118" s="114"/>
      <c r="S118" s="114"/>
      <c r="T118" s="851"/>
    </row>
    <row r="119" spans="5:20" s="109" customFormat="1">
      <c r="E119" s="104"/>
      <c r="F119" s="110"/>
      <c r="G119" s="93"/>
      <c r="H119" s="93"/>
      <c r="I119" s="56"/>
      <c r="J119" s="93"/>
      <c r="K119" s="93"/>
      <c r="L119" s="93"/>
      <c r="P119" s="114"/>
      <c r="Q119" s="114"/>
      <c r="R119" s="114"/>
      <c r="S119" s="114"/>
      <c r="T119" s="851"/>
    </row>
    <row r="120" spans="5:20" s="109" customFormat="1">
      <c r="E120" s="104"/>
      <c r="F120" s="110"/>
      <c r="G120" s="93"/>
      <c r="H120" s="93"/>
      <c r="I120" s="56"/>
      <c r="J120" s="93"/>
      <c r="K120" s="93"/>
      <c r="L120" s="93"/>
      <c r="P120" s="114"/>
      <c r="Q120" s="114"/>
      <c r="R120" s="114"/>
      <c r="S120" s="114"/>
      <c r="T120" s="851"/>
    </row>
    <row r="121" spans="5:20" s="109" customFormat="1">
      <c r="E121" s="104"/>
      <c r="F121" s="110"/>
      <c r="G121" s="93"/>
      <c r="H121" s="93"/>
      <c r="I121" s="56"/>
      <c r="J121" s="93"/>
      <c r="K121" s="93"/>
      <c r="L121" s="93"/>
      <c r="P121" s="114"/>
      <c r="Q121" s="114"/>
      <c r="R121" s="114"/>
      <c r="S121" s="114"/>
      <c r="T121" s="851"/>
    </row>
    <row r="122" spans="5:20" s="109" customFormat="1">
      <c r="E122" s="104"/>
      <c r="F122" s="110"/>
      <c r="G122" s="93"/>
      <c r="H122" s="93"/>
      <c r="I122" s="56"/>
      <c r="J122" s="93"/>
      <c r="K122" s="93"/>
      <c r="L122" s="93"/>
      <c r="P122" s="114"/>
      <c r="Q122" s="114"/>
      <c r="R122" s="114"/>
      <c r="S122" s="114"/>
      <c r="T122" s="851"/>
    </row>
    <row r="123" spans="5:20" s="109" customFormat="1">
      <c r="E123" s="104"/>
      <c r="F123" s="110"/>
      <c r="G123" s="93"/>
      <c r="H123" s="93"/>
      <c r="I123" s="56"/>
      <c r="J123" s="93"/>
      <c r="K123" s="93"/>
      <c r="L123" s="93"/>
      <c r="P123" s="114"/>
      <c r="Q123" s="114"/>
      <c r="R123" s="114"/>
      <c r="S123" s="114"/>
      <c r="T123" s="851"/>
    </row>
    <row r="124" spans="5:20" s="109" customFormat="1">
      <c r="E124" s="104"/>
      <c r="F124" s="110"/>
      <c r="G124" s="93"/>
      <c r="H124" s="93"/>
      <c r="I124" s="56"/>
      <c r="J124" s="93"/>
      <c r="K124" s="93"/>
      <c r="L124" s="93"/>
      <c r="P124" s="114"/>
      <c r="Q124" s="114"/>
      <c r="R124" s="114"/>
      <c r="S124" s="114"/>
      <c r="T124" s="851"/>
    </row>
    <row r="125" spans="5:20" s="109" customFormat="1">
      <c r="E125" s="104"/>
      <c r="F125" s="110"/>
      <c r="G125" s="93"/>
      <c r="H125" s="93"/>
      <c r="I125" s="56"/>
      <c r="J125" s="93"/>
      <c r="K125" s="93"/>
      <c r="L125" s="93"/>
      <c r="P125" s="114"/>
      <c r="Q125" s="114"/>
      <c r="R125" s="114"/>
      <c r="S125" s="114"/>
      <c r="T125" s="851"/>
    </row>
    <row r="126" spans="5:20" s="109" customFormat="1">
      <c r="E126" s="104"/>
      <c r="F126" s="110"/>
      <c r="G126" s="93"/>
      <c r="H126" s="93"/>
      <c r="I126" s="56"/>
      <c r="J126" s="93"/>
      <c r="K126" s="93"/>
      <c r="L126" s="93"/>
      <c r="P126" s="114"/>
      <c r="Q126" s="114"/>
      <c r="R126" s="114"/>
      <c r="S126" s="114"/>
      <c r="T126" s="851"/>
    </row>
    <row r="127" spans="5:20" s="109" customFormat="1">
      <c r="E127" s="104"/>
      <c r="F127" s="110"/>
      <c r="G127" s="93"/>
      <c r="H127" s="93"/>
      <c r="I127" s="56"/>
      <c r="J127" s="93"/>
      <c r="K127" s="93"/>
      <c r="L127" s="93"/>
      <c r="P127" s="114"/>
      <c r="Q127" s="114"/>
      <c r="R127" s="114"/>
      <c r="S127" s="114"/>
      <c r="T127" s="851"/>
    </row>
    <row r="128" spans="5:20" s="109" customFormat="1">
      <c r="E128" s="104"/>
      <c r="F128" s="110"/>
      <c r="G128" s="93"/>
      <c r="H128" s="93"/>
      <c r="I128" s="56"/>
      <c r="J128" s="93"/>
      <c r="K128" s="93"/>
      <c r="L128" s="93"/>
      <c r="P128" s="114"/>
      <c r="Q128" s="114"/>
      <c r="R128" s="114"/>
      <c r="S128" s="114"/>
      <c r="T128" s="851"/>
    </row>
    <row r="129" spans="5:20" s="109" customFormat="1">
      <c r="E129" s="104"/>
      <c r="F129" s="110"/>
      <c r="G129" s="93"/>
      <c r="H129" s="93"/>
      <c r="I129" s="56"/>
      <c r="J129" s="93"/>
      <c r="K129" s="93"/>
      <c r="L129" s="93"/>
      <c r="P129" s="114"/>
      <c r="Q129" s="114"/>
      <c r="R129" s="114"/>
      <c r="S129" s="114"/>
      <c r="T129" s="851"/>
    </row>
    <row r="130" spans="5:20" s="109" customFormat="1">
      <c r="E130" s="104"/>
      <c r="F130" s="110"/>
      <c r="G130" s="93"/>
      <c r="H130" s="93"/>
      <c r="I130" s="56"/>
      <c r="J130" s="93"/>
      <c r="K130" s="93"/>
      <c r="L130" s="93"/>
      <c r="P130" s="114"/>
      <c r="Q130" s="114"/>
      <c r="R130" s="114"/>
      <c r="S130" s="114"/>
      <c r="T130" s="851"/>
    </row>
    <row r="131" spans="5:20" s="109" customFormat="1">
      <c r="E131" s="104"/>
      <c r="F131" s="110"/>
      <c r="G131" s="93"/>
      <c r="H131" s="93"/>
      <c r="I131" s="56"/>
      <c r="J131" s="93"/>
      <c r="K131" s="93"/>
      <c r="L131" s="93"/>
      <c r="P131" s="114"/>
      <c r="Q131" s="114"/>
      <c r="R131" s="114"/>
      <c r="S131" s="114"/>
      <c r="T131" s="851"/>
    </row>
    <row r="132" spans="5:20" s="109" customFormat="1">
      <c r="E132" s="104"/>
      <c r="F132" s="110"/>
      <c r="G132" s="93"/>
      <c r="H132" s="93"/>
      <c r="I132" s="56"/>
      <c r="J132" s="93"/>
      <c r="K132" s="93"/>
      <c r="L132" s="93"/>
      <c r="P132" s="114"/>
      <c r="Q132" s="114"/>
      <c r="R132" s="114"/>
      <c r="S132" s="114"/>
      <c r="T132" s="851"/>
    </row>
    <row r="133" spans="5:20" s="109" customFormat="1">
      <c r="E133" s="104"/>
      <c r="F133" s="110"/>
      <c r="G133" s="93"/>
      <c r="H133" s="93"/>
      <c r="I133" s="56"/>
      <c r="J133" s="93"/>
      <c r="K133" s="93"/>
      <c r="L133" s="93"/>
      <c r="P133" s="114"/>
      <c r="Q133" s="114"/>
      <c r="R133" s="114"/>
      <c r="S133" s="114"/>
      <c r="T133" s="851"/>
    </row>
    <row r="134" spans="5:20" s="109" customFormat="1">
      <c r="E134" s="104"/>
      <c r="F134" s="110"/>
      <c r="G134" s="93"/>
      <c r="H134" s="93"/>
      <c r="I134" s="56"/>
      <c r="J134" s="93"/>
      <c r="K134" s="93"/>
      <c r="L134" s="93"/>
      <c r="P134" s="114"/>
      <c r="Q134" s="114"/>
      <c r="R134" s="114"/>
      <c r="S134" s="114"/>
      <c r="T134" s="851"/>
    </row>
    <row r="135" spans="5:20" s="109" customFormat="1">
      <c r="E135" s="104"/>
      <c r="F135" s="110"/>
      <c r="G135" s="93"/>
      <c r="H135" s="93"/>
      <c r="I135" s="56"/>
      <c r="J135" s="93"/>
      <c r="K135" s="93"/>
      <c r="L135" s="93"/>
      <c r="P135" s="114"/>
      <c r="Q135" s="114"/>
      <c r="R135" s="114"/>
      <c r="S135" s="114"/>
      <c r="T135" s="851"/>
    </row>
    <row r="136" spans="5:20" s="109" customFormat="1">
      <c r="E136" s="104"/>
      <c r="F136" s="110"/>
      <c r="G136" s="93"/>
      <c r="H136" s="93"/>
      <c r="I136" s="56"/>
      <c r="J136" s="93"/>
      <c r="K136" s="93"/>
      <c r="L136" s="93"/>
      <c r="P136" s="114"/>
      <c r="Q136" s="114"/>
      <c r="R136" s="114"/>
      <c r="S136" s="114"/>
      <c r="T136" s="851"/>
    </row>
    <row r="137" spans="5:20" s="109" customFormat="1">
      <c r="E137" s="104"/>
      <c r="F137" s="110"/>
      <c r="G137" s="93"/>
      <c r="H137" s="93"/>
      <c r="I137" s="56"/>
      <c r="J137" s="93"/>
      <c r="K137" s="93"/>
      <c r="L137" s="93"/>
      <c r="P137" s="114"/>
      <c r="Q137" s="114"/>
      <c r="R137" s="114"/>
      <c r="S137" s="114"/>
      <c r="T137" s="851"/>
    </row>
    <row r="138" spans="5:20" s="109" customFormat="1">
      <c r="E138" s="104"/>
      <c r="F138" s="110"/>
      <c r="G138" s="93"/>
      <c r="H138" s="93"/>
      <c r="I138" s="56"/>
      <c r="J138" s="93"/>
      <c r="K138" s="93"/>
      <c r="L138" s="93"/>
      <c r="P138" s="114"/>
      <c r="Q138" s="114"/>
      <c r="R138" s="114"/>
      <c r="S138" s="114"/>
      <c r="T138" s="851"/>
    </row>
    <row r="139" spans="5:20" s="109" customFormat="1">
      <c r="E139" s="104"/>
      <c r="F139" s="110"/>
      <c r="G139" s="93"/>
      <c r="H139" s="93"/>
      <c r="I139" s="56"/>
      <c r="J139" s="93"/>
      <c r="K139" s="93"/>
      <c r="L139" s="93"/>
      <c r="P139" s="114"/>
      <c r="Q139" s="114"/>
      <c r="R139" s="114"/>
      <c r="S139" s="114"/>
      <c r="T139" s="851"/>
    </row>
    <row r="140" spans="5:20" s="109" customFormat="1">
      <c r="E140" s="104"/>
      <c r="F140" s="110"/>
      <c r="G140" s="93"/>
      <c r="H140" s="93"/>
      <c r="I140" s="56"/>
      <c r="J140" s="93"/>
      <c r="K140" s="93"/>
      <c r="L140" s="93"/>
      <c r="P140" s="114"/>
      <c r="Q140" s="114"/>
      <c r="R140" s="114"/>
      <c r="S140" s="114"/>
      <c r="T140" s="851"/>
    </row>
    <row r="141" spans="5:20" s="109" customFormat="1">
      <c r="E141" s="104"/>
      <c r="F141" s="110"/>
      <c r="G141" s="93"/>
      <c r="H141" s="93"/>
      <c r="I141" s="56"/>
      <c r="J141" s="93"/>
      <c r="K141" s="93"/>
      <c r="L141" s="93"/>
      <c r="P141" s="114"/>
      <c r="Q141" s="114"/>
      <c r="R141" s="114"/>
      <c r="S141" s="114"/>
      <c r="T141" s="851"/>
    </row>
    <row r="142" spans="5:20" s="109" customFormat="1">
      <c r="E142" s="104"/>
      <c r="F142" s="110"/>
      <c r="G142" s="93"/>
      <c r="H142" s="93"/>
      <c r="I142" s="56"/>
      <c r="J142" s="93"/>
      <c r="K142" s="93"/>
      <c r="L142" s="93"/>
      <c r="P142" s="114"/>
      <c r="Q142" s="114"/>
      <c r="R142" s="114"/>
      <c r="S142" s="114"/>
      <c r="T142" s="851"/>
    </row>
    <row r="143" spans="5:20" s="109" customFormat="1">
      <c r="E143" s="104"/>
      <c r="F143" s="110"/>
      <c r="G143" s="93"/>
      <c r="H143" s="93"/>
      <c r="I143" s="56"/>
      <c r="J143" s="93"/>
      <c r="K143" s="93"/>
      <c r="L143" s="93"/>
      <c r="P143" s="114"/>
      <c r="Q143" s="114"/>
      <c r="R143" s="114"/>
      <c r="S143" s="114"/>
      <c r="T143" s="851"/>
    </row>
    <row r="144" spans="5:20" s="109" customFormat="1">
      <c r="E144" s="104"/>
      <c r="F144" s="110"/>
      <c r="G144" s="93"/>
      <c r="H144" s="93"/>
      <c r="I144" s="56"/>
      <c r="J144" s="93"/>
      <c r="K144" s="93"/>
      <c r="L144" s="93"/>
      <c r="P144" s="114"/>
      <c r="Q144" s="114"/>
      <c r="R144" s="114"/>
      <c r="S144" s="114"/>
      <c r="T144" s="851"/>
    </row>
    <row r="145" spans="1:17">
      <c r="A145" s="109"/>
      <c r="B145" s="109"/>
      <c r="C145" s="109"/>
      <c r="D145" s="109"/>
      <c r="E145" s="104"/>
      <c r="F145" s="110"/>
      <c r="G145" s="93"/>
      <c r="H145" s="93"/>
      <c r="I145" s="56"/>
      <c r="J145" s="93"/>
      <c r="K145" s="93"/>
      <c r="L145" s="93"/>
      <c r="M145" s="109"/>
      <c r="N145" s="109"/>
      <c r="O145" s="109"/>
      <c r="P145" s="114"/>
      <c r="Q145" s="114"/>
    </row>
    <row r="146" spans="1:17">
      <c r="A146" s="109"/>
      <c r="B146" s="109"/>
      <c r="C146" s="109"/>
      <c r="D146" s="109"/>
      <c r="E146" s="104"/>
      <c r="F146" s="110"/>
      <c r="G146" s="93"/>
      <c r="H146" s="93"/>
      <c r="I146" s="56"/>
      <c r="J146" s="93"/>
      <c r="K146" s="93"/>
      <c r="L146" s="93"/>
      <c r="M146" s="109"/>
      <c r="N146" s="109"/>
      <c r="O146" s="109"/>
      <c r="P146" s="114"/>
      <c r="Q146" s="114"/>
    </row>
    <row r="147" spans="1:17">
      <c r="A147" s="109"/>
      <c r="B147" s="109"/>
      <c r="C147" s="109"/>
      <c r="D147" s="109"/>
      <c r="E147" s="104"/>
      <c r="F147" s="110"/>
      <c r="G147" s="93"/>
      <c r="H147" s="93"/>
      <c r="I147" s="56"/>
      <c r="J147" s="93"/>
      <c r="K147" s="93"/>
      <c r="L147" s="93"/>
      <c r="M147" s="109"/>
      <c r="N147" s="109"/>
      <c r="O147" s="109"/>
      <c r="P147" s="114"/>
      <c r="Q147" s="114"/>
    </row>
    <row r="148" spans="1:17">
      <c r="A148" s="109"/>
      <c r="B148" s="109"/>
      <c r="C148" s="109"/>
      <c r="D148" s="109"/>
      <c r="E148" s="104"/>
      <c r="F148" s="110"/>
      <c r="G148" s="93"/>
      <c r="H148" s="93"/>
      <c r="I148" s="56"/>
      <c r="J148" s="93"/>
      <c r="K148" s="93"/>
      <c r="L148" s="93"/>
      <c r="M148" s="109"/>
      <c r="N148" s="109"/>
      <c r="O148" s="109"/>
      <c r="P148" s="114"/>
      <c r="Q148" s="114"/>
    </row>
    <row r="149" spans="1:17">
      <c r="A149" s="109"/>
      <c r="B149" s="109"/>
      <c r="C149" s="109"/>
      <c r="D149" s="109"/>
      <c r="E149" s="104"/>
      <c r="F149" s="110"/>
      <c r="G149" s="93"/>
      <c r="H149" s="93"/>
      <c r="I149" s="56"/>
      <c r="J149" s="93"/>
      <c r="K149" s="93"/>
      <c r="L149" s="93"/>
      <c r="M149" s="109"/>
      <c r="N149" s="109"/>
      <c r="O149" s="109"/>
      <c r="P149" s="114"/>
      <c r="Q149" s="114"/>
    </row>
    <row r="150" spans="1:17">
      <c r="A150" s="109"/>
      <c r="B150" s="109"/>
      <c r="C150" s="109"/>
      <c r="D150" s="109"/>
      <c r="E150" s="104"/>
      <c r="F150" s="110"/>
      <c r="G150" s="93"/>
      <c r="H150" s="93"/>
      <c r="I150" s="56"/>
      <c r="J150" s="93"/>
      <c r="K150" s="93"/>
      <c r="L150" s="93"/>
      <c r="M150" s="109"/>
    </row>
    <row r="151" spans="1:17">
      <c r="A151" s="109"/>
      <c r="B151" s="109"/>
      <c r="C151" s="109"/>
      <c r="D151" s="109"/>
      <c r="E151" s="104"/>
      <c r="F151" s="110"/>
      <c r="G151" s="93"/>
      <c r="H151" s="93"/>
      <c r="I151" s="56"/>
      <c r="J151" s="93"/>
      <c r="K151" s="93"/>
      <c r="L151" s="93"/>
      <c r="M151" s="109"/>
    </row>
    <row r="152" spans="1:17">
      <c r="A152" s="109"/>
      <c r="B152" s="109"/>
      <c r="C152" s="109"/>
      <c r="D152" s="109"/>
      <c r="E152" s="104"/>
      <c r="F152" s="110"/>
      <c r="G152" s="93"/>
      <c r="H152" s="93"/>
      <c r="I152" s="56"/>
      <c r="J152" s="93"/>
      <c r="K152" s="93"/>
      <c r="L152" s="93"/>
      <c r="M152" s="109"/>
    </row>
    <row r="153" spans="1:17">
      <c r="A153" s="109"/>
      <c r="B153" s="109"/>
      <c r="C153" s="109"/>
      <c r="D153" s="109"/>
      <c r="E153" s="104"/>
      <c r="F153" s="110"/>
      <c r="G153" s="93"/>
      <c r="H153" s="93"/>
      <c r="I153" s="56"/>
      <c r="J153" s="93"/>
      <c r="K153" s="93"/>
      <c r="L153" s="93"/>
      <c r="M153" s="109"/>
    </row>
    <row r="154" spans="1:17">
      <c r="J154" s="93"/>
      <c r="K154" s="93"/>
      <c r="L154" s="93"/>
      <c r="M154" s="109"/>
    </row>
    <row r="155" spans="1:17">
      <c r="J155" s="93"/>
      <c r="K155" s="93"/>
      <c r="L155" s="93"/>
      <c r="M155" s="109"/>
    </row>
    <row r="156" spans="1:17">
      <c r="J156" s="93"/>
      <c r="K156" s="93"/>
      <c r="L156" s="93"/>
      <c r="M156" s="109"/>
    </row>
    <row r="157" spans="1:17">
      <c r="J157" s="93"/>
      <c r="K157" s="93"/>
      <c r="L157" s="93"/>
      <c r="M157" s="109"/>
    </row>
    <row r="158" spans="1:17">
      <c r="J158" s="93"/>
      <c r="K158" s="93"/>
      <c r="L158" s="93"/>
      <c r="M158" s="109"/>
    </row>
    <row r="159" spans="1:17">
      <c r="J159" s="93"/>
      <c r="K159" s="93"/>
      <c r="L159" s="93"/>
      <c r="M159" s="109"/>
    </row>
    <row r="160" spans="1:17">
      <c r="K160" s="93"/>
      <c r="L160" s="93"/>
      <c r="M160" s="109"/>
    </row>
    <row r="161" spans="11:13">
      <c r="K161" s="93"/>
      <c r="L161" s="93"/>
      <c r="M161" s="109"/>
    </row>
    <row r="162" spans="11:13">
      <c r="K162" s="93"/>
      <c r="L162" s="93"/>
      <c r="M162" s="109"/>
    </row>
    <row r="163" spans="11:13">
      <c r="L163" s="93"/>
      <c r="M163" s="109"/>
    </row>
    <row r="164" spans="11:13">
      <c r="L164" s="93"/>
      <c r="M164" s="109"/>
    </row>
    <row r="165" spans="11:13">
      <c r="L165" s="93"/>
    </row>
    <row r="166" spans="11:13">
      <c r="L166" s="93"/>
    </row>
    <row r="167" spans="11:13">
      <c r="L167" s="93"/>
    </row>
  </sheetData>
  <mergeCells count="5">
    <mergeCell ref="A7:L7"/>
    <mergeCell ref="M7:O7"/>
    <mergeCell ref="U7:V7"/>
    <mergeCell ref="D9:F9"/>
    <mergeCell ref="H9:K9"/>
  </mergeCells>
  <conditionalFormatting sqref="P56:P72 Z9:Z55">
    <cfRule type="aboveAverage" dxfId="7" priority="1" aboveAverage="0" stdDev="1"/>
    <cfRule type="aboveAverage" dxfId="6" priority="2" stdDev="1"/>
  </conditionalFormatting>
  <dataValidations disablePrompts="1" count="1">
    <dataValidation type="list" allowBlank="1" showInputMessage="1" showErrorMessage="1" sqref="B5" xr:uid="{A732EFF0-A9A3-4153-B9AB-9E70EE8E3CA8}">
      <formula1>$AB$5:$AB$8</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13CA-7423-4788-85B6-66E1FBBE2645}">
  <dimension ref="A1:AI178"/>
  <sheetViews>
    <sheetView topLeftCell="M22" zoomScale="110" zoomScaleNormal="110" workbookViewId="0">
      <selection activeCell="AB55" sqref="AB55"/>
    </sheetView>
  </sheetViews>
  <sheetFormatPr defaultColWidth="7.85546875" defaultRowHeight="11.25"/>
  <cols>
    <col min="1" max="1" width="15.7109375" style="93" bestFit="1" customWidth="1"/>
    <col min="2" max="2" width="9.5703125" style="93" bestFit="1" customWidth="1"/>
    <col min="3" max="3" width="5.140625" style="113" customWidth="1"/>
    <col min="4" max="4" width="8.42578125" style="113" bestFit="1" customWidth="1"/>
    <col min="5" max="6" width="8.7109375" style="113" bestFit="1" customWidth="1"/>
    <col min="7" max="7" width="14.85546875" style="109" bestFit="1" customWidth="1"/>
    <col min="8" max="8" width="10.28515625" style="114" customWidth="1"/>
    <col min="9" max="10" width="10.28515625" style="109" bestFit="1" customWidth="1"/>
    <col min="11" max="11" width="10.28515625" style="104" bestFit="1" customWidth="1"/>
    <col min="12" max="12" width="16.28515625" style="110" bestFit="1" customWidth="1"/>
    <col min="13" max="13" width="7.7109375" style="93" bestFit="1" customWidth="1"/>
    <col min="14" max="14" width="7.42578125" style="93" customWidth="1"/>
    <col min="15" max="15" width="9.28515625" style="56" customWidth="1"/>
    <col min="16" max="16" width="7.7109375" style="435" bestFit="1" customWidth="1"/>
    <col min="17" max="17" width="6.7109375" style="112" bestFit="1" customWidth="1"/>
    <col min="18" max="18" width="8.42578125" style="112" customWidth="1"/>
    <col min="19" max="19" width="9.42578125" style="112" customWidth="1"/>
    <col min="20" max="20" width="15.7109375" style="112" bestFit="1" customWidth="1"/>
    <col min="21" max="21" width="10.140625" style="112" bestFit="1" customWidth="1"/>
    <col min="22" max="23" width="10.140625" style="112" customWidth="1"/>
    <col min="24" max="24" width="10.42578125" style="112" bestFit="1" customWidth="1"/>
    <col min="25" max="25" width="14" style="112" bestFit="1" customWidth="1"/>
    <col min="26" max="26" width="15.7109375" style="112" bestFit="1" customWidth="1"/>
    <col min="27" max="27" width="13.7109375" style="112" bestFit="1" customWidth="1"/>
    <col min="28" max="28" width="13.7109375" style="112" customWidth="1"/>
    <col min="29" max="29" width="17.28515625" style="93" bestFit="1" customWidth="1"/>
    <col min="30" max="30" width="21.140625" style="93" bestFit="1" customWidth="1"/>
    <col min="31" max="31" width="11.28515625" style="93" customWidth="1"/>
    <col min="32" max="36" width="5.28515625" style="93" customWidth="1"/>
    <col min="37" max="37" width="17" style="93" customWidth="1"/>
    <col min="38" max="16384" width="7.85546875" style="93"/>
  </cols>
  <sheetData>
    <row r="1" spans="1:33" s="32" customFormat="1" ht="12.75">
      <c r="A1" s="288" t="s">
        <v>51</v>
      </c>
      <c r="B1" s="289" t="s">
        <v>138</v>
      </c>
      <c r="C1" s="290"/>
      <c r="D1" s="289"/>
      <c r="E1" s="291"/>
      <c r="F1" s="291"/>
      <c r="G1" s="292"/>
      <c r="H1" s="293" t="s">
        <v>91</v>
      </c>
      <c r="I1" s="294">
        <f>C61</f>
        <v>1640</v>
      </c>
      <c r="J1" s="295"/>
      <c r="K1" s="289"/>
      <c r="L1" s="289"/>
      <c r="N1" s="33"/>
      <c r="P1" s="428"/>
      <c r="Q1" s="428"/>
      <c r="R1" s="428"/>
      <c r="S1" s="428"/>
      <c r="T1" s="428"/>
      <c r="U1" s="428"/>
      <c r="V1" s="428"/>
      <c r="W1" s="428"/>
      <c r="X1" s="428"/>
      <c r="Y1" s="428"/>
      <c r="Z1" s="428"/>
      <c r="AA1" s="428"/>
      <c r="AB1" s="428"/>
    </row>
    <row r="2" spans="1:33" s="32" customFormat="1" ht="12.75">
      <c r="A2" s="296" t="s">
        <v>25</v>
      </c>
      <c r="B2" s="289" t="s">
        <v>153</v>
      </c>
      <c r="C2" s="297"/>
      <c r="D2" s="289"/>
      <c r="E2" s="298"/>
      <c r="F2" s="298"/>
      <c r="G2" s="299"/>
      <c r="H2" s="300" t="s">
        <v>92</v>
      </c>
      <c r="I2" s="301"/>
      <c r="J2" s="302"/>
      <c r="K2" s="289"/>
      <c r="L2" s="289"/>
      <c r="N2" s="35"/>
      <c r="P2" s="428"/>
      <c r="Q2" s="428"/>
      <c r="R2" s="428"/>
      <c r="S2" s="428"/>
      <c r="T2" s="428"/>
      <c r="U2" s="428"/>
      <c r="V2" s="428"/>
      <c r="W2" s="428"/>
      <c r="X2" s="428"/>
      <c r="Y2" s="428"/>
      <c r="Z2" s="428"/>
      <c r="AA2" s="428"/>
      <c r="AB2" s="428"/>
    </row>
    <row r="3" spans="1:33" s="36" customFormat="1" ht="11.25" customHeight="1">
      <c r="A3" s="303" t="s">
        <v>50</v>
      </c>
      <c r="B3" s="634">
        <v>45803</v>
      </c>
      <c r="C3" s="297"/>
      <c r="D3" s="298"/>
      <c r="E3" s="298"/>
      <c r="F3" s="298"/>
      <c r="G3" s="299"/>
      <c r="H3" s="303" t="s">
        <v>93</v>
      </c>
      <c r="I3" s="306">
        <f>AA38</f>
        <v>719.8</v>
      </c>
      <c r="J3" s="302"/>
      <c r="K3" s="289"/>
      <c r="L3" s="289"/>
      <c r="N3" s="37"/>
      <c r="P3" s="429"/>
      <c r="Q3" s="429"/>
      <c r="R3" s="429"/>
      <c r="S3" s="429"/>
      <c r="T3" s="429"/>
      <c r="U3" s="429"/>
      <c r="V3" s="429"/>
      <c r="W3" s="429"/>
      <c r="X3" s="429"/>
      <c r="Y3" s="429"/>
      <c r="Z3" s="429"/>
      <c r="AA3" s="429"/>
      <c r="AB3" s="429"/>
    </row>
    <row r="4" spans="1:33" s="32" customFormat="1" ht="12.75">
      <c r="A4" s="303" t="s">
        <v>49</v>
      </c>
      <c r="B4" s="304" t="s">
        <v>159</v>
      </c>
      <c r="C4" s="297"/>
      <c r="D4" s="298"/>
      <c r="E4" s="298"/>
      <c r="F4" s="298"/>
      <c r="G4" s="299"/>
      <c r="H4" s="303" t="s">
        <v>94</v>
      </c>
      <c r="I4" s="306">
        <f>S38</f>
        <v>0.47061567240240737</v>
      </c>
      <c r="J4" s="302"/>
      <c r="K4" s="289"/>
      <c r="L4" s="289"/>
      <c r="M4" s="33"/>
      <c r="N4" s="33"/>
      <c r="P4" s="428"/>
      <c r="Q4" s="428"/>
      <c r="R4" s="428"/>
      <c r="S4" s="428"/>
      <c r="T4" s="428"/>
      <c r="U4" s="428"/>
      <c r="V4" s="428"/>
      <c r="W4" s="428"/>
      <c r="X4" s="428"/>
      <c r="Y4" s="428"/>
      <c r="Z4" s="428"/>
      <c r="AA4" s="428"/>
      <c r="AB4" s="428"/>
    </row>
    <row r="5" spans="1:33" s="54" customFormat="1" ht="12.75">
      <c r="A5" s="296" t="s">
        <v>24</v>
      </c>
      <c r="B5" s="307" t="s">
        <v>26</v>
      </c>
      <c r="C5" s="297"/>
      <c r="D5" s="298"/>
      <c r="E5" s="298"/>
      <c r="F5" s="298"/>
      <c r="G5" s="299"/>
      <c r="H5" s="303"/>
      <c r="I5" s="308"/>
      <c r="J5" s="302"/>
      <c r="K5" s="289"/>
      <c r="L5" s="289"/>
      <c r="M5" s="52"/>
      <c r="N5" s="52"/>
      <c r="P5" s="430"/>
      <c r="Q5" s="430"/>
      <c r="R5" s="430"/>
      <c r="S5" s="430"/>
      <c r="T5" s="430"/>
      <c r="U5" s="430"/>
      <c r="V5" s="430"/>
      <c r="W5" s="430"/>
      <c r="X5" s="430"/>
      <c r="Y5" s="430"/>
      <c r="Z5" s="430"/>
      <c r="AA5" s="430"/>
      <c r="AB5" s="430"/>
    </row>
    <row r="6" spans="1:33" s="52" customFormat="1" ht="13.5" thickBot="1">
      <c r="A6" s="383"/>
      <c r="B6" s="309"/>
      <c r="C6" s="384"/>
      <c r="D6" s="385"/>
      <c r="E6" s="385"/>
      <c r="F6" s="385"/>
      <c r="G6" s="386"/>
      <c r="H6" s="387"/>
      <c r="I6" s="388"/>
      <c r="J6" s="386"/>
      <c r="K6" s="309"/>
      <c r="L6" s="309"/>
      <c r="M6" s="46"/>
      <c r="P6" s="431"/>
      <c r="Q6" s="431"/>
      <c r="R6" s="431"/>
      <c r="S6" s="431"/>
      <c r="T6" s="431"/>
      <c r="U6" s="431"/>
      <c r="V6" s="431"/>
      <c r="W6" s="431"/>
      <c r="X6" s="431"/>
      <c r="Y6" s="431"/>
      <c r="Z6" s="431"/>
      <c r="AA6" s="431"/>
      <c r="AB6" s="431"/>
    </row>
    <row r="7" spans="1:33" s="54" customFormat="1" ht="13.15" customHeight="1">
      <c r="A7" s="970" t="s">
        <v>27</v>
      </c>
      <c r="B7" s="971"/>
      <c r="C7" s="971"/>
      <c r="D7" s="971"/>
      <c r="E7" s="971"/>
      <c r="F7" s="971"/>
      <c r="G7" s="971"/>
      <c r="H7" s="971"/>
      <c r="I7" s="971"/>
      <c r="J7" s="971"/>
      <c r="K7" s="971"/>
      <c r="L7" s="983"/>
      <c r="M7" s="635"/>
      <c r="N7" s="40" t="s">
        <v>54</v>
      </c>
      <c r="O7" s="19"/>
      <c r="P7" s="41" t="s">
        <v>28</v>
      </c>
      <c r="Q7" s="42"/>
      <c r="R7" s="981" t="s">
        <v>29</v>
      </c>
      <c r="S7" s="984"/>
      <c r="T7" s="981" t="s">
        <v>96</v>
      </c>
      <c r="U7" s="984"/>
      <c r="V7" s="984"/>
      <c r="W7" s="984"/>
      <c r="X7" s="984"/>
      <c r="Y7" s="984"/>
      <c r="Z7" s="981" t="s">
        <v>103</v>
      </c>
      <c r="AA7" s="982"/>
      <c r="AB7" s="638"/>
      <c r="AC7" s="463"/>
      <c r="AD7" s="968" t="s">
        <v>86</v>
      </c>
      <c r="AE7" s="969"/>
      <c r="AF7" s="52"/>
      <c r="AG7" s="52"/>
    </row>
    <row r="8" spans="1:33" s="74" customFormat="1" ht="11.25" customHeight="1">
      <c r="A8" s="45"/>
      <c r="B8" s="46"/>
      <c r="C8" s="47"/>
      <c r="D8" s="379"/>
      <c r="E8" s="379"/>
      <c r="F8" s="379"/>
      <c r="G8" s="395"/>
      <c r="H8" s="380"/>
      <c r="I8" s="380"/>
      <c r="J8" s="380"/>
      <c r="K8" s="380"/>
      <c r="L8" s="401"/>
      <c r="M8" s="380"/>
      <c r="N8" s="477"/>
      <c r="O8" s="47"/>
      <c r="P8" s="433"/>
      <c r="Q8" s="49"/>
      <c r="R8" s="434"/>
      <c r="S8" s="434"/>
      <c r="T8" s="433"/>
      <c r="U8" s="434"/>
      <c r="V8" s="434"/>
      <c r="W8" s="434"/>
      <c r="X8" s="434"/>
      <c r="Y8" s="434"/>
      <c r="Z8" s="433"/>
      <c r="AA8" s="49"/>
      <c r="AB8" s="49"/>
      <c r="AC8" s="464"/>
      <c r="AD8" s="53"/>
      <c r="AE8" s="53"/>
      <c r="AF8" s="73"/>
    </row>
    <row r="9" spans="1:33" s="79" customFormat="1">
      <c r="A9" s="34"/>
      <c r="B9" s="52"/>
      <c r="C9" s="55"/>
      <c r="D9" s="978" t="s">
        <v>82</v>
      </c>
      <c r="E9" s="979"/>
      <c r="F9" s="980"/>
      <c r="G9" s="396"/>
      <c r="H9" s="975" t="s">
        <v>83</v>
      </c>
      <c r="I9" s="976"/>
      <c r="J9" s="976"/>
      <c r="K9" s="977"/>
      <c r="L9" s="636"/>
      <c r="M9" s="476"/>
      <c r="N9" s="477" t="s">
        <v>30</v>
      </c>
      <c r="O9" s="256"/>
      <c r="P9" s="434"/>
      <c r="Q9" s="49"/>
      <c r="R9" s="435"/>
      <c r="S9" s="435"/>
      <c r="T9" s="467"/>
      <c r="U9" s="435"/>
      <c r="V9" s="435"/>
      <c r="W9" s="435"/>
      <c r="X9" s="435"/>
      <c r="Y9" s="435"/>
      <c r="Z9" s="467"/>
      <c r="AA9" s="468"/>
      <c r="AB9" s="468"/>
      <c r="AC9" s="464"/>
      <c r="AD9" s="58"/>
      <c r="AE9" s="59"/>
      <c r="AF9" s="77"/>
      <c r="AG9" s="78"/>
    </row>
    <row r="10" spans="1:33" s="79" customFormat="1">
      <c r="A10" s="60" t="s">
        <v>31</v>
      </c>
      <c r="B10" s="61" t="s">
        <v>32</v>
      </c>
      <c r="C10" s="62" t="s">
        <v>33</v>
      </c>
      <c r="D10" s="490" t="s">
        <v>104</v>
      </c>
      <c r="E10" s="486" t="s">
        <v>105</v>
      </c>
      <c r="F10" s="487" t="s">
        <v>106</v>
      </c>
      <c r="G10" s="396" t="s">
        <v>112</v>
      </c>
      <c r="H10" s="637" t="s">
        <v>107</v>
      </c>
      <c r="I10" s="637" t="s">
        <v>108</v>
      </c>
      <c r="J10" s="637" t="s">
        <v>109</v>
      </c>
      <c r="K10" s="637" t="s">
        <v>110</v>
      </c>
      <c r="L10" s="636" t="s">
        <v>111</v>
      </c>
      <c r="M10" s="57" t="s">
        <v>66</v>
      </c>
      <c r="N10" s="478" t="s">
        <v>34</v>
      </c>
      <c r="O10" s="63" t="s">
        <v>35</v>
      </c>
      <c r="P10" s="50" t="s">
        <v>2</v>
      </c>
      <c r="Q10" s="49" t="s">
        <v>36</v>
      </c>
      <c r="R10" s="50" t="s">
        <v>36</v>
      </c>
      <c r="S10" s="50" t="s">
        <v>2</v>
      </c>
      <c r="T10" s="433" t="s">
        <v>97</v>
      </c>
      <c r="U10" s="434" t="s">
        <v>98</v>
      </c>
      <c r="V10" s="433" t="s">
        <v>97</v>
      </c>
      <c r="W10" s="434" t="s">
        <v>98</v>
      </c>
      <c r="X10" s="434" t="s">
        <v>99</v>
      </c>
      <c r="Y10" s="434" t="s">
        <v>100</v>
      </c>
      <c r="Z10" s="433" t="s">
        <v>97</v>
      </c>
      <c r="AA10" s="49" t="s">
        <v>1</v>
      </c>
      <c r="AB10" s="49" t="s">
        <v>162</v>
      </c>
      <c r="AC10" s="408" t="s">
        <v>48</v>
      </c>
      <c r="AD10" s="58" t="s">
        <v>85</v>
      </c>
      <c r="AE10" s="58" t="s">
        <v>53</v>
      </c>
      <c r="AF10" s="17"/>
    </row>
    <row r="11" spans="1:33" s="79" customFormat="1" ht="12" thickBot="1">
      <c r="A11" s="393" t="s">
        <v>37</v>
      </c>
      <c r="B11" s="389" t="s">
        <v>37</v>
      </c>
      <c r="C11" s="390" t="s">
        <v>38</v>
      </c>
      <c r="D11" s="491" t="s">
        <v>84</v>
      </c>
      <c r="E11" s="391" t="s">
        <v>84</v>
      </c>
      <c r="F11" s="492" t="s">
        <v>84</v>
      </c>
      <c r="G11" s="453" t="s">
        <v>84</v>
      </c>
      <c r="H11" s="392" t="s">
        <v>84</v>
      </c>
      <c r="I11" s="392" t="s">
        <v>84</v>
      </c>
      <c r="J11" s="392" t="s">
        <v>84</v>
      </c>
      <c r="K11" s="392" t="s">
        <v>84</v>
      </c>
      <c r="L11" s="454" t="s">
        <v>84</v>
      </c>
      <c r="M11" s="382" t="s">
        <v>87</v>
      </c>
      <c r="N11" s="479" t="s">
        <v>84</v>
      </c>
      <c r="O11" s="66" t="s">
        <v>84</v>
      </c>
      <c r="P11" s="436" t="s">
        <v>88</v>
      </c>
      <c r="Q11" s="69" t="s">
        <v>4</v>
      </c>
      <c r="R11" s="437" t="s">
        <v>4</v>
      </c>
      <c r="S11" s="437" t="s">
        <v>88</v>
      </c>
      <c r="T11" s="436" t="s">
        <v>84</v>
      </c>
      <c r="U11" s="437" t="s">
        <v>84</v>
      </c>
      <c r="V11" s="436" t="s">
        <v>84</v>
      </c>
      <c r="W11" s="437" t="s">
        <v>84</v>
      </c>
      <c r="X11" s="437" t="s">
        <v>101</v>
      </c>
      <c r="Y11" s="437" t="s">
        <v>102</v>
      </c>
      <c r="Z11" s="436" t="s">
        <v>84</v>
      </c>
      <c r="AA11" s="69" t="s">
        <v>84</v>
      </c>
      <c r="AB11" s="69"/>
      <c r="AC11" s="465"/>
      <c r="AD11" s="406"/>
      <c r="AE11" s="72" t="s">
        <v>84</v>
      </c>
      <c r="AF11" s="17"/>
    </row>
    <row r="12" spans="1:33" s="79" customFormat="1">
      <c r="A12" s="424" t="s">
        <v>89</v>
      </c>
      <c r="B12" s="420"/>
      <c r="C12" s="421">
        <v>0</v>
      </c>
      <c r="D12" s="493" t="s">
        <v>95</v>
      </c>
      <c r="E12" s="452" t="s">
        <v>95</v>
      </c>
      <c r="F12" s="456" t="s">
        <v>95</v>
      </c>
      <c r="G12" s="459" t="s">
        <v>95</v>
      </c>
      <c r="H12" s="452" t="s">
        <v>95</v>
      </c>
      <c r="I12" s="452" t="s">
        <v>95</v>
      </c>
      <c r="J12" s="452" t="s">
        <v>95</v>
      </c>
      <c r="K12" s="452" t="s">
        <v>95</v>
      </c>
      <c r="L12" s="461" t="s">
        <v>95</v>
      </c>
      <c r="M12" s="421"/>
      <c r="N12" s="499"/>
      <c r="O12" s="422"/>
      <c r="P12" s="438"/>
      <c r="Q12" s="423"/>
      <c r="R12" s="439"/>
      <c r="S12" s="440"/>
      <c r="T12" s="469"/>
      <c r="U12" s="440"/>
      <c r="V12" s="440"/>
      <c r="W12" s="440"/>
      <c r="X12" s="440"/>
      <c r="Y12" s="440"/>
      <c r="Z12" s="466"/>
      <c r="AA12" s="466"/>
      <c r="AB12" s="466"/>
      <c r="AC12" s="245"/>
      <c r="AD12" s="23" t="s">
        <v>40</v>
      </c>
      <c r="AE12" s="76"/>
      <c r="AF12" s="18"/>
    </row>
    <row r="13" spans="1:33" s="79" customFormat="1">
      <c r="A13" s="284">
        <v>145</v>
      </c>
      <c r="B13" s="91">
        <v>0</v>
      </c>
      <c r="C13" s="351">
        <v>10</v>
      </c>
      <c r="D13" s="494" t="s">
        <v>95</v>
      </c>
      <c r="E13" s="455" t="s">
        <v>95</v>
      </c>
      <c r="F13" s="457" t="s">
        <v>95</v>
      </c>
      <c r="G13" s="460" t="s">
        <v>95</v>
      </c>
      <c r="H13" s="455" t="s">
        <v>95</v>
      </c>
      <c r="I13" s="455" t="s">
        <v>95</v>
      </c>
      <c r="J13" s="455" t="s">
        <v>95</v>
      </c>
      <c r="K13" s="455" t="s">
        <v>95</v>
      </c>
      <c r="L13" s="462" t="s">
        <v>95</v>
      </c>
      <c r="M13" s="351">
        <v>966</v>
      </c>
      <c r="N13" s="481">
        <f>C12</f>
        <v>0</v>
      </c>
      <c r="O13" s="81">
        <f t="shared" ref="O13:O21" si="0">(C13+C14-10)/2</f>
        <v>10</v>
      </c>
      <c r="P13" s="16">
        <f>(A13-B13)/M13</f>
        <v>0.15010351966873706</v>
      </c>
      <c r="Q13" s="75">
        <f>(P13*(O13-N13))/100</f>
        <v>1.5010351966873704E-2</v>
      </c>
      <c r="R13" s="441">
        <f>SUM(Q$13:Q13)</f>
        <v>1.5010351966873704E-2</v>
      </c>
      <c r="S13" s="254">
        <f>R13/O13*100</f>
        <v>0.15010351966873703</v>
      </c>
      <c r="T13" s="470"/>
      <c r="U13" s="254"/>
      <c r="V13" s="254"/>
      <c r="W13" s="254"/>
      <c r="X13" s="254">
        <f>U13*98.5</f>
        <v>0</v>
      </c>
      <c r="Y13" s="254">
        <f>(A13-(X13/0.9))/M13</f>
        <v>0.15010351966873706</v>
      </c>
      <c r="Z13" s="254"/>
      <c r="AA13" s="254"/>
      <c r="AB13" s="254"/>
      <c r="AC13" s="246"/>
      <c r="AD13" s="22" t="s">
        <v>41</v>
      </c>
      <c r="AE13" s="84"/>
      <c r="AF13" s="17"/>
    </row>
    <row r="14" spans="1:33" s="79" customFormat="1">
      <c r="A14" s="284">
        <v>235</v>
      </c>
      <c r="B14" s="91">
        <v>0</v>
      </c>
      <c r="C14" s="351">
        <v>20</v>
      </c>
      <c r="D14" s="494" t="s">
        <v>95</v>
      </c>
      <c r="E14" s="455" t="s">
        <v>95</v>
      </c>
      <c r="F14" s="457" t="s">
        <v>95</v>
      </c>
      <c r="G14" s="460" t="s">
        <v>95</v>
      </c>
      <c r="H14" s="455" t="s">
        <v>95</v>
      </c>
      <c r="I14" s="455" t="s">
        <v>95</v>
      </c>
      <c r="J14" s="455" t="s">
        <v>95</v>
      </c>
      <c r="K14" s="455" t="s">
        <v>95</v>
      </c>
      <c r="L14" s="462" t="s">
        <v>95</v>
      </c>
      <c r="M14" s="351">
        <v>966</v>
      </c>
      <c r="N14" s="481">
        <f t="shared" ref="N14:N22" si="1">(C13+C14-10)/2</f>
        <v>10</v>
      </c>
      <c r="O14" s="81">
        <f t="shared" si="0"/>
        <v>20</v>
      </c>
      <c r="P14" s="16">
        <f t="shared" ref="P14:P22" si="2">(A14-B14)/M14</f>
        <v>0.2432712215320911</v>
      </c>
      <c r="Q14" s="75">
        <f t="shared" ref="Q14:Q22" si="3">(P14*(O14-N14))/100</f>
        <v>2.4327122153209108E-2</v>
      </c>
      <c r="R14" s="441">
        <f>SUM(Q$13:Q14)</f>
        <v>3.9337474120082816E-2</v>
      </c>
      <c r="S14" s="254">
        <f t="shared" ref="S14:S22" si="4">R14/O14*100</f>
        <v>0.19668737060041405</v>
      </c>
      <c r="T14" s="470"/>
      <c r="U14" s="254"/>
      <c r="V14" s="254"/>
      <c r="W14" s="254"/>
      <c r="X14" s="254">
        <f t="shared" ref="X14:X22" si="5">U14*98.5</f>
        <v>0</v>
      </c>
      <c r="Y14" s="254">
        <f t="shared" ref="Y14:Y22" si="6">(A14-(X14/0.9))/M14</f>
        <v>0.2432712215320911</v>
      </c>
      <c r="Z14" s="254"/>
      <c r="AA14" s="254"/>
      <c r="AB14" s="254"/>
      <c r="AC14" s="246"/>
      <c r="AD14" s="22" t="s">
        <v>41</v>
      </c>
      <c r="AE14" s="84"/>
      <c r="AF14" s="17"/>
    </row>
    <row r="15" spans="1:33" s="79" customFormat="1">
      <c r="A15" s="284">
        <v>305</v>
      </c>
      <c r="B15" s="91">
        <v>0</v>
      </c>
      <c r="C15" s="351">
        <v>30</v>
      </c>
      <c r="D15" s="494" t="s">
        <v>95</v>
      </c>
      <c r="E15" s="455" t="s">
        <v>95</v>
      </c>
      <c r="F15" s="457" t="s">
        <v>95</v>
      </c>
      <c r="G15" s="460" t="s">
        <v>95</v>
      </c>
      <c r="H15" s="455" t="s">
        <v>95</v>
      </c>
      <c r="I15" s="455" t="s">
        <v>95</v>
      </c>
      <c r="J15" s="455" t="s">
        <v>95</v>
      </c>
      <c r="K15" s="455" t="s">
        <v>95</v>
      </c>
      <c r="L15" s="462" t="s">
        <v>95</v>
      </c>
      <c r="M15" s="351">
        <v>966</v>
      </c>
      <c r="N15" s="481">
        <f t="shared" si="1"/>
        <v>20</v>
      </c>
      <c r="O15" s="81">
        <f t="shared" si="0"/>
        <v>30</v>
      </c>
      <c r="P15" s="16">
        <f t="shared" si="2"/>
        <v>0.31573498964803315</v>
      </c>
      <c r="Q15" s="75">
        <f t="shared" si="3"/>
        <v>3.1573498964803319E-2</v>
      </c>
      <c r="R15" s="441">
        <f>SUM(Q$13:Q15)</f>
        <v>7.0910973084886142E-2</v>
      </c>
      <c r="S15" s="254">
        <f t="shared" si="4"/>
        <v>0.23636991028295382</v>
      </c>
      <c r="T15" s="470"/>
      <c r="U15" s="254"/>
      <c r="V15" s="254"/>
      <c r="W15" s="254"/>
      <c r="X15" s="254">
        <f t="shared" si="5"/>
        <v>0</v>
      </c>
      <c r="Y15" s="254">
        <f t="shared" si="6"/>
        <v>0.31573498964803315</v>
      </c>
      <c r="Z15" s="254"/>
      <c r="AA15" s="254"/>
      <c r="AB15" s="254"/>
      <c r="AC15" s="246"/>
      <c r="AD15" s="22" t="s">
        <v>41</v>
      </c>
      <c r="AE15" s="85"/>
      <c r="AF15" s="17"/>
    </row>
    <row r="16" spans="1:33" s="79" customFormat="1">
      <c r="A16" s="286">
        <v>260</v>
      </c>
      <c r="B16" s="91">
        <v>0</v>
      </c>
      <c r="C16" s="351">
        <v>40</v>
      </c>
      <c r="D16" s="494" t="s">
        <v>95</v>
      </c>
      <c r="E16" s="455" t="s">
        <v>95</v>
      </c>
      <c r="F16" s="457" t="s">
        <v>95</v>
      </c>
      <c r="G16" s="460" t="s">
        <v>95</v>
      </c>
      <c r="H16" s="455" t="s">
        <v>95</v>
      </c>
      <c r="I16" s="455" t="s">
        <v>95</v>
      </c>
      <c r="J16" s="455" t="s">
        <v>95</v>
      </c>
      <c r="K16" s="455" t="s">
        <v>95</v>
      </c>
      <c r="L16" s="462" t="s">
        <v>95</v>
      </c>
      <c r="M16" s="351">
        <v>966</v>
      </c>
      <c r="N16" s="481">
        <f t="shared" si="1"/>
        <v>30</v>
      </c>
      <c r="O16" s="81">
        <f t="shared" si="0"/>
        <v>40</v>
      </c>
      <c r="P16" s="16">
        <f t="shared" si="2"/>
        <v>0.2691511387163561</v>
      </c>
      <c r="Q16" s="75">
        <f t="shared" si="3"/>
        <v>2.6915113871635608E-2</v>
      </c>
      <c r="R16" s="441">
        <f>SUM(Q$13:Q16)</f>
        <v>9.7826086956521757E-2</v>
      </c>
      <c r="S16" s="254">
        <f t="shared" si="4"/>
        <v>0.24456521739130441</v>
      </c>
      <c r="T16" s="470"/>
      <c r="U16" s="254"/>
      <c r="V16" s="254"/>
      <c r="W16" s="254"/>
      <c r="X16" s="254">
        <f t="shared" si="5"/>
        <v>0</v>
      </c>
      <c r="Y16" s="254">
        <f t="shared" si="6"/>
        <v>0.2691511387163561</v>
      </c>
      <c r="Z16" s="254"/>
      <c r="AA16" s="254"/>
      <c r="AB16" s="254"/>
      <c r="AC16" s="246"/>
      <c r="AD16" s="22" t="s">
        <v>41</v>
      </c>
      <c r="AE16" s="84"/>
      <c r="AF16" s="17"/>
    </row>
    <row r="17" spans="1:34" s="79" customFormat="1">
      <c r="A17" s="286">
        <v>315</v>
      </c>
      <c r="B17" s="91">
        <v>0</v>
      </c>
      <c r="C17" s="351">
        <v>50</v>
      </c>
      <c r="D17" s="494" t="s">
        <v>95</v>
      </c>
      <c r="E17" s="455" t="s">
        <v>95</v>
      </c>
      <c r="F17" s="457" t="s">
        <v>95</v>
      </c>
      <c r="G17" s="460" t="s">
        <v>95</v>
      </c>
      <c r="H17" s="455" t="s">
        <v>95</v>
      </c>
      <c r="I17" s="455" t="s">
        <v>95</v>
      </c>
      <c r="J17" s="455" t="s">
        <v>95</v>
      </c>
      <c r="K17" s="455" t="s">
        <v>95</v>
      </c>
      <c r="L17" s="462" t="s">
        <v>95</v>
      </c>
      <c r="M17" s="351">
        <v>966</v>
      </c>
      <c r="N17" s="481">
        <f t="shared" si="1"/>
        <v>40</v>
      </c>
      <c r="O17" s="81">
        <f t="shared" si="0"/>
        <v>50</v>
      </c>
      <c r="P17" s="16">
        <f t="shared" si="2"/>
        <v>0.32608695652173914</v>
      </c>
      <c r="Q17" s="75">
        <f t="shared" si="3"/>
        <v>3.2608695652173919E-2</v>
      </c>
      <c r="R17" s="441">
        <f>SUM(Q$13:Q17)</f>
        <v>0.13043478260869568</v>
      </c>
      <c r="S17" s="254">
        <f t="shared" si="4"/>
        <v>0.26086956521739135</v>
      </c>
      <c r="T17" s="470"/>
      <c r="U17" s="254"/>
      <c r="V17" s="254"/>
      <c r="W17" s="254"/>
      <c r="X17" s="254">
        <f t="shared" si="5"/>
        <v>0</v>
      </c>
      <c r="Y17" s="254">
        <f t="shared" si="6"/>
        <v>0.32608695652173914</v>
      </c>
      <c r="Z17" s="254"/>
      <c r="AA17" s="254"/>
      <c r="AB17" s="254"/>
      <c r="AC17" s="246" t="s">
        <v>47</v>
      </c>
      <c r="AD17" s="22" t="s">
        <v>41</v>
      </c>
      <c r="AE17" s="84"/>
      <c r="AF17" s="77"/>
    </row>
    <row r="18" spans="1:34" s="79" customFormat="1">
      <c r="A18" s="286">
        <v>315</v>
      </c>
      <c r="B18" s="91">
        <v>0</v>
      </c>
      <c r="C18" s="351">
        <v>60</v>
      </c>
      <c r="D18" s="494" t="s">
        <v>95</v>
      </c>
      <c r="E18" s="455" t="s">
        <v>95</v>
      </c>
      <c r="F18" s="457" t="s">
        <v>95</v>
      </c>
      <c r="G18" s="460" t="s">
        <v>95</v>
      </c>
      <c r="H18" s="455" t="s">
        <v>95</v>
      </c>
      <c r="I18" s="455" t="s">
        <v>95</v>
      </c>
      <c r="J18" s="455" t="s">
        <v>95</v>
      </c>
      <c r="K18" s="455" t="s">
        <v>95</v>
      </c>
      <c r="L18" s="462" t="s">
        <v>95</v>
      </c>
      <c r="M18" s="351">
        <v>966</v>
      </c>
      <c r="N18" s="481">
        <f t="shared" si="1"/>
        <v>50</v>
      </c>
      <c r="O18" s="81">
        <f t="shared" si="0"/>
        <v>60</v>
      </c>
      <c r="P18" s="16">
        <f t="shared" si="2"/>
        <v>0.32608695652173914</v>
      </c>
      <c r="Q18" s="75">
        <f t="shared" si="3"/>
        <v>3.2608695652173919E-2</v>
      </c>
      <c r="R18" s="441">
        <f>SUM(Q$13:Q18)</f>
        <v>0.1630434782608696</v>
      </c>
      <c r="S18" s="254">
        <f t="shared" si="4"/>
        <v>0.27173913043478265</v>
      </c>
      <c r="T18" s="470"/>
      <c r="U18" s="254"/>
      <c r="V18" s="254"/>
      <c r="W18" s="254"/>
      <c r="X18" s="254">
        <f t="shared" si="5"/>
        <v>0</v>
      </c>
      <c r="Y18" s="254">
        <f t="shared" si="6"/>
        <v>0.32608695652173914</v>
      </c>
      <c r="Z18" s="254"/>
      <c r="AA18" s="254"/>
      <c r="AB18" s="254"/>
      <c r="AC18" s="244"/>
      <c r="AD18" s="22" t="s">
        <v>41</v>
      </c>
      <c r="AE18" s="84"/>
      <c r="AF18" s="77"/>
    </row>
    <row r="19" spans="1:34" s="79" customFormat="1" ht="10.15" customHeight="1">
      <c r="A19" s="286">
        <v>360</v>
      </c>
      <c r="B19" s="91">
        <v>0</v>
      </c>
      <c r="C19" s="351">
        <v>70</v>
      </c>
      <c r="D19" s="494" t="s">
        <v>95</v>
      </c>
      <c r="E19" s="455" t="s">
        <v>95</v>
      </c>
      <c r="F19" s="457" t="s">
        <v>95</v>
      </c>
      <c r="G19" s="460" t="s">
        <v>95</v>
      </c>
      <c r="H19" s="455" t="s">
        <v>95</v>
      </c>
      <c r="I19" s="455" t="s">
        <v>95</v>
      </c>
      <c r="J19" s="455" t="s">
        <v>95</v>
      </c>
      <c r="K19" s="455" t="s">
        <v>95</v>
      </c>
      <c r="L19" s="462" t="s">
        <v>95</v>
      </c>
      <c r="M19" s="351">
        <v>966</v>
      </c>
      <c r="N19" s="481">
        <f t="shared" si="1"/>
        <v>60</v>
      </c>
      <c r="O19" s="81">
        <f t="shared" si="0"/>
        <v>70</v>
      </c>
      <c r="P19" s="16">
        <f t="shared" si="2"/>
        <v>0.37267080745341613</v>
      </c>
      <c r="Q19" s="75">
        <f t="shared" si="3"/>
        <v>3.7267080745341616E-2</v>
      </c>
      <c r="R19" s="441">
        <f>SUM(Q$13:Q19)</f>
        <v>0.2003105590062112</v>
      </c>
      <c r="S19" s="254">
        <f t="shared" si="4"/>
        <v>0.28615794143744455</v>
      </c>
      <c r="T19" s="470"/>
      <c r="U19" s="254"/>
      <c r="V19" s="254"/>
      <c r="W19" s="254"/>
      <c r="X19" s="254">
        <f t="shared" si="5"/>
        <v>0</v>
      </c>
      <c r="Y19" s="254">
        <f t="shared" si="6"/>
        <v>0.37267080745341613</v>
      </c>
      <c r="Z19" s="254"/>
      <c r="AA19" s="254"/>
      <c r="AB19" s="254"/>
      <c r="AC19" s="244"/>
      <c r="AD19" s="22" t="s">
        <v>41</v>
      </c>
      <c r="AE19" s="84"/>
      <c r="AF19" s="87"/>
    </row>
    <row r="20" spans="1:34" s="79" customFormat="1">
      <c r="A20" s="286">
        <v>420</v>
      </c>
      <c r="B20" s="91">
        <v>0</v>
      </c>
      <c r="C20" s="351">
        <v>80</v>
      </c>
      <c r="D20" s="494" t="s">
        <v>95</v>
      </c>
      <c r="E20" s="455" t="s">
        <v>95</v>
      </c>
      <c r="F20" s="457" t="s">
        <v>95</v>
      </c>
      <c r="G20" s="460" t="s">
        <v>95</v>
      </c>
      <c r="H20" s="455" t="s">
        <v>95</v>
      </c>
      <c r="I20" s="455" t="s">
        <v>95</v>
      </c>
      <c r="J20" s="455" t="s">
        <v>95</v>
      </c>
      <c r="K20" s="455" t="s">
        <v>95</v>
      </c>
      <c r="L20" s="462" t="s">
        <v>95</v>
      </c>
      <c r="M20" s="351">
        <v>966</v>
      </c>
      <c r="N20" s="481">
        <f t="shared" si="1"/>
        <v>70</v>
      </c>
      <c r="O20" s="81">
        <f t="shared" si="0"/>
        <v>80</v>
      </c>
      <c r="P20" s="16">
        <f t="shared" si="2"/>
        <v>0.43478260869565216</v>
      </c>
      <c r="Q20" s="75">
        <f>(P20*(O21-N20))/100</f>
        <v>8.6956521739130432E-2</v>
      </c>
      <c r="R20" s="441">
        <f>SUM(Q$13:Q20)</f>
        <v>0.28726708074534163</v>
      </c>
      <c r="S20" s="254">
        <f t="shared" si="4"/>
        <v>0.35908385093167705</v>
      </c>
      <c r="T20" s="470"/>
      <c r="U20" s="254"/>
      <c r="V20" s="254"/>
      <c r="W20" s="254"/>
      <c r="X20" s="254">
        <f t="shared" si="5"/>
        <v>0</v>
      </c>
      <c r="Y20" s="254">
        <f t="shared" si="6"/>
        <v>0.43478260869565216</v>
      </c>
      <c r="Z20" s="254"/>
      <c r="AA20" s="254"/>
      <c r="AB20" s="254"/>
      <c r="AC20" s="246"/>
      <c r="AD20" s="22" t="s">
        <v>41</v>
      </c>
      <c r="AE20" s="84"/>
      <c r="AF20" s="89"/>
    </row>
    <row r="21" spans="1:34" s="90" customFormat="1">
      <c r="A21" s="286">
        <v>425</v>
      </c>
      <c r="B21" s="91">
        <v>0</v>
      </c>
      <c r="C21" s="351">
        <v>90</v>
      </c>
      <c r="D21" s="494" t="s">
        <v>95</v>
      </c>
      <c r="E21" s="455" t="s">
        <v>95</v>
      </c>
      <c r="F21" s="457" t="s">
        <v>95</v>
      </c>
      <c r="G21" s="460" t="s">
        <v>95</v>
      </c>
      <c r="H21" s="455" t="s">
        <v>95</v>
      </c>
      <c r="I21" s="455" t="s">
        <v>95</v>
      </c>
      <c r="J21" s="455" t="s">
        <v>95</v>
      </c>
      <c r="K21" s="455" t="s">
        <v>95</v>
      </c>
      <c r="L21" s="462" t="s">
        <v>95</v>
      </c>
      <c r="M21" s="351">
        <v>966</v>
      </c>
      <c r="N21" s="481">
        <f t="shared" si="1"/>
        <v>80</v>
      </c>
      <c r="O21" s="81">
        <f t="shared" si="0"/>
        <v>90</v>
      </c>
      <c r="P21" s="16">
        <f t="shared" si="2"/>
        <v>0.43995859213250516</v>
      </c>
      <c r="Q21" s="75">
        <f>(P21*(O22-N21))/100</f>
        <v>0.11878881987577639</v>
      </c>
      <c r="R21" s="441">
        <f>SUM(Q$13:Q21)</f>
        <v>0.40605590062111802</v>
      </c>
      <c r="S21" s="254">
        <f t="shared" si="4"/>
        <v>0.45117322291235334</v>
      </c>
      <c r="T21" s="470"/>
      <c r="U21" s="254"/>
      <c r="V21" s="254"/>
      <c r="W21" s="254"/>
      <c r="X21" s="254">
        <f t="shared" si="5"/>
        <v>0</v>
      </c>
      <c r="Y21" s="254">
        <f t="shared" si="6"/>
        <v>0.43995859213250516</v>
      </c>
      <c r="Z21" s="254"/>
      <c r="AA21" s="254"/>
      <c r="AB21" s="254"/>
      <c r="AC21" s="248"/>
      <c r="AD21" s="22" t="s">
        <v>41</v>
      </c>
      <c r="AE21" s="84"/>
      <c r="AF21" s="89"/>
    </row>
    <row r="22" spans="1:34" s="90" customFormat="1">
      <c r="A22" s="286">
        <v>400</v>
      </c>
      <c r="B22" s="91">
        <v>0</v>
      </c>
      <c r="C22" s="351">
        <v>100</v>
      </c>
      <c r="D22" s="494" t="s">
        <v>95</v>
      </c>
      <c r="E22" s="455" t="s">
        <v>95</v>
      </c>
      <c r="F22" s="457" t="s">
        <v>95</v>
      </c>
      <c r="G22" s="460" t="s">
        <v>95</v>
      </c>
      <c r="H22" s="455" t="s">
        <v>95</v>
      </c>
      <c r="I22" s="455" t="s">
        <v>95</v>
      </c>
      <c r="J22" s="455" t="s">
        <v>95</v>
      </c>
      <c r="K22" s="455" t="s">
        <v>95</v>
      </c>
      <c r="L22" s="462" t="s">
        <v>95</v>
      </c>
      <c r="M22" s="351">
        <v>966</v>
      </c>
      <c r="N22" s="481">
        <f t="shared" si="1"/>
        <v>90</v>
      </c>
      <c r="O22" s="81">
        <f>(C22+C25-D25)/2</f>
        <v>107</v>
      </c>
      <c r="P22" s="16">
        <f t="shared" si="2"/>
        <v>0.41407867494824019</v>
      </c>
      <c r="Q22" s="75">
        <f t="shared" si="3"/>
        <v>7.0393374741200831E-2</v>
      </c>
      <c r="R22" s="441">
        <f>SUM(Q$13:Q22)</f>
        <v>0.47644927536231885</v>
      </c>
      <c r="S22" s="254">
        <f t="shared" si="4"/>
        <v>0.44527969660029798</v>
      </c>
      <c r="T22" s="470"/>
      <c r="U22" s="254"/>
      <c r="V22" s="254"/>
      <c r="W22" s="254"/>
      <c r="X22" s="254">
        <f t="shared" si="5"/>
        <v>0</v>
      </c>
      <c r="Y22" s="254">
        <f t="shared" si="6"/>
        <v>0.41407867494824019</v>
      </c>
      <c r="Z22" s="254"/>
      <c r="AA22" s="254"/>
      <c r="AB22" s="254"/>
      <c r="AC22" s="251"/>
      <c r="AD22" s="22" t="s">
        <v>41</v>
      </c>
      <c r="AE22" s="86"/>
      <c r="AF22" s="89"/>
    </row>
    <row r="23" spans="1:34" s="90" customFormat="1" ht="12" thickBot="1">
      <c r="A23" s="410"/>
      <c r="B23" s="411"/>
      <c r="C23" s="412"/>
      <c r="D23" s="495"/>
      <c r="E23" s="412"/>
      <c r="F23" s="458"/>
      <c r="G23" s="413"/>
      <c r="H23" s="412"/>
      <c r="I23" s="412"/>
      <c r="J23" s="412"/>
      <c r="K23" s="412"/>
      <c r="L23" s="414"/>
      <c r="M23" s="412"/>
      <c r="N23" s="482"/>
      <c r="O23" s="415"/>
      <c r="P23" s="416"/>
      <c r="Q23" s="442"/>
      <c r="R23" s="443"/>
      <c r="S23" s="417"/>
      <c r="T23" s="471"/>
      <c r="U23" s="417"/>
      <c r="V23" s="417"/>
      <c r="W23" s="417"/>
      <c r="X23" s="417"/>
      <c r="Y23" s="417"/>
      <c r="Z23" s="417"/>
      <c r="AA23" s="417"/>
      <c r="AB23" s="417"/>
      <c r="AC23" s="418"/>
      <c r="AD23" s="22" t="s">
        <v>41</v>
      </c>
      <c r="AE23" s="88"/>
      <c r="AF23" s="92"/>
    </row>
    <row r="24" spans="1:34" s="90" customFormat="1">
      <c r="A24" s="419" t="s">
        <v>90</v>
      </c>
      <c r="B24" s="91"/>
      <c r="C24" s="351"/>
      <c r="D24" s="496"/>
      <c r="E24" s="351"/>
      <c r="F24" s="394"/>
      <c r="G24" s="397"/>
      <c r="H24" s="351"/>
      <c r="I24" s="351"/>
      <c r="J24" s="351"/>
      <c r="K24" s="351"/>
      <c r="L24" s="402"/>
      <c r="M24" s="351"/>
      <c r="N24" s="481"/>
      <c r="O24" s="81"/>
      <c r="P24" s="16"/>
      <c r="Q24" s="75"/>
      <c r="R24" s="441"/>
      <c r="S24" s="254"/>
      <c r="T24" s="254"/>
      <c r="U24" s="254"/>
      <c r="V24" s="254"/>
      <c r="W24" s="254"/>
      <c r="X24" s="254"/>
      <c r="Y24" s="254"/>
      <c r="Z24" s="254"/>
      <c r="AA24" s="254"/>
      <c r="AB24" s="254"/>
      <c r="AC24" s="251"/>
      <c r="AD24" s="22" t="s">
        <v>41</v>
      </c>
      <c r="AE24" s="88"/>
      <c r="AF24" s="92"/>
    </row>
    <row r="25" spans="1:34" s="668" customFormat="1">
      <c r="A25" s="650">
        <v>635</v>
      </c>
      <c r="B25" s="651">
        <v>0</v>
      </c>
      <c r="C25" s="652">
        <v>180</v>
      </c>
      <c r="D25" s="653">
        <v>66</v>
      </c>
      <c r="E25" s="654"/>
      <c r="F25" s="655"/>
      <c r="G25" s="656">
        <v>66</v>
      </c>
      <c r="H25" s="654">
        <v>5.7</v>
      </c>
      <c r="I25" s="654"/>
      <c r="J25" s="654"/>
      <c r="K25" s="654"/>
      <c r="L25" s="657">
        <f>AVERAGE(H25:K25)</f>
        <v>5.7</v>
      </c>
      <c r="M25" s="652">
        <f>G25*    PI()* (L25/2)^2</f>
        <v>1684.1606976996843</v>
      </c>
      <c r="N25" s="658">
        <f>(C22+C25-D25)/2</f>
        <v>107</v>
      </c>
      <c r="O25" s="659">
        <f>(C25+C26-G26)/2</f>
        <v>179</v>
      </c>
      <c r="P25" s="660">
        <f>(A25-B25)/M25</f>
        <v>0.37704240507887199</v>
      </c>
      <c r="Q25" s="661">
        <f>(P25*(O25-N25))/100</f>
        <v>0.27147053165678786</v>
      </c>
      <c r="R25" s="662">
        <f>SUM(Q$13:Q25)</f>
        <v>0.74791980701910665</v>
      </c>
      <c r="S25" s="663">
        <f>R25/O25*100</f>
        <v>0.41783229442408193</v>
      </c>
      <c r="T25" s="663"/>
      <c r="U25" s="663"/>
      <c r="V25" s="663"/>
      <c r="W25" s="663"/>
      <c r="X25" s="254">
        <f t="shared" ref="X25:X57" si="7">(U25 + W25)*    PI()* (L25/2)^2</f>
        <v>0</v>
      </c>
      <c r="Y25" s="663">
        <f>(A25-(X25/0.9))/(M25-X25)</f>
        <v>0.37704240507887199</v>
      </c>
      <c r="Z25" s="663"/>
      <c r="AA25" s="663"/>
      <c r="AB25" s="663"/>
      <c r="AC25" s="664"/>
      <c r="AD25" s="665" t="s">
        <v>41</v>
      </c>
      <c r="AE25" s="670"/>
      <c r="AF25" s="667"/>
    </row>
    <row r="26" spans="1:34" s="90" customFormat="1">
      <c r="A26" s="286">
        <v>925</v>
      </c>
      <c r="B26" s="91">
        <v>0</v>
      </c>
      <c r="C26" s="351">
        <f>C27-D27</f>
        <v>254.4</v>
      </c>
      <c r="D26" s="497">
        <v>76.400000000000006</v>
      </c>
      <c r="E26" s="425"/>
      <c r="F26" s="498"/>
      <c r="G26" s="427">
        <f>AVERAGE(D26:F26)</f>
        <v>76.400000000000006</v>
      </c>
      <c r="H26" s="425">
        <v>5.7</v>
      </c>
      <c r="I26" s="425"/>
      <c r="J26" s="425"/>
      <c r="K26" s="425"/>
      <c r="L26" s="426">
        <f>AVERAGE(H26:K26)</f>
        <v>5.7</v>
      </c>
      <c r="M26" s="351">
        <f>G26*    PI()* (L26/2)^2</f>
        <v>1949.5435955190287</v>
      </c>
      <c r="N26" s="481">
        <f>(C25+C26-G26)/2</f>
        <v>179</v>
      </c>
      <c r="O26" s="81">
        <f>(C26+C27-G27)/2</f>
        <v>254.39999999999998</v>
      </c>
      <c r="P26" s="16">
        <f>(A26-B26)/M26</f>
        <v>0.47447002576710084</v>
      </c>
      <c r="Q26" s="75">
        <f>(P26*(O26-N26))/100</f>
        <v>0.35775039942839393</v>
      </c>
      <c r="R26" s="441">
        <f>SUM(Q$13:Q26)</f>
        <v>1.1056702064475006</v>
      </c>
      <c r="S26" s="254">
        <f>R26/O26*100</f>
        <v>0.43461879184257102</v>
      </c>
      <c r="T26" s="254"/>
      <c r="U26" s="254"/>
      <c r="V26" s="254"/>
      <c r="W26" s="254"/>
      <c r="X26" s="254">
        <f t="shared" si="7"/>
        <v>0</v>
      </c>
      <c r="Y26" s="663">
        <f t="shared" ref="Y26:Y61" si="8">(A26-(X26/0.9))/(M26-X26)</f>
        <v>0.47447002576710084</v>
      </c>
      <c r="Z26" s="254"/>
      <c r="AA26" s="254"/>
      <c r="AB26" s="254"/>
      <c r="AC26" s="251"/>
      <c r="AD26" s="22" t="s">
        <v>41</v>
      </c>
      <c r="AE26" s="84"/>
      <c r="AF26" s="92"/>
    </row>
    <row r="27" spans="1:34" s="668" customFormat="1">
      <c r="A27" s="650">
        <v>185</v>
      </c>
      <c r="B27" s="651">
        <v>0</v>
      </c>
      <c r="C27" s="652">
        <v>271</v>
      </c>
      <c r="D27" s="653">
        <v>16.600000000000001</v>
      </c>
      <c r="E27" s="654"/>
      <c r="F27" s="655"/>
      <c r="G27" s="656">
        <f>AVERAGE(D27:F27)</f>
        <v>16.600000000000001</v>
      </c>
      <c r="H27" s="654">
        <v>5.7</v>
      </c>
      <c r="I27" s="654"/>
      <c r="J27" s="654"/>
      <c r="K27" s="654"/>
      <c r="L27" s="657">
        <f>AVERAGE(H27:K27)</f>
        <v>5.7</v>
      </c>
      <c r="M27" s="652">
        <f>G27*    PI()* (L27/2)^2</f>
        <v>423.59193305779945</v>
      </c>
      <c r="N27" s="658">
        <f>(C26+C27-G27)/2</f>
        <v>254.39999999999998</v>
      </c>
      <c r="O27" s="659">
        <f t="shared" ref="O27:O60" si="9">(C27+C28-G28)/2</f>
        <v>266.89999999999998</v>
      </c>
      <c r="P27" s="660">
        <f>(A27-B27)/M27</f>
        <v>0.43674108395911448</v>
      </c>
      <c r="Q27" s="661">
        <f>(P27*(O27-N27))/100</f>
        <v>5.4592635494889311E-2</v>
      </c>
      <c r="R27" s="662">
        <f>SUM(Q$13:Q27)</f>
        <v>1.1602628419423899</v>
      </c>
      <c r="S27" s="663">
        <f>R27/O27*100</f>
        <v>0.43471818731449613</v>
      </c>
      <c r="T27" s="663"/>
      <c r="U27" s="663"/>
      <c r="V27" s="663"/>
      <c r="W27" s="663"/>
      <c r="X27" s="254">
        <f t="shared" si="7"/>
        <v>0</v>
      </c>
      <c r="Y27" s="663">
        <f t="shared" si="8"/>
        <v>0.43674108395911448</v>
      </c>
      <c r="Z27" s="663"/>
      <c r="AA27" s="663"/>
      <c r="AB27" s="663"/>
      <c r="AC27" s="664"/>
      <c r="AD27" s="665" t="s">
        <v>41</v>
      </c>
      <c r="AE27" s="666"/>
      <c r="AF27" s="667"/>
    </row>
    <row r="28" spans="1:34" s="90" customFormat="1">
      <c r="A28" s="286">
        <v>605</v>
      </c>
      <c r="B28" s="91">
        <v>0</v>
      </c>
      <c r="C28" s="351">
        <f>C29-D29</f>
        <v>312.3</v>
      </c>
      <c r="D28" s="497">
        <v>49.5</v>
      </c>
      <c r="E28" s="425"/>
      <c r="F28" s="498"/>
      <c r="G28" s="427">
        <f t="shared" ref="G28:G61" si="10">AVERAGE(D28:F28)</f>
        <v>49.5</v>
      </c>
      <c r="H28" s="425">
        <v>5.7</v>
      </c>
      <c r="I28" s="425"/>
      <c r="J28" s="425"/>
      <c r="K28" s="425"/>
      <c r="L28" s="426">
        <f t="shared" ref="L28:L61" si="11">AVERAGE(H28:K28)</f>
        <v>5.7</v>
      </c>
      <c r="M28" s="351">
        <f t="shared" ref="M28:M61" si="12">G28*    PI()* (L28/2)^2</f>
        <v>1263.1205232747634</v>
      </c>
      <c r="N28" s="481">
        <f t="shared" ref="N28:N61" si="13">(C27+C28-G28)/2</f>
        <v>266.89999999999998</v>
      </c>
      <c r="O28" s="81">
        <f t="shared" si="9"/>
        <v>312.29999999999995</v>
      </c>
      <c r="P28" s="16">
        <f t="shared" ref="P28:P61" si="14">(A28-B28)/M28</f>
        <v>0.47897250408969555</v>
      </c>
      <c r="Q28" s="75">
        <f t="shared" ref="Q28:Q61" si="15">(P28*(O28-N28))/100</f>
        <v>0.21745351685672165</v>
      </c>
      <c r="R28" s="441">
        <f>SUM(Q$13:Q28)</f>
        <v>1.3777163587991117</v>
      </c>
      <c r="S28" s="254">
        <f t="shared" ref="S28:S38" si="16">R28/O28*100</f>
        <v>0.44115157182168174</v>
      </c>
      <c r="T28" s="254"/>
      <c r="U28" s="254"/>
      <c r="V28" s="254"/>
      <c r="W28" s="254"/>
      <c r="X28" s="254">
        <f t="shared" si="7"/>
        <v>0</v>
      </c>
      <c r="Y28" s="663">
        <f t="shared" si="8"/>
        <v>0.47897250408969555</v>
      </c>
      <c r="Z28" s="254"/>
      <c r="AA28" s="254"/>
      <c r="AB28" s="254"/>
      <c r="AC28" s="251"/>
      <c r="AD28" s="22" t="s">
        <v>41</v>
      </c>
      <c r="AE28" s="84"/>
      <c r="AF28" s="92"/>
    </row>
    <row r="29" spans="1:34" s="669" customFormat="1">
      <c r="A29" s="650">
        <v>485</v>
      </c>
      <c r="B29" s="651">
        <v>0</v>
      </c>
      <c r="C29" s="652">
        <v>359</v>
      </c>
      <c r="D29" s="653">
        <v>46.7</v>
      </c>
      <c r="E29" s="654"/>
      <c r="F29" s="655"/>
      <c r="G29" s="656">
        <f t="shared" si="10"/>
        <v>46.7</v>
      </c>
      <c r="H29" s="654">
        <v>5.7</v>
      </c>
      <c r="I29" s="654"/>
      <c r="J29" s="654"/>
      <c r="K29" s="654"/>
      <c r="L29" s="657">
        <f t="shared" si="11"/>
        <v>5.7</v>
      </c>
      <c r="M29" s="652">
        <f t="shared" si="12"/>
        <v>1191.6712815541707</v>
      </c>
      <c r="N29" s="658">
        <f t="shared" si="13"/>
        <v>312.29999999999995</v>
      </c>
      <c r="O29" s="659">
        <f t="shared" si="9"/>
        <v>356.15</v>
      </c>
      <c r="P29" s="660">
        <f t="shared" si="14"/>
        <v>0.40699143086461381</v>
      </c>
      <c r="Q29" s="661">
        <f t="shared" si="15"/>
        <v>0.17846574243413327</v>
      </c>
      <c r="R29" s="662">
        <f>SUM(Q$13:Q29)</f>
        <v>1.5561821012332451</v>
      </c>
      <c r="S29" s="663">
        <f t="shared" si="16"/>
        <v>0.43694569738403621</v>
      </c>
      <c r="T29" s="663"/>
      <c r="U29" s="663"/>
      <c r="V29" s="663"/>
      <c r="W29" s="663"/>
      <c r="X29" s="254">
        <f t="shared" si="7"/>
        <v>0</v>
      </c>
      <c r="Y29" s="663">
        <f t="shared" si="8"/>
        <v>0.40699143086461381</v>
      </c>
      <c r="Z29" s="663"/>
      <c r="AA29" s="663"/>
      <c r="AB29" s="663"/>
      <c r="AC29" s="664"/>
      <c r="AD29" s="665" t="s">
        <v>41</v>
      </c>
      <c r="AE29" s="666"/>
      <c r="AF29" s="667"/>
      <c r="AG29" s="668"/>
      <c r="AH29" s="668"/>
    </row>
    <row r="30" spans="1:34">
      <c r="A30" s="286">
        <v>570</v>
      </c>
      <c r="B30" s="91">
        <v>0</v>
      </c>
      <c r="C30" s="351">
        <f>C31-D31</f>
        <v>398.5</v>
      </c>
      <c r="D30" s="497">
        <v>45.2</v>
      </c>
      <c r="E30" s="425"/>
      <c r="F30" s="498"/>
      <c r="G30" s="427">
        <f t="shared" si="10"/>
        <v>45.2</v>
      </c>
      <c r="H30" s="425">
        <v>5.7</v>
      </c>
      <c r="I30" s="425"/>
      <c r="J30" s="425"/>
      <c r="K30" s="425"/>
      <c r="L30" s="426">
        <f t="shared" si="11"/>
        <v>5.7</v>
      </c>
      <c r="M30" s="351">
        <f t="shared" si="12"/>
        <v>1153.3949020609959</v>
      </c>
      <c r="N30" s="481">
        <f t="shared" si="13"/>
        <v>356.15</v>
      </c>
      <c r="O30" s="81">
        <f t="shared" si="9"/>
        <v>398.5</v>
      </c>
      <c r="P30" s="16">
        <f t="shared" si="14"/>
        <v>0.49419327151652021</v>
      </c>
      <c r="Q30" s="75">
        <f t="shared" si="15"/>
        <v>0.20929085048724641</v>
      </c>
      <c r="R30" s="441">
        <f>SUM(Q$13:Q30)</f>
        <v>1.7654729517204915</v>
      </c>
      <c r="S30" s="254">
        <f t="shared" si="16"/>
        <v>0.44302959892609567</v>
      </c>
      <c r="T30" s="254"/>
      <c r="U30" s="254"/>
      <c r="V30" s="254"/>
      <c r="W30" s="254"/>
      <c r="X30" s="254">
        <f t="shared" si="7"/>
        <v>0</v>
      </c>
      <c r="Y30" s="663">
        <f t="shared" si="8"/>
        <v>0.49419327151652021</v>
      </c>
      <c r="Z30" s="254"/>
      <c r="AA30" s="254"/>
      <c r="AB30" s="254"/>
      <c r="AC30" s="251"/>
      <c r="AD30" s="22" t="s">
        <v>41</v>
      </c>
      <c r="AE30" s="84"/>
      <c r="AF30" s="92"/>
      <c r="AG30" s="90"/>
      <c r="AH30" s="90"/>
    </row>
    <row r="31" spans="1:34" s="669" customFormat="1">
      <c r="A31" s="650">
        <v>530</v>
      </c>
      <c r="B31" s="651">
        <v>0</v>
      </c>
      <c r="C31" s="652">
        <v>440</v>
      </c>
      <c r="D31" s="653">
        <v>41.5</v>
      </c>
      <c r="E31" s="654"/>
      <c r="F31" s="655"/>
      <c r="G31" s="656">
        <f t="shared" si="10"/>
        <v>41.5</v>
      </c>
      <c r="H31" s="654">
        <v>5.7</v>
      </c>
      <c r="I31" s="654"/>
      <c r="J31" s="654"/>
      <c r="K31" s="654"/>
      <c r="L31" s="657">
        <f t="shared" si="11"/>
        <v>5.7</v>
      </c>
      <c r="M31" s="652">
        <f t="shared" si="12"/>
        <v>1058.9798326444986</v>
      </c>
      <c r="N31" s="658">
        <f t="shared" si="13"/>
        <v>398.5</v>
      </c>
      <c r="O31" s="659">
        <f t="shared" si="9"/>
        <v>439.90000000000003</v>
      </c>
      <c r="P31" s="660">
        <f t="shared" si="14"/>
        <v>0.50048167459098525</v>
      </c>
      <c r="Q31" s="661">
        <f t="shared" si="15"/>
        <v>0.20719941328066807</v>
      </c>
      <c r="R31" s="662">
        <f>SUM(Q$13:Q31)</f>
        <v>1.9726723650011595</v>
      </c>
      <c r="S31" s="663">
        <f t="shared" si="16"/>
        <v>0.44843654580612846</v>
      </c>
      <c r="T31" s="663"/>
      <c r="U31" s="663"/>
      <c r="V31" s="663"/>
      <c r="W31" s="663"/>
      <c r="X31" s="254">
        <f t="shared" si="7"/>
        <v>0</v>
      </c>
      <c r="Y31" s="663">
        <f t="shared" si="8"/>
        <v>0.50048167459098525</v>
      </c>
      <c r="Z31" s="663"/>
      <c r="AA31" s="663"/>
      <c r="AB31" s="663"/>
      <c r="AC31" s="664"/>
      <c r="AD31" s="665" t="s">
        <v>41</v>
      </c>
      <c r="AE31" s="666"/>
      <c r="AF31" s="667"/>
      <c r="AG31" s="668"/>
      <c r="AH31" s="668"/>
    </row>
    <row r="32" spans="1:34">
      <c r="A32" s="286">
        <v>515</v>
      </c>
      <c r="B32" s="91">
        <v>0</v>
      </c>
      <c r="C32" s="351">
        <f>C33-D33</f>
        <v>482.2</v>
      </c>
      <c r="D32" s="497">
        <v>42.4</v>
      </c>
      <c r="E32" s="425"/>
      <c r="F32" s="498"/>
      <c r="G32" s="427">
        <f t="shared" si="10"/>
        <v>42.4</v>
      </c>
      <c r="H32" s="425">
        <v>5.7</v>
      </c>
      <c r="I32" s="425"/>
      <c r="J32" s="425"/>
      <c r="K32" s="425"/>
      <c r="L32" s="426">
        <f t="shared" si="11"/>
        <v>5.7</v>
      </c>
      <c r="M32" s="351">
        <f t="shared" si="12"/>
        <v>1081.9456603404033</v>
      </c>
      <c r="N32" s="481">
        <f t="shared" si="13"/>
        <v>439.90000000000003</v>
      </c>
      <c r="O32" s="81">
        <f t="shared" si="9"/>
        <v>482.20000000000005</v>
      </c>
      <c r="P32" s="16">
        <f t="shared" si="14"/>
        <v>0.47599433028639349</v>
      </c>
      <c r="Q32" s="75">
        <f t="shared" si="15"/>
        <v>0.20134560171114452</v>
      </c>
      <c r="R32" s="441">
        <f>SUM(Q$13:Q32)</f>
        <v>2.1740179667123041</v>
      </c>
      <c r="S32" s="254">
        <f t="shared" si="16"/>
        <v>0.45085399558529737</v>
      </c>
      <c r="T32" s="254"/>
      <c r="U32" s="254"/>
      <c r="V32" s="254"/>
      <c r="W32" s="254"/>
      <c r="X32" s="254">
        <f t="shared" si="7"/>
        <v>0</v>
      </c>
      <c r="Y32" s="663">
        <f t="shared" si="8"/>
        <v>0.47599433028639349</v>
      </c>
      <c r="Z32" s="254"/>
      <c r="AA32" s="254"/>
      <c r="AB32" s="254"/>
      <c r="AC32" s="251"/>
      <c r="AD32" s="22" t="s">
        <v>41</v>
      </c>
      <c r="AE32" s="84"/>
      <c r="AF32" s="92"/>
      <c r="AG32" s="90"/>
      <c r="AH32" s="90"/>
    </row>
    <row r="33" spans="1:35" s="669" customFormat="1">
      <c r="A33" s="650">
        <v>450</v>
      </c>
      <c r="B33" s="651">
        <v>0</v>
      </c>
      <c r="C33" s="652">
        <v>519</v>
      </c>
      <c r="D33" s="653">
        <v>36.799999999999997</v>
      </c>
      <c r="E33" s="654"/>
      <c r="F33" s="655"/>
      <c r="G33" s="656">
        <f t="shared" si="10"/>
        <v>36.799999999999997</v>
      </c>
      <c r="H33" s="654">
        <v>5.7</v>
      </c>
      <c r="I33" s="654"/>
      <c r="J33" s="654"/>
      <c r="K33" s="654"/>
      <c r="L33" s="657">
        <f t="shared" si="11"/>
        <v>5.7</v>
      </c>
      <c r="M33" s="652">
        <f t="shared" si="12"/>
        <v>939.04717689921779</v>
      </c>
      <c r="N33" s="658">
        <f t="shared" si="13"/>
        <v>482.20000000000005</v>
      </c>
      <c r="O33" s="659">
        <f t="shared" si="9"/>
        <v>520.35</v>
      </c>
      <c r="P33" s="660">
        <f t="shared" si="14"/>
        <v>0.47920915058381114</v>
      </c>
      <c r="Q33" s="661">
        <f t="shared" si="15"/>
        <v>0.18281829094772384</v>
      </c>
      <c r="R33" s="662">
        <f>SUM(Q$13:Q33)</f>
        <v>2.3568362576600279</v>
      </c>
      <c r="S33" s="663">
        <f t="shared" si="16"/>
        <v>0.45293288318632224</v>
      </c>
      <c r="T33" s="663"/>
      <c r="U33" s="663"/>
      <c r="V33" s="663"/>
      <c r="W33" s="663"/>
      <c r="X33" s="254">
        <f t="shared" si="7"/>
        <v>0</v>
      </c>
      <c r="Y33" s="663">
        <f t="shared" si="8"/>
        <v>0.47920915058381114</v>
      </c>
      <c r="Z33" s="663"/>
      <c r="AA33" s="663"/>
      <c r="AB33" s="663"/>
      <c r="AC33" s="664"/>
      <c r="AD33" s="665" t="s">
        <v>41</v>
      </c>
      <c r="AE33" s="666"/>
      <c r="AF33" s="667"/>
      <c r="AG33" s="668"/>
      <c r="AH33" s="668"/>
    </row>
    <row r="34" spans="1:35">
      <c r="A34" s="286">
        <v>520</v>
      </c>
      <c r="B34" s="91">
        <v>0</v>
      </c>
      <c r="C34" s="351">
        <f>C35-D35</f>
        <v>561.5</v>
      </c>
      <c r="D34" s="497">
        <v>39.799999999999997</v>
      </c>
      <c r="E34" s="425"/>
      <c r="F34" s="498"/>
      <c r="G34" s="427">
        <f t="shared" si="10"/>
        <v>39.799999999999997</v>
      </c>
      <c r="H34" s="425">
        <v>5.7</v>
      </c>
      <c r="I34" s="425"/>
      <c r="J34" s="425"/>
      <c r="K34" s="425"/>
      <c r="L34" s="426">
        <f t="shared" si="11"/>
        <v>5.7</v>
      </c>
      <c r="M34" s="351">
        <f t="shared" si="12"/>
        <v>1015.5999358855672</v>
      </c>
      <c r="N34" s="481">
        <f t="shared" si="13"/>
        <v>520.35</v>
      </c>
      <c r="O34" s="81">
        <f t="shared" si="9"/>
        <v>561.5</v>
      </c>
      <c r="P34" s="16">
        <f t="shared" si="14"/>
        <v>0.51201263571031874</v>
      </c>
      <c r="Q34" s="75">
        <f t="shared" si="15"/>
        <v>0.21069319959479604</v>
      </c>
      <c r="R34" s="441">
        <f>SUM(Q$13:Q34)</f>
        <v>2.5675294572548237</v>
      </c>
      <c r="S34" s="254">
        <f t="shared" si="16"/>
        <v>0.45726259256541829</v>
      </c>
      <c r="T34" s="254"/>
      <c r="U34" s="254"/>
      <c r="V34" s="254"/>
      <c r="W34" s="254"/>
      <c r="X34" s="254">
        <f t="shared" si="7"/>
        <v>0</v>
      </c>
      <c r="Y34" s="663">
        <f t="shared" si="8"/>
        <v>0.51201263571031874</v>
      </c>
      <c r="Z34" s="254"/>
      <c r="AA34" s="254"/>
      <c r="AB34" s="254"/>
      <c r="AC34" s="251"/>
      <c r="AD34" s="22"/>
      <c r="AE34" s="84"/>
      <c r="AF34" s="94"/>
    </row>
    <row r="35" spans="1:35" s="669" customFormat="1">
      <c r="A35" s="650">
        <v>535</v>
      </c>
      <c r="B35" s="651">
        <v>0</v>
      </c>
      <c r="C35" s="652">
        <v>600</v>
      </c>
      <c r="D35" s="653">
        <v>38.5</v>
      </c>
      <c r="E35" s="654"/>
      <c r="F35" s="655"/>
      <c r="G35" s="656">
        <f t="shared" si="10"/>
        <v>38.5</v>
      </c>
      <c r="H35" s="654">
        <v>5.7</v>
      </c>
      <c r="I35" s="654"/>
      <c r="J35" s="654"/>
      <c r="K35" s="654"/>
      <c r="L35" s="657">
        <f t="shared" si="11"/>
        <v>5.7</v>
      </c>
      <c r="M35" s="652">
        <f t="shared" si="12"/>
        <v>982.4270736581492</v>
      </c>
      <c r="N35" s="658">
        <f t="shared" si="13"/>
        <v>561.5</v>
      </c>
      <c r="O35" s="659">
        <f t="shared" si="9"/>
        <v>598.65</v>
      </c>
      <c r="P35" s="660">
        <f t="shared" si="14"/>
        <v>0.54456968292606478</v>
      </c>
      <c r="Q35" s="661">
        <f t="shared" si="15"/>
        <v>0.20230763720703293</v>
      </c>
      <c r="R35" s="662">
        <f>SUM(Q$13:Q35)</f>
        <v>2.7698370944618569</v>
      </c>
      <c r="S35" s="663">
        <f t="shared" si="16"/>
        <v>0.46268054697433503</v>
      </c>
      <c r="T35" s="663"/>
      <c r="U35" s="663"/>
      <c r="V35" s="663"/>
      <c r="W35" s="663"/>
      <c r="X35" s="254">
        <f t="shared" si="7"/>
        <v>0</v>
      </c>
      <c r="Y35" s="663">
        <f t="shared" si="8"/>
        <v>0.54456968292606478</v>
      </c>
      <c r="Z35" s="663"/>
      <c r="AA35" s="663"/>
      <c r="AB35" s="663"/>
      <c r="AC35" s="664"/>
      <c r="AD35" s="665"/>
      <c r="AE35" s="666"/>
      <c r="AF35" s="671"/>
      <c r="AH35" s="672"/>
    </row>
    <row r="36" spans="1:35">
      <c r="A36" s="286">
        <v>575</v>
      </c>
      <c r="B36" s="91">
        <v>0</v>
      </c>
      <c r="C36" s="351">
        <f t="shared" ref="C36:C58" si="17">C37-D37</f>
        <v>639</v>
      </c>
      <c r="D36" s="497">
        <v>41.7</v>
      </c>
      <c r="E36" s="425"/>
      <c r="F36" s="498"/>
      <c r="G36" s="427">
        <f t="shared" si="10"/>
        <v>41.7</v>
      </c>
      <c r="H36" s="425">
        <v>5.7</v>
      </c>
      <c r="I36" s="425"/>
      <c r="J36" s="425"/>
      <c r="K36" s="425"/>
      <c r="L36" s="426">
        <f t="shared" si="11"/>
        <v>5.7</v>
      </c>
      <c r="M36" s="351">
        <f t="shared" si="12"/>
        <v>1064.0833499102553</v>
      </c>
      <c r="N36" s="481">
        <f t="shared" si="13"/>
        <v>598.65</v>
      </c>
      <c r="O36" s="81">
        <f t="shared" si="9"/>
        <v>639</v>
      </c>
      <c r="P36" s="16">
        <f t="shared" si="14"/>
        <v>0.54037120310969577</v>
      </c>
      <c r="Q36" s="75">
        <f t="shared" si="15"/>
        <v>0.21803978045476236</v>
      </c>
      <c r="R36" s="441">
        <f>SUM(Q$13:Q36)</f>
        <v>2.9878768749166191</v>
      </c>
      <c r="S36" s="254">
        <f t="shared" si="16"/>
        <v>0.46758636540166182</v>
      </c>
      <c r="T36" s="254"/>
      <c r="U36" s="254"/>
      <c r="V36" s="254"/>
      <c r="W36" s="254"/>
      <c r="X36" s="254">
        <f t="shared" si="7"/>
        <v>0</v>
      </c>
      <c r="Y36" s="663">
        <f t="shared" si="8"/>
        <v>0.54037120310969577</v>
      </c>
      <c r="Z36" s="254"/>
      <c r="AA36" s="254"/>
      <c r="AB36" s="254"/>
      <c r="AC36" s="251"/>
      <c r="AD36" s="22"/>
      <c r="AE36" s="84"/>
      <c r="AF36" s="238"/>
      <c r="AG36" s="97"/>
      <c r="AH36" s="240"/>
      <c r="AI36" s="97"/>
    </row>
    <row r="37" spans="1:35" s="669" customFormat="1">
      <c r="A37" s="650">
        <v>455</v>
      </c>
      <c r="B37" s="651">
        <v>0</v>
      </c>
      <c r="C37" s="652">
        <v>675</v>
      </c>
      <c r="D37" s="653">
        <v>36</v>
      </c>
      <c r="E37" s="654"/>
      <c r="F37" s="655"/>
      <c r="G37" s="656">
        <f t="shared" si="10"/>
        <v>36</v>
      </c>
      <c r="H37" s="654">
        <v>5.7</v>
      </c>
      <c r="I37" s="654"/>
      <c r="J37" s="654"/>
      <c r="K37" s="654"/>
      <c r="L37" s="657">
        <f t="shared" si="11"/>
        <v>5.7</v>
      </c>
      <c r="M37" s="652">
        <f t="shared" si="12"/>
        <v>918.63310783619147</v>
      </c>
      <c r="N37" s="658">
        <f t="shared" si="13"/>
        <v>639</v>
      </c>
      <c r="O37" s="659">
        <f t="shared" si="9"/>
        <v>673.8</v>
      </c>
      <c r="P37" s="660">
        <f t="shared" si="14"/>
        <v>0.49530111218366252</v>
      </c>
      <c r="Q37" s="661">
        <f t="shared" si="15"/>
        <v>0.17236478703991434</v>
      </c>
      <c r="R37" s="662">
        <f>SUM(Q$13:Q37)</f>
        <v>3.1602416619565337</v>
      </c>
      <c r="S37" s="663">
        <f t="shared" si="16"/>
        <v>0.46901775926929862</v>
      </c>
      <c r="T37" s="663"/>
      <c r="U37" s="663"/>
      <c r="V37" s="663"/>
      <c r="W37" s="663"/>
      <c r="X37" s="254">
        <f t="shared" si="7"/>
        <v>0</v>
      </c>
      <c r="Y37" s="663">
        <f t="shared" si="8"/>
        <v>0.49530111218366252</v>
      </c>
      <c r="Z37" s="663"/>
      <c r="AA37" s="663"/>
      <c r="AB37" s="663"/>
      <c r="AC37" s="664"/>
      <c r="AD37" s="665"/>
      <c r="AE37" s="666"/>
      <c r="AF37" s="673"/>
    </row>
    <row r="38" spans="1:35" s="702" customFormat="1">
      <c r="A38" s="683">
        <v>625</v>
      </c>
      <c r="B38" s="684">
        <v>0</v>
      </c>
      <c r="C38" s="685">
        <f t="shared" si="17"/>
        <v>722.3</v>
      </c>
      <c r="D38" s="686">
        <v>49.7</v>
      </c>
      <c r="E38" s="687"/>
      <c r="F38" s="688"/>
      <c r="G38" s="689">
        <f t="shared" si="10"/>
        <v>49.7</v>
      </c>
      <c r="H38" s="687">
        <v>5.7</v>
      </c>
      <c r="I38" s="687"/>
      <c r="J38" s="687"/>
      <c r="K38" s="687"/>
      <c r="L38" s="690">
        <f t="shared" si="11"/>
        <v>5.7</v>
      </c>
      <c r="M38" s="685">
        <f t="shared" si="12"/>
        <v>1268.22404054052</v>
      </c>
      <c r="N38" s="691">
        <f t="shared" si="13"/>
        <v>673.8</v>
      </c>
      <c r="O38" s="692">
        <f t="shared" si="9"/>
        <v>722.3</v>
      </c>
      <c r="P38" s="693">
        <f t="shared" si="14"/>
        <v>0.4928151336207312</v>
      </c>
      <c r="Q38" s="694">
        <f t="shared" si="15"/>
        <v>0.23901533980605463</v>
      </c>
      <c r="R38" s="695">
        <f>SUM(Q$13:Q38)</f>
        <v>3.3992570017625883</v>
      </c>
      <c r="S38" s="696">
        <f t="shared" si="16"/>
        <v>0.47061567240240737</v>
      </c>
      <c r="T38" s="696"/>
      <c r="U38" s="696"/>
      <c r="V38" s="696"/>
      <c r="W38" s="696"/>
      <c r="X38" s="254">
        <f t="shared" si="7"/>
        <v>0</v>
      </c>
      <c r="Y38" s="663">
        <f t="shared" si="8"/>
        <v>0.4928151336207312</v>
      </c>
      <c r="Z38" s="696">
        <v>2.5</v>
      </c>
      <c r="AA38" s="696">
        <f>C38-Z38</f>
        <v>719.8</v>
      </c>
      <c r="AB38" s="696">
        <f>AA38*S38/100</f>
        <v>3.3874916099525278</v>
      </c>
      <c r="AC38" s="697" t="s">
        <v>164</v>
      </c>
      <c r="AD38" s="698"/>
      <c r="AE38" s="699"/>
      <c r="AF38" s="700"/>
      <c r="AG38" s="701"/>
    </row>
    <row r="39" spans="1:35" s="669" customFormat="1">
      <c r="A39" s="650">
        <v>540</v>
      </c>
      <c r="B39" s="651">
        <v>0</v>
      </c>
      <c r="C39" s="652">
        <v>762</v>
      </c>
      <c r="D39" s="653">
        <v>39.700000000000003</v>
      </c>
      <c r="E39" s="654"/>
      <c r="F39" s="655"/>
      <c r="G39" s="656">
        <f t="shared" si="10"/>
        <v>39.700000000000003</v>
      </c>
      <c r="H39" s="654">
        <v>5.7</v>
      </c>
      <c r="I39" s="654"/>
      <c r="J39" s="654"/>
      <c r="K39" s="654"/>
      <c r="L39" s="657">
        <f t="shared" si="11"/>
        <v>5.7</v>
      </c>
      <c r="M39" s="652">
        <f t="shared" si="12"/>
        <v>1013.048177252689</v>
      </c>
      <c r="N39" s="658">
        <f t="shared" si="13"/>
        <v>722.3</v>
      </c>
      <c r="O39" s="659">
        <f t="shared" si="9"/>
        <v>764.25</v>
      </c>
      <c r="P39" s="660">
        <f t="shared" si="14"/>
        <v>0.53304473777786132</v>
      </c>
      <c r="Q39" s="661">
        <f t="shared" si="15"/>
        <v>0.22361226749781304</v>
      </c>
      <c r="R39" s="662">
        <f>SUM(Q$13:Q39) - 3.39</f>
        <v>0.23286926926040108</v>
      </c>
      <c r="S39" s="663">
        <f>R39/(O39-719.8)*100</f>
        <v>0.52389036953970947</v>
      </c>
      <c r="T39" s="663"/>
      <c r="U39" s="663"/>
      <c r="V39" s="663"/>
      <c r="W39" s="663"/>
      <c r="X39" s="254">
        <f t="shared" si="7"/>
        <v>0</v>
      </c>
      <c r="Y39" s="663">
        <f t="shared" si="8"/>
        <v>0.53304473777786132</v>
      </c>
      <c r="Z39" s="663">
        <v>11</v>
      </c>
      <c r="AA39" s="663">
        <f>C39-Z39</f>
        <v>751</v>
      </c>
      <c r="AB39" s="663"/>
      <c r="AC39" s="664" t="s">
        <v>163</v>
      </c>
      <c r="AD39" s="665"/>
      <c r="AE39" s="666"/>
      <c r="AF39" s="674"/>
      <c r="AG39" s="674"/>
    </row>
    <row r="40" spans="1:35">
      <c r="A40" s="286">
        <v>490</v>
      </c>
      <c r="B40" s="91">
        <v>0</v>
      </c>
      <c r="C40" s="351">
        <f t="shared" si="17"/>
        <v>802.1</v>
      </c>
      <c r="D40" s="497">
        <v>35.6</v>
      </c>
      <c r="E40" s="425"/>
      <c r="F40" s="498"/>
      <c r="G40" s="427">
        <f t="shared" si="10"/>
        <v>35.6</v>
      </c>
      <c r="H40" s="425">
        <v>5.7</v>
      </c>
      <c r="I40" s="425"/>
      <c r="J40" s="425"/>
      <c r="K40" s="425"/>
      <c r="L40" s="426">
        <f t="shared" si="11"/>
        <v>5.7</v>
      </c>
      <c r="M40" s="351">
        <f t="shared" si="12"/>
        <v>908.42607330467831</v>
      </c>
      <c r="N40" s="481">
        <f t="shared" si="13"/>
        <v>764.25</v>
      </c>
      <c r="O40" s="81">
        <f t="shared" si="9"/>
        <v>802.09999999999991</v>
      </c>
      <c r="P40" s="16">
        <f t="shared" si="14"/>
        <v>0.53939446962092885</v>
      </c>
      <c r="Q40" s="75">
        <f t="shared" si="15"/>
        <v>0.2041608067515211</v>
      </c>
      <c r="R40" s="662">
        <f>SUM(Q$13:Q40) - 3.39</f>
        <v>0.43703007601192212</v>
      </c>
      <c r="S40" s="663">
        <f t="shared" ref="S40:S61" si="18">R40/(O40-719.8)*100</f>
        <v>0.53102074849565284</v>
      </c>
      <c r="T40" s="254"/>
      <c r="U40" s="254"/>
      <c r="V40" s="254"/>
      <c r="W40" s="254"/>
      <c r="X40" s="254">
        <f t="shared" si="7"/>
        <v>0</v>
      </c>
      <c r="Y40" s="663">
        <f t="shared" si="8"/>
        <v>0.53939446962092885</v>
      </c>
      <c r="Z40" s="254"/>
      <c r="AA40" s="675"/>
      <c r="AB40" s="675"/>
      <c r="AC40" s="251"/>
      <c r="AD40" s="22"/>
      <c r="AE40" s="84"/>
    </row>
    <row r="41" spans="1:35" s="669" customFormat="1">
      <c r="A41" s="650">
        <v>440</v>
      </c>
      <c r="B41" s="651">
        <v>0</v>
      </c>
      <c r="C41" s="652">
        <v>834</v>
      </c>
      <c r="D41" s="653">
        <v>31.9</v>
      </c>
      <c r="E41" s="654"/>
      <c r="F41" s="655"/>
      <c r="G41" s="656">
        <f t="shared" si="10"/>
        <v>31.9</v>
      </c>
      <c r="H41" s="654">
        <v>5.7</v>
      </c>
      <c r="I41" s="654"/>
      <c r="J41" s="654"/>
      <c r="K41" s="654"/>
      <c r="L41" s="657">
        <f t="shared" si="11"/>
        <v>5.7</v>
      </c>
      <c r="M41" s="652">
        <f t="shared" si="12"/>
        <v>814.01100388818077</v>
      </c>
      <c r="N41" s="658">
        <f t="shared" si="13"/>
        <v>802.09999999999991</v>
      </c>
      <c r="O41" s="659">
        <f t="shared" si="9"/>
        <v>831.6</v>
      </c>
      <c r="P41" s="660">
        <f t="shared" si="14"/>
        <v>0.5405332334554559</v>
      </c>
      <c r="Q41" s="661">
        <f t="shared" si="15"/>
        <v>0.15945730386936011</v>
      </c>
      <c r="R41" s="662">
        <f>SUM(Q$13:Q41) - 3.39</f>
        <v>0.5964873798812822</v>
      </c>
      <c r="S41" s="663">
        <f t="shared" si="18"/>
        <v>0.53353075123549365</v>
      </c>
      <c r="T41" s="663"/>
      <c r="U41" s="663"/>
      <c r="V41" s="663"/>
      <c r="W41" s="663"/>
      <c r="X41" s="254">
        <f t="shared" si="7"/>
        <v>0</v>
      </c>
      <c r="Y41" s="663">
        <f t="shared" si="8"/>
        <v>0.5405332334554559</v>
      </c>
      <c r="Z41" s="663"/>
      <c r="AA41" s="663"/>
      <c r="AB41" s="663"/>
      <c r="AC41" s="664"/>
      <c r="AD41" s="665"/>
      <c r="AE41" s="666"/>
    </row>
    <row r="42" spans="1:35">
      <c r="A42" s="286">
        <v>625</v>
      </c>
      <c r="B42" s="91">
        <v>0</v>
      </c>
      <c r="C42" s="351">
        <f t="shared" si="17"/>
        <v>872.2</v>
      </c>
      <c r="D42" s="497">
        <v>43</v>
      </c>
      <c r="E42" s="425"/>
      <c r="F42" s="498"/>
      <c r="G42" s="427">
        <f t="shared" si="10"/>
        <v>43</v>
      </c>
      <c r="H42" s="425">
        <v>5.7</v>
      </c>
      <c r="I42" s="425"/>
      <c r="J42" s="425"/>
      <c r="K42" s="425"/>
      <c r="L42" s="426">
        <f t="shared" si="11"/>
        <v>5.7</v>
      </c>
      <c r="M42" s="351">
        <f t="shared" si="12"/>
        <v>1097.2562121376732</v>
      </c>
      <c r="N42" s="481">
        <f t="shared" si="13"/>
        <v>831.6</v>
      </c>
      <c r="O42" s="81">
        <f t="shared" si="9"/>
        <v>872.2</v>
      </c>
      <c r="P42" s="16">
        <f t="shared" si="14"/>
        <v>0.56960260792907769</v>
      </c>
      <c r="Q42" s="75">
        <f t="shared" si="15"/>
        <v>0.23125865881920568</v>
      </c>
      <c r="R42" s="662">
        <f>SUM(Q$13:Q42) - 3.39</f>
        <v>0.82774603870048802</v>
      </c>
      <c r="S42" s="663">
        <f t="shared" si="18"/>
        <v>0.54314044534152728</v>
      </c>
      <c r="T42" s="254"/>
      <c r="U42" s="254"/>
      <c r="V42" s="254"/>
      <c r="W42" s="254"/>
      <c r="X42" s="254">
        <f t="shared" si="7"/>
        <v>0</v>
      </c>
      <c r="Y42" s="663">
        <f t="shared" si="8"/>
        <v>0.56960260792907769</v>
      </c>
      <c r="Z42" s="254"/>
      <c r="AA42" s="675"/>
      <c r="AB42" s="675"/>
      <c r="AC42" s="251"/>
      <c r="AD42" s="22"/>
      <c r="AE42" s="84"/>
    </row>
    <row r="43" spans="1:35" s="669" customFormat="1">
      <c r="A43" s="650">
        <v>695</v>
      </c>
      <c r="B43" s="651">
        <v>0</v>
      </c>
      <c r="C43" s="652">
        <v>919</v>
      </c>
      <c r="D43" s="653">
        <v>46.8</v>
      </c>
      <c r="E43" s="654"/>
      <c r="F43" s="655"/>
      <c r="G43" s="656">
        <f t="shared" si="10"/>
        <v>46.8</v>
      </c>
      <c r="H43" s="654">
        <v>5.7</v>
      </c>
      <c r="I43" s="654"/>
      <c r="J43" s="654"/>
      <c r="K43" s="654"/>
      <c r="L43" s="657">
        <f t="shared" si="11"/>
        <v>5.7</v>
      </c>
      <c r="M43" s="652">
        <f t="shared" si="12"/>
        <v>1194.2230401870488</v>
      </c>
      <c r="N43" s="658">
        <f t="shared" si="13"/>
        <v>872.2</v>
      </c>
      <c r="O43" s="659">
        <f t="shared" si="9"/>
        <v>918.6</v>
      </c>
      <c r="P43" s="660">
        <f t="shared" si="14"/>
        <v>0.58196833975933304</v>
      </c>
      <c r="Q43" s="661">
        <f t="shared" si="15"/>
        <v>0.27003330964833039</v>
      </c>
      <c r="R43" s="662">
        <f>SUM(Q$13:Q43) - 3.39</f>
        <v>1.0977793483488187</v>
      </c>
      <c r="S43" s="663">
        <f t="shared" si="18"/>
        <v>0.55220289152355051</v>
      </c>
      <c r="T43" s="663"/>
      <c r="U43" s="663"/>
      <c r="V43" s="663"/>
      <c r="W43" s="663"/>
      <c r="X43" s="254">
        <f t="shared" si="7"/>
        <v>0</v>
      </c>
      <c r="Y43" s="663">
        <f t="shared" si="8"/>
        <v>0.58196833975933304</v>
      </c>
      <c r="Z43" s="663"/>
      <c r="AA43" s="663"/>
      <c r="AB43" s="663"/>
      <c r="AC43" s="664"/>
      <c r="AD43" s="665"/>
      <c r="AE43" s="666"/>
    </row>
    <row r="44" spans="1:35">
      <c r="A44" s="286">
        <v>635</v>
      </c>
      <c r="B44" s="91">
        <v>0</v>
      </c>
      <c r="C44" s="351">
        <f t="shared" si="17"/>
        <v>960.4</v>
      </c>
      <c r="D44" s="497">
        <v>42.2</v>
      </c>
      <c r="E44" s="425"/>
      <c r="F44" s="498"/>
      <c r="G44" s="427">
        <f t="shared" si="10"/>
        <v>42.2</v>
      </c>
      <c r="H44" s="425">
        <v>5.7</v>
      </c>
      <c r="I44" s="425"/>
      <c r="J44" s="425"/>
      <c r="K44" s="425"/>
      <c r="L44" s="426">
        <f t="shared" si="11"/>
        <v>5.7</v>
      </c>
      <c r="M44" s="351">
        <f t="shared" si="12"/>
        <v>1076.8421430746469</v>
      </c>
      <c r="N44" s="481">
        <f t="shared" si="13"/>
        <v>918.6</v>
      </c>
      <c r="O44" s="81">
        <f t="shared" si="9"/>
        <v>960.40000000000009</v>
      </c>
      <c r="P44" s="16">
        <f t="shared" si="14"/>
        <v>0.58968717382003655</v>
      </c>
      <c r="Q44" s="75">
        <f t="shared" si="15"/>
        <v>0.24648923865677566</v>
      </c>
      <c r="R44" s="662">
        <f>SUM(Q$13:Q44) - 3.39</f>
        <v>1.3442685870055944</v>
      </c>
      <c r="S44" s="663">
        <f t="shared" si="18"/>
        <v>0.55871512344372143</v>
      </c>
      <c r="T44" s="254"/>
      <c r="U44" s="254"/>
      <c r="V44" s="254"/>
      <c r="W44" s="254"/>
      <c r="X44" s="254">
        <f t="shared" si="7"/>
        <v>0</v>
      </c>
      <c r="Y44" s="663">
        <f t="shared" si="8"/>
        <v>0.58968717382003655</v>
      </c>
      <c r="Z44" s="254"/>
      <c r="AA44" s="675"/>
      <c r="AB44" s="675"/>
      <c r="AC44" s="251"/>
      <c r="AD44" s="22"/>
      <c r="AE44" s="84"/>
    </row>
    <row r="45" spans="1:35" s="669" customFormat="1">
      <c r="A45" s="650">
        <v>600</v>
      </c>
      <c r="B45" s="651">
        <v>0</v>
      </c>
      <c r="C45" s="652">
        <v>1002</v>
      </c>
      <c r="D45" s="653">
        <v>41.6</v>
      </c>
      <c r="E45" s="654"/>
      <c r="F45" s="655"/>
      <c r="G45" s="656">
        <f t="shared" si="10"/>
        <v>41.6</v>
      </c>
      <c r="H45" s="654">
        <v>5.7</v>
      </c>
      <c r="I45" s="654"/>
      <c r="J45" s="654"/>
      <c r="K45" s="654"/>
      <c r="L45" s="657">
        <f t="shared" si="11"/>
        <v>5.7</v>
      </c>
      <c r="M45" s="652">
        <f t="shared" si="12"/>
        <v>1061.5315912773767</v>
      </c>
      <c r="N45" s="658">
        <f t="shared" si="13"/>
        <v>960.40000000000009</v>
      </c>
      <c r="O45" s="659">
        <f t="shared" si="9"/>
        <v>1001.4</v>
      </c>
      <c r="P45" s="660">
        <f t="shared" si="14"/>
        <v>0.56522104940654638</v>
      </c>
      <c r="Q45" s="661">
        <f t="shared" si="15"/>
        <v>0.2317406302566834</v>
      </c>
      <c r="R45" s="662">
        <f>SUM(Q$13:Q45) - 3.39</f>
        <v>1.5760092172622779</v>
      </c>
      <c r="S45" s="663">
        <f t="shared" si="18"/>
        <v>0.55966236408461567</v>
      </c>
      <c r="T45" s="663"/>
      <c r="U45" s="663"/>
      <c r="V45" s="663"/>
      <c r="W45" s="663"/>
      <c r="X45" s="254">
        <f t="shared" si="7"/>
        <v>0</v>
      </c>
      <c r="Y45" s="663">
        <f t="shared" si="8"/>
        <v>0.56522104940654638</v>
      </c>
      <c r="Z45" s="663"/>
      <c r="AA45" s="663"/>
      <c r="AB45" s="663"/>
      <c r="AC45" s="664"/>
      <c r="AD45" s="665"/>
      <c r="AE45" s="666"/>
    </row>
    <row r="46" spans="1:35">
      <c r="A46" s="286">
        <v>525</v>
      </c>
      <c r="B46" s="91">
        <v>0</v>
      </c>
      <c r="C46" s="351">
        <f t="shared" si="17"/>
        <v>1037.3</v>
      </c>
      <c r="D46" s="497">
        <v>36.5</v>
      </c>
      <c r="E46" s="425"/>
      <c r="F46" s="498"/>
      <c r="G46" s="427">
        <f t="shared" si="10"/>
        <v>36.5</v>
      </c>
      <c r="H46" s="425">
        <v>5.7</v>
      </c>
      <c r="I46" s="425"/>
      <c r="J46" s="425"/>
      <c r="K46" s="425"/>
      <c r="L46" s="426">
        <f t="shared" si="11"/>
        <v>5.7</v>
      </c>
      <c r="M46" s="351">
        <f t="shared" si="12"/>
        <v>931.39190100058295</v>
      </c>
      <c r="N46" s="481">
        <f t="shared" si="13"/>
        <v>1001.4</v>
      </c>
      <c r="O46" s="659">
        <f t="shared" si="9"/>
        <v>1037.3000000000002</v>
      </c>
      <c r="P46" s="16">
        <f t="shared" si="14"/>
        <v>0.56367249858625457</v>
      </c>
      <c r="Q46" s="75">
        <f t="shared" si="15"/>
        <v>0.20235842699246653</v>
      </c>
      <c r="R46" s="662">
        <f>SUM(Q$13:Q46) - 3.39</f>
        <v>1.7783676442547445</v>
      </c>
      <c r="S46" s="663">
        <f t="shared" si="18"/>
        <v>0.56011579346606077</v>
      </c>
      <c r="T46" s="254"/>
      <c r="U46" s="254"/>
      <c r="V46" s="254"/>
      <c r="W46" s="254"/>
      <c r="X46" s="254">
        <f t="shared" si="7"/>
        <v>0</v>
      </c>
      <c r="Y46" s="663">
        <f t="shared" si="8"/>
        <v>0.56367249858625457</v>
      </c>
      <c r="Z46" s="254"/>
      <c r="AA46" s="675"/>
      <c r="AB46" s="675"/>
      <c r="AC46" s="251"/>
      <c r="AD46" s="22"/>
      <c r="AE46" s="84"/>
    </row>
    <row r="47" spans="1:35" s="669" customFormat="1">
      <c r="A47" s="650">
        <v>645</v>
      </c>
      <c r="B47" s="651">
        <v>0</v>
      </c>
      <c r="C47" s="652">
        <v>1082</v>
      </c>
      <c r="D47" s="653">
        <v>44.7</v>
      </c>
      <c r="E47" s="654"/>
      <c r="F47" s="655"/>
      <c r="G47" s="656">
        <f t="shared" si="10"/>
        <v>44.7</v>
      </c>
      <c r="H47" s="654">
        <v>5.7</v>
      </c>
      <c r="I47" s="654"/>
      <c r="J47" s="654"/>
      <c r="K47" s="654"/>
      <c r="L47" s="657">
        <f t="shared" si="11"/>
        <v>5.7</v>
      </c>
      <c r="M47" s="652">
        <f t="shared" si="12"/>
        <v>1140.6361088966046</v>
      </c>
      <c r="N47" s="658">
        <f t="shared" si="13"/>
        <v>1037.3000000000002</v>
      </c>
      <c r="O47" s="659">
        <f t="shared" si="9"/>
        <v>1082.8000000000002</v>
      </c>
      <c r="P47" s="660">
        <f t="shared" si="14"/>
        <v>0.56547394473066559</v>
      </c>
      <c r="Q47" s="661">
        <f t="shared" si="15"/>
        <v>0.25729064485245284</v>
      </c>
      <c r="R47" s="662">
        <f>SUM(Q$13:Q47) - 3.39</f>
        <v>2.035658289107197</v>
      </c>
      <c r="S47" s="663">
        <f t="shared" si="18"/>
        <v>0.56078740746754707</v>
      </c>
      <c r="T47" s="663"/>
      <c r="U47" s="663"/>
      <c r="V47" s="663"/>
      <c r="W47" s="663"/>
      <c r="X47" s="254">
        <f t="shared" si="7"/>
        <v>0</v>
      </c>
      <c r="Y47" s="663">
        <f t="shared" si="8"/>
        <v>0.56547394473066559</v>
      </c>
      <c r="Z47" s="663"/>
      <c r="AA47" s="663"/>
      <c r="AB47" s="663"/>
      <c r="AC47" s="664"/>
      <c r="AD47" s="665"/>
      <c r="AE47" s="666"/>
    </row>
    <row r="48" spans="1:35">
      <c r="A48" s="286">
        <v>610</v>
      </c>
      <c r="B48" s="91">
        <v>0</v>
      </c>
      <c r="C48" s="351">
        <f t="shared" si="17"/>
        <v>1125.3</v>
      </c>
      <c r="D48" s="497">
        <v>41.7</v>
      </c>
      <c r="E48" s="425"/>
      <c r="F48" s="498"/>
      <c r="G48" s="427">
        <f t="shared" si="10"/>
        <v>41.7</v>
      </c>
      <c r="H48" s="425">
        <v>5.7</v>
      </c>
      <c r="I48" s="425"/>
      <c r="J48" s="425"/>
      <c r="K48" s="425"/>
      <c r="L48" s="426">
        <f t="shared" si="11"/>
        <v>5.7</v>
      </c>
      <c r="M48" s="351">
        <f t="shared" si="12"/>
        <v>1064.0833499102553</v>
      </c>
      <c r="N48" s="481">
        <f t="shared" si="13"/>
        <v>1082.8000000000002</v>
      </c>
      <c r="O48" s="659">
        <f t="shared" si="9"/>
        <v>1125.3000000000002</v>
      </c>
      <c r="P48" s="16">
        <f t="shared" si="14"/>
        <v>0.57326336329898153</v>
      </c>
      <c r="Q48" s="75">
        <f t="shared" si="15"/>
        <v>0.24363692940206716</v>
      </c>
      <c r="R48" s="662">
        <f>SUM(Q$13:Q48) - 3.39</f>
        <v>2.2792952185092639</v>
      </c>
      <c r="S48" s="663">
        <f t="shared" si="18"/>
        <v>0.56209499839932486</v>
      </c>
      <c r="T48" s="254"/>
      <c r="U48" s="254"/>
      <c r="V48" s="254"/>
      <c r="W48" s="254"/>
      <c r="X48" s="254">
        <f t="shared" si="7"/>
        <v>0</v>
      </c>
      <c r="Y48" s="663">
        <f t="shared" si="8"/>
        <v>0.57326336329898153</v>
      </c>
      <c r="Z48" s="254"/>
      <c r="AA48" s="675"/>
      <c r="AB48" s="675"/>
      <c r="AC48" s="251"/>
      <c r="AD48" s="22"/>
      <c r="AE48" s="84"/>
    </row>
    <row r="49" spans="1:35" s="669" customFormat="1">
      <c r="A49" s="650">
        <v>605</v>
      </c>
      <c r="B49" s="651">
        <v>0</v>
      </c>
      <c r="C49" s="652">
        <v>1167</v>
      </c>
      <c r="D49" s="653">
        <v>41.7</v>
      </c>
      <c r="E49" s="654"/>
      <c r="F49" s="655"/>
      <c r="G49" s="656">
        <f t="shared" si="10"/>
        <v>41.7</v>
      </c>
      <c r="H49" s="654">
        <v>5.7</v>
      </c>
      <c r="I49" s="654"/>
      <c r="J49" s="654"/>
      <c r="K49" s="654"/>
      <c r="L49" s="657">
        <f t="shared" si="11"/>
        <v>5.7</v>
      </c>
      <c r="M49" s="652">
        <f t="shared" si="12"/>
        <v>1064.0833499102553</v>
      </c>
      <c r="N49" s="658">
        <f t="shared" si="13"/>
        <v>1125.3000000000002</v>
      </c>
      <c r="O49" s="659">
        <f t="shared" si="9"/>
        <v>1166.25</v>
      </c>
      <c r="P49" s="660">
        <f t="shared" si="14"/>
        <v>0.56856448327194076</v>
      </c>
      <c r="Q49" s="661">
        <f t="shared" si="15"/>
        <v>0.2328271558998587</v>
      </c>
      <c r="R49" s="662">
        <f>SUM(Q$13:Q49) - 3.39</f>
        <v>2.5121223744091226</v>
      </c>
      <c r="S49" s="663">
        <f t="shared" si="18"/>
        <v>0.56268840282430788</v>
      </c>
      <c r="T49" s="663"/>
      <c r="U49" s="663"/>
      <c r="V49" s="663"/>
      <c r="W49" s="663"/>
      <c r="X49" s="254">
        <f t="shared" si="7"/>
        <v>0</v>
      </c>
      <c r="Y49" s="663">
        <f t="shared" si="8"/>
        <v>0.56856448327194076</v>
      </c>
      <c r="Z49" s="663"/>
      <c r="AA49" s="663"/>
      <c r="AB49" s="663"/>
      <c r="AC49" s="664"/>
      <c r="AD49" s="665"/>
      <c r="AE49" s="666"/>
    </row>
    <row r="50" spans="1:35">
      <c r="A50" s="286">
        <v>570</v>
      </c>
      <c r="B50" s="91">
        <v>0</v>
      </c>
      <c r="C50" s="351">
        <f t="shared" si="17"/>
        <v>1204.3</v>
      </c>
      <c r="D50" s="497">
        <v>38.799999999999997</v>
      </c>
      <c r="E50" s="425"/>
      <c r="F50" s="498"/>
      <c r="G50" s="427">
        <f t="shared" si="10"/>
        <v>38.799999999999997</v>
      </c>
      <c r="H50" s="425">
        <v>5.7</v>
      </c>
      <c r="I50" s="425"/>
      <c r="J50" s="425"/>
      <c r="K50" s="425"/>
      <c r="L50" s="426">
        <f t="shared" si="11"/>
        <v>5.7</v>
      </c>
      <c r="M50" s="351">
        <f t="shared" si="12"/>
        <v>990.08234955678404</v>
      </c>
      <c r="N50" s="481">
        <f t="shared" si="13"/>
        <v>1166.25</v>
      </c>
      <c r="O50" s="659">
        <f t="shared" si="9"/>
        <v>1204.3000000000002</v>
      </c>
      <c r="P50" s="16">
        <f t="shared" si="14"/>
        <v>0.57570968743677098</v>
      </c>
      <c r="Q50" s="75">
        <f t="shared" si="15"/>
        <v>0.21905753606969242</v>
      </c>
      <c r="R50" s="662">
        <f>SUM(Q$13:Q50) - 3.39</f>
        <v>2.7311799104788146</v>
      </c>
      <c r="S50" s="663">
        <f t="shared" si="18"/>
        <v>0.56371102383463645</v>
      </c>
      <c r="T50" s="254"/>
      <c r="U50" s="254"/>
      <c r="V50" s="254"/>
      <c r="W50" s="254"/>
      <c r="X50" s="254">
        <f t="shared" si="7"/>
        <v>0</v>
      </c>
      <c r="Y50" s="663">
        <f t="shared" si="8"/>
        <v>0.57570968743677098</v>
      </c>
      <c r="Z50" s="254"/>
      <c r="AA50" s="675"/>
      <c r="AB50" s="675"/>
      <c r="AC50" s="251"/>
      <c r="AD50" s="22"/>
      <c r="AE50" s="84"/>
    </row>
    <row r="51" spans="1:35" s="669" customFormat="1">
      <c r="A51" s="650">
        <v>670</v>
      </c>
      <c r="B51" s="651">
        <v>0</v>
      </c>
      <c r="C51" s="652">
        <v>1249</v>
      </c>
      <c r="D51" s="653">
        <v>44.7</v>
      </c>
      <c r="E51" s="654"/>
      <c r="F51" s="655"/>
      <c r="G51" s="656">
        <f t="shared" si="10"/>
        <v>44.7</v>
      </c>
      <c r="H51" s="654">
        <v>5.7</v>
      </c>
      <c r="I51" s="654"/>
      <c r="J51" s="654"/>
      <c r="K51" s="654"/>
      <c r="L51" s="657">
        <f t="shared" si="11"/>
        <v>5.7</v>
      </c>
      <c r="M51" s="652">
        <f t="shared" si="12"/>
        <v>1140.6361088966046</v>
      </c>
      <c r="N51" s="658">
        <f t="shared" si="13"/>
        <v>1204.3000000000002</v>
      </c>
      <c r="O51" s="659">
        <f t="shared" si="9"/>
        <v>1248.9499999999998</v>
      </c>
      <c r="P51" s="660">
        <f t="shared" si="14"/>
        <v>0.58739153948766809</v>
      </c>
      <c r="Q51" s="661">
        <f t="shared" si="15"/>
        <v>0.26227032238124165</v>
      </c>
      <c r="R51" s="662">
        <f>SUM(Q$13:Q51) - 3.39</f>
        <v>2.9934502328600563</v>
      </c>
      <c r="S51" s="663">
        <f t="shared" si="18"/>
        <v>0.56570920020033211</v>
      </c>
      <c r="T51" s="663"/>
      <c r="U51" s="663"/>
      <c r="V51" s="663"/>
      <c r="W51" s="663"/>
      <c r="X51" s="254">
        <f t="shared" si="7"/>
        <v>0</v>
      </c>
      <c r="Y51" s="663">
        <f t="shared" si="8"/>
        <v>0.58739153948766809</v>
      </c>
      <c r="Z51" s="663"/>
      <c r="AA51" s="663"/>
      <c r="AB51" s="663"/>
      <c r="AC51" s="664"/>
      <c r="AD51" s="665"/>
      <c r="AE51" s="666"/>
    </row>
    <row r="52" spans="1:35" ht="12" thickBot="1">
      <c r="A52" s="286">
        <v>575</v>
      </c>
      <c r="B52" s="91">
        <v>0</v>
      </c>
      <c r="C52" s="351">
        <f t="shared" si="17"/>
        <v>1288.2</v>
      </c>
      <c r="D52" s="497">
        <v>39.299999999999997</v>
      </c>
      <c r="E52" s="425"/>
      <c r="F52" s="498"/>
      <c r="G52" s="427">
        <f t="shared" si="10"/>
        <v>39.299999999999997</v>
      </c>
      <c r="H52" s="425">
        <v>5.7</v>
      </c>
      <c r="I52" s="425"/>
      <c r="J52" s="425"/>
      <c r="K52" s="425"/>
      <c r="L52" s="426">
        <f t="shared" si="11"/>
        <v>5.7</v>
      </c>
      <c r="M52" s="351">
        <f t="shared" si="12"/>
        <v>1002.8411427211756</v>
      </c>
      <c r="N52" s="481">
        <f t="shared" si="13"/>
        <v>1248.9499999999998</v>
      </c>
      <c r="O52" s="659">
        <f t="shared" si="9"/>
        <v>1288.1999999999998</v>
      </c>
      <c r="P52" s="16">
        <f t="shared" si="14"/>
        <v>0.5733709712385322</v>
      </c>
      <c r="Q52" s="75">
        <f t="shared" si="15"/>
        <v>0.22504810621112387</v>
      </c>
      <c r="R52" s="662">
        <f>SUM(Q$13:Q52) - 3.39</f>
        <v>3.2184983390711799</v>
      </c>
      <c r="S52" s="663">
        <f t="shared" si="18"/>
        <v>0.56623827218001066</v>
      </c>
      <c r="T52" s="254"/>
      <c r="U52" s="254"/>
      <c r="V52" s="254"/>
      <c r="W52" s="254"/>
      <c r="X52" s="254">
        <f t="shared" si="7"/>
        <v>0</v>
      </c>
      <c r="Y52" s="663">
        <f t="shared" si="8"/>
        <v>0.5733709712385322</v>
      </c>
      <c r="Z52" s="254">
        <v>17.5</v>
      </c>
      <c r="AA52" s="675">
        <f t="shared" ref="AA52:AA58" si="19">C52-Z52</f>
        <v>1270.7</v>
      </c>
      <c r="AB52" s="675">
        <f>AA52*S52/100 - AB38</f>
        <v>3.807698114638868</v>
      </c>
      <c r="AC52" s="251" t="s">
        <v>165</v>
      </c>
      <c r="AD52" s="22"/>
      <c r="AE52" s="95"/>
    </row>
    <row r="53" spans="1:35" s="669" customFormat="1">
      <c r="A53" s="650">
        <v>650</v>
      </c>
      <c r="B53" s="651">
        <v>0</v>
      </c>
      <c r="C53" s="652">
        <v>1331</v>
      </c>
      <c r="D53" s="653">
        <v>42.8</v>
      </c>
      <c r="E53" s="654"/>
      <c r="F53" s="655"/>
      <c r="G53" s="656">
        <f t="shared" si="10"/>
        <v>42.8</v>
      </c>
      <c r="H53" s="654">
        <v>5.7</v>
      </c>
      <c r="I53" s="654"/>
      <c r="J53" s="654"/>
      <c r="K53" s="654"/>
      <c r="L53" s="657">
        <f t="shared" si="11"/>
        <v>5.7</v>
      </c>
      <c r="M53" s="652">
        <f t="shared" si="12"/>
        <v>1092.1526948719165</v>
      </c>
      <c r="N53" s="658">
        <f t="shared" si="13"/>
        <v>1288.1999999999998</v>
      </c>
      <c r="O53" s="659">
        <f t="shared" si="9"/>
        <v>1331.7</v>
      </c>
      <c r="P53" s="660">
        <f t="shared" si="14"/>
        <v>0.59515487445299897</v>
      </c>
      <c r="Q53" s="661">
        <f t="shared" si="15"/>
        <v>0.25889237038705593</v>
      </c>
      <c r="R53" s="662">
        <f>SUM(Q$13:Q53) - 3.39</f>
        <v>3.4773907094582355</v>
      </c>
      <c r="S53" s="663">
        <f t="shared" si="18"/>
        <v>0.56829395480605249</v>
      </c>
      <c r="T53" s="663"/>
      <c r="U53" s="663"/>
      <c r="V53" s="663"/>
      <c r="W53" s="663"/>
      <c r="X53" s="254">
        <f t="shared" si="7"/>
        <v>0</v>
      </c>
      <c r="Y53" s="663">
        <f t="shared" si="8"/>
        <v>0.59515487445299897</v>
      </c>
      <c r="Z53" s="663"/>
      <c r="AA53" s="663">
        <v>1322</v>
      </c>
      <c r="AB53" s="663">
        <f>AA53*S53/100 - AB38</f>
        <v>4.1253544725834868</v>
      </c>
      <c r="AC53" s="664" t="s">
        <v>169</v>
      </c>
      <c r="AD53" s="676" t="s">
        <v>42</v>
      </c>
      <c r="AE53" s="677" t="e">
        <f>AVERAGE(AE12:AE52)</f>
        <v>#DIV/0!</v>
      </c>
    </row>
    <row r="54" spans="1:35">
      <c r="A54" s="286">
        <v>520</v>
      </c>
      <c r="B54" s="91">
        <v>0</v>
      </c>
      <c r="C54" s="351">
        <f t="shared" si="17"/>
        <v>1370.5</v>
      </c>
      <c r="D54" s="497">
        <v>38.1</v>
      </c>
      <c r="E54" s="425"/>
      <c r="F54" s="498"/>
      <c r="G54" s="427">
        <f t="shared" si="10"/>
        <v>38.1</v>
      </c>
      <c r="H54" s="425">
        <v>5.7</v>
      </c>
      <c r="I54" s="425"/>
      <c r="J54" s="425"/>
      <c r="K54" s="425"/>
      <c r="L54" s="426">
        <f t="shared" si="11"/>
        <v>5.7</v>
      </c>
      <c r="M54" s="351">
        <f t="shared" si="12"/>
        <v>972.22003912663604</v>
      </c>
      <c r="N54" s="481">
        <f t="shared" si="13"/>
        <v>1331.7</v>
      </c>
      <c r="O54" s="659">
        <f t="shared" si="9"/>
        <v>1370.5</v>
      </c>
      <c r="P54" s="16">
        <f t="shared" si="14"/>
        <v>0.53485834386537234</v>
      </c>
      <c r="Q54" s="75">
        <f t="shared" si="15"/>
        <v>0.20752503741976422</v>
      </c>
      <c r="R54" s="662">
        <f>SUM(Q$13:Q54) - 3.39</f>
        <v>3.6849157468780001</v>
      </c>
      <c r="S54" s="663">
        <f t="shared" si="18"/>
        <v>0.56630025309328413</v>
      </c>
      <c r="T54" s="254"/>
      <c r="U54" s="254"/>
      <c r="V54" s="254"/>
      <c r="W54" s="254"/>
      <c r="X54" s="254">
        <f t="shared" si="7"/>
        <v>0</v>
      </c>
      <c r="Y54" s="663">
        <f t="shared" si="8"/>
        <v>0.53485834386537234</v>
      </c>
      <c r="Z54" s="254">
        <v>11</v>
      </c>
      <c r="AA54" s="675">
        <f t="shared" si="19"/>
        <v>1359.5</v>
      </c>
      <c r="AB54" s="675">
        <f>AA54*S54/100 - AB38</f>
        <v>4.3113603308506701</v>
      </c>
      <c r="AC54" s="251" t="s">
        <v>166</v>
      </c>
      <c r="AD54" s="33" t="s">
        <v>43</v>
      </c>
      <c r="AE54" s="95" t="e">
        <f>STDEV(AE12:AE52)</f>
        <v>#DIV/0!</v>
      </c>
      <c r="AF54" s="56"/>
      <c r="AG54" s="56"/>
    </row>
    <row r="55" spans="1:35" s="702" customFormat="1">
      <c r="A55" s="683">
        <v>630</v>
      </c>
      <c r="B55" s="684">
        <v>0</v>
      </c>
      <c r="C55" s="685">
        <v>1411</v>
      </c>
      <c r="D55" s="686">
        <v>40.5</v>
      </c>
      <c r="E55" s="687"/>
      <c r="F55" s="688"/>
      <c r="G55" s="689">
        <f t="shared" si="10"/>
        <v>40.5</v>
      </c>
      <c r="H55" s="687">
        <v>5.7</v>
      </c>
      <c r="I55" s="687"/>
      <c r="J55" s="687"/>
      <c r="K55" s="687"/>
      <c r="L55" s="690">
        <f t="shared" si="11"/>
        <v>5.7</v>
      </c>
      <c r="M55" s="685">
        <f t="shared" si="12"/>
        <v>1033.4622463157154</v>
      </c>
      <c r="N55" s="691">
        <f t="shared" si="13"/>
        <v>1370.5</v>
      </c>
      <c r="O55" s="692">
        <f t="shared" si="9"/>
        <v>1409.2</v>
      </c>
      <c r="P55" s="693">
        <f t="shared" si="14"/>
        <v>0.60960136884143079</v>
      </c>
      <c r="Q55" s="694">
        <f t="shared" si="15"/>
        <v>0.23591572974163399</v>
      </c>
      <c r="R55" s="662">
        <f>SUM(Q$13:Q55) - 3.39</f>
        <v>3.9208314766196337</v>
      </c>
      <c r="S55" s="663">
        <f t="shared" si="18"/>
        <v>0.5687309945778406</v>
      </c>
      <c r="T55" s="696"/>
      <c r="U55" s="696"/>
      <c r="V55" s="696"/>
      <c r="W55" s="696"/>
      <c r="X55" s="254">
        <f t="shared" si="7"/>
        <v>0</v>
      </c>
      <c r="Y55" s="663">
        <f t="shared" si="8"/>
        <v>0.60960136884143079</v>
      </c>
      <c r="Z55" s="696">
        <v>33</v>
      </c>
      <c r="AA55" s="696">
        <f t="shared" si="19"/>
        <v>1378</v>
      </c>
      <c r="AB55" s="696">
        <f>(AA55-AA38)*S55/100</f>
        <v>3.7433874063113475</v>
      </c>
      <c r="AC55" s="697" t="s">
        <v>167</v>
      </c>
      <c r="AD55" s="703" t="s">
        <v>44</v>
      </c>
      <c r="AE55" s="704" t="e">
        <f>AE54/SQRT(COUNT(AE12:AE52))</f>
        <v>#DIV/0!</v>
      </c>
      <c r="AF55" s="700"/>
      <c r="AG55" s="705"/>
      <c r="AH55" s="705"/>
      <c r="AI55" s="705"/>
    </row>
    <row r="56" spans="1:35">
      <c r="A56" s="286">
        <v>690</v>
      </c>
      <c r="B56" s="91">
        <v>0</v>
      </c>
      <c r="C56" s="351">
        <f t="shared" si="17"/>
        <v>1450</v>
      </c>
      <c r="D56" s="497">
        <v>42.6</v>
      </c>
      <c r="E56" s="425"/>
      <c r="F56" s="498"/>
      <c r="G56" s="427">
        <f t="shared" si="10"/>
        <v>42.6</v>
      </c>
      <c r="H56" s="425">
        <v>5.7</v>
      </c>
      <c r="I56" s="425"/>
      <c r="J56" s="425"/>
      <c r="K56" s="425"/>
      <c r="L56" s="426">
        <f t="shared" si="11"/>
        <v>5.7</v>
      </c>
      <c r="M56" s="351">
        <f t="shared" si="12"/>
        <v>1087.0491776061601</v>
      </c>
      <c r="N56" s="481">
        <f t="shared" si="13"/>
        <v>1409.2</v>
      </c>
      <c r="O56" s="659">
        <f t="shared" si="9"/>
        <v>1450</v>
      </c>
      <c r="P56" s="16">
        <f t="shared" si="14"/>
        <v>0.63474589210350174</v>
      </c>
      <c r="Q56" s="75">
        <f t="shared" si="15"/>
        <v>0.25897632397822845</v>
      </c>
      <c r="R56" s="662">
        <f>SUM(Q$13:Q56) - 3.39</f>
        <v>4.1798078005978621</v>
      </c>
      <c r="S56" s="663">
        <f t="shared" si="18"/>
        <v>0.57241958375758173</v>
      </c>
      <c r="T56" s="254"/>
      <c r="U56" s="254"/>
      <c r="V56" s="254"/>
      <c r="W56" s="254"/>
      <c r="X56" s="254">
        <f t="shared" si="7"/>
        <v>0</v>
      </c>
      <c r="Y56" s="663">
        <f t="shared" si="8"/>
        <v>0.63474589210350174</v>
      </c>
      <c r="Z56" s="254">
        <v>2</v>
      </c>
      <c r="AA56" s="675">
        <f t="shared" si="19"/>
        <v>1448</v>
      </c>
      <c r="AB56" s="675"/>
      <c r="AC56" s="251"/>
      <c r="AD56" s="33" t="s">
        <v>45</v>
      </c>
      <c r="AE56" s="95">
        <f>MAX(AE12:AE52)</f>
        <v>0</v>
      </c>
      <c r="AF56" s="98"/>
    </row>
    <row r="57" spans="1:35" s="669" customFormat="1" ht="12" thickBot="1">
      <c r="A57" s="650">
        <v>720</v>
      </c>
      <c r="B57" s="651">
        <v>0</v>
      </c>
      <c r="C57" s="652">
        <v>1495</v>
      </c>
      <c r="D57" s="653">
        <v>45</v>
      </c>
      <c r="E57" s="654"/>
      <c r="F57" s="655"/>
      <c r="G57" s="656">
        <f t="shared" si="10"/>
        <v>45</v>
      </c>
      <c r="H57" s="654">
        <v>5.7</v>
      </c>
      <c r="I57" s="654"/>
      <c r="J57" s="654"/>
      <c r="K57" s="654"/>
      <c r="L57" s="657">
        <f t="shared" si="11"/>
        <v>5.7</v>
      </c>
      <c r="M57" s="652">
        <f t="shared" si="12"/>
        <v>1148.2913847952393</v>
      </c>
      <c r="N57" s="658">
        <f t="shared" si="13"/>
        <v>1450</v>
      </c>
      <c r="O57" s="659">
        <f t="shared" si="9"/>
        <v>1496.6499999999999</v>
      </c>
      <c r="P57" s="660">
        <f t="shared" si="14"/>
        <v>0.6270185508083288</v>
      </c>
      <c r="Q57" s="661">
        <f t="shared" si="15"/>
        <v>0.29250415395208451</v>
      </c>
      <c r="R57" s="662">
        <f>SUM(Q$13:Q57) - 3.39</f>
        <v>4.4723119545499461</v>
      </c>
      <c r="S57" s="663">
        <f t="shared" si="18"/>
        <v>0.57569826279847414</v>
      </c>
      <c r="T57" s="663"/>
      <c r="U57" s="663"/>
      <c r="V57" s="663"/>
      <c r="W57" s="663"/>
      <c r="X57" s="254">
        <f t="shared" si="7"/>
        <v>0</v>
      </c>
      <c r="Y57" s="663">
        <f t="shared" si="8"/>
        <v>0.6270185508083288</v>
      </c>
      <c r="Z57" s="663">
        <v>33</v>
      </c>
      <c r="AA57" s="663">
        <f t="shared" si="19"/>
        <v>1462</v>
      </c>
      <c r="AB57" s="663"/>
      <c r="AC57" s="664" t="s">
        <v>168</v>
      </c>
      <c r="AD57" s="679" t="s">
        <v>46</v>
      </c>
      <c r="AE57" s="680">
        <f>MIN(AE12:AE52)</f>
        <v>0</v>
      </c>
      <c r="AF57" s="678"/>
    </row>
    <row r="58" spans="1:35">
      <c r="A58" s="286">
        <v>625</v>
      </c>
      <c r="B58" s="91">
        <v>0</v>
      </c>
      <c r="C58" s="351">
        <f t="shared" si="17"/>
        <v>1537.1</v>
      </c>
      <c r="D58" s="497">
        <v>38.799999999999997</v>
      </c>
      <c r="E58" s="425"/>
      <c r="F58" s="498"/>
      <c r="G58" s="427">
        <f t="shared" si="10"/>
        <v>38.799999999999997</v>
      </c>
      <c r="H58" s="425">
        <v>5.7</v>
      </c>
      <c r="I58" s="425"/>
      <c r="J58" s="425"/>
      <c r="K58" s="425"/>
      <c r="L58" s="426">
        <f t="shared" si="11"/>
        <v>5.7</v>
      </c>
      <c r="M58" s="351">
        <f t="shared" si="12"/>
        <v>990.08234955678404</v>
      </c>
      <c r="N58" s="481">
        <f t="shared" si="13"/>
        <v>1496.6499999999999</v>
      </c>
      <c r="O58" s="659">
        <f t="shared" si="9"/>
        <v>1537.1</v>
      </c>
      <c r="P58" s="16">
        <f t="shared" si="14"/>
        <v>0.6312606221894419</v>
      </c>
      <c r="Q58" s="75">
        <f t="shared" si="15"/>
        <v>0.2553449216756295</v>
      </c>
      <c r="R58" s="662">
        <f>SUM(Q$13:Q58) - 3.39</f>
        <v>4.7276568762255753</v>
      </c>
      <c r="S58" s="663">
        <f t="shared" si="18"/>
        <v>0.57844816789741527</v>
      </c>
      <c r="T58" s="254">
        <v>0</v>
      </c>
      <c r="U58" s="254">
        <v>3.5</v>
      </c>
      <c r="V58" s="254">
        <v>11</v>
      </c>
      <c r="W58" s="254">
        <v>4</v>
      </c>
      <c r="X58" s="254">
        <f>(U58 + W58)*    PI()* (L58/2)^2</f>
        <v>191.38189746587321</v>
      </c>
      <c r="Y58" s="663">
        <f t="shared" si="8"/>
        <v>0.51628047308680558</v>
      </c>
      <c r="Z58" s="254">
        <v>0</v>
      </c>
      <c r="AA58" s="675">
        <f t="shared" si="19"/>
        <v>1537.1</v>
      </c>
      <c r="AB58" s="675"/>
      <c r="AC58" s="251" t="s">
        <v>160</v>
      </c>
    </row>
    <row r="59" spans="1:35" s="669" customFormat="1">
      <c r="A59" s="650">
        <v>335</v>
      </c>
      <c r="B59" s="651">
        <v>0</v>
      </c>
      <c r="C59" s="652">
        <v>1558</v>
      </c>
      <c r="D59" s="653">
        <v>20.9</v>
      </c>
      <c r="E59" s="654"/>
      <c r="F59" s="655"/>
      <c r="G59" s="656">
        <f t="shared" si="10"/>
        <v>20.9</v>
      </c>
      <c r="H59" s="654">
        <v>5.7</v>
      </c>
      <c r="I59" s="654"/>
      <c r="J59" s="654"/>
      <c r="K59" s="654"/>
      <c r="L59" s="657">
        <f t="shared" si="11"/>
        <v>5.7</v>
      </c>
      <c r="M59" s="652">
        <f t="shared" si="12"/>
        <v>533.31755427156668</v>
      </c>
      <c r="N59" s="658">
        <f t="shared" si="13"/>
        <v>1537.1</v>
      </c>
      <c r="O59" s="659">
        <f t="shared" si="9"/>
        <v>1555.35</v>
      </c>
      <c r="P59" s="660">
        <f t="shared" si="14"/>
        <v>0.62814358409327198</v>
      </c>
      <c r="Q59" s="661">
        <f t="shared" si="15"/>
        <v>0.11463620409702215</v>
      </c>
      <c r="R59" s="662">
        <f>SUM(Q$13:Q59) - 3.39</f>
        <v>4.8422930803225981</v>
      </c>
      <c r="S59" s="663">
        <f t="shared" si="18"/>
        <v>0.57953361023548544</v>
      </c>
      <c r="T59" s="663"/>
      <c r="U59" s="663"/>
      <c r="V59" s="663"/>
      <c r="W59" s="663"/>
      <c r="X59" s="254">
        <f>(U59 + W59)*    PI()* (L59/2)^2</f>
        <v>0</v>
      </c>
      <c r="Y59" s="663">
        <f t="shared" si="8"/>
        <v>0.62814358409327198</v>
      </c>
      <c r="Z59" s="663"/>
      <c r="AA59" s="663"/>
      <c r="AB59" s="663"/>
      <c r="AC59" s="664"/>
    </row>
    <row r="60" spans="1:35">
      <c r="A60" s="286">
        <v>635</v>
      </c>
      <c r="B60" s="91">
        <v>0</v>
      </c>
      <c r="C60" s="351">
        <f>C61-D61</f>
        <v>1596.6</v>
      </c>
      <c r="D60" s="497">
        <v>43.9</v>
      </c>
      <c r="E60" s="425"/>
      <c r="F60" s="498"/>
      <c r="G60" s="427">
        <f t="shared" si="10"/>
        <v>43.9</v>
      </c>
      <c r="H60" s="425">
        <v>5.7</v>
      </c>
      <c r="I60" s="425"/>
      <c r="J60" s="425"/>
      <c r="K60" s="425"/>
      <c r="L60" s="426">
        <f t="shared" si="11"/>
        <v>5.7</v>
      </c>
      <c r="M60" s="351">
        <f t="shared" si="12"/>
        <v>1120.2220398335778</v>
      </c>
      <c r="N60" s="481">
        <f t="shared" si="13"/>
        <v>1555.35</v>
      </c>
      <c r="O60" s="659">
        <f t="shared" si="9"/>
        <v>1596.6</v>
      </c>
      <c r="P60" s="16">
        <f t="shared" si="14"/>
        <v>0.56685190740787128</v>
      </c>
      <c r="Q60" s="75">
        <f t="shared" si="15"/>
        <v>0.2338264118057469</v>
      </c>
      <c r="R60" s="662">
        <f>SUM(Q$13:Q60) - 3.39</f>
        <v>5.0761194921283455</v>
      </c>
      <c r="S60" s="663">
        <f t="shared" si="18"/>
        <v>0.57893698587230225</v>
      </c>
      <c r="T60" s="254"/>
      <c r="U60" s="254"/>
      <c r="V60" s="254"/>
      <c r="W60" s="254"/>
      <c r="X60" s="254">
        <f>(U60 + W60)*    PI()* (L60/2)^2</f>
        <v>0</v>
      </c>
      <c r="Y60" s="663">
        <f t="shared" si="8"/>
        <v>0.56685190740787128</v>
      </c>
      <c r="Z60" s="254"/>
      <c r="AA60" s="254"/>
      <c r="AB60" s="254"/>
      <c r="AC60" s="251"/>
    </row>
    <row r="61" spans="1:35" s="669" customFormat="1">
      <c r="A61" s="650">
        <v>650</v>
      </c>
      <c r="B61" s="651">
        <v>0</v>
      </c>
      <c r="C61" s="652">
        <v>1640</v>
      </c>
      <c r="D61" s="653">
        <v>43.4</v>
      </c>
      <c r="E61" s="654"/>
      <c r="F61" s="655"/>
      <c r="G61" s="656">
        <f t="shared" si="10"/>
        <v>43.4</v>
      </c>
      <c r="H61" s="654">
        <v>5.7</v>
      </c>
      <c r="I61" s="654"/>
      <c r="J61" s="654"/>
      <c r="K61" s="654"/>
      <c r="L61" s="657">
        <f t="shared" si="11"/>
        <v>5.7</v>
      </c>
      <c r="M61" s="652">
        <f t="shared" si="12"/>
        <v>1107.4632466691864</v>
      </c>
      <c r="N61" s="658">
        <f t="shared" si="13"/>
        <v>1596.6</v>
      </c>
      <c r="O61" s="659">
        <f>C61</f>
        <v>1640</v>
      </c>
      <c r="P61" s="660">
        <f t="shared" si="14"/>
        <v>0.58692692687991599</v>
      </c>
      <c r="Q61" s="661">
        <f t="shared" si="15"/>
        <v>0.25472628626588406</v>
      </c>
      <c r="R61" s="662">
        <f>SUM(Q$13:Q61) - 3.39</f>
        <v>5.3308457783942291</v>
      </c>
      <c r="S61" s="663">
        <f t="shared" si="18"/>
        <v>0.57931382073399573</v>
      </c>
      <c r="T61" s="663"/>
      <c r="U61" s="663"/>
      <c r="V61" s="663"/>
      <c r="W61" s="663"/>
      <c r="X61" s="254">
        <f>(U61 + W61)*    PI()* (L61/2)^2</f>
        <v>0</v>
      </c>
      <c r="Y61" s="663">
        <f t="shared" si="8"/>
        <v>0.58692692687991599</v>
      </c>
      <c r="Z61" s="663"/>
      <c r="AA61" s="663"/>
      <c r="AB61" s="663"/>
      <c r="AC61" s="664"/>
    </row>
    <row r="62" spans="1:35">
      <c r="A62" s="287" t="s">
        <v>73</v>
      </c>
      <c r="B62" s="258"/>
      <c r="C62" s="352"/>
      <c r="D62" s="352"/>
      <c r="E62" s="352"/>
      <c r="F62" s="352"/>
      <c r="G62" s="398"/>
      <c r="H62" s="352"/>
      <c r="I62" s="352"/>
      <c r="J62" s="352"/>
      <c r="K62" s="352"/>
      <c r="L62" s="403"/>
      <c r="M62" s="352"/>
      <c r="N62" s="483"/>
      <c r="O62" s="260"/>
      <c r="P62" s="261"/>
      <c r="Q62" s="444"/>
      <c r="R62" s="445"/>
      <c r="S62" s="264"/>
      <c r="T62" s="264"/>
      <c r="U62" s="264"/>
      <c r="V62" s="264"/>
      <c r="W62" s="264"/>
      <c r="X62" s="264"/>
      <c r="Y62" s="264"/>
      <c r="Z62" s="264"/>
      <c r="AA62" s="264"/>
      <c r="AB62" s="264"/>
      <c r="AC62" s="265"/>
    </row>
    <row r="63" spans="1:35">
      <c r="A63" s="266"/>
      <c r="B63" s="267"/>
      <c r="C63" s="353"/>
      <c r="D63" s="353"/>
      <c r="E63" s="353"/>
      <c r="F63" s="353"/>
      <c r="G63" s="399"/>
      <c r="H63" s="353"/>
      <c r="I63" s="353"/>
      <c r="J63" s="353"/>
      <c r="K63" s="353"/>
      <c r="L63" s="404"/>
      <c r="M63" s="353"/>
      <c r="N63" s="484"/>
      <c r="O63" s="269"/>
      <c r="P63" s="446"/>
      <c r="Q63" s="271"/>
      <c r="R63" s="447"/>
      <c r="S63" s="448"/>
      <c r="T63" s="448"/>
      <c r="U63" s="448"/>
      <c r="V63" s="448"/>
      <c r="W63" s="448"/>
      <c r="X63" s="448"/>
      <c r="Y63" s="448"/>
      <c r="Z63" s="448"/>
      <c r="AA63" s="448"/>
      <c r="AB63" s="448"/>
      <c r="AC63" s="274"/>
    </row>
    <row r="64" spans="1:35" ht="12" thickBot="1">
      <c r="A64" s="275"/>
      <c r="B64" s="276"/>
      <c r="C64" s="354"/>
      <c r="D64" s="354"/>
      <c r="E64" s="354"/>
      <c r="F64" s="354"/>
      <c r="G64" s="400"/>
      <c r="H64" s="354"/>
      <c r="I64" s="354"/>
      <c r="J64" s="354"/>
      <c r="K64" s="354"/>
      <c r="L64" s="405"/>
      <c r="M64" s="354"/>
      <c r="N64" s="485"/>
      <c r="O64" s="278"/>
      <c r="P64" s="449"/>
      <c r="Q64" s="280"/>
      <c r="R64" s="450"/>
      <c r="S64" s="451"/>
      <c r="T64" s="451"/>
      <c r="U64" s="451"/>
      <c r="V64" s="451"/>
      <c r="W64" s="451"/>
      <c r="X64" s="451"/>
      <c r="Y64" s="451"/>
      <c r="Z64" s="451"/>
      <c r="AA64" s="451"/>
      <c r="AB64" s="451"/>
      <c r="AC64" s="283"/>
    </row>
    <row r="65" spans="1:29">
      <c r="A65" s="15"/>
      <c r="B65" s="15"/>
      <c r="C65" s="14"/>
      <c r="D65" s="105"/>
      <c r="E65" s="105"/>
      <c r="F65" s="105"/>
      <c r="G65" s="13"/>
      <c r="H65" s="106"/>
      <c r="I65" s="107"/>
      <c r="J65" s="104"/>
      <c r="K65" s="101"/>
      <c r="L65" s="102"/>
      <c r="M65" s="56"/>
      <c r="O65" s="93"/>
      <c r="P65" s="112"/>
    </row>
    <row r="66" spans="1:29">
      <c r="A66" s="56"/>
      <c r="B66" s="56"/>
      <c r="C66" s="108"/>
      <c r="D66" s="108"/>
      <c r="E66" s="108"/>
      <c r="F66" s="108"/>
      <c r="G66" s="107"/>
      <c r="H66" s="106"/>
      <c r="I66" s="107"/>
      <c r="J66" s="104"/>
      <c r="K66" s="103"/>
      <c r="L66" s="102"/>
      <c r="M66" s="56"/>
      <c r="O66" s="93"/>
      <c r="P66" s="112"/>
    </row>
    <row r="67" spans="1:29">
      <c r="A67" s="56"/>
      <c r="B67" s="56"/>
      <c r="C67" s="108"/>
      <c r="D67" s="108"/>
      <c r="E67" s="108"/>
      <c r="F67" s="108"/>
      <c r="G67" s="107"/>
      <c r="H67" s="106"/>
      <c r="I67" s="107"/>
      <c r="J67" s="104"/>
      <c r="K67" s="103"/>
      <c r="L67" s="102"/>
      <c r="M67" s="56"/>
      <c r="O67" s="93"/>
      <c r="P67" s="112"/>
    </row>
    <row r="68" spans="1:29">
      <c r="A68" s="109"/>
      <c r="B68" s="109"/>
      <c r="C68" s="109"/>
      <c r="D68" s="109"/>
      <c r="E68" s="104"/>
      <c r="F68" s="110"/>
      <c r="G68" s="56"/>
      <c r="H68" s="93"/>
      <c r="I68" s="56"/>
      <c r="J68" s="93"/>
      <c r="K68" s="93"/>
      <c r="L68" s="56"/>
      <c r="M68" s="56"/>
      <c r="O68" s="93"/>
      <c r="P68" s="112"/>
      <c r="AA68" s="112" t="s">
        <v>170</v>
      </c>
      <c r="AB68" s="112" t="s">
        <v>171</v>
      </c>
    </row>
    <row r="69" spans="1:29">
      <c r="A69" s="111"/>
      <c r="B69" s="111"/>
      <c r="C69" s="109"/>
      <c r="D69" s="109"/>
      <c r="E69" s="104"/>
      <c r="F69" s="110"/>
      <c r="G69" s="93"/>
      <c r="H69" s="93"/>
      <c r="I69" s="56"/>
      <c r="J69" s="93"/>
      <c r="K69" s="93"/>
      <c r="L69" s="56"/>
      <c r="M69" s="56"/>
      <c r="O69" s="93"/>
      <c r="P69" s="112"/>
      <c r="Z69" s="112" t="s">
        <v>172</v>
      </c>
      <c r="AA69" s="112">
        <v>7.01</v>
      </c>
      <c r="AB69" s="112">
        <f>(AA53-AA38)/100</f>
        <v>6.0220000000000002</v>
      </c>
      <c r="AC69" s="112">
        <f>AA55-AA38</f>
        <v>658.2</v>
      </c>
    </row>
    <row r="70" spans="1:29">
      <c r="A70" s="111"/>
      <c r="B70" s="111"/>
      <c r="C70" s="109"/>
      <c r="D70" s="109"/>
      <c r="E70" s="104"/>
      <c r="F70" s="110"/>
      <c r="G70" s="93"/>
      <c r="H70" s="93"/>
      <c r="I70" s="56"/>
      <c r="J70" s="93"/>
      <c r="K70" s="93"/>
      <c r="L70" s="56"/>
      <c r="M70" s="56"/>
      <c r="O70" s="93"/>
      <c r="P70" s="112"/>
      <c r="Z70" s="112" t="s">
        <v>174</v>
      </c>
      <c r="AA70" s="112">
        <f>AB53</f>
        <v>4.1253544725834868</v>
      </c>
      <c r="AB70" s="112">
        <f>AB53</f>
        <v>4.1253544725834868</v>
      </c>
    </row>
    <row r="71" spans="1:29">
      <c r="A71" s="50"/>
      <c r="B71" s="50"/>
      <c r="C71" s="109"/>
      <c r="D71" s="109"/>
      <c r="E71" s="104"/>
      <c r="F71" s="110"/>
      <c r="G71" s="93"/>
      <c r="H71" s="93"/>
      <c r="I71" s="56"/>
      <c r="J71" s="93"/>
      <c r="K71" s="93"/>
      <c r="L71" s="56"/>
      <c r="M71" s="56"/>
      <c r="O71" s="93"/>
      <c r="P71" s="112"/>
      <c r="Z71" s="112" t="s">
        <v>173</v>
      </c>
      <c r="AA71" s="112">
        <f>3.43/AA69</f>
        <v>0.48930099857346654</v>
      </c>
      <c r="AB71" s="112">
        <f>AB53/AB69</f>
        <v>0.68504723888799179</v>
      </c>
    </row>
    <row r="72" spans="1:29">
      <c r="A72" s="109"/>
      <c r="B72" s="109"/>
      <c r="C72" s="109"/>
      <c r="D72" s="109"/>
      <c r="E72" s="104"/>
      <c r="F72" s="110"/>
      <c r="G72" s="93"/>
      <c r="H72" s="93"/>
      <c r="I72" s="56"/>
      <c r="J72" s="93"/>
      <c r="K72" s="93"/>
      <c r="L72" s="56"/>
      <c r="M72" s="56"/>
      <c r="O72" s="93"/>
      <c r="P72" s="112"/>
    </row>
    <row r="73" spans="1:29">
      <c r="A73" s="109"/>
      <c r="B73" s="109"/>
      <c r="C73" s="109"/>
      <c r="D73" s="109"/>
      <c r="E73" s="104"/>
      <c r="F73" s="110"/>
      <c r="G73" s="93"/>
      <c r="H73" s="93"/>
      <c r="I73" s="56"/>
      <c r="J73" s="107"/>
      <c r="K73" s="93"/>
      <c r="L73" s="56"/>
      <c r="M73" s="56"/>
      <c r="O73" s="93"/>
      <c r="P73" s="112"/>
    </row>
    <row r="74" spans="1:29">
      <c r="A74" s="109"/>
      <c r="B74" s="109"/>
      <c r="C74" s="109"/>
      <c r="D74" s="109"/>
      <c r="E74" s="104"/>
      <c r="F74" s="110"/>
      <c r="G74" s="93"/>
      <c r="H74" s="93"/>
      <c r="I74" s="56"/>
      <c r="J74" s="107"/>
      <c r="K74" s="93"/>
      <c r="L74" s="56"/>
      <c r="M74" s="56"/>
      <c r="O74" s="93"/>
      <c r="P74" s="112"/>
    </row>
    <row r="75" spans="1:29">
      <c r="A75" s="109"/>
      <c r="B75" s="109"/>
      <c r="C75" s="109"/>
      <c r="D75" s="109"/>
      <c r="E75" s="104"/>
      <c r="F75" s="110"/>
      <c r="G75" s="93"/>
      <c r="H75" s="93"/>
      <c r="I75" s="56"/>
      <c r="J75" s="93"/>
      <c r="K75" s="93"/>
      <c r="L75" s="56"/>
      <c r="M75" s="56"/>
      <c r="O75" s="93"/>
      <c r="P75" s="112"/>
    </row>
    <row r="76" spans="1:29">
      <c r="A76" s="109"/>
      <c r="B76" s="109"/>
      <c r="C76" s="109"/>
      <c r="D76" s="109"/>
      <c r="E76" s="104"/>
      <c r="F76" s="110"/>
      <c r="G76" s="93"/>
      <c r="H76" s="93"/>
      <c r="I76" s="56"/>
      <c r="J76" s="93"/>
      <c r="K76" s="93"/>
      <c r="L76" s="56"/>
      <c r="M76" s="56"/>
      <c r="O76" s="93"/>
      <c r="P76" s="112"/>
    </row>
    <row r="77" spans="1:29">
      <c r="A77" s="109"/>
      <c r="B77" s="109"/>
      <c r="C77" s="109"/>
      <c r="D77" s="109"/>
      <c r="E77" s="104"/>
      <c r="F77" s="110"/>
      <c r="G77" s="93"/>
      <c r="H77" s="93"/>
      <c r="I77" s="56"/>
      <c r="J77" s="93"/>
      <c r="K77" s="93"/>
      <c r="L77" s="56"/>
      <c r="M77" s="56"/>
      <c r="O77" s="93"/>
      <c r="P77" s="112"/>
    </row>
    <row r="78" spans="1:29">
      <c r="A78" s="109"/>
      <c r="B78" s="109"/>
      <c r="C78" s="109"/>
      <c r="D78" s="109"/>
      <c r="E78" s="104"/>
      <c r="F78" s="110"/>
      <c r="G78" s="93"/>
      <c r="H78" s="93"/>
      <c r="I78" s="56"/>
      <c r="J78" s="93"/>
      <c r="K78" s="93"/>
      <c r="L78" s="56"/>
      <c r="M78" s="56"/>
      <c r="O78" s="93"/>
      <c r="P78" s="112"/>
    </row>
    <row r="79" spans="1:29">
      <c r="A79" s="109"/>
      <c r="B79" s="109"/>
      <c r="C79" s="109"/>
      <c r="D79" s="109"/>
      <c r="E79" s="104"/>
      <c r="F79" s="110"/>
      <c r="G79" s="93"/>
      <c r="H79" s="93"/>
      <c r="I79" s="56"/>
      <c r="J79" s="93"/>
      <c r="K79" s="93"/>
      <c r="L79" s="56"/>
      <c r="M79" s="56"/>
      <c r="O79" s="93"/>
      <c r="P79" s="112"/>
    </row>
    <row r="80" spans="1:29">
      <c r="A80" s="109"/>
      <c r="B80" s="109"/>
      <c r="C80" s="109"/>
      <c r="D80" s="109"/>
      <c r="E80" s="104"/>
      <c r="F80" s="110"/>
      <c r="G80" s="93"/>
      <c r="H80" s="93"/>
      <c r="I80" s="56"/>
      <c r="J80" s="93"/>
      <c r="K80" s="93"/>
      <c r="L80" s="56"/>
      <c r="O80" s="93"/>
      <c r="P80" s="112"/>
    </row>
    <row r="81" spans="1:29">
      <c r="A81" s="109"/>
      <c r="B81" s="109"/>
      <c r="C81" s="109"/>
      <c r="D81" s="109"/>
      <c r="E81" s="104"/>
      <c r="F81" s="110"/>
      <c r="G81" s="93"/>
      <c r="H81" s="93"/>
      <c r="I81" s="56"/>
      <c r="J81" s="93"/>
      <c r="K81" s="93"/>
      <c r="L81" s="56"/>
      <c r="O81" s="93"/>
      <c r="P81" s="112"/>
    </row>
    <row r="82" spans="1:29">
      <c r="A82" s="109"/>
      <c r="B82" s="109"/>
      <c r="C82" s="109"/>
      <c r="D82" s="109"/>
      <c r="E82" s="104"/>
      <c r="F82" s="110"/>
      <c r="G82" s="93"/>
      <c r="H82" s="93"/>
      <c r="I82" s="56"/>
      <c r="J82" s="93"/>
      <c r="K82" s="93"/>
      <c r="L82" s="93"/>
      <c r="O82" s="93"/>
      <c r="P82" s="112"/>
    </row>
    <row r="83" spans="1:29">
      <c r="A83" s="109"/>
      <c r="B83" s="109"/>
      <c r="C83" s="109"/>
      <c r="D83" s="109"/>
      <c r="E83" s="104"/>
      <c r="F83" s="110"/>
      <c r="G83" s="93"/>
      <c r="H83" s="93"/>
      <c r="I83" s="56"/>
      <c r="J83" s="93"/>
      <c r="K83" s="93"/>
      <c r="L83" s="93"/>
      <c r="O83" s="93"/>
      <c r="P83" s="112"/>
    </row>
    <row r="84" spans="1:29">
      <c r="A84" s="109"/>
      <c r="B84" s="109"/>
      <c r="C84" s="109"/>
      <c r="D84" s="109"/>
      <c r="E84" s="104"/>
      <c r="F84" s="110"/>
      <c r="G84" s="93"/>
      <c r="H84" s="93"/>
      <c r="I84" s="56"/>
      <c r="J84" s="93"/>
      <c r="K84" s="93"/>
      <c r="L84" s="93"/>
      <c r="O84" s="93"/>
      <c r="P84" s="112"/>
    </row>
    <row r="85" spans="1:29">
      <c r="A85" s="109"/>
      <c r="B85" s="109"/>
      <c r="C85" s="109"/>
      <c r="D85" s="109"/>
      <c r="E85" s="104"/>
      <c r="F85" s="110"/>
      <c r="G85" s="93"/>
      <c r="H85" s="93"/>
      <c r="I85" s="56"/>
      <c r="J85" s="93"/>
      <c r="K85" s="93"/>
      <c r="L85" s="93"/>
      <c r="O85" s="93"/>
      <c r="P85" s="112"/>
    </row>
    <row r="86" spans="1:29">
      <c r="A86" s="109"/>
      <c r="B86" s="109"/>
      <c r="C86" s="109"/>
      <c r="D86" s="109"/>
      <c r="E86" s="104"/>
      <c r="F86" s="110"/>
      <c r="G86" s="93"/>
      <c r="H86" s="93"/>
      <c r="I86" s="56"/>
      <c r="J86" s="93"/>
      <c r="K86" s="93"/>
      <c r="L86" s="93"/>
      <c r="O86" s="93"/>
      <c r="P86" s="112"/>
    </row>
    <row r="87" spans="1:29">
      <c r="A87" s="109"/>
      <c r="B87" s="109"/>
      <c r="C87" s="109"/>
      <c r="D87" s="109"/>
      <c r="E87" s="104"/>
      <c r="F87" s="110"/>
      <c r="G87" s="93"/>
      <c r="H87" s="93"/>
      <c r="I87" s="56"/>
      <c r="J87" s="93"/>
      <c r="K87" s="93"/>
      <c r="L87" s="93"/>
      <c r="O87" s="93"/>
      <c r="P87" s="112"/>
    </row>
    <row r="88" spans="1:29">
      <c r="A88" s="109"/>
      <c r="B88" s="109"/>
      <c r="C88" s="109"/>
      <c r="D88" s="109"/>
      <c r="E88" s="104"/>
      <c r="F88" s="110"/>
      <c r="G88" s="93"/>
      <c r="H88" s="93"/>
      <c r="I88" s="56"/>
      <c r="J88" s="93"/>
      <c r="K88" s="93"/>
      <c r="L88" s="93"/>
      <c r="O88" s="93"/>
      <c r="P88" s="112"/>
    </row>
    <row r="89" spans="1:29">
      <c r="A89" s="109"/>
      <c r="B89" s="109"/>
      <c r="C89" s="109"/>
      <c r="D89" s="109"/>
      <c r="E89" s="104"/>
      <c r="F89" s="110"/>
      <c r="G89" s="93"/>
      <c r="H89" s="93"/>
      <c r="I89" s="56"/>
      <c r="J89" s="93"/>
      <c r="K89" s="93"/>
      <c r="L89" s="93"/>
      <c r="O89" s="93"/>
      <c r="P89" s="112"/>
    </row>
    <row r="90" spans="1:29">
      <c r="A90" s="109"/>
      <c r="B90" s="109"/>
      <c r="C90" s="109"/>
      <c r="D90" s="109"/>
      <c r="E90" s="104"/>
      <c r="F90" s="110"/>
      <c r="G90" s="93"/>
      <c r="H90" s="93"/>
      <c r="I90" s="56"/>
      <c r="J90" s="93"/>
      <c r="K90" s="93"/>
      <c r="L90" s="93"/>
      <c r="O90" s="93"/>
      <c r="P90" s="112"/>
    </row>
    <row r="91" spans="1:29">
      <c r="A91" s="109"/>
      <c r="B91" s="109"/>
      <c r="C91" s="109"/>
      <c r="D91" s="109"/>
      <c r="E91" s="104"/>
      <c r="F91" s="110"/>
      <c r="G91" s="93"/>
      <c r="H91" s="93"/>
      <c r="I91" s="56"/>
      <c r="J91" s="93"/>
      <c r="K91" s="93"/>
      <c r="L91" s="93"/>
      <c r="O91" s="93"/>
      <c r="P91" s="112"/>
    </row>
    <row r="92" spans="1:29" s="109" customFormat="1">
      <c r="E92" s="104"/>
      <c r="F92" s="110"/>
      <c r="G92" s="93"/>
      <c r="H92" s="93"/>
      <c r="I92" s="56"/>
      <c r="J92" s="93"/>
      <c r="K92" s="93"/>
      <c r="L92" s="93"/>
      <c r="M92" s="93"/>
      <c r="N92" s="93"/>
      <c r="O92" s="93"/>
      <c r="P92" s="112"/>
      <c r="Q92" s="112"/>
      <c r="R92" s="112"/>
      <c r="S92" s="112"/>
      <c r="T92" s="112"/>
      <c r="U92" s="112"/>
      <c r="V92" s="112"/>
      <c r="W92" s="112"/>
      <c r="X92" s="112"/>
      <c r="Y92" s="112"/>
      <c r="Z92" s="112"/>
      <c r="AA92" s="112"/>
      <c r="AB92" s="112"/>
      <c r="AC92" s="93"/>
    </row>
    <row r="93" spans="1:29" s="109" customFormat="1">
      <c r="E93" s="104"/>
      <c r="F93" s="110"/>
      <c r="G93" s="112"/>
      <c r="H93" s="93"/>
      <c r="I93" s="56"/>
      <c r="J93" s="93"/>
      <c r="K93" s="93"/>
      <c r="L93" s="93"/>
      <c r="M93" s="93"/>
      <c r="N93" s="93"/>
      <c r="O93" s="93"/>
      <c r="P93" s="112"/>
      <c r="Q93" s="112"/>
      <c r="R93" s="112"/>
      <c r="S93" s="112"/>
      <c r="T93" s="112"/>
      <c r="U93" s="112"/>
      <c r="V93" s="112"/>
      <c r="W93" s="112"/>
      <c r="X93" s="112"/>
      <c r="Y93" s="112"/>
      <c r="Z93" s="112"/>
      <c r="AA93" s="112"/>
      <c r="AB93" s="112"/>
      <c r="AC93" s="93"/>
    </row>
    <row r="94" spans="1:29" s="109" customFormat="1">
      <c r="E94" s="104"/>
      <c r="F94" s="110"/>
      <c r="G94" s="112"/>
      <c r="H94" s="93"/>
      <c r="I94" s="56"/>
      <c r="J94" s="93"/>
      <c r="K94" s="93"/>
      <c r="L94" s="93"/>
      <c r="M94" s="93"/>
      <c r="N94" s="93"/>
      <c r="O94" s="93"/>
      <c r="P94" s="112"/>
      <c r="Q94" s="112"/>
      <c r="R94" s="112"/>
      <c r="S94" s="112"/>
      <c r="T94" s="112"/>
      <c r="U94" s="112"/>
      <c r="V94" s="112"/>
      <c r="W94" s="112"/>
      <c r="X94" s="112"/>
      <c r="Y94" s="112"/>
      <c r="Z94" s="112"/>
      <c r="AA94" s="112"/>
      <c r="AB94" s="112"/>
      <c r="AC94" s="93"/>
    </row>
    <row r="95" spans="1:29" s="109" customFormat="1">
      <c r="E95" s="104"/>
      <c r="F95" s="110"/>
      <c r="G95" s="112"/>
      <c r="H95" s="93"/>
      <c r="I95" s="56"/>
      <c r="J95" s="93"/>
      <c r="K95" s="93"/>
      <c r="L95" s="93"/>
      <c r="M95" s="93"/>
      <c r="N95" s="93"/>
      <c r="O95" s="93"/>
      <c r="P95" s="112"/>
      <c r="Q95" s="112"/>
      <c r="R95" s="112"/>
      <c r="S95" s="112"/>
      <c r="T95" s="112"/>
      <c r="U95" s="112"/>
      <c r="V95" s="112"/>
      <c r="W95" s="112"/>
      <c r="X95" s="112"/>
      <c r="Y95" s="112"/>
      <c r="Z95" s="112"/>
      <c r="AA95" s="112"/>
      <c r="AB95" s="112"/>
      <c r="AC95" s="93"/>
    </row>
    <row r="96" spans="1:29" s="109" customFormat="1">
      <c r="E96" s="104"/>
      <c r="F96" s="110"/>
      <c r="G96" s="112"/>
      <c r="H96" s="93"/>
      <c r="I96" s="56"/>
      <c r="J96" s="93"/>
      <c r="K96" s="93"/>
      <c r="L96" s="93"/>
      <c r="M96" s="93"/>
      <c r="N96" s="93"/>
      <c r="O96" s="93"/>
      <c r="P96" s="112"/>
      <c r="Q96" s="112"/>
      <c r="R96" s="112"/>
      <c r="S96" s="112"/>
      <c r="T96" s="112"/>
      <c r="U96" s="112"/>
      <c r="V96" s="112"/>
      <c r="W96" s="112"/>
      <c r="X96" s="112"/>
      <c r="Y96" s="112"/>
      <c r="Z96" s="112"/>
      <c r="AA96" s="112"/>
      <c r="AB96" s="112"/>
      <c r="AC96" s="93"/>
    </row>
    <row r="97" spans="5:29" s="109" customFormat="1">
      <c r="E97" s="104"/>
      <c r="F97" s="110"/>
      <c r="G97" s="93"/>
      <c r="H97" s="93"/>
      <c r="I97" s="56"/>
      <c r="J97" s="93"/>
      <c r="K97" s="93"/>
      <c r="L97" s="93"/>
      <c r="M97" s="93"/>
      <c r="N97" s="93"/>
      <c r="O97" s="93"/>
      <c r="P97" s="112"/>
      <c r="Q97" s="112"/>
      <c r="R97" s="112"/>
      <c r="S97" s="112"/>
      <c r="T97" s="112"/>
      <c r="U97" s="112"/>
      <c r="V97" s="112"/>
      <c r="W97" s="112"/>
      <c r="X97" s="112"/>
      <c r="Y97" s="112"/>
      <c r="Z97" s="112"/>
      <c r="AA97" s="112"/>
      <c r="AB97" s="112"/>
      <c r="AC97" s="93"/>
    </row>
    <row r="98" spans="5:29" s="109" customFormat="1">
      <c r="E98" s="104"/>
      <c r="F98" s="110"/>
      <c r="G98" s="93"/>
      <c r="H98" s="93"/>
      <c r="I98" s="56"/>
      <c r="J98" s="93"/>
      <c r="K98" s="93"/>
      <c r="L98" s="93"/>
      <c r="M98" s="93"/>
      <c r="N98" s="93"/>
      <c r="O98" s="93"/>
      <c r="P98" s="112"/>
      <c r="Q98" s="112"/>
      <c r="R98" s="112"/>
      <c r="S98" s="112"/>
      <c r="T98" s="112"/>
      <c r="U98" s="112"/>
      <c r="V98" s="112"/>
      <c r="W98" s="112"/>
      <c r="X98" s="112"/>
      <c r="Y98" s="112"/>
      <c r="Z98" s="112"/>
      <c r="AA98" s="112"/>
      <c r="AB98" s="112"/>
      <c r="AC98" s="93"/>
    </row>
    <row r="99" spans="5:29" s="109" customFormat="1">
      <c r="E99" s="104"/>
      <c r="F99" s="110"/>
      <c r="G99" s="93"/>
      <c r="H99" s="93"/>
      <c r="I99" s="56"/>
      <c r="J99" s="93"/>
      <c r="K99" s="93"/>
      <c r="L99" s="93"/>
      <c r="M99" s="93"/>
      <c r="N99" s="93"/>
      <c r="O99" s="93"/>
      <c r="P99" s="112"/>
      <c r="Q99" s="112"/>
      <c r="R99" s="114"/>
      <c r="S99" s="114"/>
      <c r="T99" s="114"/>
      <c r="U99" s="114"/>
      <c r="V99" s="114"/>
      <c r="W99" s="114"/>
      <c r="X99" s="114"/>
      <c r="Y99" s="114"/>
      <c r="Z99" s="114"/>
      <c r="AA99" s="114"/>
      <c r="AB99" s="114"/>
    </row>
    <row r="100" spans="5:29" s="109" customFormat="1">
      <c r="E100" s="104"/>
      <c r="F100" s="110"/>
      <c r="G100" s="93"/>
      <c r="H100" s="93"/>
      <c r="I100" s="56"/>
      <c r="J100" s="93"/>
      <c r="K100" s="93"/>
      <c r="L100" s="93"/>
      <c r="M100" s="93"/>
      <c r="N100" s="93"/>
      <c r="O100" s="93"/>
      <c r="P100" s="112"/>
      <c r="Q100" s="112"/>
      <c r="R100" s="114"/>
      <c r="S100" s="114"/>
      <c r="T100" s="114"/>
      <c r="U100" s="114"/>
      <c r="V100" s="114"/>
      <c r="W100" s="114"/>
      <c r="X100" s="114"/>
      <c r="Y100" s="114"/>
      <c r="Z100" s="114"/>
      <c r="AA100" s="114"/>
      <c r="AB100" s="114"/>
    </row>
    <row r="101" spans="5:29" s="109" customFormat="1">
      <c r="E101" s="104"/>
      <c r="F101" s="110"/>
      <c r="G101" s="93"/>
      <c r="H101" s="93"/>
      <c r="I101" s="56"/>
      <c r="J101" s="93"/>
      <c r="K101" s="93"/>
      <c r="L101" s="93"/>
      <c r="M101" s="93"/>
      <c r="N101" s="93"/>
      <c r="O101" s="93"/>
      <c r="P101" s="112"/>
      <c r="Q101" s="112"/>
      <c r="R101" s="114"/>
      <c r="S101" s="114"/>
      <c r="T101" s="114"/>
      <c r="U101" s="114"/>
      <c r="V101" s="114"/>
      <c r="W101" s="114"/>
      <c r="X101" s="114"/>
      <c r="Y101" s="114"/>
      <c r="Z101" s="114"/>
      <c r="AA101" s="114"/>
      <c r="AB101" s="114"/>
    </row>
    <row r="102" spans="5:29" s="109" customFormat="1">
      <c r="E102" s="104"/>
      <c r="F102" s="110"/>
      <c r="G102" s="93"/>
      <c r="H102" s="93"/>
      <c r="I102" s="56"/>
      <c r="J102" s="93"/>
      <c r="K102" s="93"/>
      <c r="L102" s="93"/>
      <c r="M102" s="93"/>
      <c r="N102" s="93"/>
      <c r="O102" s="93"/>
      <c r="P102" s="112"/>
      <c r="Q102" s="112"/>
      <c r="R102" s="114"/>
      <c r="S102" s="114"/>
      <c r="T102" s="114"/>
      <c r="U102" s="114"/>
      <c r="V102" s="114"/>
      <c r="W102" s="114"/>
      <c r="X102" s="114"/>
      <c r="Y102" s="114"/>
      <c r="Z102" s="114"/>
      <c r="AA102" s="114"/>
      <c r="AB102" s="114"/>
    </row>
    <row r="103" spans="5:29" s="109" customFormat="1">
      <c r="E103" s="104"/>
      <c r="F103" s="110"/>
      <c r="G103" s="93"/>
      <c r="H103" s="93"/>
      <c r="I103" s="56"/>
      <c r="J103" s="93"/>
      <c r="K103" s="93"/>
      <c r="L103" s="93"/>
      <c r="M103" s="93"/>
      <c r="N103" s="93"/>
      <c r="O103" s="93"/>
      <c r="P103" s="112"/>
      <c r="Q103" s="112"/>
      <c r="R103" s="114"/>
      <c r="S103" s="114"/>
      <c r="T103" s="114"/>
      <c r="U103" s="114"/>
      <c r="V103" s="114"/>
      <c r="W103" s="114"/>
      <c r="X103" s="114"/>
      <c r="Y103" s="114"/>
      <c r="Z103" s="114"/>
      <c r="AA103" s="114"/>
      <c r="AB103" s="114"/>
    </row>
    <row r="104" spans="5:29" s="109" customFormat="1">
      <c r="E104" s="104"/>
      <c r="F104" s="110"/>
      <c r="G104" s="93"/>
      <c r="H104" s="93"/>
      <c r="I104" s="56"/>
      <c r="J104" s="93"/>
      <c r="K104" s="93"/>
      <c r="L104" s="93"/>
      <c r="M104" s="93"/>
      <c r="P104" s="114"/>
      <c r="Q104" s="114"/>
      <c r="R104" s="114"/>
      <c r="S104" s="114"/>
      <c r="T104" s="114"/>
      <c r="U104" s="114"/>
      <c r="V104" s="114"/>
      <c r="W104" s="114"/>
      <c r="X104" s="114"/>
      <c r="Y104" s="114"/>
      <c r="Z104" s="114"/>
      <c r="AA104" s="114"/>
      <c r="AB104" s="114"/>
    </row>
    <row r="105" spans="5:29" s="109" customFormat="1">
      <c r="E105" s="104"/>
      <c r="F105" s="110"/>
      <c r="G105" s="93"/>
      <c r="H105" s="93"/>
      <c r="I105" s="56"/>
      <c r="J105" s="93"/>
      <c r="K105" s="93"/>
      <c r="L105" s="93"/>
      <c r="M105" s="93"/>
      <c r="P105" s="114"/>
      <c r="Q105" s="114"/>
      <c r="R105" s="114"/>
      <c r="S105" s="114"/>
      <c r="T105" s="114"/>
      <c r="U105" s="114"/>
      <c r="V105" s="114"/>
      <c r="W105" s="114"/>
      <c r="X105" s="114"/>
      <c r="Y105" s="114"/>
      <c r="Z105" s="114"/>
      <c r="AA105" s="114"/>
      <c r="AB105" s="114"/>
    </row>
    <row r="106" spans="5:29" s="109" customFormat="1">
      <c r="E106" s="104"/>
      <c r="F106" s="110"/>
      <c r="G106" s="93"/>
      <c r="H106" s="93"/>
      <c r="I106" s="56"/>
      <c r="J106" s="93"/>
      <c r="K106" s="93"/>
      <c r="L106" s="93"/>
      <c r="M106" s="93"/>
      <c r="P106" s="114"/>
      <c r="Q106" s="114"/>
      <c r="R106" s="114"/>
      <c r="S106" s="114"/>
      <c r="T106" s="114"/>
      <c r="U106" s="114"/>
      <c r="V106" s="114"/>
      <c r="W106" s="114"/>
      <c r="X106" s="114"/>
      <c r="Y106" s="114"/>
      <c r="Z106" s="114"/>
      <c r="AA106" s="114"/>
      <c r="AB106" s="114"/>
    </row>
    <row r="107" spans="5:29" s="109" customFormat="1">
      <c r="E107" s="104"/>
      <c r="F107" s="110"/>
      <c r="G107" s="93"/>
      <c r="H107" s="93"/>
      <c r="I107" s="56"/>
      <c r="J107" s="93"/>
      <c r="K107" s="93"/>
      <c r="L107" s="93"/>
      <c r="M107" s="93"/>
      <c r="P107" s="114"/>
      <c r="Q107" s="114"/>
      <c r="R107" s="114"/>
      <c r="S107" s="114"/>
      <c r="T107" s="114"/>
      <c r="U107" s="114"/>
      <c r="V107" s="114"/>
      <c r="W107" s="114"/>
      <c r="X107" s="114"/>
      <c r="Y107" s="114"/>
      <c r="Z107" s="114"/>
      <c r="AA107" s="114"/>
      <c r="AB107" s="114"/>
    </row>
    <row r="108" spans="5:29" s="109" customFormat="1">
      <c r="E108" s="104"/>
      <c r="F108" s="110"/>
      <c r="G108" s="93"/>
      <c r="H108" s="93"/>
      <c r="I108" s="56"/>
      <c r="J108" s="93"/>
      <c r="K108" s="93"/>
      <c r="L108" s="93"/>
      <c r="M108" s="93"/>
      <c r="P108" s="114"/>
      <c r="Q108" s="114"/>
      <c r="R108" s="114"/>
      <c r="S108" s="114"/>
      <c r="T108" s="114"/>
      <c r="U108" s="114"/>
      <c r="V108" s="114"/>
      <c r="W108" s="114"/>
      <c r="X108" s="114"/>
      <c r="Y108" s="114"/>
      <c r="Z108" s="114"/>
      <c r="AA108" s="114"/>
      <c r="AB108" s="114"/>
    </row>
    <row r="109" spans="5:29" s="109" customFormat="1">
      <c r="E109" s="104"/>
      <c r="F109" s="110"/>
      <c r="G109" s="93"/>
      <c r="H109" s="93"/>
      <c r="I109" s="56"/>
      <c r="J109" s="93"/>
      <c r="K109" s="93"/>
      <c r="L109" s="93"/>
      <c r="M109" s="93"/>
      <c r="P109" s="114"/>
      <c r="Q109" s="114"/>
      <c r="R109" s="114"/>
      <c r="S109" s="114"/>
      <c r="T109" s="114"/>
      <c r="U109" s="114"/>
      <c r="V109" s="114"/>
      <c r="W109" s="114"/>
      <c r="X109" s="114"/>
      <c r="Y109" s="114"/>
      <c r="Z109" s="114"/>
      <c r="AA109" s="114"/>
      <c r="AB109" s="114"/>
    </row>
    <row r="110" spans="5:29" s="109" customFormat="1">
      <c r="E110" s="104"/>
      <c r="F110" s="110"/>
      <c r="G110" s="93"/>
      <c r="H110" s="93"/>
      <c r="I110" s="56"/>
      <c r="J110" s="93"/>
      <c r="K110" s="93"/>
      <c r="L110" s="93"/>
      <c r="M110" s="93"/>
      <c r="P110" s="114"/>
      <c r="Q110" s="114"/>
      <c r="R110" s="114"/>
      <c r="S110" s="114"/>
      <c r="T110" s="114"/>
      <c r="U110" s="114"/>
      <c r="V110" s="114"/>
      <c r="W110" s="114"/>
      <c r="X110" s="114"/>
      <c r="Y110" s="114"/>
      <c r="Z110" s="114"/>
      <c r="AA110" s="114"/>
      <c r="AB110" s="114"/>
    </row>
    <row r="111" spans="5:29" s="109" customFormat="1">
      <c r="E111" s="104"/>
      <c r="F111" s="110"/>
      <c r="G111" s="93"/>
      <c r="H111" s="93"/>
      <c r="I111" s="56"/>
      <c r="J111" s="93"/>
      <c r="K111" s="93"/>
      <c r="L111" s="93"/>
      <c r="M111" s="93"/>
      <c r="P111" s="114"/>
      <c r="Q111" s="114"/>
      <c r="R111" s="114"/>
      <c r="S111" s="114"/>
      <c r="T111" s="114"/>
      <c r="U111" s="114"/>
      <c r="V111" s="114"/>
      <c r="W111" s="114"/>
      <c r="X111" s="114"/>
      <c r="Y111" s="114"/>
      <c r="Z111" s="114"/>
      <c r="AA111" s="114"/>
      <c r="AB111" s="114"/>
    </row>
    <row r="112" spans="5:29" s="109" customFormat="1">
      <c r="E112" s="104"/>
      <c r="F112" s="110"/>
      <c r="G112" s="93"/>
      <c r="H112" s="93"/>
      <c r="I112" s="56"/>
      <c r="J112" s="93"/>
      <c r="K112" s="93"/>
      <c r="L112" s="93"/>
      <c r="M112" s="93"/>
      <c r="P112" s="114"/>
      <c r="Q112" s="114"/>
      <c r="R112" s="114"/>
      <c r="S112" s="114"/>
      <c r="T112" s="114"/>
      <c r="U112" s="114"/>
      <c r="V112" s="114"/>
      <c r="W112" s="114"/>
      <c r="X112" s="114"/>
      <c r="Y112" s="114"/>
      <c r="Z112" s="114"/>
      <c r="AA112" s="114"/>
      <c r="AB112" s="114"/>
    </row>
    <row r="113" spans="5:28" s="109" customFormat="1">
      <c r="E113" s="104"/>
      <c r="F113" s="110"/>
      <c r="G113" s="93"/>
      <c r="H113" s="93"/>
      <c r="I113" s="56"/>
      <c r="J113" s="93"/>
      <c r="K113" s="93"/>
      <c r="L113" s="93"/>
      <c r="M113" s="93"/>
      <c r="P113" s="114"/>
      <c r="Q113" s="114"/>
      <c r="R113" s="114"/>
      <c r="S113" s="114"/>
      <c r="T113" s="114"/>
      <c r="U113" s="114"/>
      <c r="V113" s="114"/>
      <c r="W113" s="114"/>
      <c r="X113" s="114"/>
      <c r="Y113" s="114"/>
      <c r="Z113" s="114"/>
      <c r="AA113" s="114"/>
      <c r="AB113" s="114"/>
    </row>
    <row r="114" spans="5:28" s="109" customFormat="1">
      <c r="E114" s="104"/>
      <c r="F114" s="110"/>
      <c r="G114" s="93"/>
      <c r="H114" s="93"/>
      <c r="I114" s="56"/>
      <c r="J114" s="93"/>
      <c r="K114" s="93"/>
      <c r="L114" s="93"/>
      <c r="M114" s="93"/>
      <c r="P114" s="114"/>
      <c r="Q114" s="114"/>
      <c r="R114" s="114"/>
      <c r="S114" s="114"/>
      <c r="T114" s="114"/>
      <c r="U114" s="114"/>
      <c r="V114" s="114"/>
      <c r="W114" s="114"/>
      <c r="X114" s="114"/>
      <c r="Y114" s="114"/>
      <c r="Z114" s="114"/>
      <c r="AA114" s="114"/>
      <c r="AB114" s="114"/>
    </row>
    <row r="115" spans="5:28" s="109" customFormat="1">
      <c r="E115" s="104"/>
      <c r="F115" s="110"/>
      <c r="G115" s="93"/>
      <c r="H115" s="93"/>
      <c r="I115" s="56"/>
      <c r="J115" s="93"/>
      <c r="K115" s="93"/>
      <c r="L115" s="93"/>
      <c r="M115" s="93"/>
      <c r="P115" s="114"/>
      <c r="Q115" s="114"/>
      <c r="R115" s="114"/>
      <c r="S115" s="114"/>
      <c r="T115" s="114"/>
      <c r="U115" s="114"/>
      <c r="V115" s="114"/>
      <c r="W115" s="114"/>
      <c r="X115" s="114"/>
      <c r="Y115" s="114"/>
      <c r="Z115" s="114"/>
      <c r="AA115" s="114"/>
      <c r="AB115" s="114"/>
    </row>
    <row r="116" spans="5:28" s="109" customFormat="1">
      <c r="E116" s="104"/>
      <c r="F116" s="110"/>
      <c r="G116" s="93"/>
      <c r="H116" s="93"/>
      <c r="I116" s="56"/>
      <c r="J116" s="93"/>
      <c r="K116" s="93"/>
      <c r="L116" s="93"/>
      <c r="M116" s="93"/>
      <c r="P116" s="114"/>
      <c r="Q116" s="114"/>
      <c r="R116" s="114"/>
      <c r="S116" s="114"/>
      <c r="T116" s="114"/>
      <c r="U116" s="114"/>
      <c r="V116" s="114"/>
      <c r="W116" s="114"/>
      <c r="X116" s="114"/>
      <c r="Y116" s="114"/>
      <c r="Z116" s="114"/>
      <c r="AA116" s="114"/>
      <c r="AB116" s="114"/>
    </row>
    <row r="117" spans="5:28" s="109" customFormat="1">
      <c r="E117" s="104"/>
      <c r="F117" s="110"/>
      <c r="G117" s="93"/>
      <c r="H117" s="93"/>
      <c r="I117" s="56"/>
      <c r="J117" s="93"/>
      <c r="K117" s="93"/>
      <c r="L117" s="93"/>
      <c r="M117" s="93"/>
      <c r="P117" s="114"/>
      <c r="Q117" s="114"/>
      <c r="R117" s="114"/>
      <c r="S117" s="114"/>
      <c r="T117" s="114"/>
      <c r="U117" s="114"/>
      <c r="V117" s="114"/>
      <c r="W117" s="114"/>
      <c r="X117" s="114"/>
      <c r="Y117" s="114"/>
      <c r="Z117" s="114"/>
      <c r="AA117" s="114"/>
      <c r="AB117" s="114"/>
    </row>
    <row r="118" spans="5:28" s="109" customFormat="1">
      <c r="E118" s="104"/>
      <c r="F118" s="110"/>
      <c r="G118" s="93"/>
      <c r="H118" s="93"/>
      <c r="I118" s="56"/>
      <c r="J118" s="93"/>
      <c r="K118" s="93"/>
      <c r="L118" s="93"/>
      <c r="M118" s="93"/>
      <c r="P118" s="114"/>
      <c r="Q118" s="114"/>
      <c r="R118" s="114"/>
      <c r="S118" s="114"/>
      <c r="T118" s="114"/>
      <c r="U118" s="114"/>
      <c r="V118" s="114"/>
      <c r="W118" s="114"/>
      <c r="X118" s="114"/>
      <c r="Y118" s="114"/>
      <c r="Z118" s="114"/>
      <c r="AA118" s="114"/>
      <c r="AB118" s="114"/>
    </row>
    <row r="119" spans="5:28" s="109" customFormat="1">
      <c r="E119" s="104"/>
      <c r="F119" s="110"/>
      <c r="G119" s="93"/>
      <c r="H119" s="93"/>
      <c r="I119" s="56"/>
      <c r="J119" s="93"/>
      <c r="K119" s="93"/>
      <c r="L119" s="93"/>
      <c r="P119" s="114"/>
      <c r="Q119" s="114"/>
      <c r="R119" s="114"/>
      <c r="S119" s="114"/>
      <c r="T119" s="114"/>
      <c r="U119" s="114"/>
      <c r="V119" s="114"/>
      <c r="W119" s="114"/>
      <c r="X119" s="114"/>
      <c r="Y119" s="114"/>
      <c r="Z119" s="114"/>
      <c r="AA119" s="114"/>
      <c r="AB119" s="114"/>
    </row>
    <row r="120" spans="5:28" s="109" customFormat="1">
      <c r="E120" s="104"/>
      <c r="F120" s="110"/>
      <c r="G120" s="93"/>
      <c r="H120" s="93"/>
      <c r="I120" s="56"/>
      <c r="J120" s="93"/>
      <c r="K120" s="93"/>
      <c r="L120" s="93"/>
      <c r="P120" s="114"/>
      <c r="Q120" s="114"/>
      <c r="R120" s="114"/>
      <c r="S120" s="114"/>
      <c r="T120" s="114"/>
      <c r="U120" s="114"/>
      <c r="V120" s="114"/>
      <c r="W120" s="114"/>
      <c r="X120" s="114"/>
      <c r="Y120" s="114"/>
      <c r="Z120" s="114"/>
      <c r="AA120" s="114"/>
      <c r="AB120" s="114"/>
    </row>
    <row r="121" spans="5:28" s="109" customFormat="1">
      <c r="E121" s="104"/>
      <c r="F121" s="110"/>
      <c r="G121" s="93"/>
      <c r="H121" s="93"/>
      <c r="I121" s="56"/>
      <c r="J121" s="93"/>
      <c r="K121" s="93"/>
      <c r="L121" s="93"/>
      <c r="P121" s="114"/>
      <c r="Q121" s="114"/>
      <c r="R121" s="114"/>
      <c r="S121" s="114"/>
      <c r="T121" s="114"/>
      <c r="U121" s="114"/>
      <c r="V121" s="114"/>
      <c r="W121" s="114"/>
      <c r="X121" s="114"/>
      <c r="Y121" s="114"/>
      <c r="Z121" s="114"/>
      <c r="AA121" s="114"/>
      <c r="AB121" s="114"/>
    </row>
    <row r="122" spans="5:28" s="109" customFormat="1">
      <c r="E122" s="104"/>
      <c r="F122" s="110"/>
      <c r="G122" s="93"/>
      <c r="H122" s="93"/>
      <c r="I122" s="56"/>
      <c r="J122" s="93"/>
      <c r="K122" s="93"/>
      <c r="L122" s="93"/>
      <c r="P122" s="114"/>
      <c r="Q122" s="114"/>
      <c r="R122" s="114"/>
      <c r="S122" s="114"/>
      <c r="T122" s="114"/>
      <c r="U122" s="114"/>
      <c r="V122" s="114"/>
      <c r="W122" s="114"/>
      <c r="X122" s="114"/>
      <c r="Y122" s="114"/>
      <c r="Z122" s="114"/>
      <c r="AA122" s="114"/>
      <c r="AB122" s="114"/>
    </row>
    <row r="123" spans="5:28" s="109" customFormat="1">
      <c r="E123" s="104"/>
      <c r="F123" s="110"/>
      <c r="G123" s="93"/>
      <c r="H123" s="93"/>
      <c r="I123" s="56"/>
      <c r="J123" s="93"/>
      <c r="K123" s="93"/>
      <c r="L123" s="93"/>
      <c r="P123" s="114"/>
      <c r="Q123" s="114"/>
      <c r="R123" s="114"/>
      <c r="S123" s="114"/>
      <c r="T123" s="114"/>
      <c r="U123" s="114"/>
      <c r="V123" s="114"/>
      <c r="W123" s="114"/>
      <c r="X123" s="114"/>
      <c r="Y123" s="114"/>
      <c r="Z123" s="114"/>
      <c r="AA123" s="114"/>
      <c r="AB123" s="114"/>
    </row>
    <row r="124" spans="5:28" s="109" customFormat="1">
      <c r="E124" s="104"/>
      <c r="F124" s="110"/>
      <c r="G124" s="93"/>
      <c r="H124" s="93"/>
      <c r="I124" s="56"/>
      <c r="J124" s="93"/>
      <c r="K124" s="93"/>
      <c r="L124" s="93"/>
      <c r="P124" s="114"/>
      <c r="Q124" s="114"/>
      <c r="R124" s="114"/>
      <c r="S124" s="114"/>
      <c r="T124" s="114"/>
      <c r="U124" s="114"/>
      <c r="V124" s="114"/>
      <c r="W124" s="114"/>
      <c r="X124" s="114"/>
      <c r="Y124" s="114"/>
      <c r="Z124" s="114"/>
      <c r="AA124" s="114"/>
      <c r="AB124" s="114"/>
    </row>
    <row r="125" spans="5:28" s="109" customFormat="1">
      <c r="E125" s="104"/>
      <c r="F125" s="110"/>
      <c r="G125" s="93"/>
      <c r="H125" s="93"/>
      <c r="I125" s="56"/>
      <c r="J125" s="93"/>
      <c r="K125" s="93"/>
      <c r="L125" s="93"/>
      <c r="P125" s="114"/>
      <c r="Q125" s="114"/>
      <c r="R125" s="114"/>
      <c r="S125" s="114"/>
      <c r="T125" s="114"/>
      <c r="U125" s="114"/>
      <c r="V125" s="114"/>
      <c r="W125" s="114"/>
      <c r="X125" s="114"/>
      <c r="Y125" s="114"/>
      <c r="Z125" s="114"/>
      <c r="AA125" s="114"/>
      <c r="AB125" s="114"/>
    </row>
    <row r="126" spans="5:28" s="109" customFormat="1">
      <c r="E126" s="104"/>
      <c r="F126" s="110"/>
      <c r="G126" s="93"/>
      <c r="H126" s="93"/>
      <c r="I126" s="56"/>
      <c r="J126" s="93"/>
      <c r="K126" s="93"/>
      <c r="L126" s="93"/>
      <c r="P126" s="114"/>
      <c r="Q126" s="114"/>
      <c r="R126" s="114"/>
      <c r="S126" s="114"/>
      <c r="T126" s="114"/>
      <c r="U126" s="114"/>
      <c r="V126" s="114"/>
      <c r="W126" s="114"/>
      <c r="X126" s="114"/>
      <c r="Y126" s="114"/>
      <c r="Z126" s="114"/>
      <c r="AA126" s="114"/>
      <c r="AB126" s="114"/>
    </row>
    <row r="127" spans="5:28" s="109" customFormat="1">
      <c r="E127" s="104"/>
      <c r="F127" s="110"/>
      <c r="G127" s="93"/>
      <c r="H127" s="93"/>
      <c r="I127" s="56"/>
      <c r="J127" s="93"/>
      <c r="K127" s="93"/>
      <c r="L127" s="93"/>
      <c r="P127" s="114"/>
      <c r="Q127" s="114"/>
      <c r="R127" s="114"/>
      <c r="S127" s="114"/>
      <c r="T127" s="114"/>
      <c r="U127" s="114"/>
      <c r="V127" s="114"/>
      <c r="W127" s="114"/>
      <c r="X127" s="114"/>
      <c r="Y127" s="114"/>
      <c r="Z127" s="114"/>
      <c r="AA127" s="114"/>
      <c r="AB127" s="114"/>
    </row>
    <row r="128" spans="5:28" s="109" customFormat="1">
      <c r="E128" s="104"/>
      <c r="F128" s="110"/>
      <c r="G128" s="93"/>
      <c r="H128" s="93"/>
      <c r="I128" s="56"/>
      <c r="J128" s="93"/>
      <c r="K128" s="93"/>
      <c r="L128" s="93"/>
      <c r="P128" s="114"/>
      <c r="Q128" s="114"/>
      <c r="R128" s="114"/>
      <c r="S128" s="114"/>
      <c r="T128" s="114"/>
      <c r="U128" s="114"/>
      <c r="V128" s="114"/>
      <c r="W128" s="114"/>
      <c r="X128" s="114"/>
      <c r="Y128" s="114"/>
      <c r="Z128" s="114"/>
      <c r="AA128" s="114"/>
      <c r="AB128" s="114"/>
    </row>
    <row r="129" spans="5:28" s="109" customFormat="1">
      <c r="E129" s="104"/>
      <c r="F129" s="110"/>
      <c r="G129" s="93"/>
      <c r="H129" s="93"/>
      <c r="I129" s="56"/>
      <c r="J129" s="93"/>
      <c r="K129" s="93"/>
      <c r="L129" s="93"/>
      <c r="P129" s="114"/>
      <c r="Q129" s="114"/>
      <c r="R129" s="114"/>
      <c r="S129" s="114"/>
      <c r="T129" s="114"/>
      <c r="U129" s="114"/>
      <c r="V129" s="114"/>
      <c r="W129" s="114"/>
      <c r="X129" s="114"/>
      <c r="Y129" s="114"/>
      <c r="Z129" s="114"/>
      <c r="AA129" s="114"/>
      <c r="AB129" s="114"/>
    </row>
    <row r="130" spans="5:28" s="109" customFormat="1">
      <c r="E130" s="104"/>
      <c r="F130" s="110"/>
      <c r="G130" s="93"/>
      <c r="H130" s="93"/>
      <c r="I130" s="56"/>
      <c r="J130" s="93"/>
      <c r="K130" s="93"/>
      <c r="L130" s="93"/>
      <c r="P130" s="114"/>
      <c r="Q130" s="114"/>
      <c r="R130" s="114"/>
      <c r="S130" s="114"/>
      <c r="T130" s="114"/>
      <c r="U130" s="114"/>
      <c r="V130" s="114"/>
      <c r="W130" s="114"/>
      <c r="X130" s="114"/>
      <c r="Y130" s="114"/>
      <c r="Z130" s="114"/>
      <c r="AA130" s="114"/>
      <c r="AB130" s="114"/>
    </row>
    <row r="131" spans="5:28" s="109" customFormat="1">
      <c r="E131" s="104"/>
      <c r="F131" s="110"/>
      <c r="G131" s="93"/>
      <c r="H131" s="93"/>
      <c r="I131" s="56"/>
      <c r="J131" s="93"/>
      <c r="K131" s="93"/>
      <c r="L131" s="93"/>
      <c r="P131" s="114"/>
      <c r="Q131" s="114"/>
      <c r="R131" s="114"/>
      <c r="S131" s="114"/>
      <c r="T131" s="114"/>
      <c r="U131" s="114"/>
      <c r="V131" s="114"/>
      <c r="W131" s="114"/>
      <c r="X131" s="114"/>
      <c r="Y131" s="114"/>
      <c r="Z131" s="114"/>
      <c r="AA131" s="114"/>
      <c r="AB131" s="114"/>
    </row>
    <row r="132" spans="5:28" s="109" customFormat="1">
      <c r="E132" s="104"/>
      <c r="F132" s="110"/>
      <c r="G132" s="93"/>
      <c r="H132" s="93"/>
      <c r="I132" s="56"/>
      <c r="J132" s="93"/>
      <c r="K132" s="93"/>
      <c r="L132" s="93"/>
      <c r="P132" s="114"/>
      <c r="Q132" s="114"/>
      <c r="R132" s="114"/>
      <c r="S132" s="114"/>
      <c r="T132" s="114"/>
      <c r="U132" s="114"/>
      <c r="V132" s="114"/>
      <c r="W132" s="114"/>
      <c r="X132" s="114"/>
      <c r="Y132" s="114"/>
      <c r="Z132" s="114"/>
      <c r="AA132" s="114"/>
      <c r="AB132" s="114"/>
    </row>
    <row r="133" spans="5:28" s="109" customFormat="1">
      <c r="E133" s="104"/>
      <c r="F133" s="110"/>
      <c r="G133" s="93"/>
      <c r="H133" s="93"/>
      <c r="I133" s="56"/>
      <c r="J133" s="93"/>
      <c r="K133" s="93"/>
      <c r="L133" s="93"/>
      <c r="P133" s="114"/>
      <c r="Q133" s="114"/>
      <c r="R133" s="114"/>
      <c r="S133" s="114"/>
      <c r="T133" s="114"/>
      <c r="U133" s="114"/>
      <c r="V133" s="114"/>
      <c r="W133" s="114"/>
      <c r="X133" s="114"/>
      <c r="Y133" s="114"/>
      <c r="Z133" s="114"/>
      <c r="AA133" s="114"/>
      <c r="AB133" s="114"/>
    </row>
    <row r="134" spans="5:28" s="109" customFormat="1">
      <c r="E134" s="104"/>
      <c r="F134" s="110"/>
      <c r="G134" s="93"/>
      <c r="H134" s="93"/>
      <c r="I134" s="56"/>
      <c r="J134" s="93"/>
      <c r="K134" s="93"/>
      <c r="L134" s="93"/>
      <c r="P134" s="114"/>
      <c r="Q134" s="114"/>
      <c r="R134" s="114"/>
      <c r="S134" s="114"/>
      <c r="T134" s="114"/>
      <c r="U134" s="114"/>
      <c r="V134" s="114"/>
      <c r="W134" s="114"/>
      <c r="X134" s="114"/>
      <c r="Y134" s="114"/>
      <c r="Z134" s="114"/>
      <c r="AA134" s="114"/>
      <c r="AB134" s="114"/>
    </row>
    <row r="135" spans="5:28" s="109" customFormat="1">
      <c r="E135" s="104"/>
      <c r="F135" s="110"/>
      <c r="G135" s="93"/>
      <c r="H135" s="93"/>
      <c r="I135" s="56"/>
      <c r="J135" s="93"/>
      <c r="K135" s="93"/>
      <c r="L135" s="93"/>
      <c r="P135" s="114"/>
      <c r="Q135" s="114"/>
      <c r="R135" s="114"/>
      <c r="S135" s="114"/>
      <c r="T135" s="114"/>
      <c r="U135" s="114"/>
      <c r="V135" s="114"/>
      <c r="W135" s="114"/>
      <c r="X135" s="114"/>
      <c r="Y135" s="114"/>
      <c r="Z135" s="114"/>
      <c r="AA135" s="114"/>
      <c r="AB135" s="114"/>
    </row>
    <row r="136" spans="5:28" s="109" customFormat="1">
      <c r="E136" s="104"/>
      <c r="F136" s="110"/>
      <c r="G136" s="93"/>
      <c r="H136" s="93"/>
      <c r="I136" s="56"/>
      <c r="J136" s="93"/>
      <c r="K136" s="93"/>
      <c r="L136" s="93"/>
      <c r="P136" s="114"/>
      <c r="Q136" s="114"/>
      <c r="R136" s="114"/>
      <c r="S136" s="114"/>
      <c r="T136" s="114"/>
      <c r="U136" s="114"/>
      <c r="V136" s="114"/>
      <c r="W136" s="114"/>
      <c r="X136" s="114"/>
      <c r="Y136" s="114"/>
      <c r="Z136" s="114"/>
      <c r="AA136" s="114"/>
      <c r="AB136" s="114"/>
    </row>
    <row r="137" spans="5:28" s="109" customFormat="1">
      <c r="E137" s="104"/>
      <c r="F137" s="110"/>
      <c r="G137" s="93"/>
      <c r="H137" s="93"/>
      <c r="I137" s="56"/>
      <c r="J137" s="93"/>
      <c r="K137" s="93"/>
      <c r="L137" s="93"/>
      <c r="P137" s="114"/>
      <c r="Q137" s="114"/>
      <c r="R137" s="114"/>
      <c r="S137" s="114"/>
      <c r="T137" s="114"/>
      <c r="U137" s="114"/>
      <c r="V137" s="114"/>
      <c r="W137" s="114"/>
      <c r="X137" s="114"/>
      <c r="Y137" s="114"/>
      <c r="Z137" s="114"/>
      <c r="AA137" s="114"/>
      <c r="AB137" s="114"/>
    </row>
    <row r="138" spans="5:28" s="109" customFormat="1">
      <c r="E138" s="104"/>
      <c r="F138" s="110"/>
      <c r="G138" s="93"/>
      <c r="H138" s="93"/>
      <c r="I138" s="56"/>
      <c r="J138" s="93"/>
      <c r="K138" s="93"/>
      <c r="L138" s="93"/>
      <c r="P138" s="114"/>
      <c r="Q138" s="114"/>
      <c r="R138" s="114"/>
      <c r="S138" s="114"/>
      <c r="T138" s="114"/>
      <c r="U138" s="114"/>
      <c r="V138" s="114"/>
      <c r="W138" s="114"/>
      <c r="X138" s="114"/>
      <c r="Y138" s="114"/>
      <c r="Z138" s="114"/>
      <c r="AA138" s="114"/>
      <c r="AB138" s="114"/>
    </row>
    <row r="139" spans="5:28" s="109" customFormat="1">
      <c r="E139" s="104"/>
      <c r="F139" s="110"/>
      <c r="G139" s="93"/>
      <c r="H139" s="93"/>
      <c r="I139" s="56"/>
      <c r="J139" s="93"/>
      <c r="K139" s="93"/>
      <c r="L139" s="93"/>
      <c r="P139" s="114"/>
      <c r="Q139" s="114"/>
      <c r="R139" s="114"/>
      <c r="S139" s="114"/>
      <c r="T139" s="114"/>
      <c r="U139" s="114"/>
      <c r="V139" s="114"/>
      <c r="W139" s="114"/>
      <c r="X139" s="114"/>
      <c r="Y139" s="114"/>
      <c r="Z139" s="114"/>
      <c r="AA139" s="114"/>
      <c r="AB139" s="114"/>
    </row>
    <row r="140" spans="5:28" s="109" customFormat="1">
      <c r="E140" s="104"/>
      <c r="F140" s="110"/>
      <c r="G140" s="93"/>
      <c r="H140" s="93"/>
      <c r="I140" s="56"/>
      <c r="J140" s="93"/>
      <c r="K140" s="93"/>
      <c r="L140" s="93"/>
      <c r="P140" s="114"/>
      <c r="Q140" s="114"/>
      <c r="R140" s="114"/>
      <c r="S140" s="114"/>
      <c r="T140" s="114"/>
      <c r="U140" s="114"/>
      <c r="V140" s="114"/>
      <c r="W140" s="114"/>
      <c r="X140" s="114"/>
      <c r="Y140" s="114"/>
      <c r="Z140" s="114"/>
      <c r="AA140" s="114"/>
      <c r="AB140" s="114"/>
    </row>
    <row r="141" spans="5:28" s="109" customFormat="1">
      <c r="E141" s="104"/>
      <c r="F141" s="110"/>
      <c r="G141" s="93"/>
      <c r="H141" s="93"/>
      <c r="I141" s="56"/>
      <c r="J141" s="93"/>
      <c r="K141" s="93"/>
      <c r="L141" s="93"/>
      <c r="P141" s="114"/>
      <c r="Q141" s="114"/>
      <c r="R141" s="114"/>
      <c r="S141" s="114"/>
      <c r="T141" s="114"/>
      <c r="U141" s="114"/>
      <c r="V141" s="114"/>
      <c r="W141" s="114"/>
      <c r="X141" s="114"/>
      <c r="Y141" s="114"/>
      <c r="Z141" s="114"/>
      <c r="AA141" s="114"/>
      <c r="AB141" s="114"/>
    </row>
    <row r="142" spans="5:28" s="109" customFormat="1">
      <c r="E142" s="104"/>
      <c r="F142" s="110"/>
      <c r="G142" s="93"/>
      <c r="H142" s="93"/>
      <c r="I142" s="56"/>
      <c r="J142" s="93"/>
      <c r="K142" s="93"/>
      <c r="L142" s="93"/>
      <c r="P142" s="114"/>
      <c r="Q142" s="114"/>
      <c r="R142" s="114"/>
      <c r="S142" s="114"/>
      <c r="T142" s="114"/>
      <c r="U142" s="114"/>
      <c r="V142" s="114"/>
      <c r="W142" s="114"/>
      <c r="X142" s="114"/>
      <c r="Y142" s="114"/>
      <c r="Z142" s="114"/>
      <c r="AA142" s="114"/>
      <c r="AB142" s="114"/>
    </row>
    <row r="143" spans="5:28" s="109" customFormat="1">
      <c r="E143" s="104"/>
      <c r="F143" s="110"/>
      <c r="G143" s="93"/>
      <c r="H143" s="93"/>
      <c r="I143" s="56"/>
      <c r="J143" s="93"/>
      <c r="K143" s="93"/>
      <c r="L143" s="93"/>
      <c r="P143" s="114"/>
      <c r="Q143" s="114"/>
      <c r="R143" s="114"/>
      <c r="S143" s="114"/>
      <c r="T143" s="114"/>
      <c r="U143" s="114"/>
      <c r="V143" s="114"/>
      <c r="W143" s="114"/>
      <c r="X143" s="114"/>
      <c r="Y143" s="114"/>
      <c r="Z143" s="114"/>
      <c r="AA143" s="114"/>
      <c r="AB143" s="114"/>
    </row>
    <row r="144" spans="5:28" s="109" customFormat="1">
      <c r="E144" s="104"/>
      <c r="F144" s="110"/>
      <c r="G144" s="93"/>
      <c r="H144" s="93"/>
      <c r="I144" s="56"/>
      <c r="J144" s="93"/>
      <c r="K144" s="93"/>
      <c r="L144" s="93"/>
      <c r="P144" s="114"/>
      <c r="Q144" s="114"/>
      <c r="R144" s="114"/>
      <c r="S144" s="114"/>
      <c r="T144" s="114"/>
      <c r="U144" s="114"/>
      <c r="V144" s="114"/>
      <c r="W144" s="114"/>
      <c r="X144" s="114"/>
      <c r="Y144" s="114"/>
      <c r="Z144" s="114"/>
      <c r="AA144" s="114"/>
      <c r="AB144" s="114"/>
    </row>
    <row r="145" spans="1:29" s="109" customFormat="1">
      <c r="E145" s="104"/>
      <c r="F145" s="110"/>
      <c r="G145" s="93"/>
      <c r="H145" s="93"/>
      <c r="I145" s="56"/>
      <c r="J145" s="93"/>
      <c r="K145" s="93"/>
      <c r="L145" s="93"/>
      <c r="P145" s="114"/>
      <c r="Q145" s="114"/>
      <c r="R145" s="114"/>
      <c r="S145" s="114"/>
      <c r="T145" s="114"/>
      <c r="U145" s="114"/>
      <c r="V145" s="114"/>
      <c r="W145" s="114"/>
      <c r="X145" s="114"/>
      <c r="Y145" s="114"/>
      <c r="Z145" s="114"/>
      <c r="AA145" s="114"/>
      <c r="AB145" s="114"/>
    </row>
    <row r="146" spans="1:29" s="109" customFormat="1">
      <c r="E146" s="104"/>
      <c r="F146" s="110"/>
      <c r="G146" s="93"/>
      <c r="H146" s="93"/>
      <c r="I146" s="56"/>
      <c r="J146" s="93"/>
      <c r="K146" s="93"/>
      <c r="L146" s="93"/>
      <c r="P146" s="114"/>
      <c r="Q146" s="114"/>
      <c r="R146" s="114"/>
      <c r="S146" s="114"/>
      <c r="T146" s="114"/>
      <c r="U146" s="114"/>
      <c r="V146" s="114"/>
      <c r="W146" s="114"/>
      <c r="X146" s="114"/>
      <c r="Y146" s="114"/>
      <c r="Z146" s="114"/>
      <c r="AA146" s="114"/>
      <c r="AB146" s="114"/>
    </row>
    <row r="147" spans="1:29" s="109" customFormat="1">
      <c r="E147" s="104"/>
      <c r="F147" s="110"/>
      <c r="G147" s="93"/>
      <c r="H147" s="93"/>
      <c r="I147" s="56"/>
      <c r="J147" s="93"/>
      <c r="K147" s="93"/>
      <c r="L147" s="93"/>
      <c r="P147" s="114"/>
      <c r="Q147" s="114"/>
      <c r="R147" s="114"/>
      <c r="S147" s="114"/>
      <c r="T147" s="114"/>
      <c r="U147" s="114"/>
      <c r="V147" s="114"/>
      <c r="W147" s="114"/>
      <c r="X147" s="114"/>
      <c r="Y147" s="114"/>
      <c r="Z147" s="114"/>
      <c r="AA147" s="114"/>
      <c r="AB147" s="114"/>
    </row>
    <row r="148" spans="1:29" s="109" customFormat="1">
      <c r="E148" s="104"/>
      <c r="F148" s="110"/>
      <c r="G148" s="93"/>
      <c r="H148" s="93"/>
      <c r="I148" s="56"/>
      <c r="J148" s="93"/>
      <c r="K148" s="93"/>
      <c r="L148" s="93"/>
      <c r="P148" s="114"/>
      <c r="Q148" s="114"/>
      <c r="R148" s="114"/>
      <c r="S148" s="114"/>
      <c r="T148" s="114"/>
      <c r="U148" s="114"/>
      <c r="V148" s="114"/>
      <c r="W148" s="114"/>
      <c r="X148" s="114"/>
      <c r="Y148" s="114"/>
      <c r="Z148" s="114"/>
      <c r="AA148" s="114"/>
      <c r="AB148" s="114"/>
    </row>
    <row r="149" spans="1:29">
      <c r="A149" s="109"/>
      <c r="B149" s="109"/>
      <c r="C149" s="109"/>
      <c r="D149" s="109"/>
      <c r="E149" s="104"/>
      <c r="F149" s="110"/>
      <c r="G149" s="93"/>
      <c r="H149" s="93"/>
      <c r="I149" s="56"/>
      <c r="J149" s="93"/>
      <c r="K149" s="93"/>
      <c r="L149" s="93"/>
      <c r="M149" s="109"/>
      <c r="N149" s="109"/>
      <c r="O149" s="109"/>
      <c r="P149" s="114"/>
      <c r="Q149" s="114"/>
      <c r="R149" s="114"/>
      <c r="S149" s="114"/>
      <c r="T149" s="114"/>
      <c r="U149" s="114"/>
      <c r="V149" s="114"/>
      <c r="W149" s="114"/>
      <c r="X149" s="114"/>
      <c r="Y149" s="114"/>
      <c r="Z149" s="114"/>
      <c r="AA149" s="114"/>
      <c r="AB149" s="114"/>
      <c r="AC149" s="109"/>
    </row>
    <row r="150" spans="1:29">
      <c r="A150" s="109"/>
      <c r="B150" s="109"/>
      <c r="C150" s="109"/>
      <c r="D150" s="109"/>
      <c r="E150" s="104"/>
      <c r="F150" s="110"/>
      <c r="G150" s="93"/>
      <c r="H150" s="93"/>
      <c r="I150" s="56"/>
      <c r="J150" s="93"/>
      <c r="K150" s="93"/>
      <c r="L150" s="93"/>
      <c r="M150" s="109"/>
      <c r="N150" s="109"/>
      <c r="O150" s="109"/>
      <c r="P150" s="114"/>
      <c r="Q150" s="114"/>
      <c r="R150" s="114"/>
      <c r="S150" s="114"/>
      <c r="T150" s="114"/>
      <c r="U150" s="114"/>
      <c r="V150" s="114"/>
      <c r="W150" s="114"/>
      <c r="X150" s="114"/>
      <c r="Y150" s="114"/>
      <c r="Z150" s="114"/>
      <c r="AA150" s="114"/>
      <c r="AB150" s="114"/>
      <c r="AC150" s="109"/>
    </row>
    <row r="151" spans="1:29">
      <c r="A151" s="109"/>
      <c r="B151" s="109"/>
      <c r="C151" s="109"/>
      <c r="D151" s="109"/>
      <c r="E151" s="104"/>
      <c r="F151" s="110"/>
      <c r="G151" s="93"/>
      <c r="H151" s="93"/>
      <c r="I151" s="56"/>
      <c r="J151" s="93"/>
      <c r="K151" s="93"/>
      <c r="L151" s="93"/>
      <c r="M151" s="109"/>
      <c r="N151" s="109"/>
      <c r="O151" s="109"/>
      <c r="P151" s="114"/>
      <c r="Q151" s="114"/>
      <c r="R151" s="114"/>
      <c r="S151" s="114"/>
      <c r="T151" s="114"/>
      <c r="U151" s="114"/>
      <c r="V151" s="114"/>
      <c r="W151" s="114"/>
      <c r="X151" s="114"/>
      <c r="Y151" s="114"/>
      <c r="Z151" s="114"/>
      <c r="AA151" s="114"/>
      <c r="AB151" s="114"/>
      <c r="AC151" s="109"/>
    </row>
    <row r="152" spans="1:29">
      <c r="A152" s="109"/>
      <c r="B152" s="109"/>
      <c r="C152" s="109"/>
      <c r="D152" s="109"/>
      <c r="E152" s="104"/>
      <c r="F152" s="110"/>
      <c r="G152" s="93"/>
      <c r="H152" s="93"/>
      <c r="I152" s="56"/>
      <c r="J152" s="93"/>
      <c r="K152" s="93"/>
      <c r="L152" s="93"/>
      <c r="M152" s="109"/>
      <c r="N152" s="109"/>
      <c r="O152" s="109"/>
      <c r="P152" s="114"/>
      <c r="Q152" s="114"/>
      <c r="R152" s="114"/>
      <c r="S152" s="114"/>
      <c r="T152" s="114"/>
      <c r="U152" s="114"/>
      <c r="V152" s="114"/>
      <c r="W152" s="114"/>
      <c r="X152" s="114"/>
      <c r="Y152" s="114"/>
      <c r="Z152" s="114"/>
      <c r="AA152" s="114"/>
      <c r="AB152" s="114"/>
      <c r="AC152" s="109"/>
    </row>
    <row r="153" spans="1:29">
      <c r="A153" s="109"/>
      <c r="B153" s="109"/>
      <c r="C153" s="109"/>
      <c r="D153" s="109"/>
      <c r="E153" s="104"/>
      <c r="F153" s="110"/>
      <c r="G153" s="93"/>
      <c r="H153" s="93"/>
      <c r="I153" s="56"/>
      <c r="J153" s="93"/>
      <c r="K153" s="93"/>
      <c r="L153" s="93"/>
      <c r="M153" s="109"/>
      <c r="N153" s="109"/>
      <c r="O153" s="109"/>
      <c r="P153" s="114"/>
      <c r="Q153" s="114"/>
      <c r="R153" s="114"/>
      <c r="S153" s="114"/>
      <c r="T153" s="114"/>
      <c r="U153" s="114"/>
      <c r="V153" s="114"/>
      <c r="W153" s="114"/>
      <c r="X153" s="114"/>
      <c r="Y153" s="114"/>
      <c r="Z153" s="114"/>
      <c r="AA153" s="114"/>
      <c r="AB153" s="114"/>
      <c r="AC153" s="109"/>
    </row>
    <row r="154" spans="1:29">
      <c r="A154" s="109"/>
      <c r="B154" s="109"/>
      <c r="C154" s="109"/>
      <c r="D154" s="109"/>
      <c r="E154" s="104"/>
      <c r="F154" s="110"/>
      <c r="G154" s="93"/>
      <c r="H154" s="93"/>
      <c r="I154" s="56"/>
      <c r="J154" s="93"/>
      <c r="K154" s="93"/>
      <c r="L154" s="93"/>
      <c r="M154" s="109"/>
      <c r="N154" s="109"/>
      <c r="O154" s="109"/>
      <c r="P154" s="114"/>
      <c r="Q154" s="114"/>
      <c r="R154" s="114"/>
      <c r="S154" s="114"/>
      <c r="T154" s="114"/>
      <c r="U154" s="114"/>
      <c r="V154" s="114"/>
      <c r="W154" s="114"/>
      <c r="X154" s="114"/>
      <c r="Y154" s="114"/>
      <c r="Z154" s="114"/>
      <c r="AA154" s="114"/>
      <c r="AB154" s="114"/>
      <c r="AC154" s="109"/>
    </row>
    <row r="155" spans="1:29">
      <c r="A155" s="109"/>
      <c r="B155" s="109"/>
      <c r="C155" s="109"/>
      <c r="D155" s="109"/>
      <c r="E155" s="104"/>
      <c r="F155" s="110"/>
      <c r="G155" s="93"/>
      <c r="H155" s="93"/>
      <c r="I155" s="56"/>
      <c r="J155" s="93"/>
      <c r="K155" s="93"/>
      <c r="L155" s="93"/>
      <c r="M155" s="109"/>
      <c r="N155" s="109"/>
      <c r="O155" s="109"/>
      <c r="P155" s="114"/>
      <c r="Q155" s="114"/>
      <c r="R155" s="114"/>
      <c r="S155" s="114"/>
      <c r="T155" s="114"/>
      <c r="U155" s="114"/>
      <c r="V155" s="114"/>
      <c r="W155" s="114"/>
      <c r="X155" s="114"/>
      <c r="Y155" s="114"/>
      <c r="Z155" s="114"/>
      <c r="AA155" s="114"/>
      <c r="AB155" s="114"/>
      <c r="AC155" s="109"/>
    </row>
    <row r="156" spans="1:29">
      <c r="A156" s="109"/>
      <c r="B156" s="109"/>
      <c r="C156" s="109"/>
      <c r="D156" s="109"/>
      <c r="E156" s="104"/>
      <c r="F156" s="110"/>
      <c r="G156" s="93"/>
      <c r="H156" s="93"/>
      <c r="I156" s="56"/>
      <c r="J156" s="93"/>
      <c r="K156" s="93"/>
      <c r="L156" s="93"/>
      <c r="M156" s="109"/>
      <c r="N156" s="109"/>
      <c r="O156" s="109"/>
      <c r="P156" s="114"/>
      <c r="Q156" s="114"/>
    </row>
    <row r="157" spans="1:29">
      <c r="A157" s="109"/>
      <c r="B157" s="109"/>
      <c r="C157" s="109"/>
      <c r="D157" s="109"/>
      <c r="E157" s="104"/>
      <c r="F157" s="110"/>
      <c r="G157" s="93"/>
      <c r="H157" s="93"/>
      <c r="I157" s="56"/>
      <c r="J157" s="93"/>
      <c r="K157" s="93"/>
      <c r="L157" s="93"/>
      <c r="M157" s="109"/>
      <c r="N157" s="109"/>
      <c r="O157" s="109"/>
      <c r="P157" s="114"/>
      <c r="Q157" s="114"/>
    </row>
    <row r="158" spans="1:29">
      <c r="A158" s="109"/>
      <c r="B158" s="109"/>
      <c r="C158" s="109"/>
      <c r="D158" s="109"/>
      <c r="E158" s="104"/>
      <c r="F158" s="110"/>
      <c r="G158" s="93"/>
      <c r="H158" s="93"/>
      <c r="I158" s="56"/>
      <c r="J158" s="93"/>
      <c r="K158" s="93"/>
      <c r="L158" s="93"/>
      <c r="M158" s="109"/>
      <c r="N158" s="109"/>
      <c r="O158" s="109"/>
      <c r="P158" s="114"/>
      <c r="Q158" s="114"/>
    </row>
    <row r="159" spans="1:29">
      <c r="A159" s="109"/>
      <c r="B159" s="109"/>
      <c r="C159" s="109"/>
      <c r="D159" s="109"/>
      <c r="E159" s="104"/>
      <c r="F159" s="110"/>
      <c r="G159" s="93"/>
      <c r="H159" s="93"/>
      <c r="I159" s="56"/>
      <c r="J159" s="93"/>
      <c r="K159" s="93"/>
      <c r="L159" s="93"/>
      <c r="M159" s="109"/>
      <c r="N159" s="109"/>
      <c r="O159" s="109"/>
      <c r="P159" s="114"/>
      <c r="Q159" s="114"/>
    </row>
    <row r="160" spans="1:29">
      <c r="A160" s="109"/>
      <c r="B160" s="109"/>
      <c r="C160" s="109"/>
      <c r="D160" s="109"/>
      <c r="E160" s="104"/>
      <c r="F160" s="110"/>
      <c r="G160" s="93"/>
      <c r="H160" s="93"/>
      <c r="I160" s="56"/>
      <c r="J160" s="93"/>
      <c r="K160" s="93"/>
      <c r="L160" s="93"/>
      <c r="M160" s="109"/>
      <c r="N160" s="109"/>
      <c r="O160" s="109"/>
      <c r="P160" s="114"/>
      <c r="Q160" s="114"/>
    </row>
    <row r="161" spans="1:13">
      <c r="A161" s="109"/>
      <c r="B161" s="109"/>
      <c r="C161" s="109"/>
      <c r="D161" s="109"/>
      <c r="E161" s="104"/>
      <c r="F161" s="110"/>
      <c r="G161" s="93"/>
      <c r="H161" s="93"/>
      <c r="I161" s="56"/>
      <c r="J161" s="93"/>
      <c r="K161" s="93"/>
      <c r="L161" s="93"/>
      <c r="M161" s="109"/>
    </row>
    <row r="162" spans="1:13">
      <c r="A162" s="109"/>
      <c r="B162" s="109"/>
      <c r="C162" s="109"/>
      <c r="D162" s="109"/>
      <c r="E162" s="104"/>
      <c r="F162" s="110"/>
      <c r="G162" s="93"/>
      <c r="H162" s="93"/>
      <c r="I162" s="56"/>
      <c r="J162" s="93"/>
      <c r="K162" s="93"/>
      <c r="L162" s="93"/>
      <c r="M162" s="109"/>
    </row>
    <row r="163" spans="1:13">
      <c r="A163" s="109"/>
      <c r="B163" s="109"/>
      <c r="C163" s="109"/>
      <c r="D163" s="109"/>
      <c r="E163" s="104"/>
      <c r="F163" s="110"/>
      <c r="G163" s="93"/>
      <c r="H163" s="93"/>
      <c r="I163" s="56"/>
      <c r="J163" s="93"/>
      <c r="K163" s="93"/>
      <c r="L163" s="93"/>
      <c r="M163" s="109"/>
    </row>
    <row r="164" spans="1:13">
      <c r="A164" s="109"/>
      <c r="B164" s="109"/>
      <c r="C164" s="109"/>
      <c r="D164" s="109"/>
      <c r="E164" s="104"/>
      <c r="F164" s="110"/>
      <c r="G164" s="93"/>
      <c r="H164" s="93"/>
      <c r="I164" s="56"/>
      <c r="J164" s="93"/>
      <c r="K164" s="93"/>
      <c r="L164" s="93"/>
      <c r="M164" s="109"/>
    </row>
    <row r="165" spans="1:13">
      <c r="J165" s="93"/>
      <c r="K165" s="93"/>
      <c r="L165" s="93"/>
      <c r="M165" s="109"/>
    </row>
    <row r="166" spans="1:13">
      <c r="J166" s="93"/>
      <c r="K166" s="93"/>
      <c r="L166" s="93"/>
      <c r="M166" s="109"/>
    </row>
    <row r="167" spans="1:13">
      <c r="J167" s="93"/>
      <c r="K167" s="93"/>
      <c r="L167" s="93"/>
      <c r="M167" s="109"/>
    </row>
    <row r="168" spans="1:13">
      <c r="J168" s="93"/>
      <c r="K168" s="93"/>
      <c r="L168" s="93"/>
      <c r="M168" s="109"/>
    </row>
    <row r="169" spans="1:13">
      <c r="J169" s="93"/>
      <c r="K169" s="93"/>
      <c r="L169" s="93"/>
      <c r="M169" s="109"/>
    </row>
    <row r="170" spans="1:13">
      <c r="J170" s="93"/>
      <c r="K170" s="93"/>
      <c r="L170" s="93"/>
      <c r="M170" s="109"/>
    </row>
    <row r="171" spans="1:13">
      <c r="K171" s="93"/>
      <c r="L171" s="93"/>
      <c r="M171" s="109"/>
    </row>
    <row r="172" spans="1:13">
      <c r="K172" s="93"/>
      <c r="L172" s="93"/>
      <c r="M172" s="109"/>
    </row>
    <row r="173" spans="1:13">
      <c r="K173" s="93"/>
      <c r="L173" s="93"/>
      <c r="M173" s="109"/>
    </row>
    <row r="174" spans="1:13">
      <c r="L174" s="93"/>
      <c r="M174" s="109"/>
    </row>
    <row r="175" spans="1:13">
      <c r="L175" s="93"/>
      <c r="M175" s="109"/>
    </row>
    <row r="176" spans="1:13">
      <c r="L176" s="93"/>
    </row>
    <row r="177" spans="12:12">
      <c r="L177" s="93"/>
    </row>
    <row r="178" spans="12:12">
      <c r="L178" s="93"/>
    </row>
  </sheetData>
  <mergeCells count="7">
    <mergeCell ref="Z7:AA7"/>
    <mergeCell ref="AD7:AE7"/>
    <mergeCell ref="D9:F9"/>
    <mergeCell ref="H9:K9"/>
    <mergeCell ref="A7:L7"/>
    <mergeCell ref="R7:S7"/>
    <mergeCell ref="T7:Y7"/>
  </mergeCells>
  <conditionalFormatting sqref="P65:P83 AI9:AI57">
    <cfRule type="aboveAverage" dxfId="5" priority="1" aboveAverage="0" stdDev="1"/>
    <cfRule type="aboveAverage" dxfId="4" priority="2" stdDev="1"/>
  </conditionalFormatting>
  <dataValidations count="1">
    <dataValidation type="list" allowBlank="1" showInputMessage="1" showErrorMessage="1" sqref="B5" xr:uid="{A7E55EB1-1DA4-4CAE-9AC9-F23179B8517E}">
      <formula1>$AK$5:$AK$8</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577E-21EB-4D46-B97F-00F42CA1A2A5}">
  <dimension ref="A1:Z169"/>
  <sheetViews>
    <sheetView topLeftCell="B1" zoomScale="110" zoomScaleNormal="110" workbookViewId="0">
      <selection activeCell="M13" sqref="M13"/>
    </sheetView>
  </sheetViews>
  <sheetFormatPr defaultColWidth="7.85546875" defaultRowHeight="11.25"/>
  <cols>
    <col min="1" max="1" width="15.7109375" style="93" bestFit="1" customWidth="1"/>
    <col min="2" max="2" width="9.5703125" style="93" bestFit="1" customWidth="1"/>
    <col min="3" max="3" width="5.140625" style="113" customWidth="1"/>
    <col min="4" max="6" width="7.7109375" style="113" customWidth="1"/>
    <col min="7" max="7" width="6.28515625" style="109" customWidth="1"/>
    <col min="8" max="8" width="6.85546875" style="114" customWidth="1"/>
    <col min="9" max="9" width="9.7109375" style="109" customWidth="1"/>
    <col min="10" max="10" width="8.7109375" style="109" bestFit="1" customWidth="1"/>
    <col min="11" max="11" width="32.28515625" style="104" customWidth="1"/>
    <col min="12" max="12" width="17.28515625" style="110" bestFit="1" customWidth="1"/>
    <col min="13" max="13" width="12.85546875" style="93" customWidth="1"/>
    <col min="14" max="14" width="11.28515625" style="93" customWidth="1"/>
    <col min="15" max="15" width="14.5703125" style="56" customWidth="1"/>
    <col min="16" max="16" width="2.42578125" style="56" customWidth="1"/>
    <col min="17" max="17" width="14" style="93" bestFit="1" customWidth="1"/>
    <col min="18" max="18" width="5.42578125" style="93" customWidth="1"/>
    <col min="19" max="27" width="5.28515625" style="93" customWidth="1"/>
    <col min="28" max="28" width="17" style="93" customWidth="1"/>
    <col min="29" max="16384" width="7.85546875" style="93"/>
  </cols>
  <sheetData>
    <row r="1" spans="1:15" s="32" customFormat="1" ht="12.75">
      <c r="A1" s="367" t="s">
        <v>51</v>
      </c>
      <c r="B1" s="368"/>
      <c r="C1" s="290"/>
      <c r="D1" s="368"/>
      <c r="E1" s="291"/>
      <c r="F1" s="291"/>
      <c r="G1" s="292"/>
      <c r="H1" s="293" t="s">
        <v>69</v>
      </c>
      <c r="I1" s="294">
        <f>F28</f>
        <v>167</v>
      </c>
      <c r="J1" s="295"/>
      <c r="K1" s="368"/>
      <c r="L1" s="368"/>
      <c r="M1" s="39"/>
      <c r="N1" s="33"/>
    </row>
    <row r="2" spans="1:15" s="32" customFormat="1" ht="12.75">
      <c r="A2" s="369" t="s">
        <v>25</v>
      </c>
      <c r="B2" s="304"/>
      <c r="C2" s="297"/>
      <c r="D2" s="304"/>
      <c r="E2" s="298"/>
      <c r="F2" s="298"/>
      <c r="G2" s="299"/>
      <c r="H2" s="300" t="s">
        <v>70</v>
      </c>
      <c r="I2" s="370">
        <f>F28</f>
        <v>167</v>
      </c>
      <c r="J2" s="302"/>
      <c r="K2" s="304"/>
      <c r="L2" s="304"/>
      <c r="M2" s="371"/>
      <c r="N2" s="35"/>
    </row>
    <row r="3" spans="1:15" s="36" customFormat="1" ht="11.25" customHeight="1">
      <c r="A3" s="372" t="s">
        <v>50</v>
      </c>
      <c r="B3" s="304"/>
      <c r="C3" s="297"/>
      <c r="D3" s="298"/>
      <c r="E3" s="298"/>
      <c r="F3" s="298"/>
      <c r="G3" s="299"/>
      <c r="H3" s="303" t="s">
        <v>71</v>
      </c>
      <c r="I3" s="374">
        <f>1.05</f>
        <v>1.05</v>
      </c>
      <c r="J3" s="302"/>
      <c r="K3" s="304"/>
      <c r="L3" s="304"/>
      <c r="M3" s="373"/>
      <c r="N3" s="37"/>
    </row>
    <row r="4" spans="1:15" s="32" customFormat="1" ht="12.75">
      <c r="A4" s="372" t="s">
        <v>49</v>
      </c>
      <c r="B4" s="304"/>
      <c r="C4" s="297"/>
      <c r="D4" s="298"/>
      <c r="E4" s="298"/>
      <c r="F4" s="298"/>
      <c r="G4" s="299"/>
      <c r="H4" s="303" t="s">
        <v>72</v>
      </c>
      <c r="I4" s="374">
        <f>J28</f>
        <v>0.50302967563837131</v>
      </c>
      <c r="J4" s="302"/>
      <c r="K4" s="304"/>
      <c r="L4" s="304"/>
      <c r="M4" s="371"/>
      <c r="N4" s="33"/>
    </row>
    <row r="5" spans="1:15" s="54" customFormat="1" ht="12.75">
      <c r="A5" s="369" t="s">
        <v>24</v>
      </c>
      <c r="B5" s="307" t="s">
        <v>26</v>
      </c>
      <c r="C5" s="297"/>
      <c r="D5" s="298"/>
      <c r="E5" s="298"/>
      <c r="F5" s="298"/>
      <c r="G5" s="299"/>
      <c r="H5" s="303" t="s">
        <v>206</v>
      </c>
      <c r="I5" s="853">
        <f>(1.67-0.62)*J28</f>
        <v>0.52818115942028976</v>
      </c>
      <c r="J5" s="302"/>
      <c r="K5" s="304"/>
      <c r="L5" s="304"/>
      <c r="M5" s="53"/>
      <c r="N5" s="52"/>
    </row>
    <row r="6" spans="1:15" s="52" customFormat="1" ht="13.5" thickBot="1">
      <c r="A6" s="376"/>
      <c r="B6" s="377"/>
      <c r="C6" s="310"/>
      <c r="D6" s="311"/>
      <c r="E6" s="311"/>
      <c r="F6" s="311"/>
      <c r="G6" s="312"/>
      <c r="H6" s="313"/>
      <c r="I6" s="314"/>
      <c r="J6" s="312"/>
      <c r="K6" s="407"/>
      <c r="L6" s="377"/>
      <c r="M6" s="378"/>
    </row>
    <row r="7" spans="1:15" s="54" customFormat="1" ht="13.15" customHeight="1">
      <c r="A7" s="38" t="s">
        <v>27</v>
      </c>
      <c r="B7" s="20"/>
      <c r="C7" s="21"/>
      <c r="D7" s="255"/>
      <c r="E7" s="356" t="s">
        <v>54</v>
      </c>
      <c r="F7" s="20"/>
      <c r="G7" s="41" t="s">
        <v>28</v>
      </c>
      <c r="H7" s="42"/>
      <c r="I7" s="43" t="s">
        <v>29</v>
      </c>
      <c r="J7" s="43"/>
      <c r="K7" s="44"/>
      <c r="L7" s="968" t="s">
        <v>86</v>
      </c>
      <c r="M7" s="969"/>
      <c r="N7" s="52"/>
      <c r="O7" s="52"/>
    </row>
    <row r="8" spans="1:15" s="74" customFormat="1" ht="11.25" customHeight="1">
      <c r="A8" s="45"/>
      <c r="B8" s="46"/>
      <c r="C8" s="47"/>
      <c r="D8" s="256"/>
      <c r="E8" s="357"/>
      <c r="F8" s="256"/>
      <c r="G8" s="48"/>
      <c r="H8" s="49"/>
      <c r="I8" s="50"/>
      <c r="J8" s="50"/>
      <c r="K8" s="51"/>
      <c r="L8" s="53"/>
      <c r="M8" s="53"/>
      <c r="N8" s="73"/>
    </row>
    <row r="9" spans="1:15" s="79" customFormat="1">
      <c r="C9" s="55"/>
      <c r="D9" s="257"/>
      <c r="E9" s="357" t="s">
        <v>30</v>
      </c>
      <c r="F9" s="256"/>
      <c r="G9" s="48"/>
      <c r="H9" s="49"/>
      <c r="I9" s="56"/>
      <c r="J9" s="56"/>
      <c r="K9" s="51"/>
      <c r="L9" s="58"/>
      <c r="M9" s="59"/>
      <c r="N9" s="77"/>
      <c r="O9" s="78"/>
    </row>
    <row r="10" spans="1:15" s="79" customFormat="1">
      <c r="A10" s="60" t="s">
        <v>31</v>
      </c>
      <c r="B10" s="61" t="s">
        <v>32</v>
      </c>
      <c r="C10" s="62" t="s">
        <v>33</v>
      </c>
      <c r="D10" s="63" t="s">
        <v>66</v>
      </c>
      <c r="E10" s="57" t="s">
        <v>34</v>
      </c>
      <c r="F10" s="63" t="s">
        <v>35</v>
      </c>
      <c r="G10" s="48" t="s">
        <v>2</v>
      </c>
      <c r="H10" s="49" t="s">
        <v>36</v>
      </c>
      <c r="I10" s="50" t="s">
        <v>36</v>
      </c>
      <c r="J10" s="50" t="s">
        <v>2</v>
      </c>
      <c r="K10" s="408" t="s">
        <v>48</v>
      </c>
      <c r="L10" s="58" t="s">
        <v>85</v>
      </c>
      <c r="M10" s="58" t="s">
        <v>53</v>
      </c>
      <c r="N10" s="17"/>
    </row>
    <row r="11" spans="1:15" s="79" customFormat="1" ht="12" thickBot="1">
      <c r="A11" s="64" t="s">
        <v>37</v>
      </c>
      <c r="B11" s="65" t="s">
        <v>37</v>
      </c>
      <c r="C11" s="66" t="s">
        <v>38</v>
      </c>
      <c r="D11" s="67" t="s">
        <v>81</v>
      </c>
      <c r="E11" s="71" t="s">
        <v>38</v>
      </c>
      <c r="F11" s="67" t="s">
        <v>38</v>
      </c>
      <c r="G11" s="68" t="s">
        <v>52</v>
      </c>
      <c r="H11" s="69" t="s">
        <v>39</v>
      </c>
      <c r="I11" s="70" t="s">
        <v>39</v>
      </c>
      <c r="J11" s="70" t="s">
        <v>52</v>
      </c>
      <c r="K11" s="409"/>
      <c r="L11" s="406"/>
      <c r="M11" s="72" t="s">
        <v>38</v>
      </c>
      <c r="N11" s="17"/>
    </row>
    <row r="12" spans="1:15" s="79" customFormat="1">
      <c r="A12" s="284"/>
      <c r="B12" s="91"/>
      <c r="C12" s="351">
        <v>0</v>
      </c>
      <c r="D12" s="285"/>
      <c r="E12" s="358"/>
      <c r="F12" s="359"/>
      <c r="G12" s="24"/>
      <c r="H12" s="75"/>
      <c r="I12" s="252"/>
      <c r="J12" s="253"/>
      <c r="K12" s="246"/>
      <c r="L12" s="23" t="s">
        <v>40</v>
      </c>
      <c r="M12" s="76">
        <v>167</v>
      </c>
      <c r="N12" s="18"/>
    </row>
    <row r="13" spans="1:15" s="79" customFormat="1">
      <c r="A13" s="284">
        <v>190</v>
      </c>
      <c r="B13" s="91">
        <v>0</v>
      </c>
      <c r="C13" s="351">
        <v>10</v>
      </c>
      <c r="D13" s="285">
        <v>966</v>
      </c>
      <c r="E13" s="360">
        <f>C12</f>
        <v>0</v>
      </c>
      <c r="F13" s="80">
        <f>(C13+C14-10)/2</f>
        <v>10</v>
      </c>
      <c r="G13" s="16">
        <f t="shared" ref="G13:G28" si="0">(A13-B13)/966</f>
        <v>0.19668737060041408</v>
      </c>
      <c r="H13" s="82">
        <f t="shared" ref="H13:H28" si="1">(G13*(F13-E13))/100</f>
        <v>1.9668737060041408E-2</v>
      </c>
      <c r="I13" s="83">
        <f>SUM(H$13:H13)</f>
        <v>1.9668737060041408E-2</v>
      </c>
      <c r="J13" s="254">
        <f t="shared" ref="J13:J18" si="2">I13/F13*100</f>
        <v>0.19668737060041405</v>
      </c>
      <c r="K13" s="246"/>
      <c r="L13" s="22" t="s">
        <v>41</v>
      </c>
      <c r="M13" s="84"/>
      <c r="N13" s="17"/>
    </row>
    <row r="14" spans="1:15" s="79" customFormat="1">
      <c r="A14" s="284">
        <v>260</v>
      </c>
      <c r="B14" s="91">
        <v>0</v>
      </c>
      <c r="C14" s="351">
        <v>20</v>
      </c>
      <c r="D14" s="285">
        <v>966</v>
      </c>
      <c r="E14" s="360">
        <f>(C13+C14-10)/2</f>
        <v>10</v>
      </c>
      <c r="F14" s="80">
        <f t="shared" ref="F14:F27" si="3">(C14+C15-10)/2</f>
        <v>20</v>
      </c>
      <c r="G14" s="16">
        <f t="shared" si="0"/>
        <v>0.2691511387163561</v>
      </c>
      <c r="H14" s="82">
        <f t="shared" si="1"/>
        <v>2.6915113871635608E-2</v>
      </c>
      <c r="I14" s="83">
        <f>SUM(H$13:H14)</f>
        <v>4.6583850931677016E-2</v>
      </c>
      <c r="J14" s="254">
        <f t="shared" si="2"/>
        <v>0.23291925465838509</v>
      </c>
      <c r="K14" s="246"/>
      <c r="L14" s="22" t="s">
        <v>41</v>
      </c>
      <c r="M14" s="84"/>
      <c r="N14" s="17"/>
    </row>
    <row r="15" spans="1:15" s="79" customFormat="1">
      <c r="A15" s="284">
        <v>275</v>
      </c>
      <c r="B15" s="91">
        <v>0</v>
      </c>
      <c r="C15" s="351">
        <v>30</v>
      </c>
      <c r="D15" s="285">
        <v>966</v>
      </c>
      <c r="E15" s="360">
        <f>(C14+C15-10)/2</f>
        <v>20</v>
      </c>
      <c r="F15" s="80">
        <f t="shared" si="3"/>
        <v>30.5</v>
      </c>
      <c r="G15" s="16">
        <f t="shared" si="0"/>
        <v>0.28467908902691513</v>
      </c>
      <c r="H15" s="82">
        <f t="shared" si="1"/>
        <v>2.9891304347826088E-2</v>
      </c>
      <c r="I15" s="83">
        <f>SUM(H$13:H15)</f>
        <v>7.6475155279503104E-2</v>
      </c>
      <c r="J15" s="254">
        <f t="shared" si="2"/>
        <v>0.2507382140311577</v>
      </c>
      <c r="K15" s="246"/>
      <c r="L15" s="22" t="s">
        <v>41</v>
      </c>
      <c r="M15" s="85"/>
      <c r="N15" s="17"/>
    </row>
    <row r="16" spans="1:15" s="79" customFormat="1">
      <c r="A16" s="286">
        <v>340</v>
      </c>
      <c r="B16" s="91">
        <v>0</v>
      </c>
      <c r="C16" s="351">
        <v>41</v>
      </c>
      <c r="D16" s="285">
        <v>966</v>
      </c>
      <c r="E16" s="360">
        <f t="shared" ref="E16:E28" si="4">(C15+C16-10)/2</f>
        <v>30.5</v>
      </c>
      <c r="F16" s="80">
        <f t="shared" si="3"/>
        <v>41</v>
      </c>
      <c r="G16" s="16">
        <f t="shared" si="0"/>
        <v>0.35196687370600416</v>
      </c>
      <c r="H16" s="82">
        <f t="shared" si="1"/>
        <v>3.6956521739130437E-2</v>
      </c>
      <c r="I16" s="83">
        <f>SUM(H$13:H16)</f>
        <v>0.11343167701863355</v>
      </c>
      <c r="J16" s="254">
        <f t="shared" si="2"/>
        <v>0.27666262687471599</v>
      </c>
      <c r="K16" s="246"/>
      <c r="L16" s="22" t="s">
        <v>41</v>
      </c>
      <c r="M16" s="84"/>
      <c r="N16" s="17"/>
    </row>
    <row r="17" spans="1:26" s="79" customFormat="1">
      <c r="A17" s="286">
        <v>390</v>
      </c>
      <c r="B17" s="91">
        <v>0</v>
      </c>
      <c r="C17" s="351">
        <v>51</v>
      </c>
      <c r="D17" s="285">
        <v>966</v>
      </c>
      <c r="E17" s="360">
        <f t="shared" si="4"/>
        <v>41</v>
      </c>
      <c r="F17" s="80">
        <f t="shared" si="3"/>
        <v>51.5</v>
      </c>
      <c r="G17" s="16">
        <f t="shared" si="0"/>
        <v>0.40372670807453415</v>
      </c>
      <c r="H17" s="82">
        <f t="shared" si="1"/>
        <v>4.2391304347826085E-2</v>
      </c>
      <c r="I17" s="83">
        <f>SUM(H$13:H17)</f>
        <v>0.15582298136645964</v>
      </c>
      <c r="J17" s="254">
        <f t="shared" si="2"/>
        <v>0.3025688958572032</v>
      </c>
      <c r="K17" s="247" t="s">
        <v>47</v>
      </c>
      <c r="L17" s="22" t="s">
        <v>41</v>
      </c>
      <c r="M17" s="84"/>
      <c r="N17" s="77"/>
    </row>
    <row r="18" spans="1:26" s="79" customFormat="1">
      <c r="A18" s="286">
        <v>380</v>
      </c>
      <c r="B18" s="91">
        <v>0</v>
      </c>
      <c r="C18" s="351">
        <v>62</v>
      </c>
      <c r="D18" s="285">
        <v>966</v>
      </c>
      <c r="E18" s="360">
        <f t="shared" si="4"/>
        <v>51.5</v>
      </c>
      <c r="F18" s="80">
        <f t="shared" si="3"/>
        <v>62</v>
      </c>
      <c r="G18" s="16">
        <f t="shared" si="0"/>
        <v>0.39337474120082816</v>
      </c>
      <c r="H18" s="82">
        <f t="shared" si="1"/>
        <v>4.1304347826086954E-2</v>
      </c>
      <c r="I18" s="83">
        <f>SUM(H$13:H18)</f>
        <v>0.19712732919254661</v>
      </c>
      <c r="J18" s="254">
        <f t="shared" si="2"/>
        <v>0.31794730514926872</v>
      </c>
      <c r="K18" s="244" t="s">
        <v>176</v>
      </c>
      <c r="L18" s="22" t="s">
        <v>41</v>
      </c>
      <c r="M18" s="84"/>
      <c r="N18" s="77"/>
    </row>
    <row r="19" spans="1:26" s="79" customFormat="1" ht="10.15" customHeight="1">
      <c r="A19" s="286">
        <v>455</v>
      </c>
      <c r="B19" s="91">
        <v>0</v>
      </c>
      <c r="C19" s="351">
        <v>72</v>
      </c>
      <c r="D19" s="285">
        <v>966</v>
      </c>
      <c r="E19" s="360">
        <f t="shared" si="4"/>
        <v>62</v>
      </c>
      <c r="F19" s="80">
        <f t="shared" si="3"/>
        <v>72</v>
      </c>
      <c r="G19" s="16">
        <f t="shared" si="0"/>
        <v>0.47101449275362317</v>
      </c>
      <c r="H19" s="82">
        <f t="shared" si="1"/>
        <v>4.7101449275362313E-2</v>
      </c>
      <c r="I19" s="83">
        <f>SUM(H$13:H19)</f>
        <v>0.24422877846790891</v>
      </c>
      <c r="J19" s="254">
        <f>(I19-0.197)/(F19-62)*100</f>
        <v>0.47228778467908905</v>
      </c>
      <c r="K19" s="244"/>
      <c r="L19" s="22" t="s">
        <v>41</v>
      </c>
      <c r="M19" s="84"/>
      <c r="N19" s="87"/>
    </row>
    <row r="20" spans="1:26" s="79" customFormat="1">
      <c r="A20" s="286">
        <v>435</v>
      </c>
      <c r="B20" s="91">
        <v>0</v>
      </c>
      <c r="C20" s="351">
        <v>82</v>
      </c>
      <c r="D20" s="285">
        <v>966</v>
      </c>
      <c r="E20" s="360">
        <f t="shared" si="4"/>
        <v>72</v>
      </c>
      <c r="F20" s="80">
        <f t="shared" si="3"/>
        <v>82</v>
      </c>
      <c r="G20" s="16">
        <f t="shared" si="0"/>
        <v>0.4503105590062112</v>
      </c>
      <c r="H20" s="82">
        <f t="shared" si="1"/>
        <v>4.503105590062112E-2</v>
      </c>
      <c r="I20" s="83">
        <f>SUM(H$13:H20)</f>
        <v>0.28925983436853003</v>
      </c>
      <c r="J20" s="254">
        <f t="shared" ref="J20:J28" si="5">(I20-0.197)/(F20-62)*100</f>
        <v>0.46129917184265007</v>
      </c>
      <c r="K20" s="246"/>
      <c r="L20" s="22" t="s">
        <v>41</v>
      </c>
      <c r="M20" s="84"/>
      <c r="N20" s="89"/>
    </row>
    <row r="21" spans="1:26" s="90" customFormat="1">
      <c r="A21" s="286">
        <v>460</v>
      </c>
      <c r="B21" s="91">
        <v>0</v>
      </c>
      <c r="C21" s="351">
        <v>92</v>
      </c>
      <c r="D21" s="285">
        <v>966</v>
      </c>
      <c r="E21" s="360">
        <f t="shared" si="4"/>
        <v>82</v>
      </c>
      <c r="F21" s="80">
        <f t="shared" si="3"/>
        <v>92</v>
      </c>
      <c r="G21" s="16">
        <f t="shared" si="0"/>
        <v>0.47619047619047616</v>
      </c>
      <c r="H21" s="82">
        <f t="shared" si="1"/>
        <v>4.7619047619047616E-2</v>
      </c>
      <c r="I21" s="83">
        <f>SUM(H$13:H21)</f>
        <v>0.33687888198757765</v>
      </c>
      <c r="J21" s="254">
        <f t="shared" si="5"/>
        <v>0.46626293995859214</v>
      </c>
      <c r="K21" s="248"/>
      <c r="L21" s="22" t="s">
        <v>41</v>
      </c>
      <c r="M21" s="84"/>
      <c r="N21" s="89"/>
    </row>
    <row r="22" spans="1:26" s="90" customFormat="1">
      <c r="A22" s="286">
        <v>480</v>
      </c>
      <c r="B22" s="91">
        <v>0</v>
      </c>
      <c r="C22" s="351">
        <v>102</v>
      </c>
      <c r="D22" s="285">
        <v>966</v>
      </c>
      <c r="E22" s="360">
        <f t="shared" si="4"/>
        <v>92</v>
      </c>
      <c r="F22" s="80">
        <f t="shared" si="3"/>
        <v>102</v>
      </c>
      <c r="G22" s="16">
        <f t="shared" si="0"/>
        <v>0.49689440993788819</v>
      </c>
      <c r="H22" s="82">
        <f t="shared" si="1"/>
        <v>4.9689440993788817E-2</v>
      </c>
      <c r="I22" s="83">
        <f>SUM(H$13:H22)</f>
        <v>0.38656832298136645</v>
      </c>
      <c r="J22" s="254">
        <f t="shared" si="5"/>
        <v>0.47392080745341608</v>
      </c>
      <c r="K22" s="246"/>
      <c r="L22" s="22" t="s">
        <v>41</v>
      </c>
      <c r="M22" s="86"/>
      <c r="N22" s="89"/>
    </row>
    <row r="23" spans="1:26" s="90" customFormat="1">
      <c r="A23" s="286">
        <v>480</v>
      </c>
      <c r="B23" s="91">
        <v>0</v>
      </c>
      <c r="C23" s="351">
        <v>112</v>
      </c>
      <c r="D23" s="285">
        <v>966</v>
      </c>
      <c r="E23" s="360">
        <f t="shared" si="4"/>
        <v>102</v>
      </c>
      <c r="F23" s="80">
        <f t="shared" si="3"/>
        <v>112</v>
      </c>
      <c r="G23" s="16">
        <f t="shared" si="0"/>
        <v>0.49689440993788819</v>
      </c>
      <c r="H23" s="82">
        <f t="shared" si="1"/>
        <v>4.9689440993788817E-2</v>
      </c>
      <c r="I23" s="83">
        <f>SUM(H$13:H23)</f>
        <v>0.43625776397515525</v>
      </c>
      <c r="J23" s="254">
        <f t="shared" si="5"/>
        <v>0.47851552795031049</v>
      </c>
      <c r="K23" s="249"/>
      <c r="L23" s="22" t="s">
        <v>41</v>
      </c>
      <c r="M23" s="88"/>
      <c r="N23" s="92"/>
    </row>
    <row r="24" spans="1:26" s="90" customFormat="1">
      <c r="A24" s="286">
        <v>485</v>
      </c>
      <c r="B24" s="91">
        <v>0</v>
      </c>
      <c r="C24" s="351">
        <v>122</v>
      </c>
      <c r="D24" s="285">
        <v>966</v>
      </c>
      <c r="E24" s="360">
        <f t="shared" si="4"/>
        <v>112</v>
      </c>
      <c r="F24" s="80">
        <f t="shared" si="3"/>
        <v>122.5</v>
      </c>
      <c r="G24" s="16">
        <f t="shared" si="0"/>
        <v>0.50207039337474124</v>
      </c>
      <c r="H24" s="82">
        <f t="shared" si="1"/>
        <v>5.2717391304347834E-2</v>
      </c>
      <c r="I24" s="83">
        <f>SUM(H$13:H24)</f>
        <v>0.48897515527950308</v>
      </c>
      <c r="J24" s="254">
        <f t="shared" si="5"/>
        <v>0.4826035624454596</v>
      </c>
      <c r="K24" s="250"/>
      <c r="L24" s="22" t="s">
        <v>41</v>
      </c>
      <c r="M24" s="88"/>
      <c r="N24" s="92"/>
    </row>
    <row r="25" spans="1:26" s="90" customFormat="1">
      <c r="A25" s="286">
        <v>520</v>
      </c>
      <c r="B25" s="91">
        <v>0</v>
      </c>
      <c r="C25" s="351">
        <v>133</v>
      </c>
      <c r="D25" s="285">
        <v>966</v>
      </c>
      <c r="E25" s="360">
        <f t="shared" si="4"/>
        <v>122.5</v>
      </c>
      <c r="F25" s="80">
        <f t="shared" si="3"/>
        <v>133.5</v>
      </c>
      <c r="G25" s="16">
        <f t="shared" si="0"/>
        <v>0.5383022774327122</v>
      </c>
      <c r="H25" s="82">
        <f t="shared" si="1"/>
        <v>5.9213250517598341E-2</v>
      </c>
      <c r="I25" s="83">
        <f>SUM(H$13:H25)</f>
        <v>0.54818840579710137</v>
      </c>
      <c r="J25" s="254">
        <f t="shared" si="5"/>
        <v>0.49117259552042147</v>
      </c>
      <c r="K25" s="250"/>
      <c r="L25" s="22" t="s">
        <v>41</v>
      </c>
      <c r="M25" s="88"/>
      <c r="N25" s="92"/>
    </row>
    <row r="26" spans="1:26" s="90" customFormat="1">
      <c r="A26" s="286">
        <v>490</v>
      </c>
      <c r="B26" s="91">
        <v>0</v>
      </c>
      <c r="C26" s="351">
        <v>144</v>
      </c>
      <c r="D26" s="285">
        <v>966</v>
      </c>
      <c r="E26" s="360">
        <f t="shared" si="4"/>
        <v>133.5</v>
      </c>
      <c r="F26" s="80">
        <f t="shared" si="3"/>
        <v>144.5</v>
      </c>
      <c r="G26" s="16">
        <f t="shared" si="0"/>
        <v>0.50724637681159424</v>
      </c>
      <c r="H26" s="82">
        <f t="shared" si="1"/>
        <v>5.5797101449275369E-2</v>
      </c>
      <c r="I26" s="83">
        <f>SUM(H$13:H26)</f>
        <v>0.60398550724637678</v>
      </c>
      <c r="J26" s="254">
        <f t="shared" si="5"/>
        <v>0.49331576635924457</v>
      </c>
      <c r="K26" s="250"/>
      <c r="L26" s="22" t="s">
        <v>41</v>
      </c>
      <c r="M26" s="84"/>
      <c r="N26" s="92"/>
    </row>
    <row r="27" spans="1:26" s="90" customFormat="1">
      <c r="A27" s="286">
        <v>505</v>
      </c>
      <c r="B27" s="91">
        <v>0</v>
      </c>
      <c r="C27" s="351">
        <v>155</v>
      </c>
      <c r="D27" s="285">
        <v>966</v>
      </c>
      <c r="E27" s="360">
        <f t="shared" si="4"/>
        <v>144.5</v>
      </c>
      <c r="F27" s="80">
        <f t="shared" si="3"/>
        <v>155.5</v>
      </c>
      <c r="G27" s="16">
        <f t="shared" si="0"/>
        <v>0.52277432712215322</v>
      </c>
      <c r="H27" s="82">
        <f t="shared" si="1"/>
        <v>5.7505175983436851E-2</v>
      </c>
      <c r="I27" s="83">
        <f>SUM(H$13:H27)</f>
        <v>0.66149068322981364</v>
      </c>
      <c r="J27" s="254">
        <f t="shared" si="5"/>
        <v>0.49678147939017497</v>
      </c>
      <c r="K27" s="250"/>
      <c r="L27" s="22" t="s">
        <v>41</v>
      </c>
      <c r="M27" s="84"/>
      <c r="N27" s="92"/>
    </row>
    <row r="28" spans="1:26" s="90" customFormat="1">
      <c r="A28" s="286">
        <v>535</v>
      </c>
      <c r="B28" s="91">
        <v>0</v>
      </c>
      <c r="C28" s="351">
        <v>166</v>
      </c>
      <c r="D28" s="285">
        <v>966</v>
      </c>
      <c r="E28" s="360">
        <f t="shared" si="4"/>
        <v>155.5</v>
      </c>
      <c r="F28" s="80">
        <v>167</v>
      </c>
      <c r="G28" s="16">
        <f t="shared" si="0"/>
        <v>0.55383022774327118</v>
      </c>
      <c r="H28" s="82">
        <f t="shared" si="1"/>
        <v>6.3690476190476186E-2</v>
      </c>
      <c r="I28" s="83">
        <f>SUM(H$13:H28)</f>
        <v>0.72518115942028982</v>
      </c>
      <c r="J28" s="254">
        <f t="shared" si="5"/>
        <v>0.50302967563837131</v>
      </c>
      <c r="K28" s="250" t="s">
        <v>177</v>
      </c>
      <c r="L28" s="22" t="s">
        <v>41</v>
      </c>
      <c r="M28" s="84"/>
      <c r="N28" s="92"/>
    </row>
    <row r="29" spans="1:26">
      <c r="A29" s="286"/>
      <c r="B29" s="91"/>
      <c r="C29" s="351"/>
      <c r="D29" s="285"/>
      <c r="E29" s="360"/>
      <c r="F29" s="80"/>
      <c r="G29" s="16"/>
      <c r="H29" s="82"/>
      <c r="I29" s="83"/>
      <c r="J29" s="254"/>
      <c r="K29" s="250"/>
      <c r="L29" s="22" t="s">
        <v>41</v>
      </c>
      <c r="M29" s="84"/>
      <c r="N29" s="92"/>
      <c r="O29" s="90"/>
      <c r="P29" s="90"/>
      <c r="Z29" s="93">
        <f>167-62</f>
        <v>105</v>
      </c>
    </row>
    <row r="30" spans="1:26">
      <c r="A30" s="286"/>
      <c r="B30" s="91"/>
      <c r="C30" s="351"/>
      <c r="D30" s="285"/>
      <c r="E30" s="360"/>
      <c r="F30" s="80"/>
      <c r="G30" s="16"/>
      <c r="H30" s="82"/>
      <c r="I30" s="83"/>
      <c r="J30" s="254"/>
      <c r="K30" s="250"/>
      <c r="L30" s="22" t="s">
        <v>41</v>
      </c>
      <c r="M30" s="84"/>
      <c r="N30" s="92"/>
      <c r="O30" s="90"/>
      <c r="P30" s="90"/>
    </row>
    <row r="31" spans="1:26">
      <c r="A31" s="286"/>
      <c r="B31" s="91"/>
      <c r="C31" s="351"/>
      <c r="D31" s="285"/>
      <c r="E31" s="360"/>
      <c r="F31" s="80"/>
      <c r="G31" s="16"/>
      <c r="H31" s="82"/>
      <c r="I31" s="83"/>
      <c r="J31" s="254"/>
      <c r="K31" s="250"/>
      <c r="L31" s="22" t="s">
        <v>41</v>
      </c>
      <c r="M31" s="84"/>
      <c r="N31" s="92"/>
      <c r="O31" s="90"/>
      <c r="P31" s="90"/>
    </row>
    <row r="32" spans="1:26">
      <c r="A32" s="286"/>
      <c r="B32" s="91"/>
      <c r="C32" s="351"/>
      <c r="D32" s="285"/>
      <c r="E32" s="360"/>
      <c r="F32" s="80"/>
      <c r="G32" s="16"/>
      <c r="H32" s="82"/>
      <c r="I32" s="83"/>
      <c r="J32" s="254"/>
      <c r="K32" s="251"/>
      <c r="L32" s="22" t="s">
        <v>41</v>
      </c>
      <c r="M32" s="84"/>
      <c r="N32" s="92"/>
      <c r="O32" s="90"/>
      <c r="P32" s="90"/>
    </row>
    <row r="33" spans="1:17">
      <c r="A33" s="286"/>
      <c r="B33" s="91"/>
      <c r="C33" s="351"/>
      <c r="D33" s="285"/>
      <c r="E33" s="360"/>
      <c r="F33" s="80"/>
      <c r="G33" s="16"/>
      <c r="H33" s="82"/>
      <c r="I33" s="83"/>
      <c r="J33" s="254"/>
      <c r="K33" s="251"/>
      <c r="L33" s="22" t="s">
        <v>41</v>
      </c>
      <c r="M33" s="84"/>
      <c r="N33" s="92"/>
      <c r="O33" s="90"/>
      <c r="P33" s="90"/>
    </row>
    <row r="34" spans="1:17">
      <c r="A34" s="286"/>
      <c r="B34" s="91"/>
      <c r="C34" s="351"/>
      <c r="D34" s="285"/>
      <c r="E34" s="360"/>
      <c r="F34" s="80"/>
      <c r="G34" s="16"/>
      <c r="H34" s="82"/>
      <c r="I34" s="83"/>
      <c r="J34" s="254"/>
      <c r="K34" s="251"/>
      <c r="L34" s="22"/>
      <c r="M34" s="84"/>
      <c r="N34" s="94"/>
      <c r="O34" s="93"/>
      <c r="P34" s="93"/>
    </row>
    <row r="35" spans="1:17">
      <c r="A35" s="286"/>
      <c r="B35" s="91"/>
      <c r="C35" s="351"/>
      <c r="D35" s="285"/>
      <c r="E35" s="360"/>
      <c r="F35" s="80"/>
      <c r="G35" s="16"/>
      <c r="H35" s="82"/>
      <c r="I35" s="83"/>
      <c r="J35" s="254"/>
      <c r="K35" s="251"/>
      <c r="L35" s="22"/>
      <c r="M35" s="84"/>
      <c r="N35" s="238"/>
      <c r="O35" s="97"/>
      <c r="P35" s="239"/>
      <c r="Q35" s="97"/>
    </row>
    <row r="36" spans="1:17">
      <c r="A36" s="286"/>
      <c r="B36" s="91"/>
      <c r="C36" s="351"/>
      <c r="D36" s="285"/>
      <c r="E36" s="360"/>
      <c r="F36" s="80"/>
      <c r="G36" s="16"/>
      <c r="H36" s="82"/>
      <c r="I36" s="83"/>
      <c r="J36" s="254"/>
      <c r="K36" s="251"/>
      <c r="L36" s="22"/>
      <c r="M36" s="84"/>
      <c r="N36" s="238"/>
      <c r="O36" s="97"/>
      <c r="P36" s="240"/>
      <c r="Q36" s="97"/>
    </row>
    <row r="37" spans="1:17">
      <c r="A37" s="286"/>
      <c r="B37" s="91"/>
      <c r="C37" s="351"/>
      <c r="D37" s="285"/>
      <c r="E37" s="360"/>
      <c r="F37" s="80"/>
      <c r="G37" s="16"/>
      <c r="H37" s="82"/>
      <c r="I37" s="83"/>
      <c r="J37" s="254"/>
      <c r="K37" s="251"/>
      <c r="L37" s="22"/>
      <c r="M37" s="84"/>
      <c r="N37" s="241"/>
      <c r="O37" s="97"/>
      <c r="P37" s="97"/>
      <c r="Q37" s="97"/>
    </row>
    <row r="38" spans="1:17">
      <c r="A38" s="286"/>
      <c r="B38" s="91"/>
      <c r="C38" s="351"/>
      <c r="D38" s="285"/>
      <c r="E38" s="360"/>
      <c r="F38" s="80"/>
      <c r="G38" s="16"/>
      <c r="H38" s="82"/>
      <c r="I38" s="83"/>
      <c r="J38" s="254"/>
      <c r="K38" s="251"/>
      <c r="L38" s="22"/>
      <c r="M38" s="84"/>
      <c r="N38" s="98"/>
      <c r="O38" s="99"/>
      <c r="P38" s="93"/>
    </row>
    <row r="39" spans="1:17">
      <c r="A39" s="286"/>
      <c r="B39" s="91"/>
      <c r="C39" s="351"/>
      <c r="D39" s="285"/>
      <c r="E39" s="360"/>
      <c r="F39" s="80"/>
      <c r="G39" s="16"/>
      <c r="H39" s="82"/>
      <c r="I39" s="83"/>
      <c r="J39" s="254"/>
      <c r="K39" s="251"/>
      <c r="L39" s="22"/>
      <c r="M39" s="84"/>
      <c r="N39" s="99"/>
      <c r="O39" s="99"/>
      <c r="P39" s="93"/>
    </row>
    <row r="40" spans="1:17">
      <c r="A40" s="286"/>
      <c r="B40" s="91"/>
      <c r="C40" s="351"/>
      <c r="D40" s="285"/>
      <c r="E40" s="360"/>
      <c r="F40" s="80"/>
      <c r="G40" s="16"/>
      <c r="H40" s="82"/>
      <c r="I40" s="83"/>
      <c r="J40" s="254"/>
      <c r="K40" s="251"/>
      <c r="L40" s="22"/>
      <c r="M40" s="84"/>
      <c r="O40" s="93"/>
      <c r="P40" s="93"/>
    </row>
    <row r="41" spans="1:17">
      <c r="A41" s="286"/>
      <c r="B41" s="91"/>
      <c r="C41" s="351"/>
      <c r="D41" s="285"/>
      <c r="E41" s="360"/>
      <c r="F41" s="80"/>
      <c r="G41" s="16"/>
      <c r="H41" s="82"/>
      <c r="I41" s="83"/>
      <c r="J41" s="254"/>
      <c r="K41" s="251"/>
      <c r="L41" s="22"/>
      <c r="M41" s="84"/>
      <c r="O41" s="93"/>
      <c r="P41" s="93"/>
    </row>
    <row r="42" spans="1:17">
      <c r="A42" s="286"/>
      <c r="B42" s="91"/>
      <c r="C42" s="351"/>
      <c r="D42" s="285"/>
      <c r="E42" s="360"/>
      <c r="F42" s="80"/>
      <c r="G42" s="16"/>
      <c r="H42" s="82"/>
      <c r="I42" s="83"/>
      <c r="J42" s="254"/>
      <c r="K42" s="251"/>
      <c r="L42" s="22"/>
      <c r="M42" s="84"/>
      <c r="O42" s="93"/>
      <c r="P42" s="93"/>
    </row>
    <row r="43" spans="1:17">
      <c r="A43" s="286"/>
      <c r="B43" s="91"/>
      <c r="C43" s="351"/>
      <c r="D43" s="285"/>
      <c r="E43" s="360"/>
      <c r="F43" s="80"/>
      <c r="G43" s="16"/>
      <c r="H43" s="82"/>
      <c r="I43" s="83"/>
      <c r="J43" s="254"/>
      <c r="K43" s="251"/>
      <c r="L43" s="22"/>
      <c r="M43" s="84"/>
      <c r="O43" s="93"/>
      <c r="P43" s="93"/>
    </row>
    <row r="44" spans="1:17">
      <c r="A44" s="286"/>
      <c r="B44" s="91"/>
      <c r="C44" s="351"/>
      <c r="D44" s="285"/>
      <c r="E44" s="360"/>
      <c r="F44" s="80"/>
      <c r="G44" s="16"/>
      <c r="H44" s="82"/>
      <c r="I44" s="83"/>
      <c r="J44" s="254"/>
      <c r="K44" s="251"/>
      <c r="L44" s="22"/>
      <c r="M44" s="84"/>
      <c r="O44" s="93"/>
      <c r="P44" s="93"/>
    </row>
    <row r="45" spans="1:17">
      <c r="A45" s="286"/>
      <c r="B45" s="91"/>
      <c r="C45" s="351"/>
      <c r="D45" s="285"/>
      <c r="E45" s="360"/>
      <c r="F45" s="80"/>
      <c r="G45" s="16"/>
      <c r="H45" s="82"/>
      <c r="I45" s="83"/>
      <c r="J45" s="254"/>
      <c r="K45" s="251"/>
      <c r="L45" s="22"/>
      <c r="M45" s="84"/>
      <c r="O45" s="93"/>
      <c r="P45" s="93"/>
    </row>
    <row r="46" spans="1:17">
      <c r="A46" s="286"/>
      <c r="B46" s="91"/>
      <c r="C46" s="351"/>
      <c r="D46" s="285"/>
      <c r="E46" s="360"/>
      <c r="F46" s="80"/>
      <c r="G46" s="16"/>
      <c r="H46" s="82"/>
      <c r="I46" s="83"/>
      <c r="J46" s="254"/>
      <c r="K46" s="251"/>
      <c r="L46" s="22"/>
      <c r="M46" s="84"/>
      <c r="O46" s="93"/>
      <c r="P46" s="93"/>
    </row>
    <row r="47" spans="1:17">
      <c r="A47" s="286"/>
      <c r="B47" s="91"/>
      <c r="C47" s="351"/>
      <c r="D47" s="285"/>
      <c r="E47" s="360"/>
      <c r="F47" s="80"/>
      <c r="G47" s="16"/>
      <c r="H47" s="82"/>
      <c r="I47" s="83"/>
      <c r="J47" s="254"/>
      <c r="K47" s="251"/>
      <c r="L47" s="22"/>
      <c r="M47" s="84"/>
      <c r="O47" s="93"/>
      <c r="P47" s="93"/>
    </row>
    <row r="48" spans="1:17">
      <c r="A48" s="286"/>
      <c r="B48" s="91"/>
      <c r="C48" s="351"/>
      <c r="D48" s="285"/>
      <c r="E48" s="360"/>
      <c r="F48" s="80"/>
      <c r="G48" s="16"/>
      <c r="H48" s="82"/>
      <c r="I48" s="83"/>
      <c r="J48" s="254"/>
      <c r="K48" s="251"/>
      <c r="L48" s="22"/>
      <c r="M48" s="84"/>
      <c r="O48" s="93"/>
      <c r="P48" s="93"/>
    </row>
    <row r="49" spans="1:17">
      <c r="A49" s="286"/>
      <c r="B49" s="91"/>
      <c r="C49" s="351"/>
      <c r="D49" s="285"/>
      <c r="E49" s="360"/>
      <c r="F49" s="80"/>
      <c r="G49" s="16"/>
      <c r="H49" s="82"/>
      <c r="I49" s="83"/>
      <c r="J49" s="254"/>
      <c r="K49" s="251"/>
      <c r="L49" s="22"/>
      <c r="M49" s="84"/>
      <c r="O49" s="93"/>
      <c r="P49" s="93"/>
    </row>
    <row r="50" spans="1:17">
      <c r="A50" s="286"/>
      <c r="B50" s="91"/>
      <c r="C50" s="351"/>
      <c r="D50" s="285"/>
      <c r="E50" s="360"/>
      <c r="F50" s="80"/>
      <c r="G50" s="16"/>
      <c r="H50" s="82"/>
      <c r="I50" s="83"/>
      <c r="J50" s="254"/>
      <c r="K50" s="251"/>
      <c r="L50" s="22"/>
      <c r="M50" s="84"/>
      <c r="O50" s="93"/>
      <c r="P50" s="93"/>
    </row>
    <row r="51" spans="1:17">
      <c r="A51" s="286"/>
      <c r="B51" s="91"/>
      <c r="C51" s="351"/>
      <c r="D51" s="285"/>
      <c r="E51" s="360"/>
      <c r="F51" s="80"/>
      <c r="G51" s="16"/>
      <c r="H51" s="82"/>
      <c r="I51" s="83"/>
      <c r="J51" s="254"/>
      <c r="K51" s="251"/>
      <c r="L51" s="22"/>
      <c r="M51" s="84"/>
      <c r="O51" s="93"/>
      <c r="P51" s="93"/>
    </row>
    <row r="52" spans="1:17" ht="12" thickBot="1">
      <c r="A52" s="286"/>
      <c r="B52" s="91"/>
      <c r="C52" s="351"/>
      <c r="D52" s="285"/>
      <c r="E52" s="360"/>
      <c r="F52" s="80"/>
      <c r="G52" s="16"/>
      <c r="H52" s="82"/>
      <c r="I52" s="83"/>
      <c r="J52" s="254"/>
      <c r="K52" s="251"/>
      <c r="L52" s="22"/>
      <c r="M52" s="95"/>
      <c r="O52" s="93"/>
      <c r="P52" s="93"/>
    </row>
    <row r="53" spans="1:17">
      <c r="A53" s="286"/>
      <c r="B53" s="91"/>
      <c r="C53" s="351"/>
      <c r="D53" s="285"/>
      <c r="E53" s="360"/>
      <c r="F53" s="80"/>
      <c r="G53" s="16"/>
      <c r="H53" s="82"/>
      <c r="I53" s="83"/>
      <c r="J53" s="254"/>
      <c r="K53" s="251"/>
      <c r="L53" s="242" t="s">
        <v>42</v>
      </c>
      <c r="M53" s="96">
        <f>AVERAGE(M12:M52)</f>
        <v>167</v>
      </c>
      <c r="O53" s="93"/>
      <c r="P53" s="93"/>
    </row>
    <row r="54" spans="1:17">
      <c r="A54" s="286"/>
      <c r="B54" s="91"/>
      <c r="C54" s="351"/>
      <c r="D54" s="285"/>
      <c r="E54" s="360"/>
      <c r="F54" s="80"/>
      <c r="G54" s="16"/>
      <c r="H54" s="82"/>
      <c r="I54" s="83"/>
      <c r="J54" s="254"/>
      <c r="K54" s="251"/>
      <c r="L54" s="33" t="s">
        <v>43</v>
      </c>
      <c r="M54" s="95" t="e">
        <f>STDEV(M12:M52)</f>
        <v>#DIV/0!</v>
      </c>
      <c r="N54" s="56"/>
      <c r="P54" s="93"/>
    </row>
    <row r="55" spans="1:17">
      <c r="A55" s="287" t="s">
        <v>73</v>
      </c>
      <c r="B55" s="258"/>
      <c r="C55" s="352"/>
      <c r="D55" s="259"/>
      <c r="E55" s="361"/>
      <c r="F55" s="362"/>
      <c r="G55" s="261"/>
      <c r="H55" s="262"/>
      <c r="I55" s="263"/>
      <c r="J55" s="264"/>
      <c r="K55" s="265"/>
      <c r="L55" s="33" t="s">
        <v>44</v>
      </c>
      <c r="M55" s="95" t="e">
        <f>M54/SQRT(COUNT(M12:M51))</f>
        <v>#DIV/0!</v>
      </c>
      <c r="N55" s="98"/>
      <c r="Q55" s="56"/>
    </row>
    <row r="56" spans="1:17">
      <c r="A56" s="266"/>
      <c r="B56" s="267"/>
      <c r="C56" s="353"/>
      <c r="D56" s="268"/>
      <c r="E56" s="363"/>
      <c r="F56" s="364"/>
      <c r="G56" s="270"/>
      <c r="H56" s="271"/>
      <c r="I56" s="272"/>
      <c r="J56" s="273"/>
      <c r="K56" s="274"/>
      <c r="L56" s="33" t="s">
        <v>45</v>
      </c>
      <c r="M56" s="95">
        <f>MAX(M12:M51)</f>
        <v>167</v>
      </c>
      <c r="N56" s="98"/>
      <c r="O56" s="93"/>
      <c r="P56" s="93"/>
    </row>
    <row r="57" spans="1:17" ht="12" thickBot="1">
      <c r="A57" s="275"/>
      <c r="B57" s="276"/>
      <c r="C57" s="354"/>
      <c r="D57" s="277"/>
      <c r="E57" s="365"/>
      <c r="F57" s="366"/>
      <c r="G57" s="279"/>
      <c r="H57" s="280"/>
      <c r="I57" s="281"/>
      <c r="J57" s="282"/>
      <c r="K57" s="283"/>
      <c r="L57" s="243" t="s">
        <v>46</v>
      </c>
      <c r="M57" s="100">
        <f>MIN(M12:M51)</f>
        <v>167</v>
      </c>
      <c r="N57" s="56"/>
      <c r="O57" s="93"/>
      <c r="P57" s="93"/>
    </row>
    <row r="58" spans="1:17">
      <c r="A58" s="15"/>
      <c r="B58" s="15"/>
      <c r="C58" s="14"/>
      <c r="D58" s="105"/>
      <c r="E58" s="105"/>
      <c r="F58" s="105"/>
      <c r="G58" s="13"/>
      <c r="H58" s="106"/>
      <c r="I58" s="107"/>
      <c r="J58" s="104"/>
      <c r="K58" s="101"/>
      <c r="L58" s="102"/>
      <c r="M58" s="56"/>
      <c r="O58" s="93"/>
      <c r="P58" s="93"/>
    </row>
    <row r="59" spans="1:17">
      <c r="A59" s="56"/>
      <c r="B59" s="56"/>
      <c r="C59" s="108"/>
      <c r="D59" s="108"/>
      <c r="E59" s="108"/>
      <c r="F59" s="108"/>
      <c r="G59" s="107"/>
      <c r="H59" s="106"/>
      <c r="I59" s="107"/>
      <c r="J59" s="104"/>
      <c r="K59" s="103"/>
      <c r="L59" s="102"/>
      <c r="M59" s="56"/>
      <c r="O59" s="93"/>
      <c r="P59" s="93"/>
    </row>
    <row r="60" spans="1:17">
      <c r="A60" s="109"/>
      <c r="B60" s="109"/>
      <c r="C60" s="109"/>
      <c r="D60" s="109"/>
      <c r="E60" s="104"/>
      <c r="F60" s="110"/>
      <c r="G60" s="56"/>
      <c r="H60" s="93"/>
      <c r="I60" s="56"/>
      <c r="J60" s="93"/>
      <c r="K60" s="93"/>
      <c r="L60" s="56"/>
      <c r="M60" s="56"/>
      <c r="O60" s="93"/>
      <c r="P60" s="93"/>
    </row>
    <row r="61" spans="1:17">
      <c r="A61" s="111"/>
      <c r="B61" s="111"/>
      <c r="C61" s="109"/>
      <c r="D61" s="109"/>
      <c r="E61" s="104"/>
      <c r="F61" s="110"/>
      <c r="G61" s="93"/>
      <c r="H61" s="93"/>
      <c r="I61" s="56"/>
      <c r="J61" s="93"/>
      <c r="K61" s="93"/>
      <c r="L61" s="56"/>
      <c r="M61" s="56"/>
      <c r="O61" s="93"/>
      <c r="P61" s="93"/>
    </row>
    <row r="62" spans="1:17">
      <c r="A62" s="50"/>
      <c r="B62" s="50"/>
      <c r="C62" s="109"/>
      <c r="D62" s="109"/>
      <c r="E62" s="104"/>
      <c r="F62" s="110"/>
      <c r="G62" s="93"/>
      <c r="H62" s="93"/>
      <c r="I62" s="56"/>
      <c r="J62" s="93"/>
      <c r="K62" s="93"/>
      <c r="L62" s="56"/>
      <c r="M62" s="56"/>
      <c r="O62" s="93"/>
      <c r="P62" s="93"/>
    </row>
    <row r="63" spans="1:17">
      <c r="A63" s="109"/>
      <c r="B63" s="109"/>
      <c r="C63" s="109"/>
      <c r="D63" s="109"/>
      <c r="E63" s="104"/>
      <c r="F63" s="110"/>
      <c r="G63" s="93"/>
      <c r="H63" s="93"/>
      <c r="I63" s="56"/>
      <c r="J63" s="93"/>
      <c r="K63" s="93"/>
      <c r="L63" s="56"/>
      <c r="M63" s="56"/>
      <c r="O63" s="93"/>
      <c r="P63" s="93"/>
    </row>
    <row r="64" spans="1:17">
      <c r="A64" s="109"/>
      <c r="B64" s="109"/>
      <c r="C64" s="109"/>
      <c r="D64" s="109"/>
      <c r="E64" s="104"/>
      <c r="F64" s="110"/>
      <c r="G64" s="93"/>
      <c r="H64" s="93"/>
      <c r="I64" s="56"/>
      <c r="J64" s="107"/>
      <c r="K64" s="93"/>
      <c r="L64" s="56"/>
      <c r="M64" s="56"/>
      <c r="O64" s="93"/>
      <c r="P64" s="93"/>
    </row>
    <row r="65" spans="1:16">
      <c r="A65" s="109"/>
      <c r="B65" s="109"/>
      <c r="C65" s="109"/>
      <c r="D65" s="109"/>
      <c r="E65" s="104"/>
      <c r="F65" s="110"/>
      <c r="G65" s="93"/>
      <c r="H65" s="93"/>
      <c r="I65" s="56"/>
      <c r="J65" s="107"/>
      <c r="K65" s="93"/>
      <c r="L65" s="56"/>
      <c r="M65" s="56"/>
      <c r="O65" s="93"/>
      <c r="P65" s="93"/>
    </row>
    <row r="66" spans="1:16">
      <c r="A66" s="109"/>
      <c r="B66" s="109"/>
      <c r="C66" s="109"/>
      <c r="D66" s="109"/>
      <c r="E66" s="104"/>
      <c r="F66" s="110"/>
      <c r="G66" s="93"/>
      <c r="H66" s="93"/>
      <c r="I66" s="56"/>
      <c r="J66" s="93"/>
      <c r="K66" s="93"/>
      <c r="L66" s="56"/>
      <c r="M66" s="56"/>
      <c r="O66" s="93"/>
      <c r="P66" s="93"/>
    </row>
    <row r="67" spans="1:16">
      <c r="A67" s="109"/>
      <c r="B67" s="109"/>
      <c r="C67" s="109"/>
      <c r="D67" s="109"/>
      <c r="E67" s="104"/>
      <c r="F67" s="110"/>
      <c r="G67" s="93"/>
      <c r="H67" s="93"/>
      <c r="I67" s="56"/>
      <c r="J67" s="93"/>
      <c r="K67" s="93"/>
      <c r="L67" s="56"/>
      <c r="M67" s="56"/>
      <c r="O67" s="93"/>
      <c r="P67" s="93"/>
    </row>
    <row r="68" spans="1:16">
      <c r="A68" s="109"/>
      <c r="B68" s="109"/>
      <c r="C68" s="109"/>
      <c r="D68" s="109"/>
      <c r="E68" s="104"/>
      <c r="F68" s="110"/>
      <c r="G68" s="93"/>
      <c r="H68" s="93"/>
      <c r="I68" s="56"/>
      <c r="J68" s="93"/>
      <c r="K68" s="93"/>
      <c r="L68" s="56"/>
      <c r="M68" s="56"/>
      <c r="O68" s="93"/>
      <c r="P68" s="93"/>
    </row>
    <row r="69" spans="1:16">
      <c r="A69" s="109"/>
      <c r="B69" s="109"/>
      <c r="C69" s="109"/>
      <c r="D69" s="109"/>
      <c r="E69" s="104"/>
      <c r="F69" s="110"/>
      <c r="G69" s="93"/>
      <c r="H69" s="93"/>
      <c r="I69" s="56"/>
      <c r="J69" s="93"/>
      <c r="K69" s="93"/>
      <c r="L69" s="56"/>
      <c r="M69" s="56"/>
      <c r="O69" s="93"/>
      <c r="P69" s="93"/>
    </row>
    <row r="70" spans="1:16">
      <c r="A70" s="109"/>
      <c r="B70" s="109"/>
      <c r="C70" s="109"/>
      <c r="D70" s="109"/>
      <c r="E70" s="104"/>
      <c r="F70" s="110"/>
      <c r="G70" s="93"/>
      <c r="H70" s="93"/>
      <c r="I70" s="56"/>
      <c r="J70" s="93"/>
      <c r="K70" s="93"/>
      <c r="L70" s="56"/>
      <c r="M70" s="56"/>
      <c r="O70" s="93"/>
      <c r="P70" s="93"/>
    </row>
    <row r="71" spans="1:16">
      <c r="A71" s="109"/>
      <c r="B71" s="109"/>
      <c r="C71" s="109"/>
      <c r="D71" s="109"/>
      <c r="E71" s="104"/>
      <c r="F71" s="110"/>
      <c r="G71" s="93"/>
      <c r="H71" s="93"/>
      <c r="I71" s="56"/>
      <c r="J71" s="93"/>
      <c r="K71" s="93"/>
      <c r="L71" s="56"/>
      <c r="O71" s="93"/>
      <c r="P71" s="93"/>
    </row>
    <row r="72" spans="1:16">
      <c r="A72" s="109"/>
      <c r="B72" s="109"/>
      <c r="C72" s="109"/>
      <c r="D72" s="109"/>
      <c r="E72" s="104"/>
      <c r="F72" s="110"/>
      <c r="G72" s="93"/>
      <c r="H72" s="93"/>
      <c r="I72" s="56"/>
      <c r="J72" s="93"/>
      <c r="K72" s="93"/>
      <c r="L72" s="56"/>
      <c r="O72" s="93"/>
      <c r="P72" s="93"/>
    </row>
    <row r="73" spans="1:16">
      <c r="A73" s="109"/>
      <c r="B73" s="109"/>
      <c r="C73" s="109"/>
      <c r="D73" s="109"/>
      <c r="E73" s="104"/>
      <c r="F73" s="110"/>
      <c r="G73" s="93"/>
      <c r="H73" s="93"/>
      <c r="I73" s="56"/>
      <c r="J73" s="93"/>
      <c r="K73" s="93"/>
      <c r="L73" s="93"/>
      <c r="O73" s="93"/>
      <c r="P73" s="93"/>
    </row>
    <row r="74" spans="1:16">
      <c r="A74" s="109"/>
      <c r="B74" s="109"/>
      <c r="C74" s="109"/>
      <c r="D74" s="109"/>
      <c r="E74" s="104"/>
      <c r="F74" s="110"/>
      <c r="G74" s="93"/>
      <c r="H74" s="93"/>
      <c r="I74" s="56"/>
      <c r="J74" s="93"/>
      <c r="K74" s="93"/>
      <c r="L74" s="93"/>
      <c r="O74" s="93"/>
      <c r="P74" s="93"/>
    </row>
    <row r="75" spans="1:16">
      <c r="A75" s="109"/>
      <c r="B75" s="109"/>
      <c r="C75" s="109"/>
      <c r="D75" s="109"/>
      <c r="E75" s="104"/>
      <c r="F75" s="110"/>
      <c r="G75" s="93"/>
      <c r="H75" s="93"/>
      <c r="I75" s="56"/>
      <c r="J75" s="93"/>
      <c r="K75" s="93"/>
      <c r="L75" s="93"/>
      <c r="O75" s="93"/>
      <c r="P75" s="93"/>
    </row>
    <row r="76" spans="1:16">
      <c r="A76" s="109"/>
      <c r="B76" s="109"/>
      <c r="C76" s="109"/>
      <c r="D76" s="109"/>
      <c r="E76" s="104"/>
      <c r="F76" s="110"/>
      <c r="G76" s="93"/>
      <c r="H76" s="93"/>
      <c r="I76" s="56"/>
      <c r="J76" s="93"/>
      <c r="K76" s="93"/>
      <c r="L76" s="93"/>
      <c r="O76" s="93"/>
      <c r="P76" s="93"/>
    </row>
    <row r="77" spans="1:16">
      <c r="A77" s="109"/>
      <c r="B77" s="109"/>
      <c r="C77" s="109"/>
      <c r="D77" s="109"/>
      <c r="E77" s="104"/>
      <c r="F77" s="110"/>
      <c r="G77" s="93"/>
      <c r="H77" s="93"/>
      <c r="I77" s="56"/>
      <c r="J77" s="93"/>
      <c r="K77" s="93"/>
      <c r="L77" s="93"/>
      <c r="O77" s="93"/>
      <c r="P77" s="93"/>
    </row>
    <row r="78" spans="1:16">
      <c r="A78" s="109"/>
      <c r="B78" s="109"/>
      <c r="C78" s="109"/>
      <c r="D78" s="109"/>
      <c r="E78" s="104"/>
      <c r="F78" s="110"/>
      <c r="G78" s="93"/>
      <c r="H78" s="93"/>
      <c r="I78" s="56"/>
      <c r="J78" s="93"/>
      <c r="K78" s="93"/>
      <c r="L78" s="93"/>
      <c r="O78" s="93"/>
      <c r="P78" s="93"/>
    </row>
    <row r="79" spans="1:16">
      <c r="A79" s="109"/>
      <c r="B79" s="109"/>
      <c r="C79" s="109"/>
      <c r="D79" s="109"/>
      <c r="E79" s="104"/>
      <c r="F79" s="110"/>
      <c r="G79" s="93"/>
      <c r="H79" s="93"/>
      <c r="I79" s="56"/>
      <c r="J79" s="93"/>
      <c r="K79" s="93"/>
      <c r="L79" s="93"/>
      <c r="O79" s="93"/>
      <c r="P79" s="93"/>
    </row>
    <row r="80" spans="1:16">
      <c r="A80" s="109"/>
      <c r="B80" s="109"/>
      <c r="C80" s="109"/>
      <c r="D80" s="109"/>
      <c r="E80" s="104"/>
      <c r="F80" s="110"/>
      <c r="G80" s="93"/>
      <c r="H80" s="93"/>
      <c r="I80" s="56"/>
      <c r="J80" s="93"/>
      <c r="K80" s="93"/>
      <c r="L80" s="93"/>
      <c r="O80" s="93"/>
      <c r="P80" s="93"/>
    </row>
    <row r="81" spans="1:17">
      <c r="A81" s="109"/>
      <c r="B81" s="109"/>
      <c r="C81" s="109"/>
      <c r="D81" s="109"/>
      <c r="E81" s="104"/>
      <c r="F81" s="110"/>
      <c r="G81" s="93"/>
      <c r="H81" s="93"/>
      <c r="I81" s="56"/>
      <c r="J81" s="93"/>
      <c r="K81" s="93"/>
      <c r="L81" s="93"/>
      <c r="O81" s="93"/>
      <c r="P81" s="93"/>
    </row>
    <row r="82" spans="1:17">
      <c r="A82" s="109"/>
      <c r="B82" s="109"/>
      <c r="C82" s="109"/>
      <c r="D82" s="109"/>
      <c r="E82" s="104"/>
      <c r="F82" s="110"/>
      <c r="G82" s="93"/>
      <c r="H82" s="93"/>
      <c r="I82" s="56"/>
      <c r="J82" s="93"/>
      <c r="K82" s="93"/>
      <c r="L82" s="93"/>
      <c r="O82" s="93"/>
      <c r="P82" s="93"/>
    </row>
    <row r="83" spans="1:17">
      <c r="A83" s="109"/>
      <c r="B83" s="109"/>
      <c r="C83" s="109"/>
      <c r="D83" s="109"/>
      <c r="E83" s="104"/>
      <c r="F83" s="110"/>
      <c r="G83" s="93"/>
      <c r="H83" s="93"/>
      <c r="I83" s="56"/>
      <c r="J83" s="93"/>
      <c r="K83" s="93"/>
      <c r="L83" s="93"/>
      <c r="O83" s="93"/>
      <c r="P83" s="93"/>
    </row>
    <row r="84" spans="1:17">
      <c r="A84" s="109"/>
      <c r="B84" s="109"/>
      <c r="C84" s="109"/>
      <c r="D84" s="109"/>
      <c r="E84" s="104"/>
      <c r="F84" s="110"/>
      <c r="G84" s="112"/>
      <c r="H84" s="93"/>
      <c r="I84" s="56"/>
      <c r="J84" s="93"/>
      <c r="K84" s="93"/>
      <c r="L84" s="93"/>
      <c r="O84" s="93"/>
      <c r="P84" s="93"/>
    </row>
    <row r="85" spans="1:17">
      <c r="A85" s="109"/>
      <c r="B85" s="109"/>
      <c r="C85" s="109"/>
      <c r="D85" s="109"/>
      <c r="E85" s="104"/>
      <c r="F85" s="110"/>
      <c r="G85" s="112"/>
      <c r="H85" s="93"/>
      <c r="I85" s="56"/>
      <c r="J85" s="93"/>
      <c r="K85" s="93"/>
      <c r="L85" s="93"/>
      <c r="O85" s="93"/>
      <c r="P85" s="93"/>
    </row>
    <row r="86" spans="1:17">
      <c r="A86" s="109"/>
      <c r="B86" s="109"/>
      <c r="C86" s="109"/>
      <c r="D86" s="109"/>
      <c r="E86" s="104"/>
      <c r="F86" s="110"/>
      <c r="G86" s="112"/>
      <c r="H86" s="93"/>
      <c r="I86" s="56"/>
      <c r="J86" s="93"/>
      <c r="K86" s="93"/>
      <c r="L86" s="93"/>
      <c r="O86" s="93"/>
      <c r="P86" s="93"/>
    </row>
    <row r="87" spans="1:17">
      <c r="A87" s="109"/>
      <c r="B87" s="109"/>
      <c r="C87" s="109"/>
      <c r="D87" s="109"/>
      <c r="E87" s="104"/>
      <c r="F87" s="110"/>
      <c r="G87" s="112"/>
      <c r="H87" s="93"/>
      <c r="I87" s="56"/>
      <c r="J87" s="93"/>
      <c r="K87" s="93"/>
      <c r="L87" s="93"/>
      <c r="O87" s="93"/>
      <c r="P87" s="93"/>
    </row>
    <row r="88" spans="1:17">
      <c r="A88" s="109"/>
      <c r="B88" s="109"/>
      <c r="C88" s="109"/>
      <c r="D88" s="109"/>
      <c r="E88" s="104"/>
      <c r="F88" s="110"/>
      <c r="G88" s="93"/>
      <c r="H88" s="93"/>
      <c r="I88" s="56"/>
      <c r="J88" s="93"/>
      <c r="K88" s="93"/>
      <c r="L88" s="93"/>
      <c r="O88" s="93"/>
      <c r="P88" s="93"/>
    </row>
    <row r="89" spans="1:17">
      <c r="A89" s="109"/>
      <c r="B89" s="109"/>
      <c r="C89" s="109"/>
      <c r="D89" s="109"/>
      <c r="E89" s="104"/>
      <c r="F89" s="110"/>
      <c r="G89" s="93"/>
      <c r="H89" s="93"/>
      <c r="I89" s="56"/>
      <c r="J89" s="93"/>
      <c r="K89" s="93"/>
      <c r="L89" s="93"/>
      <c r="O89" s="93"/>
      <c r="P89" s="93"/>
    </row>
    <row r="90" spans="1:17" s="109" customFormat="1">
      <c r="E90" s="104"/>
      <c r="F90" s="110"/>
      <c r="G90" s="93"/>
      <c r="H90" s="93"/>
      <c r="I90" s="56"/>
      <c r="J90" s="93"/>
      <c r="K90" s="93"/>
      <c r="L90" s="93"/>
      <c r="M90" s="93"/>
      <c r="N90" s="93"/>
      <c r="O90" s="93"/>
      <c r="P90" s="93"/>
      <c r="Q90" s="93"/>
    </row>
    <row r="91" spans="1:17" s="109" customFormat="1">
      <c r="E91" s="104"/>
      <c r="F91" s="110"/>
      <c r="G91" s="93"/>
      <c r="H91" s="93"/>
      <c r="I91" s="56"/>
      <c r="J91" s="93"/>
      <c r="K91" s="93"/>
      <c r="L91" s="93"/>
      <c r="M91" s="93"/>
      <c r="N91" s="93"/>
      <c r="O91" s="93"/>
      <c r="P91" s="93"/>
      <c r="Q91" s="93"/>
    </row>
    <row r="92" spans="1:17" s="109" customFormat="1">
      <c r="E92" s="104"/>
      <c r="F92" s="110"/>
      <c r="G92" s="93"/>
      <c r="H92" s="93"/>
      <c r="I92" s="56"/>
      <c r="J92" s="93"/>
      <c r="K92" s="93"/>
      <c r="L92" s="93"/>
      <c r="M92" s="93"/>
      <c r="N92" s="93"/>
      <c r="O92" s="93"/>
      <c r="P92" s="93"/>
      <c r="Q92" s="93"/>
    </row>
    <row r="93" spans="1:17" s="109" customFormat="1">
      <c r="E93" s="104"/>
      <c r="F93" s="110"/>
      <c r="G93" s="93"/>
      <c r="H93" s="93"/>
      <c r="I93" s="56"/>
      <c r="J93" s="93"/>
      <c r="K93" s="93"/>
      <c r="L93" s="93"/>
      <c r="M93" s="93"/>
      <c r="N93" s="93"/>
      <c r="O93" s="93"/>
      <c r="P93" s="93"/>
      <c r="Q93" s="93"/>
    </row>
    <row r="94" spans="1:17" s="109" customFormat="1">
      <c r="E94" s="104"/>
      <c r="F94" s="110"/>
      <c r="G94" s="93"/>
      <c r="H94" s="93"/>
      <c r="I94" s="56"/>
      <c r="J94" s="93"/>
      <c r="K94" s="93"/>
      <c r="L94" s="93"/>
      <c r="M94" s="93"/>
      <c r="N94" s="93"/>
      <c r="O94" s="93"/>
      <c r="P94" s="93"/>
      <c r="Q94" s="93"/>
    </row>
    <row r="95" spans="1:17" s="109" customFormat="1">
      <c r="E95" s="104"/>
      <c r="F95" s="110"/>
      <c r="G95" s="93"/>
      <c r="H95" s="93"/>
      <c r="I95" s="56"/>
      <c r="J95" s="93"/>
      <c r="K95" s="93"/>
      <c r="L95" s="93"/>
      <c r="M95" s="93"/>
    </row>
    <row r="96" spans="1:17" s="109" customFormat="1">
      <c r="E96" s="104"/>
      <c r="F96" s="110"/>
      <c r="G96" s="93"/>
      <c r="H96" s="93"/>
      <c r="I96" s="56"/>
      <c r="J96" s="93"/>
      <c r="K96" s="93"/>
      <c r="L96" s="93"/>
      <c r="M96" s="93"/>
    </row>
    <row r="97" spans="5:13" s="109" customFormat="1">
      <c r="E97" s="104"/>
      <c r="F97" s="110"/>
      <c r="G97" s="93"/>
      <c r="H97" s="93"/>
      <c r="I97" s="56"/>
      <c r="J97" s="93"/>
      <c r="K97" s="93"/>
      <c r="L97" s="93"/>
      <c r="M97" s="93"/>
    </row>
    <row r="98" spans="5:13" s="109" customFormat="1">
      <c r="E98" s="104"/>
      <c r="F98" s="110"/>
      <c r="G98" s="93"/>
      <c r="H98" s="93"/>
      <c r="I98" s="56"/>
      <c r="J98" s="93"/>
      <c r="K98" s="93"/>
      <c r="L98" s="93"/>
      <c r="M98" s="93"/>
    </row>
    <row r="99" spans="5:13" s="109" customFormat="1">
      <c r="E99" s="104"/>
      <c r="F99" s="110"/>
      <c r="G99" s="93"/>
      <c r="H99" s="93"/>
      <c r="I99" s="56"/>
      <c r="J99" s="93"/>
      <c r="K99" s="93"/>
      <c r="L99" s="93"/>
      <c r="M99" s="93"/>
    </row>
    <row r="100" spans="5:13" s="109" customFormat="1">
      <c r="E100" s="104"/>
      <c r="F100" s="110"/>
      <c r="G100" s="93"/>
      <c r="H100" s="93"/>
      <c r="I100" s="56"/>
      <c r="J100" s="93"/>
      <c r="K100" s="93"/>
      <c r="L100" s="93"/>
      <c r="M100" s="93"/>
    </row>
    <row r="101" spans="5:13" s="109" customFormat="1">
      <c r="E101" s="104"/>
      <c r="F101" s="110"/>
      <c r="G101" s="93"/>
      <c r="H101" s="93"/>
      <c r="I101" s="56"/>
      <c r="J101" s="93"/>
      <c r="K101" s="93"/>
      <c r="L101" s="93"/>
      <c r="M101" s="93"/>
    </row>
    <row r="102" spans="5:13" s="109" customFormat="1">
      <c r="E102" s="104"/>
      <c r="F102" s="110"/>
      <c r="G102" s="93"/>
      <c r="H102" s="93"/>
      <c r="I102" s="56"/>
      <c r="J102" s="93"/>
      <c r="K102" s="93"/>
      <c r="L102" s="93"/>
      <c r="M102" s="93"/>
    </row>
    <row r="103" spans="5:13" s="109" customFormat="1">
      <c r="E103" s="104"/>
      <c r="F103" s="110"/>
      <c r="G103" s="93"/>
      <c r="H103" s="93"/>
      <c r="I103" s="56"/>
      <c r="J103" s="93"/>
      <c r="K103" s="93"/>
      <c r="L103" s="93"/>
      <c r="M103" s="93"/>
    </row>
    <row r="104" spans="5:13" s="109" customFormat="1">
      <c r="E104" s="104"/>
      <c r="F104" s="110"/>
      <c r="G104" s="93"/>
      <c r="H104" s="93"/>
      <c r="I104" s="56"/>
      <c r="J104" s="93"/>
      <c r="K104" s="93"/>
      <c r="L104" s="93"/>
      <c r="M104" s="93"/>
    </row>
    <row r="105" spans="5:13" s="109" customFormat="1">
      <c r="E105" s="104"/>
      <c r="F105" s="110"/>
      <c r="G105" s="93"/>
      <c r="H105" s="93"/>
      <c r="I105" s="56"/>
      <c r="J105" s="93"/>
      <c r="K105" s="93"/>
      <c r="L105" s="93"/>
      <c r="M105" s="93"/>
    </row>
    <row r="106" spans="5:13" s="109" customFormat="1">
      <c r="E106" s="104"/>
      <c r="F106" s="110"/>
      <c r="G106" s="93"/>
      <c r="H106" s="93"/>
      <c r="I106" s="56"/>
      <c r="J106" s="93"/>
      <c r="K106" s="93"/>
      <c r="L106" s="93"/>
      <c r="M106" s="93"/>
    </row>
    <row r="107" spans="5:13" s="109" customFormat="1">
      <c r="E107" s="104"/>
      <c r="F107" s="110"/>
      <c r="G107" s="93"/>
      <c r="H107" s="93"/>
      <c r="I107" s="56"/>
      <c r="J107" s="93"/>
      <c r="K107" s="93"/>
      <c r="L107" s="93"/>
      <c r="M107" s="93"/>
    </row>
    <row r="108" spans="5:13" s="109" customFormat="1">
      <c r="E108" s="104"/>
      <c r="F108" s="110"/>
      <c r="G108" s="93"/>
      <c r="H108" s="93"/>
      <c r="I108" s="56"/>
      <c r="J108" s="93"/>
      <c r="K108" s="93"/>
      <c r="L108" s="93"/>
      <c r="M108" s="93"/>
    </row>
    <row r="109" spans="5:13" s="109" customFormat="1">
      <c r="E109" s="104"/>
      <c r="F109" s="110"/>
      <c r="G109" s="93"/>
      <c r="H109" s="93"/>
      <c r="I109" s="56"/>
      <c r="J109" s="93"/>
      <c r="K109" s="93"/>
      <c r="L109" s="93"/>
      <c r="M109" s="93"/>
    </row>
    <row r="110" spans="5:13" s="109" customFormat="1">
      <c r="E110" s="104"/>
      <c r="F110" s="110"/>
      <c r="G110" s="93"/>
      <c r="H110" s="93"/>
      <c r="I110" s="56"/>
      <c r="J110" s="93"/>
      <c r="K110" s="93"/>
      <c r="L110" s="93"/>
    </row>
    <row r="111" spans="5:13" s="109" customFormat="1">
      <c r="E111" s="104"/>
      <c r="F111" s="110"/>
      <c r="G111" s="93"/>
      <c r="H111" s="93"/>
      <c r="I111" s="56"/>
      <c r="J111" s="93"/>
      <c r="K111" s="93"/>
      <c r="L111" s="93"/>
    </row>
    <row r="112" spans="5:13" s="109" customFormat="1">
      <c r="E112" s="104"/>
      <c r="F112" s="110"/>
      <c r="G112" s="93"/>
      <c r="H112" s="93"/>
      <c r="I112" s="56"/>
      <c r="J112" s="93"/>
      <c r="K112" s="93"/>
      <c r="L112" s="93"/>
    </row>
    <row r="113" spans="5:12" s="109" customFormat="1">
      <c r="E113" s="104"/>
      <c r="F113" s="110"/>
      <c r="G113" s="93"/>
      <c r="H113" s="93"/>
      <c r="I113" s="56"/>
      <c r="J113" s="93"/>
      <c r="K113" s="93"/>
      <c r="L113" s="93"/>
    </row>
    <row r="114" spans="5:12" s="109" customFormat="1">
      <c r="E114" s="104"/>
      <c r="F114" s="110"/>
      <c r="G114" s="93"/>
      <c r="H114" s="93"/>
      <c r="I114" s="56"/>
      <c r="J114" s="93"/>
      <c r="K114" s="93"/>
      <c r="L114" s="93"/>
    </row>
    <row r="115" spans="5:12" s="109" customFormat="1">
      <c r="E115" s="104"/>
      <c r="F115" s="110"/>
      <c r="G115" s="93"/>
      <c r="H115" s="93"/>
      <c r="I115" s="56"/>
      <c r="J115" s="93"/>
      <c r="K115" s="93"/>
      <c r="L115" s="93"/>
    </row>
    <row r="116" spans="5:12" s="109" customFormat="1">
      <c r="E116" s="104"/>
      <c r="F116" s="110"/>
      <c r="G116" s="93"/>
      <c r="H116" s="93"/>
      <c r="I116" s="56"/>
      <c r="J116" s="93"/>
      <c r="K116" s="93"/>
      <c r="L116" s="93"/>
    </row>
    <row r="117" spans="5:12" s="109" customFormat="1">
      <c r="E117" s="104"/>
      <c r="F117" s="110"/>
      <c r="G117" s="93"/>
      <c r="H117" s="93"/>
      <c r="I117" s="56"/>
      <c r="J117" s="93"/>
      <c r="K117" s="93"/>
      <c r="L117" s="93"/>
    </row>
    <row r="118" spans="5:12" s="109" customFormat="1">
      <c r="E118" s="104"/>
      <c r="F118" s="110"/>
      <c r="G118" s="93"/>
      <c r="H118" s="93"/>
      <c r="I118" s="56"/>
      <c r="J118" s="93"/>
      <c r="K118" s="93"/>
      <c r="L118" s="93"/>
    </row>
    <row r="119" spans="5:12" s="109" customFormat="1">
      <c r="E119" s="104"/>
      <c r="F119" s="110"/>
      <c r="G119" s="93"/>
      <c r="H119" s="93"/>
      <c r="I119" s="56"/>
      <c r="J119" s="93"/>
      <c r="K119" s="93"/>
      <c r="L119" s="93"/>
    </row>
    <row r="120" spans="5:12" s="109" customFormat="1">
      <c r="E120" s="104"/>
      <c r="F120" s="110"/>
      <c r="G120" s="93"/>
      <c r="H120" s="93"/>
      <c r="I120" s="56"/>
      <c r="J120" s="93"/>
      <c r="K120" s="93"/>
      <c r="L120" s="93"/>
    </row>
    <row r="121" spans="5:12" s="109" customFormat="1">
      <c r="E121" s="104"/>
      <c r="F121" s="110"/>
      <c r="G121" s="93"/>
      <c r="H121" s="93"/>
      <c r="I121" s="56"/>
      <c r="J121" s="93"/>
      <c r="K121" s="93"/>
      <c r="L121" s="93"/>
    </row>
    <row r="122" spans="5:12" s="109" customFormat="1">
      <c r="E122" s="104"/>
      <c r="F122" s="110"/>
      <c r="G122" s="93"/>
      <c r="H122" s="93"/>
      <c r="I122" s="56"/>
      <c r="J122" s="93"/>
      <c r="K122" s="93"/>
      <c r="L122" s="93"/>
    </row>
    <row r="123" spans="5:12" s="109" customFormat="1">
      <c r="E123" s="104"/>
      <c r="F123" s="110"/>
      <c r="G123" s="93"/>
      <c r="H123" s="93"/>
      <c r="I123" s="56"/>
      <c r="J123" s="93"/>
      <c r="K123" s="93"/>
      <c r="L123" s="93"/>
    </row>
    <row r="124" spans="5:12" s="109" customFormat="1">
      <c r="E124" s="104"/>
      <c r="F124" s="110"/>
      <c r="G124" s="93"/>
      <c r="H124" s="93"/>
      <c r="I124" s="56"/>
      <c r="J124" s="93"/>
      <c r="K124" s="93"/>
      <c r="L124" s="93"/>
    </row>
    <row r="125" spans="5:12" s="109" customFormat="1">
      <c r="E125" s="104"/>
      <c r="F125" s="110"/>
      <c r="G125" s="93"/>
      <c r="H125" s="93"/>
      <c r="I125" s="56"/>
      <c r="J125" s="93"/>
      <c r="K125" s="93"/>
      <c r="L125" s="93"/>
    </row>
    <row r="126" spans="5:12" s="109" customFormat="1">
      <c r="E126" s="104"/>
      <c r="F126" s="110"/>
      <c r="G126" s="93"/>
      <c r="H126" s="93"/>
      <c r="I126" s="56"/>
      <c r="J126" s="93"/>
      <c r="K126" s="93"/>
      <c r="L126" s="93"/>
    </row>
    <row r="127" spans="5:12" s="109" customFormat="1">
      <c r="E127" s="104"/>
      <c r="F127" s="110"/>
      <c r="G127" s="93"/>
      <c r="H127" s="93"/>
      <c r="I127" s="56"/>
      <c r="J127" s="93"/>
      <c r="K127" s="93"/>
      <c r="L127" s="93"/>
    </row>
    <row r="128" spans="5:12" s="109" customFormat="1">
      <c r="E128" s="104"/>
      <c r="F128" s="110"/>
      <c r="G128" s="93"/>
      <c r="H128" s="93"/>
      <c r="I128" s="56"/>
      <c r="J128" s="93"/>
      <c r="K128" s="93"/>
      <c r="L128" s="93"/>
    </row>
    <row r="129" spans="5:12" s="109" customFormat="1">
      <c r="E129" s="104"/>
      <c r="F129" s="110"/>
      <c r="G129" s="93"/>
      <c r="H129" s="93"/>
      <c r="I129" s="56"/>
      <c r="J129" s="93"/>
      <c r="K129" s="93"/>
      <c r="L129" s="93"/>
    </row>
    <row r="130" spans="5:12" s="109" customFormat="1">
      <c r="E130" s="104"/>
      <c r="F130" s="110"/>
      <c r="G130" s="93"/>
      <c r="H130" s="93"/>
      <c r="I130" s="56"/>
      <c r="J130" s="93"/>
      <c r="K130" s="93"/>
      <c r="L130" s="93"/>
    </row>
    <row r="131" spans="5:12" s="109" customFormat="1">
      <c r="E131" s="104"/>
      <c r="F131" s="110"/>
      <c r="G131" s="93"/>
      <c r="H131" s="93"/>
      <c r="I131" s="56"/>
      <c r="J131" s="93"/>
      <c r="K131" s="93"/>
      <c r="L131" s="93"/>
    </row>
    <row r="132" spans="5:12" s="109" customFormat="1">
      <c r="E132" s="104"/>
      <c r="F132" s="110"/>
      <c r="G132" s="93"/>
      <c r="H132" s="93"/>
      <c r="I132" s="56"/>
      <c r="J132" s="93"/>
      <c r="K132" s="93"/>
      <c r="L132" s="93"/>
    </row>
    <row r="133" spans="5:12" s="109" customFormat="1">
      <c r="E133" s="104"/>
      <c r="F133" s="110"/>
      <c r="G133" s="93"/>
      <c r="H133" s="93"/>
      <c r="I133" s="56"/>
      <c r="J133" s="93"/>
      <c r="K133" s="93"/>
      <c r="L133" s="93"/>
    </row>
    <row r="134" spans="5:12" s="109" customFormat="1">
      <c r="E134" s="104"/>
      <c r="F134" s="110"/>
      <c r="G134" s="93"/>
      <c r="H134" s="93"/>
      <c r="I134" s="56"/>
      <c r="J134" s="93"/>
      <c r="K134" s="93"/>
      <c r="L134" s="93"/>
    </row>
    <row r="135" spans="5:12" s="109" customFormat="1">
      <c r="E135" s="104"/>
      <c r="F135" s="110"/>
      <c r="G135" s="93"/>
      <c r="H135" s="93"/>
      <c r="I135" s="56"/>
      <c r="J135" s="93"/>
      <c r="K135" s="93"/>
      <c r="L135" s="93"/>
    </row>
    <row r="136" spans="5:12" s="109" customFormat="1">
      <c r="E136" s="104"/>
      <c r="F136" s="110"/>
      <c r="G136" s="93"/>
      <c r="H136" s="93"/>
      <c r="I136" s="56"/>
      <c r="J136" s="93"/>
      <c r="K136" s="93"/>
      <c r="L136" s="93"/>
    </row>
    <row r="137" spans="5:12" s="109" customFormat="1">
      <c r="E137" s="104"/>
      <c r="F137" s="110"/>
      <c r="G137" s="93"/>
      <c r="H137" s="93"/>
      <c r="I137" s="56"/>
      <c r="J137" s="93"/>
      <c r="K137" s="93"/>
      <c r="L137" s="93"/>
    </row>
    <row r="138" spans="5:12" s="109" customFormat="1">
      <c r="E138" s="104"/>
      <c r="F138" s="110"/>
      <c r="G138" s="93"/>
      <c r="H138" s="93"/>
      <c r="I138" s="56"/>
      <c r="J138" s="93"/>
      <c r="K138" s="93"/>
      <c r="L138" s="93"/>
    </row>
    <row r="139" spans="5:12" s="109" customFormat="1">
      <c r="E139" s="104"/>
      <c r="F139" s="110"/>
      <c r="G139" s="93"/>
      <c r="H139" s="93"/>
      <c r="I139" s="56"/>
      <c r="J139" s="93"/>
      <c r="K139" s="93"/>
      <c r="L139" s="93"/>
    </row>
    <row r="140" spans="5:12" s="109" customFormat="1">
      <c r="E140" s="104"/>
      <c r="F140" s="110"/>
      <c r="G140" s="93"/>
      <c r="H140" s="93"/>
      <c r="I140" s="56"/>
      <c r="J140" s="93"/>
      <c r="K140" s="93"/>
      <c r="L140" s="93"/>
    </row>
    <row r="141" spans="5:12" s="109" customFormat="1">
      <c r="E141" s="104"/>
      <c r="F141" s="110"/>
      <c r="G141" s="93"/>
      <c r="H141" s="93"/>
      <c r="I141" s="56"/>
      <c r="J141" s="93"/>
      <c r="K141" s="93"/>
      <c r="L141" s="93"/>
    </row>
    <row r="142" spans="5:12" s="109" customFormat="1">
      <c r="E142" s="104"/>
      <c r="F142" s="110"/>
      <c r="G142" s="93"/>
      <c r="H142" s="93"/>
      <c r="I142" s="56"/>
      <c r="J142" s="93"/>
      <c r="K142" s="93"/>
      <c r="L142" s="93"/>
    </row>
    <row r="143" spans="5:12" s="109" customFormat="1">
      <c r="E143" s="104"/>
      <c r="F143" s="110"/>
      <c r="G143" s="93"/>
      <c r="H143" s="93"/>
      <c r="I143" s="56"/>
      <c r="J143" s="93"/>
      <c r="K143" s="93"/>
      <c r="L143" s="93"/>
    </row>
    <row r="144" spans="5:12" s="109" customFormat="1">
      <c r="E144" s="104"/>
      <c r="F144" s="110"/>
      <c r="G144" s="93"/>
      <c r="H144" s="93"/>
      <c r="I144" s="56"/>
      <c r="J144" s="93"/>
      <c r="K144" s="93"/>
      <c r="L144" s="93"/>
    </row>
    <row r="145" spans="1:17" s="109" customFormat="1">
      <c r="E145" s="104"/>
      <c r="F145" s="110"/>
      <c r="G145" s="93"/>
      <c r="H145" s="93"/>
      <c r="I145" s="56"/>
      <c r="J145" s="93"/>
      <c r="K145" s="93"/>
      <c r="L145" s="93"/>
    </row>
    <row r="146" spans="1:17" s="109" customFormat="1">
      <c r="E146" s="104"/>
      <c r="F146" s="110"/>
      <c r="G146" s="93"/>
      <c r="H146" s="93"/>
      <c r="I146" s="56"/>
      <c r="J146" s="93"/>
      <c r="K146" s="93"/>
      <c r="L146" s="93"/>
    </row>
    <row r="147" spans="1:17">
      <c r="A147" s="109"/>
      <c r="B147" s="109"/>
      <c r="C147" s="109"/>
      <c r="D147" s="109"/>
      <c r="E147" s="104"/>
      <c r="F147" s="110"/>
      <c r="G147" s="93"/>
      <c r="H147" s="93"/>
      <c r="I147" s="56"/>
      <c r="J147" s="93"/>
      <c r="K147" s="93"/>
      <c r="L147" s="93"/>
      <c r="M147" s="109"/>
      <c r="N147" s="109"/>
      <c r="O147" s="109"/>
      <c r="P147" s="109"/>
      <c r="Q147" s="109"/>
    </row>
    <row r="148" spans="1:17">
      <c r="A148" s="109"/>
      <c r="B148" s="109"/>
      <c r="C148" s="109"/>
      <c r="D148" s="109"/>
      <c r="E148" s="104"/>
      <c r="F148" s="110"/>
      <c r="G148" s="93"/>
      <c r="H148" s="93"/>
      <c r="I148" s="56"/>
      <c r="J148" s="93"/>
      <c r="K148" s="93"/>
      <c r="L148" s="93"/>
      <c r="M148" s="109"/>
      <c r="N148" s="109"/>
      <c r="O148" s="109"/>
      <c r="P148" s="109"/>
      <c r="Q148" s="109"/>
    </row>
    <row r="149" spans="1:17">
      <c r="A149" s="109"/>
      <c r="B149" s="109"/>
      <c r="C149" s="109"/>
      <c r="D149" s="109"/>
      <c r="E149" s="104"/>
      <c r="F149" s="110"/>
      <c r="G149" s="93"/>
      <c r="H149" s="93"/>
      <c r="I149" s="56"/>
      <c r="J149" s="93"/>
      <c r="K149" s="93"/>
      <c r="L149" s="93"/>
      <c r="M149" s="109"/>
      <c r="N149" s="109"/>
      <c r="O149" s="109"/>
      <c r="P149" s="109"/>
      <c r="Q149" s="109"/>
    </row>
    <row r="150" spans="1:17">
      <c r="A150" s="109"/>
      <c r="B150" s="109"/>
      <c r="C150" s="109"/>
      <c r="D150" s="109"/>
      <c r="E150" s="104"/>
      <c r="F150" s="110"/>
      <c r="G150" s="93"/>
      <c r="H150" s="93"/>
      <c r="I150" s="56"/>
      <c r="J150" s="93"/>
      <c r="K150" s="93"/>
      <c r="L150" s="93"/>
      <c r="M150" s="109"/>
      <c r="N150" s="109"/>
      <c r="O150" s="109"/>
      <c r="P150" s="109"/>
      <c r="Q150" s="109"/>
    </row>
    <row r="151" spans="1:17">
      <c r="A151" s="109"/>
      <c r="B151" s="109"/>
      <c r="C151" s="109"/>
      <c r="D151" s="109"/>
      <c r="E151" s="104"/>
      <c r="F151" s="110"/>
      <c r="G151" s="93"/>
      <c r="H151" s="93"/>
      <c r="I151" s="56"/>
      <c r="J151" s="93"/>
      <c r="K151" s="93"/>
      <c r="L151" s="93"/>
      <c r="M151" s="109"/>
      <c r="N151" s="109"/>
      <c r="O151" s="109"/>
      <c r="P151" s="109"/>
      <c r="Q151" s="109"/>
    </row>
    <row r="152" spans="1:17">
      <c r="A152" s="109"/>
      <c r="B152" s="109"/>
      <c r="C152" s="109"/>
      <c r="D152" s="109"/>
      <c r="E152" s="104"/>
      <c r="F152" s="110"/>
      <c r="G152" s="93"/>
      <c r="H152" s="93"/>
      <c r="I152" s="56"/>
      <c r="J152" s="93"/>
      <c r="K152" s="93"/>
      <c r="L152" s="93"/>
      <c r="M152" s="109"/>
    </row>
    <row r="153" spans="1:17">
      <c r="A153" s="109"/>
      <c r="B153" s="109"/>
      <c r="C153" s="109"/>
      <c r="D153" s="109"/>
      <c r="E153" s="104"/>
      <c r="F153" s="110"/>
      <c r="G153" s="93"/>
      <c r="H153" s="93"/>
      <c r="I153" s="56"/>
      <c r="J153" s="93"/>
      <c r="K153" s="93"/>
      <c r="L153" s="93"/>
      <c r="M153" s="109"/>
    </row>
    <row r="154" spans="1:17">
      <c r="A154" s="109"/>
      <c r="B154" s="109"/>
      <c r="C154" s="109"/>
      <c r="D154" s="109"/>
      <c r="E154" s="104"/>
      <c r="F154" s="110"/>
      <c r="G154" s="93"/>
      <c r="H154" s="93"/>
      <c r="I154" s="56"/>
      <c r="J154" s="93"/>
      <c r="K154" s="93"/>
      <c r="L154" s="93"/>
      <c r="M154" s="109"/>
    </row>
    <row r="155" spans="1:17">
      <c r="A155" s="109"/>
      <c r="B155" s="109"/>
      <c r="C155" s="109"/>
      <c r="D155" s="109"/>
      <c r="E155" s="104"/>
      <c r="F155" s="110"/>
      <c r="G155" s="93"/>
      <c r="H155" s="93"/>
      <c r="I155" s="56"/>
      <c r="J155" s="93"/>
      <c r="K155" s="93"/>
      <c r="L155" s="93"/>
      <c r="M155" s="109"/>
    </row>
    <row r="156" spans="1:17">
      <c r="J156" s="93"/>
      <c r="K156" s="93"/>
      <c r="L156" s="93"/>
      <c r="M156" s="109"/>
    </row>
    <row r="157" spans="1:17">
      <c r="J157" s="93"/>
      <c r="K157" s="93"/>
      <c r="L157" s="93"/>
      <c r="M157" s="109"/>
    </row>
    <row r="158" spans="1:17">
      <c r="J158" s="93"/>
      <c r="K158" s="93"/>
      <c r="L158" s="93"/>
      <c r="M158" s="109"/>
    </row>
    <row r="159" spans="1:17">
      <c r="J159" s="93"/>
      <c r="K159" s="93"/>
      <c r="L159" s="93"/>
      <c r="M159" s="109"/>
    </row>
    <row r="160" spans="1:17">
      <c r="J160" s="93"/>
      <c r="K160" s="93"/>
      <c r="L160" s="93"/>
      <c r="M160" s="109"/>
    </row>
    <row r="161" spans="10:13">
      <c r="J161" s="93"/>
      <c r="K161" s="93"/>
      <c r="L161" s="93"/>
      <c r="M161" s="109"/>
    </row>
    <row r="162" spans="10:13">
      <c r="K162" s="93"/>
      <c r="L162" s="93"/>
      <c r="M162" s="109"/>
    </row>
    <row r="163" spans="10:13">
      <c r="K163" s="93"/>
      <c r="L163" s="93"/>
      <c r="M163" s="109"/>
    </row>
    <row r="164" spans="10:13">
      <c r="K164" s="93"/>
      <c r="L164" s="93"/>
      <c r="M164" s="109"/>
    </row>
    <row r="165" spans="10:13">
      <c r="L165" s="93"/>
      <c r="M165" s="109"/>
    </row>
    <row r="166" spans="10:13">
      <c r="L166" s="93"/>
      <c r="M166" s="109"/>
    </row>
    <row r="167" spans="10:13">
      <c r="L167" s="93"/>
    </row>
    <row r="168" spans="10:13">
      <c r="L168" s="93"/>
    </row>
    <row r="169" spans="10:13">
      <c r="L169" s="93"/>
    </row>
  </sheetData>
  <mergeCells count="1">
    <mergeCell ref="L7:M7"/>
  </mergeCells>
  <dataValidations count="1">
    <dataValidation type="list" allowBlank="1" showInputMessage="1" showErrorMessage="1" sqref="B5" xr:uid="{3474DDC6-B02C-4E94-9F2C-997C6748DA28}">
      <formula1>$AB$5:$AB$8</formula1>
    </dataValidation>
  </dataValidation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58245-DCA3-4C69-AF5F-C74EBD7D8119}">
  <dimension ref="A1:Q169"/>
  <sheetViews>
    <sheetView workbookViewId="0">
      <selection activeCell="AB51" sqref="AB51"/>
    </sheetView>
  </sheetViews>
  <sheetFormatPr defaultColWidth="7.85546875" defaultRowHeight="11.25"/>
  <cols>
    <col min="1" max="1" width="15.7109375" style="93" bestFit="1" customWidth="1"/>
    <col min="2" max="2" width="9.5703125" style="93" bestFit="1" customWidth="1"/>
    <col min="3" max="3" width="5.140625" style="113" customWidth="1"/>
    <col min="4" max="6" width="7.7109375" style="113" customWidth="1"/>
    <col min="7" max="7" width="6.28515625" style="109" customWidth="1"/>
    <col min="8" max="8" width="6.85546875" style="114" customWidth="1"/>
    <col min="9" max="9" width="9.7109375" style="109" customWidth="1"/>
    <col min="10" max="10" width="8.7109375" style="109" bestFit="1" customWidth="1"/>
    <col min="11" max="11" width="21" style="104" customWidth="1"/>
    <col min="12" max="12" width="17.28515625" style="110" bestFit="1" customWidth="1"/>
    <col min="13" max="13" width="12.85546875" style="93" customWidth="1"/>
    <col min="14" max="14" width="11.28515625" style="93" customWidth="1"/>
    <col min="15" max="15" width="14.5703125" style="56" customWidth="1"/>
    <col min="16" max="16" width="2.42578125" style="56" customWidth="1"/>
    <col min="17" max="17" width="14" style="93" bestFit="1" customWidth="1"/>
    <col min="18" max="18" width="5.42578125" style="93" customWidth="1"/>
    <col min="19" max="27" width="5.28515625" style="93" customWidth="1"/>
    <col min="28" max="28" width="17" style="93" customWidth="1"/>
    <col min="29" max="16384" width="7.85546875" style="93"/>
  </cols>
  <sheetData>
    <row r="1" spans="1:15" s="32" customFormat="1" ht="12.75">
      <c r="A1" s="367" t="s">
        <v>51</v>
      </c>
      <c r="B1" s="368" t="s">
        <v>138</v>
      </c>
      <c r="C1" s="290"/>
      <c r="D1" s="368"/>
      <c r="E1" s="291"/>
      <c r="F1" s="291"/>
      <c r="G1" s="292"/>
      <c r="H1" s="293" t="s">
        <v>69</v>
      </c>
      <c r="I1" s="294">
        <v>313</v>
      </c>
      <c r="J1" s="295"/>
      <c r="K1" s="368"/>
      <c r="L1" s="368"/>
      <c r="M1" s="39"/>
      <c r="N1" s="33"/>
    </row>
    <row r="2" spans="1:15" s="32" customFormat="1" ht="12.75">
      <c r="A2" s="369" t="s">
        <v>25</v>
      </c>
      <c r="B2" s="304" t="s">
        <v>139</v>
      </c>
      <c r="C2" s="297"/>
      <c r="D2" s="304"/>
      <c r="E2" s="298"/>
      <c r="F2" s="298"/>
      <c r="G2" s="299"/>
      <c r="H2" s="300" t="s">
        <v>70</v>
      </c>
      <c r="I2" s="370">
        <v>313</v>
      </c>
      <c r="J2" s="302"/>
      <c r="K2" s="304"/>
      <c r="L2" s="304"/>
      <c r="M2" s="371"/>
      <c r="N2" s="35"/>
    </row>
    <row r="3" spans="1:15" s="36" customFormat="1" ht="11.25" customHeight="1">
      <c r="A3" s="372" t="s">
        <v>50</v>
      </c>
      <c r="B3" s="634">
        <v>45565</v>
      </c>
      <c r="C3" s="297"/>
      <c r="D3" s="298"/>
      <c r="E3" s="298"/>
      <c r="F3" s="298"/>
      <c r="G3" s="299"/>
      <c r="H3" s="303" t="s">
        <v>71</v>
      </c>
      <c r="I3" s="374">
        <v>210</v>
      </c>
      <c r="J3" s="302"/>
      <c r="K3" s="304"/>
      <c r="L3" s="304"/>
      <c r="M3" s="373"/>
      <c r="N3" s="37"/>
    </row>
    <row r="4" spans="1:15" s="32" customFormat="1" ht="12.75">
      <c r="A4" s="372" t="s">
        <v>49</v>
      </c>
      <c r="B4" s="304" t="s">
        <v>140</v>
      </c>
      <c r="C4" s="297"/>
      <c r="D4" s="298"/>
      <c r="E4" s="298"/>
      <c r="F4" s="298"/>
      <c r="G4" s="299"/>
      <c r="H4" s="303" t="s">
        <v>72</v>
      </c>
      <c r="I4" s="374" t="s">
        <v>154</v>
      </c>
      <c r="J4" s="302"/>
      <c r="K4" s="304"/>
      <c r="L4" s="304"/>
      <c r="M4" s="371"/>
      <c r="N4" s="33"/>
    </row>
    <row r="5" spans="1:15" s="54" customFormat="1" ht="12.75">
      <c r="A5" s="369" t="s">
        <v>24</v>
      </c>
      <c r="B5" s="307" t="s">
        <v>26</v>
      </c>
      <c r="C5" s="297"/>
      <c r="D5" s="298"/>
      <c r="E5" s="298"/>
      <c r="F5" s="298"/>
      <c r="G5" s="299"/>
      <c r="H5" s="303"/>
      <c r="I5" s="375"/>
      <c r="J5" s="302"/>
      <c r="K5" s="304"/>
      <c r="L5" s="304"/>
      <c r="M5" s="53"/>
      <c r="N5" s="52"/>
    </row>
    <row r="6" spans="1:15" s="52" customFormat="1" ht="13.5" thickBot="1">
      <c r="A6" s="376"/>
      <c r="B6" s="377"/>
      <c r="C6" s="310"/>
      <c r="D6" s="311"/>
      <c r="E6" s="311"/>
      <c r="F6" s="311"/>
      <c r="G6" s="312"/>
      <c r="H6" s="313"/>
      <c r="I6" s="314"/>
      <c r="J6" s="312"/>
      <c r="K6" s="407"/>
      <c r="L6" s="377"/>
      <c r="M6" s="378"/>
    </row>
    <row r="7" spans="1:15" s="54" customFormat="1" ht="13.15" customHeight="1">
      <c r="A7" s="38" t="s">
        <v>27</v>
      </c>
      <c r="B7" s="20"/>
      <c r="C7" s="21"/>
      <c r="D7" s="255"/>
      <c r="E7" s="356" t="s">
        <v>54</v>
      </c>
      <c r="F7" s="20"/>
      <c r="G7" s="41" t="s">
        <v>28</v>
      </c>
      <c r="H7" s="42"/>
      <c r="I7" s="43" t="s">
        <v>29</v>
      </c>
      <c r="J7" s="43"/>
      <c r="K7" s="44"/>
      <c r="L7" s="968" t="s">
        <v>86</v>
      </c>
      <c r="M7" s="969"/>
      <c r="N7" s="52"/>
      <c r="O7" s="52"/>
    </row>
    <row r="8" spans="1:15" s="74" customFormat="1" ht="11.25" customHeight="1">
      <c r="A8" s="45"/>
      <c r="B8" s="46"/>
      <c r="C8" s="47"/>
      <c r="D8" s="256"/>
      <c r="E8" s="357"/>
      <c r="F8" s="256"/>
      <c r="G8" s="48"/>
      <c r="H8" s="49"/>
      <c r="I8" s="50"/>
      <c r="J8" s="50"/>
      <c r="K8" s="51"/>
      <c r="L8" s="53"/>
      <c r="M8" s="53"/>
      <c r="N8" s="73"/>
    </row>
    <row r="9" spans="1:15" s="79" customFormat="1">
      <c r="C9" s="55"/>
      <c r="D9" s="257"/>
      <c r="E9" s="357" t="s">
        <v>30</v>
      </c>
      <c r="F9" s="256"/>
      <c r="G9" s="48"/>
      <c r="H9" s="49"/>
      <c r="I9" s="56"/>
      <c r="J9" s="56"/>
      <c r="K9" s="51"/>
      <c r="L9" s="58"/>
      <c r="M9" s="59"/>
      <c r="N9" s="77"/>
      <c r="O9" s="78"/>
    </row>
    <row r="10" spans="1:15" s="79" customFormat="1">
      <c r="A10" s="60" t="s">
        <v>31</v>
      </c>
      <c r="B10" s="61" t="s">
        <v>32</v>
      </c>
      <c r="C10" s="62" t="s">
        <v>33</v>
      </c>
      <c r="D10" s="63" t="s">
        <v>66</v>
      </c>
      <c r="E10" s="57" t="s">
        <v>34</v>
      </c>
      <c r="F10" s="63" t="s">
        <v>35</v>
      </c>
      <c r="G10" s="48" t="s">
        <v>2</v>
      </c>
      <c r="H10" s="49" t="s">
        <v>36</v>
      </c>
      <c r="I10" s="50" t="s">
        <v>36</v>
      </c>
      <c r="J10" s="50" t="s">
        <v>2</v>
      </c>
      <c r="K10" s="408" t="s">
        <v>48</v>
      </c>
      <c r="L10" s="58" t="s">
        <v>85</v>
      </c>
      <c r="M10" s="58" t="s">
        <v>53</v>
      </c>
      <c r="N10" s="17"/>
    </row>
    <row r="11" spans="1:15" s="79" customFormat="1" ht="12" thickBot="1">
      <c r="A11" s="64" t="s">
        <v>37</v>
      </c>
      <c r="B11" s="65" t="s">
        <v>37</v>
      </c>
      <c r="C11" s="66" t="s">
        <v>38</v>
      </c>
      <c r="D11" s="67" t="s">
        <v>81</v>
      </c>
      <c r="E11" s="71" t="s">
        <v>38</v>
      </c>
      <c r="F11" s="67" t="s">
        <v>38</v>
      </c>
      <c r="G11" s="68" t="s">
        <v>52</v>
      </c>
      <c r="H11" s="69" t="s">
        <v>39</v>
      </c>
      <c r="I11" s="70" t="s">
        <v>39</v>
      </c>
      <c r="J11" s="70" t="s">
        <v>52</v>
      </c>
      <c r="K11" s="409"/>
      <c r="L11" s="406"/>
      <c r="M11" s="72" t="s">
        <v>38</v>
      </c>
      <c r="N11" s="17"/>
    </row>
    <row r="12" spans="1:15" s="79" customFormat="1">
      <c r="A12" s="284"/>
      <c r="B12" s="91"/>
      <c r="C12" s="351">
        <v>0</v>
      </c>
      <c r="D12" s="285"/>
      <c r="E12" s="358"/>
      <c r="F12" s="359"/>
      <c r="G12" s="24"/>
      <c r="H12" s="75"/>
      <c r="I12" s="252"/>
      <c r="J12" s="253"/>
      <c r="K12" s="246"/>
      <c r="L12" s="23" t="s">
        <v>40</v>
      </c>
      <c r="M12" s="76">
        <v>313</v>
      </c>
      <c r="N12" s="18"/>
    </row>
    <row r="13" spans="1:15" s="79" customFormat="1">
      <c r="A13" s="284"/>
      <c r="B13" s="91">
        <v>0</v>
      </c>
      <c r="C13" s="351">
        <v>60</v>
      </c>
      <c r="D13" s="285">
        <v>966</v>
      </c>
      <c r="E13" s="360">
        <f>C12</f>
        <v>0</v>
      </c>
      <c r="F13" s="80">
        <f>(C13+C14-10)/2</f>
        <v>76.5</v>
      </c>
      <c r="G13" s="16">
        <f t="shared" ref="G13:G54" si="0">(A13-B13)/966</f>
        <v>0</v>
      </c>
      <c r="H13" s="82">
        <f t="shared" ref="H13:H54" si="1">(G13*(F13-E13))/100</f>
        <v>0</v>
      </c>
      <c r="I13" s="83">
        <f>SUM(H$13:H13)</f>
        <v>0</v>
      </c>
      <c r="J13" s="254">
        <f t="shared" ref="J13:J54" si="2">I13/F13*100</f>
        <v>0</v>
      </c>
      <c r="K13" s="246" t="s">
        <v>194</v>
      </c>
      <c r="L13" s="22" t="s">
        <v>197</v>
      </c>
      <c r="M13" s="84">
        <v>322</v>
      </c>
      <c r="N13" s="17"/>
    </row>
    <row r="14" spans="1:15" s="79" customFormat="1" ht="22.5">
      <c r="A14" s="284"/>
      <c r="B14" s="91">
        <v>0</v>
      </c>
      <c r="C14" s="351">
        <v>103</v>
      </c>
      <c r="D14" s="285">
        <v>966</v>
      </c>
      <c r="E14" s="360">
        <f>(C13+C14-10)/2</f>
        <v>76.5</v>
      </c>
      <c r="F14" s="80">
        <f t="shared" ref="F14:F53" si="3">(C14+C15-10)/2</f>
        <v>203</v>
      </c>
      <c r="G14" s="16">
        <f t="shared" si="0"/>
        <v>0</v>
      </c>
      <c r="H14" s="82">
        <f t="shared" si="1"/>
        <v>0</v>
      </c>
      <c r="I14" s="83">
        <f>SUM(H$13:H14)</f>
        <v>0</v>
      </c>
      <c r="J14" s="254">
        <f t="shared" si="2"/>
        <v>0</v>
      </c>
      <c r="K14" s="246" t="s">
        <v>195</v>
      </c>
      <c r="L14" s="22" t="s">
        <v>41</v>
      </c>
      <c r="M14" s="84"/>
      <c r="N14" s="17"/>
    </row>
    <row r="15" spans="1:15" s="79" customFormat="1" ht="22.5">
      <c r="A15" s="284"/>
      <c r="B15" s="91">
        <v>0</v>
      </c>
      <c r="C15" s="351">
        <v>313</v>
      </c>
      <c r="D15" s="285">
        <v>966</v>
      </c>
      <c r="E15" s="360">
        <f>(C14+C15-10)/2</f>
        <v>203</v>
      </c>
      <c r="F15" s="80">
        <f t="shared" si="3"/>
        <v>171.5</v>
      </c>
      <c r="G15" s="16">
        <f t="shared" si="0"/>
        <v>0</v>
      </c>
      <c r="H15" s="82">
        <f t="shared" si="1"/>
        <v>0</v>
      </c>
      <c r="I15" s="83">
        <f>SUM(H$13:H15)</f>
        <v>0</v>
      </c>
      <c r="J15" s="254">
        <f t="shared" si="2"/>
        <v>0</v>
      </c>
      <c r="K15" s="246" t="s">
        <v>196</v>
      </c>
      <c r="L15" s="22" t="s">
        <v>41</v>
      </c>
      <c r="M15" s="85"/>
      <c r="N15" s="17"/>
    </row>
    <row r="16" spans="1:15" s="79" customFormat="1">
      <c r="A16" s="286"/>
      <c r="B16" s="91">
        <v>0</v>
      </c>
      <c r="C16" s="351">
        <v>40</v>
      </c>
      <c r="D16" s="285">
        <v>966</v>
      </c>
      <c r="E16" s="360">
        <f t="shared" ref="E16:E54" si="4">(C15+C16-10)/2</f>
        <v>171.5</v>
      </c>
      <c r="F16" s="80">
        <f t="shared" si="3"/>
        <v>40</v>
      </c>
      <c r="G16" s="16">
        <f t="shared" si="0"/>
        <v>0</v>
      </c>
      <c r="H16" s="82">
        <f t="shared" si="1"/>
        <v>0</v>
      </c>
      <c r="I16" s="83">
        <f>SUM(H$13:H16)</f>
        <v>0</v>
      </c>
      <c r="J16" s="254">
        <f t="shared" si="2"/>
        <v>0</v>
      </c>
      <c r="K16" s="246"/>
      <c r="L16" s="22" t="s">
        <v>41</v>
      </c>
      <c r="M16" s="84"/>
      <c r="N16" s="17"/>
    </row>
    <row r="17" spans="1:16" s="79" customFormat="1">
      <c r="A17" s="286"/>
      <c r="B17" s="91">
        <v>0</v>
      </c>
      <c r="C17" s="351">
        <v>50</v>
      </c>
      <c r="D17" s="285">
        <v>966</v>
      </c>
      <c r="E17" s="360">
        <f t="shared" si="4"/>
        <v>40</v>
      </c>
      <c r="F17" s="80">
        <f t="shared" si="3"/>
        <v>50</v>
      </c>
      <c r="G17" s="16">
        <f t="shared" si="0"/>
        <v>0</v>
      </c>
      <c r="H17" s="82">
        <f t="shared" si="1"/>
        <v>0</v>
      </c>
      <c r="I17" s="83">
        <f>SUM(H$13:H17)</f>
        <v>0</v>
      </c>
      <c r="J17" s="254">
        <f t="shared" si="2"/>
        <v>0</v>
      </c>
      <c r="K17" s="247" t="s">
        <v>47</v>
      </c>
      <c r="L17" s="22" t="s">
        <v>41</v>
      </c>
      <c r="M17" s="84"/>
      <c r="N17" s="77"/>
    </row>
    <row r="18" spans="1:16" s="79" customFormat="1">
      <c r="A18" s="286"/>
      <c r="B18" s="91">
        <v>0</v>
      </c>
      <c r="C18" s="351">
        <v>60</v>
      </c>
      <c r="D18" s="285">
        <v>966</v>
      </c>
      <c r="E18" s="360">
        <f t="shared" si="4"/>
        <v>50</v>
      </c>
      <c r="F18" s="80">
        <f t="shared" si="3"/>
        <v>60</v>
      </c>
      <c r="G18" s="16">
        <f t="shared" si="0"/>
        <v>0</v>
      </c>
      <c r="H18" s="82">
        <f t="shared" si="1"/>
        <v>0</v>
      </c>
      <c r="I18" s="83">
        <f>SUM(H$13:H18)</f>
        <v>0</v>
      </c>
      <c r="J18" s="254">
        <f t="shared" si="2"/>
        <v>0</v>
      </c>
      <c r="K18" s="244"/>
      <c r="L18" s="22" t="s">
        <v>41</v>
      </c>
      <c r="M18" s="84"/>
      <c r="N18" s="77"/>
    </row>
    <row r="19" spans="1:16" s="79" customFormat="1" ht="10.15" customHeight="1">
      <c r="A19" s="286"/>
      <c r="B19" s="91">
        <v>0</v>
      </c>
      <c r="C19" s="351">
        <v>70</v>
      </c>
      <c r="D19" s="285">
        <v>966</v>
      </c>
      <c r="E19" s="360">
        <f t="shared" si="4"/>
        <v>60</v>
      </c>
      <c r="F19" s="80">
        <f t="shared" si="3"/>
        <v>70</v>
      </c>
      <c r="G19" s="16">
        <f t="shared" si="0"/>
        <v>0</v>
      </c>
      <c r="H19" s="82">
        <f t="shared" si="1"/>
        <v>0</v>
      </c>
      <c r="I19" s="83">
        <f>SUM(H$13:H19)</f>
        <v>0</v>
      </c>
      <c r="J19" s="254">
        <f t="shared" si="2"/>
        <v>0</v>
      </c>
      <c r="K19" s="244"/>
      <c r="L19" s="22" t="s">
        <v>41</v>
      </c>
      <c r="M19" s="84"/>
      <c r="N19" s="87"/>
    </row>
    <row r="20" spans="1:16" s="79" customFormat="1">
      <c r="A20" s="286"/>
      <c r="B20" s="91">
        <v>0</v>
      </c>
      <c r="C20" s="351">
        <v>80</v>
      </c>
      <c r="D20" s="285">
        <v>966</v>
      </c>
      <c r="E20" s="360">
        <f t="shared" si="4"/>
        <v>70</v>
      </c>
      <c r="F20" s="80">
        <f t="shared" si="3"/>
        <v>80</v>
      </c>
      <c r="G20" s="16">
        <f t="shared" si="0"/>
        <v>0</v>
      </c>
      <c r="H20" s="82">
        <f t="shared" si="1"/>
        <v>0</v>
      </c>
      <c r="I20" s="83">
        <f>SUM(H$13:H20)</f>
        <v>0</v>
      </c>
      <c r="J20" s="254">
        <f t="shared" si="2"/>
        <v>0</v>
      </c>
      <c r="K20" s="246"/>
      <c r="L20" s="22" t="s">
        <v>41</v>
      </c>
      <c r="M20" s="84"/>
      <c r="N20" s="89"/>
    </row>
    <row r="21" spans="1:16" s="90" customFormat="1">
      <c r="A21" s="286"/>
      <c r="B21" s="91">
        <v>0</v>
      </c>
      <c r="C21" s="351">
        <v>90</v>
      </c>
      <c r="D21" s="285">
        <v>966</v>
      </c>
      <c r="E21" s="360">
        <f t="shared" si="4"/>
        <v>80</v>
      </c>
      <c r="F21" s="80">
        <f t="shared" si="3"/>
        <v>90</v>
      </c>
      <c r="G21" s="16">
        <f t="shared" si="0"/>
        <v>0</v>
      </c>
      <c r="H21" s="82">
        <f t="shared" si="1"/>
        <v>0</v>
      </c>
      <c r="I21" s="83">
        <f>SUM(H$13:H21)</f>
        <v>0</v>
      </c>
      <c r="J21" s="254">
        <f t="shared" si="2"/>
        <v>0</v>
      </c>
      <c r="K21" s="248"/>
      <c r="L21" s="22" t="s">
        <v>41</v>
      </c>
      <c r="M21" s="84"/>
      <c r="N21" s="89"/>
    </row>
    <row r="22" spans="1:16" s="90" customFormat="1">
      <c r="A22" s="286"/>
      <c r="B22" s="91">
        <v>0</v>
      </c>
      <c r="C22" s="351">
        <v>100</v>
      </c>
      <c r="D22" s="285">
        <v>966</v>
      </c>
      <c r="E22" s="360">
        <f t="shared" si="4"/>
        <v>90</v>
      </c>
      <c r="F22" s="80">
        <f t="shared" si="3"/>
        <v>100</v>
      </c>
      <c r="G22" s="16">
        <f t="shared" si="0"/>
        <v>0</v>
      </c>
      <c r="H22" s="82">
        <f t="shared" si="1"/>
        <v>0</v>
      </c>
      <c r="I22" s="83">
        <f>SUM(H$13:H22)</f>
        <v>0</v>
      </c>
      <c r="J22" s="254">
        <f t="shared" si="2"/>
        <v>0</v>
      </c>
      <c r="K22" s="246"/>
      <c r="L22" s="22" t="s">
        <v>41</v>
      </c>
      <c r="M22" s="86"/>
      <c r="N22" s="89"/>
    </row>
    <row r="23" spans="1:16" s="90" customFormat="1">
      <c r="A23" s="286"/>
      <c r="B23" s="91">
        <v>0</v>
      </c>
      <c r="C23" s="351">
        <v>110</v>
      </c>
      <c r="D23" s="285">
        <v>966</v>
      </c>
      <c r="E23" s="360">
        <f t="shared" si="4"/>
        <v>100</v>
      </c>
      <c r="F23" s="80">
        <f t="shared" si="3"/>
        <v>110</v>
      </c>
      <c r="G23" s="16">
        <f t="shared" si="0"/>
        <v>0</v>
      </c>
      <c r="H23" s="82">
        <f t="shared" si="1"/>
        <v>0</v>
      </c>
      <c r="I23" s="83">
        <f>SUM(H$13:H23)</f>
        <v>0</v>
      </c>
      <c r="J23" s="254">
        <f t="shared" si="2"/>
        <v>0</v>
      </c>
      <c r="K23" s="249"/>
      <c r="L23" s="22" t="s">
        <v>41</v>
      </c>
      <c r="M23" s="88"/>
      <c r="N23" s="92"/>
    </row>
    <row r="24" spans="1:16" s="90" customFormat="1">
      <c r="A24" s="286"/>
      <c r="B24" s="91">
        <v>0</v>
      </c>
      <c r="C24" s="351">
        <v>120</v>
      </c>
      <c r="D24" s="285">
        <v>966</v>
      </c>
      <c r="E24" s="360">
        <f t="shared" si="4"/>
        <v>110</v>
      </c>
      <c r="F24" s="80">
        <f t="shared" si="3"/>
        <v>120</v>
      </c>
      <c r="G24" s="16">
        <f t="shared" si="0"/>
        <v>0</v>
      </c>
      <c r="H24" s="82">
        <f t="shared" si="1"/>
        <v>0</v>
      </c>
      <c r="I24" s="83">
        <f>SUM(H$13:H24)</f>
        <v>0</v>
      </c>
      <c r="J24" s="254">
        <f t="shared" si="2"/>
        <v>0</v>
      </c>
      <c r="K24" s="250"/>
      <c r="L24" s="22" t="s">
        <v>41</v>
      </c>
      <c r="M24" s="88"/>
      <c r="N24" s="92"/>
    </row>
    <row r="25" spans="1:16" s="90" customFormat="1">
      <c r="A25" s="286"/>
      <c r="B25" s="91">
        <v>0</v>
      </c>
      <c r="C25" s="351">
        <v>130</v>
      </c>
      <c r="D25" s="285">
        <v>966</v>
      </c>
      <c r="E25" s="360">
        <f t="shared" si="4"/>
        <v>120</v>
      </c>
      <c r="F25" s="80">
        <f t="shared" si="3"/>
        <v>130</v>
      </c>
      <c r="G25" s="16">
        <f t="shared" si="0"/>
        <v>0</v>
      </c>
      <c r="H25" s="82">
        <f t="shared" si="1"/>
        <v>0</v>
      </c>
      <c r="I25" s="83">
        <f>SUM(H$13:H25)</f>
        <v>0</v>
      </c>
      <c r="J25" s="254">
        <f t="shared" si="2"/>
        <v>0</v>
      </c>
      <c r="K25" s="250"/>
      <c r="L25" s="22" t="s">
        <v>41</v>
      </c>
      <c r="M25" s="88"/>
      <c r="N25" s="92"/>
    </row>
    <row r="26" spans="1:16" s="90" customFormat="1">
      <c r="A26" s="286"/>
      <c r="B26" s="91">
        <v>0</v>
      </c>
      <c r="C26" s="351">
        <v>140</v>
      </c>
      <c r="D26" s="285">
        <v>966</v>
      </c>
      <c r="E26" s="360">
        <f t="shared" si="4"/>
        <v>130</v>
      </c>
      <c r="F26" s="80">
        <f t="shared" si="3"/>
        <v>140</v>
      </c>
      <c r="G26" s="16">
        <f t="shared" si="0"/>
        <v>0</v>
      </c>
      <c r="H26" s="82">
        <f t="shared" si="1"/>
        <v>0</v>
      </c>
      <c r="I26" s="83">
        <f>SUM(H$13:H26)</f>
        <v>0</v>
      </c>
      <c r="J26" s="254">
        <f t="shared" si="2"/>
        <v>0</v>
      </c>
      <c r="K26" s="250"/>
      <c r="L26" s="22" t="s">
        <v>41</v>
      </c>
      <c r="M26" s="84"/>
      <c r="N26" s="92"/>
    </row>
    <row r="27" spans="1:16" s="90" customFormat="1">
      <c r="A27" s="286"/>
      <c r="B27" s="91">
        <v>0</v>
      </c>
      <c r="C27" s="351">
        <v>150</v>
      </c>
      <c r="D27" s="285">
        <v>966</v>
      </c>
      <c r="E27" s="360">
        <f t="shared" si="4"/>
        <v>140</v>
      </c>
      <c r="F27" s="80">
        <f t="shared" si="3"/>
        <v>150</v>
      </c>
      <c r="G27" s="16">
        <f t="shared" si="0"/>
        <v>0</v>
      </c>
      <c r="H27" s="82">
        <f t="shared" si="1"/>
        <v>0</v>
      </c>
      <c r="I27" s="83">
        <f>SUM(H$13:H27)</f>
        <v>0</v>
      </c>
      <c r="J27" s="254">
        <f t="shared" si="2"/>
        <v>0</v>
      </c>
      <c r="K27" s="250"/>
      <c r="L27" s="22" t="s">
        <v>41</v>
      </c>
      <c r="M27" s="84"/>
      <c r="N27" s="92"/>
    </row>
    <row r="28" spans="1:16" s="90" customFormat="1">
      <c r="A28" s="286"/>
      <c r="B28" s="91">
        <v>0</v>
      </c>
      <c r="C28" s="351">
        <v>160</v>
      </c>
      <c r="D28" s="285">
        <v>966</v>
      </c>
      <c r="E28" s="360">
        <f t="shared" si="4"/>
        <v>150</v>
      </c>
      <c r="F28" s="80">
        <f t="shared" si="3"/>
        <v>160</v>
      </c>
      <c r="G28" s="16">
        <f t="shared" si="0"/>
        <v>0</v>
      </c>
      <c r="H28" s="82">
        <f t="shared" si="1"/>
        <v>0</v>
      </c>
      <c r="I28" s="83">
        <f>SUM(H$13:H28)</f>
        <v>0</v>
      </c>
      <c r="J28" s="254">
        <f t="shared" si="2"/>
        <v>0</v>
      </c>
      <c r="K28" s="250"/>
      <c r="L28" s="22" t="s">
        <v>41</v>
      </c>
      <c r="M28" s="84"/>
      <c r="N28" s="92"/>
    </row>
    <row r="29" spans="1:16">
      <c r="A29" s="286"/>
      <c r="B29" s="91">
        <v>0</v>
      </c>
      <c r="C29" s="351">
        <v>170</v>
      </c>
      <c r="D29" s="285">
        <v>966</v>
      </c>
      <c r="E29" s="360">
        <f t="shared" si="4"/>
        <v>160</v>
      </c>
      <c r="F29" s="80">
        <f t="shared" si="3"/>
        <v>170</v>
      </c>
      <c r="G29" s="16">
        <f t="shared" si="0"/>
        <v>0</v>
      </c>
      <c r="H29" s="82">
        <f t="shared" si="1"/>
        <v>0</v>
      </c>
      <c r="I29" s="83">
        <f>SUM(H$13:H29)</f>
        <v>0</v>
      </c>
      <c r="J29" s="254">
        <f t="shared" si="2"/>
        <v>0</v>
      </c>
      <c r="K29" s="250"/>
      <c r="L29" s="22" t="s">
        <v>41</v>
      </c>
      <c r="M29" s="84"/>
      <c r="N29" s="92"/>
      <c r="O29" s="90"/>
      <c r="P29" s="90"/>
    </row>
    <row r="30" spans="1:16">
      <c r="A30" s="286"/>
      <c r="B30" s="91">
        <v>0</v>
      </c>
      <c r="C30" s="351">
        <v>180</v>
      </c>
      <c r="D30" s="285">
        <v>966</v>
      </c>
      <c r="E30" s="360">
        <f t="shared" si="4"/>
        <v>170</v>
      </c>
      <c r="F30" s="80">
        <f t="shared" si="3"/>
        <v>180</v>
      </c>
      <c r="G30" s="16">
        <f t="shared" si="0"/>
        <v>0</v>
      </c>
      <c r="H30" s="82">
        <f t="shared" si="1"/>
        <v>0</v>
      </c>
      <c r="I30" s="83">
        <f>SUM(H$13:H30)</f>
        <v>0</v>
      </c>
      <c r="J30" s="254">
        <f t="shared" si="2"/>
        <v>0</v>
      </c>
      <c r="K30" s="250"/>
      <c r="L30" s="22" t="s">
        <v>41</v>
      </c>
      <c r="M30" s="84"/>
      <c r="N30" s="92"/>
      <c r="O30" s="90"/>
      <c r="P30" s="90"/>
    </row>
    <row r="31" spans="1:16">
      <c r="A31" s="286"/>
      <c r="B31" s="91">
        <v>0</v>
      </c>
      <c r="C31" s="351">
        <v>190</v>
      </c>
      <c r="D31" s="285">
        <v>966</v>
      </c>
      <c r="E31" s="360">
        <f t="shared" si="4"/>
        <v>180</v>
      </c>
      <c r="F31" s="80">
        <f t="shared" si="3"/>
        <v>190</v>
      </c>
      <c r="G31" s="16">
        <f t="shared" si="0"/>
        <v>0</v>
      </c>
      <c r="H31" s="82">
        <f t="shared" si="1"/>
        <v>0</v>
      </c>
      <c r="I31" s="83">
        <f>SUM(H$13:H31)</f>
        <v>0</v>
      </c>
      <c r="J31" s="254">
        <f t="shared" si="2"/>
        <v>0</v>
      </c>
      <c r="K31" s="250"/>
      <c r="L31" s="22" t="s">
        <v>41</v>
      </c>
      <c r="M31" s="84"/>
      <c r="N31" s="92"/>
      <c r="O31" s="90"/>
      <c r="P31" s="90"/>
    </row>
    <row r="32" spans="1:16">
      <c r="A32" s="286"/>
      <c r="B32" s="91">
        <v>0</v>
      </c>
      <c r="C32" s="351">
        <v>200</v>
      </c>
      <c r="D32" s="285">
        <v>966</v>
      </c>
      <c r="E32" s="360">
        <f t="shared" si="4"/>
        <v>190</v>
      </c>
      <c r="F32" s="80">
        <f t="shared" si="3"/>
        <v>200</v>
      </c>
      <c r="G32" s="16">
        <f t="shared" si="0"/>
        <v>0</v>
      </c>
      <c r="H32" s="82">
        <f t="shared" si="1"/>
        <v>0</v>
      </c>
      <c r="I32" s="83">
        <f>SUM(H$13:H32)</f>
        <v>0</v>
      </c>
      <c r="J32" s="254">
        <f t="shared" si="2"/>
        <v>0</v>
      </c>
      <c r="K32" s="251"/>
      <c r="L32" s="22" t="s">
        <v>41</v>
      </c>
      <c r="M32" s="84"/>
      <c r="N32" s="92"/>
      <c r="O32" s="90"/>
      <c r="P32" s="90"/>
    </row>
    <row r="33" spans="1:17">
      <c r="A33" s="286"/>
      <c r="B33" s="91">
        <v>0</v>
      </c>
      <c r="C33" s="351">
        <v>210</v>
      </c>
      <c r="D33" s="285">
        <v>966</v>
      </c>
      <c r="E33" s="360">
        <f t="shared" si="4"/>
        <v>200</v>
      </c>
      <c r="F33" s="80">
        <f t="shared" si="3"/>
        <v>210</v>
      </c>
      <c r="G33" s="16">
        <f t="shared" si="0"/>
        <v>0</v>
      </c>
      <c r="H33" s="82">
        <f t="shared" si="1"/>
        <v>0</v>
      </c>
      <c r="I33" s="83">
        <f>SUM(H$13:H33)</f>
        <v>0</v>
      </c>
      <c r="J33" s="254">
        <f t="shared" si="2"/>
        <v>0</v>
      </c>
      <c r="K33" s="251"/>
      <c r="L33" s="22" t="s">
        <v>41</v>
      </c>
      <c r="M33" s="84"/>
      <c r="N33" s="92"/>
      <c r="O33" s="90"/>
      <c r="P33" s="90"/>
    </row>
    <row r="34" spans="1:17">
      <c r="A34" s="286"/>
      <c r="B34" s="91">
        <v>0</v>
      </c>
      <c r="C34" s="351">
        <v>220</v>
      </c>
      <c r="D34" s="285">
        <v>966</v>
      </c>
      <c r="E34" s="360">
        <f t="shared" si="4"/>
        <v>210</v>
      </c>
      <c r="F34" s="80">
        <f t="shared" si="3"/>
        <v>220</v>
      </c>
      <c r="G34" s="16">
        <f t="shared" si="0"/>
        <v>0</v>
      </c>
      <c r="H34" s="82">
        <f t="shared" si="1"/>
        <v>0</v>
      </c>
      <c r="I34" s="83">
        <f>SUM(H$13:H34)</f>
        <v>0</v>
      </c>
      <c r="J34" s="254">
        <f t="shared" si="2"/>
        <v>0</v>
      </c>
      <c r="K34" s="251"/>
      <c r="L34" s="22"/>
      <c r="M34" s="84"/>
      <c r="N34" s="94"/>
      <c r="O34" s="93"/>
      <c r="P34" s="93"/>
    </row>
    <row r="35" spans="1:17">
      <c r="A35" s="286"/>
      <c r="B35" s="91">
        <v>0</v>
      </c>
      <c r="C35" s="351">
        <v>230</v>
      </c>
      <c r="D35" s="285">
        <v>966</v>
      </c>
      <c r="E35" s="360">
        <f t="shared" si="4"/>
        <v>220</v>
      </c>
      <c r="F35" s="80">
        <f t="shared" si="3"/>
        <v>230</v>
      </c>
      <c r="G35" s="16">
        <f t="shared" si="0"/>
        <v>0</v>
      </c>
      <c r="H35" s="82">
        <f t="shared" si="1"/>
        <v>0</v>
      </c>
      <c r="I35" s="83">
        <f>SUM(H$13:H35)</f>
        <v>0</v>
      </c>
      <c r="J35" s="254">
        <f t="shared" si="2"/>
        <v>0</v>
      </c>
      <c r="K35" s="251"/>
      <c r="L35" s="22"/>
      <c r="M35" s="84"/>
      <c r="N35" s="238"/>
      <c r="O35" s="97"/>
      <c r="P35" s="239"/>
      <c r="Q35" s="97"/>
    </row>
    <row r="36" spans="1:17">
      <c r="A36" s="286"/>
      <c r="B36" s="91">
        <v>0</v>
      </c>
      <c r="C36" s="351">
        <v>240</v>
      </c>
      <c r="D36" s="285">
        <v>966</v>
      </c>
      <c r="E36" s="360">
        <f t="shared" si="4"/>
        <v>230</v>
      </c>
      <c r="F36" s="80">
        <f t="shared" si="3"/>
        <v>240</v>
      </c>
      <c r="G36" s="16">
        <f t="shared" si="0"/>
        <v>0</v>
      </c>
      <c r="H36" s="82">
        <f t="shared" si="1"/>
        <v>0</v>
      </c>
      <c r="I36" s="83">
        <f>SUM(H$13:H36)</f>
        <v>0</v>
      </c>
      <c r="J36" s="254">
        <f t="shared" si="2"/>
        <v>0</v>
      </c>
      <c r="K36" s="251"/>
      <c r="L36" s="22"/>
      <c r="M36" s="84"/>
      <c r="N36" s="238"/>
      <c r="O36" s="97"/>
      <c r="P36" s="240"/>
      <c r="Q36" s="97"/>
    </row>
    <row r="37" spans="1:17">
      <c r="A37" s="286"/>
      <c r="B37" s="91">
        <v>0</v>
      </c>
      <c r="C37" s="351">
        <v>250</v>
      </c>
      <c r="D37" s="285">
        <v>966</v>
      </c>
      <c r="E37" s="360">
        <f t="shared" si="4"/>
        <v>240</v>
      </c>
      <c r="F37" s="80">
        <f t="shared" si="3"/>
        <v>250</v>
      </c>
      <c r="G37" s="16">
        <f t="shared" si="0"/>
        <v>0</v>
      </c>
      <c r="H37" s="82">
        <f t="shared" si="1"/>
        <v>0</v>
      </c>
      <c r="I37" s="83">
        <f>SUM(H$13:H37)</f>
        <v>0</v>
      </c>
      <c r="J37" s="254">
        <f t="shared" si="2"/>
        <v>0</v>
      </c>
      <c r="K37" s="251"/>
      <c r="L37" s="22"/>
      <c r="M37" s="84"/>
      <c r="N37" s="241"/>
      <c r="O37" s="97"/>
      <c r="P37" s="97"/>
      <c r="Q37" s="97"/>
    </row>
    <row r="38" spans="1:17">
      <c r="A38" s="286"/>
      <c r="B38" s="91">
        <v>0</v>
      </c>
      <c r="C38" s="351">
        <v>260</v>
      </c>
      <c r="D38" s="285">
        <v>966</v>
      </c>
      <c r="E38" s="360">
        <f t="shared" si="4"/>
        <v>250</v>
      </c>
      <c r="F38" s="80">
        <f t="shared" si="3"/>
        <v>260</v>
      </c>
      <c r="G38" s="16">
        <f t="shared" si="0"/>
        <v>0</v>
      </c>
      <c r="H38" s="82">
        <f t="shared" si="1"/>
        <v>0</v>
      </c>
      <c r="I38" s="83">
        <f>SUM(H$13:H38)</f>
        <v>0</v>
      </c>
      <c r="J38" s="254">
        <f t="shared" si="2"/>
        <v>0</v>
      </c>
      <c r="K38" s="251"/>
      <c r="L38" s="22"/>
      <c r="M38" s="84"/>
      <c r="N38" s="98"/>
      <c r="O38" s="99"/>
      <c r="P38" s="93"/>
    </row>
    <row r="39" spans="1:17">
      <c r="A39" s="286"/>
      <c r="B39" s="91">
        <v>0</v>
      </c>
      <c r="C39" s="351">
        <v>270</v>
      </c>
      <c r="D39" s="285">
        <v>966</v>
      </c>
      <c r="E39" s="360">
        <f t="shared" si="4"/>
        <v>260</v>
      </c>
      <c r="F39" s="80">
        <f t="shared" si="3"/>
        <v>270</v>
      </c>
      <c r="G39" s="16">
        <f t="shared" si="0"/>
        <v>0</v>
      </c>
      <c r="H39" s="82">
        <f t="shared" si="1"/>
        <v>0</v>
      </c>
      <c r="I39" s="83">
        <f>SUM(H$13:H39)</f>
        <v>0</v>
      </c>
      <c r="J39" s="254">
        <f t="shared" si="2"/>
        <v>0</v>
      </c>
      <c r="K39" s="251"/>
      <c r="L39" s="22"/>
      <c r="M39" s="84"/>
      <c r="N39" s="99"/>
      <c r="O39" s="99"/>
      <c r="P39" s="93"/>
    </row>
    <row r="40" spans="1:17">
      <c r="A40" s="286"/>
      <c r="B40" s="91">
        <v>0</v>
      </c>
      <c r="C40" s="351">
        <v>280</v>
      </c>
      <c r="D40" s="285">
        <v>966</v>
      </c>
      <c r="E40" s="360">
        <f t="shared" si="4"/>
        <v>270</v>
      </c>
      <c r="F40" s="80">
        <f t="shared" si="3"/>
        <v>280</v>
      </c>
      <c r="G40" s="16">
        <f t="shared" si="0"/>
        <v>0</v>
      </c>
      <c r="H40" s="82">
        <f t="shared" si="1"/>
        <v>0</v>
      </c>
      <c r="I40" s="83">
        <f>SUM(H$13:H40)</f>
        <v>0</v>
      </c>
      <c r="J40" s="254">
        <f t="shared" si="2"/>
        <v>0</v>
      </c>
      <c r="K40" s="251"/>
      <c r="L40" s="22"/>
      <c r="M40" s="84"/>
      <c r="O40" s="93"/>
      <c r="P40" s="93"/>
    </row>
    <row r="41" spans="1:17">
      <c r="A41" s="286"/>
      <c r="B41" s="91">
        <v>0</v>
      </c>
      <c r="C41" s="351">
        <v>290</v>
      </c>
      <c r="D41" s="285">
        <v>966</v>
      </c>
      <c r="E41" s="360">
        <f t="shared" si="4"/>
        <v>280</v>
      </c>
      <c r="F41" s="80">
        <f t="shared" si="3"/>
        <v>290</v>
      </c>
      <c r="G41" s="16">
        <f t="shared" si="0"/>
        <v>0</v>
      </c>
      <c r="H41" s="82">
        <f t="shared" si="1"/>
        <v>0</v>
      </c>
      <c r="I41" s="83">
        <f>SUM(H$13:H41)</f>
        <v>0</v>
      </c>
      <c r="J41" s="254">
        <f t="shared" si="2"/>
        <v>0</v>
      </c>
      <c r="K41" s="251"/>
      <c r="L41" s="22"/>
      <c r="M41" s="84"/>
      <c r="O41" s="93"/>
      <c r="P41" s="93"/>
    </row>
    <row r="42" spans="1:17">
      <c r="A42" s="286"/>
      <c r="B42" s="91">
        <v>0</v>
      </c>
      <c r="C42" s="351">
        <v>300</v>
      </c>
      <c r="D42" s="285">
        <v>966</v>
      </c>
      <c r="E42" s="360">
        <f t="shared" si="4"/>
        <v>290</v>
      </c>
      <c r="F42" s="80">
        <f t="shared" si="3"/>
        <v>300</v>
      </c>
      <c r="G42" s="16">
        <f t="shared" si="0"/>
        <v>0</v>
      </c>
      <c r="H42" s="82">
        <f t="shared" si="1"/>
        <v>0</v>
      </c>
      <c r="I42" s="83">
        <f>SUM(H$13:H42)</f>
        <v>0</v>
      </c>
      <c r="J42" s="254">
        <f t="shared" si="2"/>
        <v>0</v>
      </c>
      <c r="K42" s="251"/>
      <c r="L42" s="22"/>
      <c r="M42" s="84"/>
      <c r="O42" s="93"/>
      <c r="P42" s="93"/>
    </row>
    <row r="43" spans="1:17">
      <c r="A43" s="286"/>
      <c r="B43" s="91">
        <v>0</v>
      </c>
      <c r="C43" s="351">
        <v>310</v>
      </c>
      <c r="D43" s="285">
        <v>966</v>
      </c>
      <c r="E43" s="360">
        <f t="shared" si="4"/>
        <v>300</v>
      </c>
      <c r="F43" s="80">
        <f t="shared" si="3"/>
        <v>310</v>
      </c>
      <c r="G43" s="16">
        <f t="shared" si="0"/>
        <v>0</v>
      </c>
      <c r="H43" s="82">
        <f t="shared" si="1"/>
        <v>0</v>
      </c>
      <c r="I43" s="83">
        <f>SUM(H$13:H43)</f>
        <v>0</v>
      </c>
      <c r="J43" s="254">
        <f t="shared" si="2"/>
        <v>0</v>
      </c>
      <c r="K43" s="251"/>
      <c r="L43" s="22"/>
      <c r="M43" s="84"/>
      <c r="O43" s="93"/>
      <c r="P43" s="93"/>
    </row>
    <row r="44" spans="1:17">
      <c r="A44" s="286"/>
      <c r="B44" s="91">
        <v>0</v>
      </c>
      <c r="C44" s="351">
        <v>320</v>
      </c>
      <c r="D44" s="285">
        <v>966</v>
      </c>
      <c r="E44" s="360">
        <f t="shared" si="4"/>
        <v>310</v>
      </c>
      <c r="F44" s="80">
        <f t="shared" si="3"/>
        <v>320</v>
      </c>
      <c r="G44" s="16">
        <f t="shared" si="0"/>
        <v>0</v>
      </c>
      <c r="H44" s="82">
        <f t="shared" si="1"/>
        <v>0</v>
      </c>
      <c r="I44" s="83">
        <f>SUM(H$13:H44)</f>
        <v>0</v>
      </c>
      <c r="J44" s="254">
        <f t="shared" si="2"/>
        <v>0</v>
      </c>
      <c r="K44" s="251"/>
      <c r="L44" s="22"/>
      <c r="M44" s="84"/>
      <c r="O44" s="93"/>
      <c r="P44" s="93"/>
    </row>
    <row r="45" spans="1:17">
      <c r="A45" s="286"/>
      <c r="B45" s="91">
        <v>0</v>
      </c>
      <c r="C45" s="351">
        <v>330</v>
      </c>
      <c r="D45" s="285">
        <v>966</v>
      </c>
      <c r="E45" s="360">
        <f t="shared" si="4"/>
        <v>320</v>
      </c>
      <c r="F45" s="80">
        <f t="shared" si="3"/>
        <v>330</v>
      </c>
      <c r="G45" s="16">
        <f t="shared" si="0"/>
        <v>0</v>
      </c>
      <c r="H45" s="82">
        <f t="shared" si="1"/>
        <v>0</v>
      </c>
      <c r="I45" s="83">
        <f>SUM(H$13:H45)</f>
        <v>0</v>
      </c>
      <c r="J45" s="254">
        <f t="shared" si="2"/>
        <v>0</v>
      </c>
      <c r="K45" s="251"/>
      <c r="L45" s="22"/>
      <c r="M45" s="84"/>
      <c r="O45" s="93"/>
      <c r="P45" s="93"/>
    </row>
    <row r="46" spans="1:17">
      <c r="A46" s="286"/>
      <c r="B46" s="91">
        <v>0</v>
      </c>
      <c r="C46" s="351">
        <v>340</v>
      </c>
      <c r="D46" s="285">
        <v>966</v>
      </c>
      <c r="E46" s="360">
        <f t="shared" si="4"/>
        <v>330</v>
      </c>
      <c r="F46" s="80">
        <f t="shared" si="3"/>
        <v>340</v>
      </c>
      <c r="G46" s="16">
        <f t="shared" si="0"/>
        <v>0</v>
      </c>
      <c r="H46" s="82">
        <f t="shared" si="1"/>
        <v>0</v>
      </c>
      <c r="I46" s="83">
        <f>SUM(H$13:H46)</f>
        <v>0</v>
      </c>
      <c r="J46" s="254">
        <f t="shared" si="2"/>
        <v>0</v>
      </c>
      <c r="K46" s="251"/>
      <c r="L46" s="22"/>
      <c r="M46" s="84"/>
      <c r="O46" s="93"/>
      <c r="P46" s="93"/>
    </row>
    <row r="47" spans="1:17">
      <c r="A47" s="286"/>
      <c r="B47" s="91">
        <v>0</v>
      </c>
      <c r="C47" s="351">
        <v>350</v>
      </c>
      <c r="D47" s="285">
        <v>966</v>
      </c>
      <c r="E47" s="360">
        <f t="shared" si="4"/>
        <v>340</v>
      </c>
      <c r="F47" s="80">
        <f t="shared" si="3"/>
        <v>350</v>
      </c>
      <c r="G47" s="16">
        <f t="shared" si="0"/>
        <v>0</v>
      </c>
      <c r="H47" s="82">
        <f t="shared" si="1"/>
        <v>0</v>
      </c>
      <c r="I47" s="83">
        <f>SUM(H$13:H47)</f>
        <v>0</v>
      </c>
      <c r="J47" s="254">
        <f t="shared" si="2"/>
        <v>0</v>
      </c>
      <c r="K47" s="251"/>
      <c r="L47" s="22"/>
      <c r="M47" s="84"/>
      <c r="O47" s="93"/>
      <c r="P47" s="93"/>
    </row>
    <row r="48" spans="1:17">
      <c r="A48" s="286"/>
      <c r="B48" s="91">
        <v>0</v>
      </c>
      <c r="C48" s="351">
        <v>360</v>
      </c>
      <c r="D48" s="285">
        <v>966</v>
      </c>
      <c r="E48" s="360">
        <f t="shared" si="4"/>
        <v>350</v>
      </c>
      <c r="F48" s="80">
        <f t="shared" si="3"/>
        <v>360</v>
      </c>
      <c r="G48" s="16">
        <f t="shared" si="0"/>
        <v>0</v>
      </c>
      <c r="H48" s="82">
        <f t="shared" si="1"/>
        <v>0</v>
      </c>
      <c r="I48" s="83">
        <f>SUM(H$13:H48)</f>
        <v>0</v>
      </c>
      <c r="J48" s="254">
        <f t="shared" si="2"/>
        <v>0</v>
      </c>
      <c r="K48" s="251"/>
      <c r="L48" s="22"/>
      <c r="M48" s="84"/>
      <c r="O48" s="93"/>
      <c r="P48" s="93"/>
    </row>
    <row r="49" spans="1:17">
      <c r="A49" s="286"/>
      <c r="B49" s="91">
        <v>0</v>
      </c>
      <c r="C49" s="351">
        <v>370</v>
      </c>
      <c r="D49" s="285">
        <v>966</v>
      </c>
      <c r="E49" s="360">
        <f t="shared" si="4"/>
        <v>360</v>
      </c>
      <c r="F49" s="80">
        <f t="shared" si="3"/>
        <v>370</v>
      </c>
      <c r="G49" s="16">
        <f t="shared" si="0"/>
        <v>0</v>
      </c>
      <c r="H49" s="82">
        <f t="shared" si="1"/>
        <v>0</v>
      </c>
      <c r="I49" s="83">
        <f>SUM(H$13:H49)</f>
        <v>0</v>
      </c>
      <c r="J49" s="254">
        <f t="shared" si="2"/>
        <v>0</v>
      </c>
      <c r="K49" s="251"/>
      <c r="L49" s="22"/>
      <c r="M49" s="84"/>
      <c r="O49" s="93"/>
      <c r="P49" s="93"/>
    </row>
    <row r="50" spans="1:17">
      <c r="A50" s="286"/>
      <c r="B50" s="91">
        <v>0</v>
      </c>
      <c r="C50" s="351">
        <v>380</v>
      </c>
      <c r="D50" s="285">
        <v>966</v>
      </c>
      <c r="E50" s="360">
        <f t="shared" si="4"/>
        <v>370</v>
      </c>
      <c r="F50" s="80">
        <f t="shared" si="3"/>
        <v>380</v>
      </c>
      <c r="G50" s="16">
        <f t="shared" si="0"/>
        <v>0</v>
      </c>
      <c r="H50" s="82">
        <f t="shared" si="1"/>
        <v>0</v>
      </c>
      <c r="I50" s="83">
        <f>SUM(H$13:H50)</f>
        <v>0</v>
      </c>
      <c r="J50" s="254">
        <f t="shared" si="2"/>
        <v>0</v>
      </c>
      <c r="K50" s="251"/>
      <c r="L50" s="22"/>
      <c r="M50" s="84"/>
      <c r="O50" s="93"/>
      <c r="P50" s="93"/>
    </row>
    <row r="51" spans="1:17">
      <c r="A51" s="286"/>
      <c r="B51" s="91">
        <v>0</v>
      </c>
      <c r="C51" s="351">
        <v>390</v>
      </c>
      <c r="D51" s="285">
        <v>966</v>
      </c>
      <c r="E51" s="360">
        <f t="shared" si="4"/>
        <v>380</v>
      </c>
      <c r="F51" s="80">
        <f t="shared" si="3"/>
        <v>390</v>
      </c>
      <c r="G51" s="16">
        <f t="shared" si="0"/>
        <v>0</v>
      </c>
      <c r="H51" s="82">
        <f t="shared" si="1"/>
        <v>0</v>
      </c>
      <c r="I51" s="83">
        <f>SUM(H$13:H51)</f>
        <v>0</v>
      </c>
      <c r="J51" s="254">
        <f t="shared" si="2"/>
        <v>0</v>
      </c>
      <c r="K51" s="251"/>
      <c r="L51" s="22"/>
      <c r="M51" s="84"/>
      <c r="O51" s="93"/>
      <c r="P51" s="93"/>
    </row>
    <row r="52" spans="1:17" ht="12" thickBot="1">
      <c r="A52" s="286"/>
      <c r="B52" s="91">
        <v>0</v>
      </c>
      <c r="C52" s="351">
        <v>400</v>
      </c>
      <c r="D52" s="285">
        <v>966</v>
      </c>
      <c r="E52" s="360">
        <f t="shared" si="4"/>
        <v>390</v>
      </c>
      <c r="F52" s="80">
        <f t="shared" si="3"/>
        <v>400</v>
      </c>
      <c r="G52" s="16">
        <f t="shared" si="0"/>
        <v>0</v>
      </c>
      <c r="H52" s="82">
        <f t="shared" si="1"/>
        <v>0</v>
      </c>
      <c r="I52" s="83">
        <f>SUM(H$13:H52)</f>
        <v>0</v>
      </c>
      <c r="J52" s="254">
        <f t="shared" si="2"/>
        <v>0</v>
      </c>
      <c r="K52" s="251"/>
      <c r="L52" s="22"/>
      <c r="M52" s="95"/>
      <c r="O52" s="93"/>
      <c r="P52" s="93"/>
    </row>
    <row r="53" spans="1:17">
      <c r="A53" s="286"/>
      <c r="B53" s="91">
        <v>0</v>
      </c>
      <c r="C53" s="351">
        <v>410</v>
      </c>
      <c r="D53" s="285">
        <v>966</v>
      </c>
      <c r="E53" s="360">
        <f t="shared" si="4"/>
        <v>400</v>
      </c>
      <c r="F53" s="80">
        <f t="shared" si="3"/>
        <v>410</v>
      </c>
      <c r="G53" s="16">
        <f t="shared" si="0"/>
        <v>0</v>
      </c>
      <c r="H53" s="82">
        <f t="shared" si="1"/>
        <v>0</v>
      </c>
      <c r="I53" s="83">
        <f>SUM(H$13:H53)</f>
        <v>0</v>
      </c>
      <c r="J53" s="254">
        <f t="shared" si="2"/>
        <v>0</v>
      </c>
      <c r="K53" s="251"/>
      <c r="L53" s="242" t="s">
        <v>42</v>
      </c>
      <c r="M53" s="96">
        <f>AVERAGE(M12:M52)</f>
        <v>317.5</v>
      </c>
      <c r="O53" s="93"/>
      <c r="P53" s="93"/>
    </row>
    <row r="54" spans="1:17">
      <c r="A54" s="286"/>
      <c r="B54" s="91">
        <v>0</v>
      </c>
      <c r="C54" s="351">
        <v>420</v>
      </c>
      <c r="D54" s="285">
        <v>966</v>
      </c>
      <c r="E54" s="360">
        <f t="shared" si="4"/>
        <v>410</v>
      </c>
      <c r="F54" s="80">
        <f>C54</f>
        <v>420</v>
      </c>
      <c r="G54" s="16">
        <f t="shared" si="0"/>
        <v>0</v>
      </c>
      <c r="H54" s="82">
        <f t="shared" si="1"/>
        <v>0</v>
      </c>
      <c r="I54" s="83">
        <f>SUM(H$13:H54)</f>
        <v>0</v>
      </c>
      <c r="J54" s="254">
        <f t="shared" si="2"/>
        <v>0</v>
      </c>
      <c r="K54" s="251"/>
      <c r="L54" s="33" t="s">
        <v>43</v>
      </c>
      <c r="M54" s="95">
        <f>STDEV(M12:M52)</f>
        <v>6.3639610306789276</v>
      </c>
      <c r="N54" s="56"/>
      <c r="P54" s="93"/>
    </row>
    <row r="55" spans="1:17">
      <c r="A55" s="287" t="s">
        <v>73</v>
      </c>
      <c r="B55" s="258"/>
      <c r="C55" s="352"/>
      <c r="D55" s="259"/>
      <c r="E55" s="361"/>
      <c r="F55" s="362"/>
      <c r="G55" s="261"/>
      <c r="H55" s="262"/>
      <c r="I55" s="263"/>
      <c r="J55" s="264"/>
      <c r="K55" s="265"/>
      <c r="L55" s="33" t="s">
        <v>44</v>
      </c>
      <c r="M55" s="95">
        <f>M54/SQRT(COUNT(M12:M51))</f>
        <v>4.5</v>
      </c>
      <c r="N55" s="98"/>
      <c r="Q55" s="56"/>
    </row>
    <row r="56" spans="1:17">
      <c r="A56" s="266"/>
      <c r="B56" s="267"/>
      <c r="C56" s="353"/>
      <c r="D56" s="268"/>
      <c r="E56" s="363"/>
      <c r="F56" s="364"/>
      <c r="G56" s="270"/>
      <c r="H56" s="271"/>
      <c r="I56" s="272"/>
      <c r="J56" s="273"/>
      <c r="K56" s="274"/>
      <c r="L56" s="33" t="s">
        <v>45</v>
      </c>
      <c r="M56" s="95">
        <f>MAX(M12:M51)</f>
        <v>322</v>
      </c>
      <c r="N56" s="98"/>
      <c r="O56" s="93"/>
      <c r="P56" s="93"/>
    </row>
    <row r="57" spans="1:17" ht="12" thickBot="1">
      <c r="A57" s="275"/>
      <c r="B57" s="276"/>
      <c r="C57" s="354"/>
      <c r="D57" s="277"/>
      <c r="E57" s="365"/>
      <c r="F57" s="366"/>
      <c r="G57" s="279"/>
      <c r="H57" s="280"/>
      <c r="I57" s="281"/>
      <c r="J57" s="282"/>
      <c r="K57" s="283"/>
      <c r="L57" s="243" t="s">
        <v>46</v>
      </c>
      <c r="M57" s="100">
        <f>MIN(M12:M51)</f>
        <v>313</v>
      </c>
      <c r="N57" s="56"/>
      <c r="O57" s="93"/>
      <c r="P57" s="93"/>
    </row>
    <row r="58" spans="1:17">
      <c r="A58" s="15"/>
      <c r="B58" s="15"/>
      <c r="C58" s="14"/>
      <c r="D58" s="105"/>
      <c r="E58" s="105"/>
      <c r="F58" s="105"/>
      <c r="G58" s="13"/>
      <c r="H58" s="106"/>
      <c r="I58" s="107"/>
      <c r="J58" s="104"/>
      <c r="K58" s="101"/>
      <c r="L58" s="102"/>
      <c r="M58" s="56"/>
      <c r="O58" s="93"/>
      <c r="P58" s="93"/>
    </row>
    <row r="59" spans="1:17">
      <c r="A59" s="56"/>
      <c r="B59" s="56"/>
      <c r="C59" s="108"/>
      <c r="D59" s="108"/>
      <c r="E59" s="108"/>
      <c r="F59" s="108"/>
      <c r="G59" s="107"/>
      <c r="H59" s="106"/>
      <c r="I59" s="107"/>
      <c r="J59" s="104"/>
      <c r="K59" s="103"/>
      <c r="L59" s="102"/>
      <c r="M59" s="56"/>
      <c r="O59" s="93"/>
      <c r="P59" s="93"/>
    </row>
    <row r="60" spans="1:17">
      <c r="A60" s="109"/>
      <c r="B60" s="109"/>
      <c r="C60" s="109"/>
      <c r="D60" s="109"/>
      <c r="E60" s="104"/>
      <c r="F60" s="110"/>
      <c r="G60" s="56"/>
      <c r="H60" s="93"/>
      <c r="I60" s="56"/>
      <c r="J60" s="93"/>
      <c r="K60" s="93"/>
      <c r="L60" s="56"/>
      <c r="M60" s="56"/>
      <c r="O60" s="93"/>
      <c r="P60" s="93"/>
    </row>
    <row r="61" spans="1:17">
      <c r="A61" s="111"/>
      <c r="B61" s="111"/>
      <c r="C61" s="109"/>
      <c r="D61" s="109"/>
      <c r="E61" s="104"/>
      <c r="F61" s="110"/>
      <c r="G61" s="93"/>
      <c r="H61" s="93"/>
      <c r="I61" s="56"/>
      <c r="J61" s="93"/>
      <c r="K61" s="93"/>
      <c r="L61" s="56"/>
      <c r="M61" s="56"/>
      <c r="O61" s="93"/>
      <c r="P61" s="93"/>
    </row>
    <row r="62" spans="1:17">
      <c r="A62" s="50"/>
      <c r="B62" s="50"/>
      <c r="C62" s="109"/>
      <c r="D62" s="109"/>
      <c r="E62" s="104"/>
      <c r="F62" s="110"/>
      <c r="G62" s="93"/>
      <c r="H62" s="93"/>
      <c r="I62" s="56"/>
      <c r="J62" s="93"/>
      <c r="K62" s="93"/>
      <c r="L62" s="56"/>
      <c r="M62" s="56"/>
      <c r="O62" s="93"/>
      <c r="P62" s="93"/>
    </row>
    <row r="63" spans="1:17">
      <c r="A63" s="109"/>
      <c r="B63" s="109"/>
      <c r="C63" s="109"/>
      <c r="D63" s="109"/>
      <c r="E63" s="104"/>
      <c r="F63" s="110"/>
      <c r="G63" s="93"/>
      <c r="H63" s="93"/>
      <c r="I63" s="56"/>
      <c r="J63" s="93"/>
      <c r="K63" s="93"/>
      <c r="L63" s="56"/>
      <c r="M63" s="56"/>
      <c r="O63" s="93"/>
      <c r="P63" s="93"/>
    </row>
    <row r="64" spans="1:17">
      <c r="A64" s="109"/>
      <c r="B64" s="109"/>
      <c r="C64" s="109"/>
      <c r="D64" s="109"/>
      <c r="E64" s="104"/>
      <c r="F64" s="110"/>
      <c r="G64" s="93"/>
      <c r="H64" s="93"/>
      <c r="I64" s="56"/>
      <c r="J64" s="107"/>
      <c r="K64" s="93"/>
      <c r="L64" s="56"/>
      <c r="M64" s="56"/>
      <c r="O64" s="93"/>
      <c r="P64" s="93"/>
    </row>
    <row r="65" spans="1:16">
      <c r="A65" s="109"/>
      <c r="B65" s="109"/>
      <c r="C65" s="109"/>
      <c r="D65" s="109"/>
      <c r="E65" s="104"/>
      <c r="F65" s="110"/>
      <c r="G65" s="93"/>
      <c r="H65" s="93"/>
      <c r="I65" s="56"/>
      <c r="J65" s="107"/>
      <c r="K65" s="93"/>
      <c r="L65" s="56"/>
      <c r="M65" s="56"/>
      <c r="O65" s="93"/>
      <c r="P65" s="93"/>
    </row>
    <row r="66" spans="1:16">
      <c r="A66" s="109"/>
      <c r="B66" s="109"/>
      <c r="C66" s="109"/>
      <c r="D66" s="109"/>
      <c r="E66" s="104"/>
      <c r="F66" s="110"/>
      <c r="G66" s="93"/>
      <c r="H66" s="93"/>
      <c r="I66" s="56"/>
      <c r="J66" s="93"/>
      <c r="K66" s="93"/>
      <c r="L66" s="56"/>
      <c r="M66" s="56"/>
      <c r="O66" s="93"/>
      <c r="P66" s="93"/>
    </row>
    <row r="67" spans="1:16">
      <c r="A67" s="109"/>
      <c r="B67" s="109"/>
      <c r="C67" s="109"/>
      <c r="D67" s="109"/>
      <c r="E67" s="104"/>
      <c r="F67" s="110"/>
      <c r="G67" s="93"/>
      <c r="H67" s="93"/>
      <c r="I67" s="56"/>
      <c r="J67" s="93"/>
      <c r="K67" s="93"/>
      <c r="L67" s="56"/>
      <c r="M67" s="56"/>
      <c r="O67" s="93"/>
      <c r="P67" s="93"/>
    </row>
    <row r="68" spans="1:16">
      <c r="A68" s="109"/>
      <c r="B68" s="109"/>
      <c r="C68" s="109"/>
      <c r="D68" s="109"/>
      <c r="E68" s="104"/>
      <c r="F68" s="110"/>
      <c r="G68" s="93"/>
      <c r="H68" s="93"/>
      <c r="I68" s="56"/>
      <c r="J68" s="93"/>
      <c r="K68" s="93"/>
      <c r="L68" s="56"/>
      <c r="M68" s="56"/>
      <c r="O68" s="93"/>
      <c r="P68" s="93"/>
    </row>
    <row r="69" spans="1:16">
      <c r="A69" s="109"/>
      <c r="B69" s="109"/>
      <c r="C69" s="109"/>
      <c r="D69" s="109"/>
      <c r="E69" s="104"/>
      <c r="F69" s="110"/>
      <c r="G69" s="93"/>
      <c r="H69" s="93"/>
      <c r="I69" s="56"/>
      <c r="J69" s="93"/>
      <c r="K69" s="93"/>
      <c r="L69" s="56"/>
      <c r="M69" s="56"/>
      <c r="O69" s="93"/>
      <c r="P69" s="93"/>
    </row>
    <row r="70" spans="1:16">
      <c r="A70" s="109"/>
      <c r="B70" s="109"/>
      <c r="C70" s="109"/>
      <c r="D70" s="109"/>
      <c r="E70" s="104"/>
      <c r="F70" s="110"/>
      <c r="G70" s="93"/>
      <c r="H70" s="93"/>
      <c r="I70" s="56"/>
      <c r="J70" s="93"/>
      <c r="K70" s="93"/>
      <c r="L70" s="56"/>
      <c r="M70" s="56"/>
      <c r="O70" s="93"/>
      <c r="P70" s="93"/>
    </row>
    <row r="71" spans="1:16">
      <c r="A71" s="109"/>
      <c r="B71" s="109"/>
      <c r="C71" s="109"/>
      <c r="D71" s="109"/>
      <c r="E71" s="104"/>
      <c r="F71" s="110"/>
      <c r="G71" s="93"/>
      <c r="H71" s="93"/>
      <c r="I71" s="56"/>
      <c r="J71" s="93"/>
      <c r="K71" s="93"/>
      <c r="L71" s="56"/>
      <c r="O71" s="93"/>
      <c r="P71" s="93"/>
    </row>
    <row r="72" spans="1:16">
      <c r="A72" s="109"/>
      <c r="B72" s="109"/>
      <c r="C72" s="109"/>
      <c r="D72" s="109"/>
      <c r="E72" s="104"/>
      <c r="F72" s="110"/>
      <c r="G72" s="93"/>
      <c r="H72" s="93"/>
      <c r="I72" s="56"/>
      <c r="J72" s="93"/>
      <c r="K72" s="93"/>
      <c r="L72" s="56"/>
      <c r="O72" s="93"/>
      <c r="P72" s="93"/>
    </row>
    <row r="73" spans="1:16">
      <c r="A73" s="109"/>
      <c r="B73" s="109"/>
      <c r="C73" s="109"/>
      <c r="D73" s="109"/>
      <c r="E73" s="104"/>
      <c r="F73" s="110"/>
      <c r="G73" s="93"/>
      <c r="H73" s="93"/>
      <c r="I73" s="56"/>
      <c r="J73" s="93"/>
      <c r="K73" s="93"/>
      <c r="L73" s="93"/>
      <c r="O73" s="93"/>
      <c r="P73" s="93"/>
    </row>
    <row r="74" spans="1:16">
      <c r="A74" s="109"/>
      <c r="B74" s="109"/>
      <c r="C74" s="109"/>
      <c r="D74" s="109"/>
      <c r="E74" s="104"/>
      <c r="F74" s="110"/>
      <c r="G74" s="93"/>
      <c r="H74" s="93"/>
      <c r="I74" s="56"/>
      <c r="J74" s="93"/>
      <c r="K74" s="93"/>
      <c r="L74" s="93"/>
      <c r="O74" s="93"/>
      <c r="P74" s="93"/>
    </row>
    <row r="75" spans="1:16">
      <c r="A75" s="109"/>
      <c r="B75" s="109"/>
      <c r="C75" s="109"/>
      <c r="D75" s="109"/>
      <c r="E75" s="104"/>
      <c r="F75" s="110"/>
      <c r="G75" s="93"/>
      <c r="H75" s="93"/>
      <c r="I75" s="56"/>
      <c r="J75" s="93"/>
      <c r="K75" s="93"/>
      <c r="L75" s="93"/>
      <c r="O75" s="93"/>
      <c r="P75" s="93"/>
    </row>
    <row r="76" spans="1:16">
      <c r="A76" s="109"/>
      <c r="B76" s="109"/>
      <c r="C76" s="109"/>
      <c r="D76" s="109"/>
      <c r="E76" s="104"/>
      <c r="F76" s="110"/>
      <c r="G76" s="93"/>
      <c r="H76" s="93"/>
      <c r="I76" s="56"/>
      <c r="J76" s="93"/>
      <c r="K76" s="93"/>
      <c r="L76" s="93"/>
      <c r="O76" s="93"/>
      <c r="P76" s="93"/>
    </row>
    <row r="77" spans="1:16">
      <c r="A77" s="109"/>
      <c r="B77" s="109"/>
      <c r="C77" s="109"/>
      <c r="D77" s="109"/>
      <c r="E77" s="104"/>
      <c r="F77" s="110"/>
      <c r="G77" s="93"/>
      <c r="H77" s="93"/>
      <c r="I77" s="56"/>
      <c r="J77" s="93"/>
      <c r="K77" s="93"/>
      <c r="L77" s="93"/>
      <c r="O77" s="93"/>
      <c r="P77" s="93"/>
    </row>
    <row r="78" spans="1:16">
      <c r="A78" s="109"/>
      <c r="B78" s="109"/>
      <c r="C78" s="109"/>
      <c r="D78" s="109"/>
      <c r="E78" s="104"/>
      <c r="F78" s="110"/>
      <c r="G78" s="93"/>
      <c r="H78" s="93"/>
      <c r="I78" s="56"/>
      <c r="J78" s="93"/>
      <c r="K78" s="93"/>
      <c r="L78" s="93"/>
      <c r="O78" s="93"/>
      <c r="P78" s="93"/>
    </row>
    <row r="79" spans="1:16">
      <c r="A79" s="109"/>
      <c r="B79" s="109"/>
      <c r="C79" s="109"/>
      <c r="D79" s="109"/>
      <c r="E79" s="104"/>
      <c r="F79" s="110"/>
      <c r="G79" s="93"/>
      <c r="H79" s="93"/>
      <c r="I79" s="56"/>
      <c r="J79" s="93"/>
      <c r="K79" s="93"/>
      <c r="L79" s="93"/>
      <c r="O79" s="93"/>
      <c r="P79" s="93"/>
    </row>
    <row r="80" spans="1:16">
      <c r="A80" s="109"/>
      <c r="B80" s="109"/>
      <c r="C80" s="109"/>
      <c r="D80" s="109"/>
      <c r="E80" s="104"/>
      <c r="F80" s="110"/>
      <c r="G80" s="93"/>
      <c r="H80" s="93"/>
      <c r="I80" s="56"/>
      <c r="J80" s="93"/>
      <c r="K80" s="93"/>
      <c r="L80" s="93"/>
      <c r="O80" s="93"/>
      <c r="P80" s="93"/>
    </row>
    <row r="81" spans="1:17">
      <c r="A81" s="109"/>
      <c r="B81" s="109"/>
      <c r="C81" s="109"/>
      <c r="D81" s="109"/>
      <c r="E81" s="104"/>
      <c r="F81" s="110"/>
      <c r="G81" s="93"/>
      <c r="H81" s="93"/>
      <c r="I81" s="56"/>
      <c r="J81" s="93"/>
      <c r="K81" s="93"/>
      <c r="L81" s="93"/>
      <c r="O81" s="93"/>
      <c r="P81" s="93"/>
    </row>
    <row r="82" spans="1:17">
      <c r="A82" s="109"/>
      <c r="B82" s="109"/>
      <c r="C82" s="109"/>
      <c r="D82" s="109"/>
      <c r="E82" s="104"/>
      <c r="F82" s="110"/>
      <c r="G82" s="93"/>
      <c r="H82" s="93"/>
      <c r="I82" s="56"/>
      <c r="J82" s="93"/>
      <c r="K82" s="93"/>
      <c r="L82" s="93"/>
      <c r="O82" s="93"/>
      <c r="P82" s="93"/>
    </row>
    <row r="83" spans="1:17">
      <c r="A83" s="109"/>
      <c r="B83" s="109"/>
      <c r="C83" s="109"/>
      <c r="D83" s="109"/>
      <c r="E83" s="104"/>
      <c r="F83" s="110"/>
      <c r="G83" s="93"/>
      <c r="H83" s="93"/>
      <c r="I83" s="56"/>
      <c r="J83" s="93"/>
      <c r="K83" s="93"/>
      <c r="L83" s="93"/>
      <c r="O83" s="93"/>
      <c r="P83" s="93"/>
    </row>
    <row r="84" spans="1:17">
      <c r="A84" s="109"/>
      <c r="B84" s="109"/>
      <c r="C84" s="109"/>
      <c r="D84" s="109"/>
      <c r="E84" s="104"/>
      <c r="F84" s="110"/>
      <c r="G84" s="112"/>
      <c r="H84" s="93"/>
      <c r="I84" s="56"/>
      <c r="J84" s="93"/>
      <c r="K84" s="93"/>
      <c r="L84" s="93"/>
      <c r="O84" s="93"/>
      <c r="P84" s="93"/>
    </row>
    <row r="85" spans="1:17">
      <c r="A85" s="109"/>
      <c r="B85" s="109"/>
      <c r="C85" s="109"/>
      <c r="D85" s="109"/>
      <c r="E85" s="104"/>
      <c r="F85" s="110"/>
      <c r="G85" s="112"/>
      <c r="H85" s="93"/>
      <c r="I85" s="56"/>
      <c r="J85" s="93"/>
      <c r="K85" s="93"/>
      <c r="L85" s="93"/>
      <c r="O85" s="93"/>
      <c r="P85" s="93"/>
    </row>
    <row r="86" spans="1:17">
      <c r="A86" s="109"/>
      <c r="B86" s="109"/>
      <c r="C86" s="109"/>
      <c r="D86" s="109"/>
      <c r="E86" s="104"/>
      <c r="F86" s="110"/>
      <c r="G86" s="112"/>
      <c r="H86" s="93"/>
      <c r="I86" s="56"/>
      <c r="J86" s="93"/>
      <c r="K86" s="93"/>
      <c r="L86" s="93"/>
      <c r="O86" s="93"/>
      <c r="P86" s="93"/>
    </row>
    <row r="87" spans="1:17">
      <c r="A87" s="109"/>
      <c r="B87" s="109"/>
      <c r="C87" s="109"/>
      <c r="D87" s="109"/>
      <c r="E87" s="104"/>
      <c r="F87" s="110"/>
      <c r="G87" s="112"/>
      <c r="H87" s="93"/>
      <c r="I87" s="56"/>
      <c r="J87" s="93"/>
      <c r="K87" s="93"/>
      <c r="L87" s="93"/>
      <c r="O87" s="93"/>
      <c r="P87" s="93"/>
    </row>
    <row r="88" spans="1:17">
      <c r="A88" s="109"/>
      <c r="B88" s="109"/>
      <c r="C88" s="109"/>
      <c r="D88" s="109"/>
      <c r="E88" s="104"/>
      <c r="F88" s="110"/>
      <c r="G88" s="93"/>
      <c r="H88" s="93"/>
      <c r="I88" s="56"/>
      <c r="J88" s="93"/>
      <c r="K88" s="93"/>
      <c r="L88" s="93"/>
      <c r="O88" s="93"/>
      <c r="P88" s="93"/>
    </row>
    <row r="89" spans="1:17">
      <c r="A89" s="109"/>
      <c r="B89" s="109"/>
      <c r="C89" s="109"/>
      <c r="D89" s="109"/>
      <c r="E89" s="104"/>
      <c r="F89" s="110"/>
      <c r="G89" s="93"/>
      <c r="H89" s="93"/>
      <c r="I89" s="56"/>
      <c r="J89" s="93"/>
      <c r="K89" s="93"/>
      <c r="L89" s="93"/>
      <c r="O89" s="93"/>
      <c r="P89" s="93"/>
    </row>
    <row r="90" spans="1:17" s="109" customFormat="1">
      <c r="E90" s="104"/>
      <c r="F90" s="110"/>
      <c r="G90" s="93"/>
      <c r="H90" s="93"/>
      <c r="I90" s="56"/>
      <c r="J90" s="93"/>
      <c r="K90" s="93"/>
      <c r="L90" s="93"/>
      <c r="M90" s="93"/>
      <c r="N90" s="93"/>
      <c r="O90" s="93"/>
      <c r="P90" s="93"/>
      <c r="Q90" s="93"/>
    </row>
    <row r="91" spans="1:17" s="109" customFormat="1">
      <c r="E91" s="104"/>
      <c r="F91" s="110"/>
      <c r="G91" s="93"/>
      <c r="H91" s="93"/>
      <c r="I91" s="56"/>
      <c r="J91" s="93"/>
      <c r="K91" s="93"/>
      <c r="L91" s="93"/>
      <c r="M91" s="93"/>
      <c r="N91" s="93"/>
      <c r="O91" s="93"/>
      <c r="P91" s="93"/>
      <c r="Q91" s="93"/>
    </row>
    <row r="92" spans="1:17" s="109" customFormat="1">
      <c r="E92" s="104"/>
      <c r="F92" s="110"/>
      <c r="G92" s="93"/>
      <c r="H92" s="93"/>
      <c r="I92" s="56"/>
      <c r="J92" s="93"/>
      <c r="K92" s="93"/>
      <c r="L92" s="93"/>
      <c r="M92" s="93"/>
      <c r="N92" s="93"/>
      <c r="O92" s="93"/>
      <c r="P92" s="93"/>
      <c r="Q92" s="93"/>
    </row>
    <row r="93" spans="1:17" s="109" customFormat="1">
      <c r="E93" s="104"/>
      <c r="F93" s="110"/>
      <c r="G93" s="93"/>
      <c r="H93" s="93"/>
      <c r="I93" s="56"/>
      <c r="J93" s="93"/>
      <c r="K93" s="93"/>
      <c r="L93" s="93"/>
      <c r="M93" s="93"/>
      <c r="N93" s="93"/>
      <c r="O93" s="93"/>
      <c r="P93" s="93"/>
      <c r="Q93" s="93"/>
    </row>
    <row r="94" spans="1:17" s="109" customFormat="1">
      <c r="E94" s="104"/>
      <c r="F94" s="110"/>
      <c r="G94" s="93"/>
      <c r="H94" s="93"/>
      <c r="I94" s="56"/>
      <c r="J94" s="93"/>
      <c r="K94" s="93"/>
      <c r="L94" s="93"/>
      <c r="M94" s="93"/>
      <c r="N94" s="93"/>
      <c r="O94" s="93"/>
      <c r="P94" s="93"/>
      <c r="Q94" s="93"/>
    </row>
    <row r="95" spans="1:17" s="109" customFormat="1">
      <c r="E95" s="104"/>
      <c r="F95" s="110"/>
      <c r="G95" s="93"/>
      <c r="H95" s="93"/>
      <c r="I95" s="56"/>
      <c r="J95" s="93"/>
      <c r="K95" s="93"/>
      <c r="L95" s="93"/>
      <c r="M95" s="93"/>
    </row>
    <row r="96" spans="1:17" s="109" customFormat="1">
      <c r="E96" s="104"/>
      <c r="F96" s="110"/>
      <c r="G96" s="93"/>
      <c r="H96" s="93"/>
      <c r="I96" s="56"/>
      <c r="J96" s="93"/>
      <c r="K96" s="93"/>
      <c r="L96" s="93"/>
      <c r="M96" s="93"/>
    </row>
    <row r="97" spans="5:13" s="109" customFormat="1">
      <c r="E97" s="104"/>
      <c r="F97" s="110"/>
      <c r="G97" s="93"/>
      <c r="H97" s="93"/>
      <c r="I97" s="56"/>
      <c r="J97" s="93"/>
      <c r="K97" s="93"/>
      <c r="L97" s="93"/>
      <c r="M97" s="93"/>
    </row>
    <row r="98" spans="5:13" s="109" customFormat="1">
      <c r="E98" s="104"/>
      <c r="F98" s="110"/>
      <c r="G98" s="93"/>
      <c r="H98" s="93"/>
      <c r="I98" s="56"/>
      <c r="J98" s="93"/>
      <c r="K98" s="93"/>
      <c r="L98" s="93"/>
      <c r="M98" s="93"/>
    </row>
    <row r="99" spans="5:13" s="109" customFormat="1">
      <c r="E99" s="104"/>
      <c r="F99" s="110"/>
      <c r="G99" s="93"/>
      <c r="H99" s="93"/>
      <c r="I99" s="56"/>
      <c r="J99" s="93"/>
      <c r="K99" s="93"/>
      <c r="L99" s="93"/>
      <c r="M99" s="93"/>
    </row>
    <row r="100" spans="5:13" s="109" customFormat="1">
      <c r="E100" s="104"/>
      <c r="F100" s="110"/>
      <c r="G100" s="93"/>
      <c r="H100" s="93"/>
      <c r="I100" s="56"/>
      <c r="J100" s="93"/>
      <c r="K100" s="93"/>
      <c r="L100" s="93"/>
      <c r="M100" s="93"/>
    </row>
    <row r="101" spans="5:13" s="109" customFormat="1">
      <c r="E101" s="104"/>
      <c r="F101" s="110"/>
      <c r="G101" s="93"/>
      <c r="H101" s="93"/>
      <c r="I101" s="56"/>
      <c r="J101" s="93"/>
      <c r="K101" s="93"/>
      <c r="L101" s="93"/>
      <c r="M101" s="93"/>
    </row>
    <row r="102" spans="5:13" s="109" customFormat="1">
      <c r="E102" s="104"/>
      <c r="F102" s="110"/>
      <c r="G102" s="93"/>
      <c r="H102" s="93"/>
      <c r="I102" s="56"/>
      <c r="J102" s="93"/>
      <c r="K102" s="93"/>
      <c r="L102" s="93"/>
      <c r="M102" s="93"/>
    </row>
    <row r="103" spans="5:13" s="109" customFormat="1">
      <c r="E103" s="104"/>
      <c r="F103" s="110"/>
      <c r="G103" s="93"/>
      <c r="H103" s="93"/>
      <c r="I103" s="56"/>
      <c r="J103" s="93"/>
      <c r="K103" s="93"/>
      <c r="L103" s="93"/>
      <c r="M103" s="93"/>
    </row>
    <row r="104" spans="5:13" s="109" customFormat="1">
      <c r="E104" s="104"/>
      <c r="F104" s="110"/>
      <c r="G104" s="93"/>
      <c r="H104" s="93"/>
      <c r="I104" s="56"/>
      <c r="J104" s="93"/>
      <c r="K104" s="93"/>
      <c r="L104" s="93"/>
      <c r="M104" s="93"/>
    </row>
    <row r="105" spans="5:13" s="109" customFormat="1">
      <c r="E105" s="104"/>
      <c r="F105" s="110"/>
      <c r="G105" s="93"/>
      <c r="H105" s="93"/>
      <c r="I105" s="56"/>
      <c r="J105" s="93"/>
      <c r="K105" s="93"/>
      <c r="L105" s="93"/>
      <c r="M105" s="93"/>
    </row>
    <row r="106" spans="5:13" s="109" customFormat="1">
      <c r="E106" s="104"/>
      <c r="F106" s="110"/>
      <c r="G106" s="93"/>
      <c r="H106" s="93"/>
      <c r="I106" s="56"/>
      <c r="J106" s="93"/>
      <c r="K106" s="93"/>
      <c r="L106" s="93"/>
      <c r="M106" s="93"/>
    </row>
    <row r="107" spans="5:13" s="109" customFormat="1">
      <c r="E107" s="104"/>
      <c r="F107" s="110"/>
      <c r="G107" s="93"/>
      <c r="H107" s="93"/>
      <c r="I107" s="56"/>
      <c r="J107" s="93"/>
      <c r="K107" s="93"/>
      <c r="L107" s="93"/>
      <c r="M107" s="93"/>
    </row>
    <row r="108" spans="5:13" s="109" customFormat="1">
      <c r="E108" s="104"/>
      <c r="F108" s="110"/>
      <c r="G108" s="93"/>
      <c r="H108" s="93"/>
      <c r="I108" s="56"/>
      <c r="J108" s="93"/>
      <c r="K108" s="93"/>
      <c r="L108" s="93"/>
      <c r="M108" s="93"/>
    </row>
    <row r="109" spans="5:13" s="109" customFormat="1">
      <c r="E109" s="104"/>
      <c r="F109" s="110"/>
      <c r="G109" s="93"/>
      <c r="H109" s="93"/>
      <c r="I109" s="56"/>
      <c r="J109" s="93"/>
      <c r="K109" s="93"/>
      <c r="L109" s="93"/>
      <c r="M109" s="93"/>
    </row>
    <row r="110" spans="5:13" s="109" customFormat="1">
      <c r="E110" s="104"/>
      <c r="F110" s="110"/>
      <c r="G110" s="93"/>
      <c r="H110" s="93"/>
      <c r="I110" s="56"/>
      <c r="J110" s="93"/>
      <c r="K110" s="93"/>
      <c r="L110" s="93"/>
    </row>
    <row r="111" spans="5:13" s="109" customFormat="1">
      <c r="E111" s="104"/>
      <c r="F111" s="110"/>
      <c r="G111" s="93"/>
      <c r="H111" s="93"/>
      <c r="I111" s="56"/>
      <c r="J111" s="93"/>
      <c r="K111" s="93"/>
      <c r="L111" s="93"/>
    </row>
    <row r="112" spans="5:13" s="109" customFormat="1">
      <c r="E112" s="104"/>
      <c r="F112" s="110"/>
      <c r="G112" s="93"/>
      <c r="H112" s="93"/>
      <c r="I112" s="56"/>
      <c r="J112" s="93"/>
      <c r="K112" s="93"/>
      <c r="L112" s="93"/>
    </row>
    <row r="113" spans="5:12" s="109" customFormat="1">
      <c r="E113" s="104"/>
      <c r="F113" s="110"/>
      <c r="G113" s="93"/>
      <c r="H113" s="93"/>
      <c r="I113" s="56"/>
      <c r="J113" s="93"/>
      <c r="K113" s="93"/>
      <c r="L113" s="93"/>
    </row>
    <row r="114" spans="5:12" s="109" customFormat="1">
      <c r="E114" s="104"/>
      <c r="F114" s="110"/>
      <c r="G114" s="93"/>
      <c r="H114" s="93"/>
      <c r="I114" s="56"/>
      <c r="J114" s="93"/>
      <c r="K114" s="93"/>
      <c r="L114" s="93"/>
    </row>
    <row r="115" spans="5:12" s="109" customFormat="1">
      <c r="E115" s="104"/>
      <c r="F115" s="110"/>
      <c r="G115" s="93"/>
      <c r="H115" s="93"/>
      <c r="I115" s="56"/>
      <c r="J115" s="93"/>
      <c r="K115" s="93"/>
      <c r="L115" s="93"/>
    </row>
    <row r="116" spans="5:12" s="109" customFormat="1">
      <c r="E116" s="104"/>
      <c r="F116" s="110"/>
      <c r="G116" s="93"/>
      <c r="H116" s="93"/>
      <c r="I116" s="56"/>
      <c r="J116" s="93"/>
      <c r="K116" s="93"/>
      <c r="L116" s="93"/>
    </row>
    <row r="117" spans="5:12" s="109" customFormat="1">
      <c r="E117" s="104"/>
      <c r="F117" s="110"/>
      <c r="G117" s="93"/>
      <c r="H117" s="93"/>
      <c r="I117" s="56"/>
      <c r="J117" s="93"/>
      <c r="K117" s="93"/>
      <c r="L117" s="93"/>
    </row>
    <row r="118" spans="5:12" s="109" customFormat="1">
      <c r="E118" s="104"/>
      <c r="F118" s="110"/>
      <c r="G118" s="93"/>
      <c r="H118" s="93"/>
      <c r="I118" s="56"/>
      <c r="J118" s="93"/>
      <c r="K118" s="93"/>
      <c r="L118" s="93"/>
    </row>
    <row r="119" spans="5:12" s="109" customFormat="1">
      <c r="E119" s="104"/>
      <c r="F119" s="110"/>
      <c r="G119" s="93"/>
      <c r="H119" s="93"/>
      <c r="I119" s="56"/>
      <c r="J119" s="93"/>
      <c r="K119" s="93"/>
      <c r="L119" s="93"/>
    </row>
    <row r="120" spans="5:12" s="109" customFormat="1">
      <c r="E120" s="104"/>
      <c r="F120" s="110"/>
      <c r="G120" s="93"/>
      <c r="H120" s="93"/>
      <c r="I120" s="56"/>
      <c r="J120" s="93"/>
      <c r="K120" s="93"/>
      <c r="L120" s="93"/>
    </row>
    <row r="121" spans="5:12" s="109" customFormat="1">
      <c r="E121" s="104"/>
      <c r="F121" s="110"/>
      <c r="G121" s="93"/>
      <c r="H121" s="93"/>
      <c r="I121" s="56"/>
      <c r="J121" s="93"/>
      <c r="K121" s="93"/>
      <c r="L121" s="93"/>
    </row>
    <row r="122" spans="5:12" s="109" customFormat="1">
      <c r="E122" s="104"/>
      <c r="F122" s="110"/>
      <c r="G122" s="93"/>
      <c r="H122" s="93"/>
      <c r="I122" s="56"/>
      <c r="J122" s="93"/>
      <c r="K122" s="93"/>
      <c r="L122" s="93"/>
    </row>
    <row r="123" spans="5:12" s="109" customFormat="1">
      <c r="E123" s="104"/>
      <c r="F123" s="110"/>
      <c r="G123" s="93"/>
      <c r="H123" s="93"/>
      <c r="I123" s="56"/>
      <c r="J123" s="93"/>
      <c r="K123" s="93"/>
      <c r="L123" s="93"/>
    </row>
    <row r="124" spans="5:12" s="109" customFormat="1">
      <c r="E124" s="104"/>
      <c r="F124" s="110"/>
      <c r="G124" s="93"/>
      <c r="H124" s="93"/>
      <c r="I124" s="56"/>
      <c r="J124" s="93"/>
      <c r="K124" s="93"/>
      <c r="L124" s="93"/>
    </row>
    <row r="125" spans="5:12" s="109" customFormat="1">
      <c r="E125" s="104"/>
      <c r="F125" s="110"/>
      <c r="G125" s="93"/>
      <c r="H125" s="93"/>
      <c r="I125" s="56"/>
      <c r="J125" s="93"/>
      <c r="K125" s="93"/>
      <c r="L125" s="93"/>
    </row>
    <row r="126" spans="5:12" s="109" customFormat="1">
      <c r="E126" s="104"/>
      <c r="F126" s="110"/>
      <c r="G126" s="93"/>
      <c r="H126" s="93"/>
      <c r="I126" s="56"/>
      <c r="J126" s="93"/>
      <c r="K126" s="93"/>
      <c r="L126" s="93"/>
    </row>
    <row r="127" spans="5:12" s="109" customFormat="1">
      <c r="E127" s="104"/>
      <c r="F127" s="110"/>
      <c r="G127" s="93"/>
      <c r="H127" s="93"/>
      <c r="I127" s="56"/>
      <c r="J127" s="93"/>
      <c r="K127" s="93"/>
      <c r="L127" s="93"/>
    </row>
    <row r="128" spans="5:12" s="109" customFormat="1">
      <c r="E128" s="104"/>
      <c r="F128" s="110"/>
      <c r="G128" s="93"/>
      <c r="H128" s="93"/>
      <c r="I128" s="56"/>
      <c r="J128" s="93"/>
      <c r="K128" s="93"/>
      <c r="L128" s="93"/>
    </row>
    <row r="129" spans="5:12" s="109" customFormat="1">
      <c r="E129" s="104"/>
      <c r="F129" s="110"/>
      <c r="G129" s="93"/>
      <c r="H129" s="93"/>
      <c r="I129" s="56"/>
      <c r="J129" s="93"/>
      <c r="K129" s="93"/>
      <c r="L129" s="93"/>
    </row>
    <row r="130" spans="5:12" s="109" customFormat="1">
      <c r="E130" s="104"/>
      <c r="F130" s="110"/>
      <c r="G130" s="93"/>
      <c r="H130" s="93"/>
      <c r="I130" s="56"/>
      <c r="J130" s="93"/>
      <c r="K130" s="93"/>
      <c r="L130" s="93"/>
    </row>
    <row r="131" spans="5:12" s="109" customFormat="1">
      <c r="E131" s="104"/>
      <c r="F131" s="110"/>
      <c r="G131" s="93"/>
      <c r="H131" s="93"/>
      <c r="I131" s="56"/>
      <c r="J131" s="93"/>
      <c r="K131" s="93"/>
      <c r="L131" s="93"/>
    </row>
    <row r="132" spans="5:12" s="109" customFormat="1">
      <c r="E132" s="104"/>
      <c r="F132" s="110"/>
      <c r="G132" s="93"/>
      <c r="H132" s="93"/>
      <c r="I132" s="56"/>
      <c r="J132" s="93"/>
      <c r="K132" s="93"/>
      <c r="L132" s="93"/>
    </row>
    <row r="133" spans="5:12" s="109" customFormat="1">
      <c r="E133" s="104"/>
      <c r="F133" s="110"/>
      <c r="G133" s="93"/>
      <c r="H133" s="93"/>
      <c r="I133" s="56"/>
      <c r="J133" s="93"/>
      <c r="K133" s="93"/>
      <c r="L133" s="93"/>
    </row>
    <row r="134" spans="5:12" s="109" customFormat="1">
      <c r="E134" s="104"/>
      <c r="F134" s="110"/>
      <c r="G134" s="93"/>
      <c r="H134" s="93"/>
      <c r="I134" s="56"/>
      <c r="J134" s="93"/>
      <c r="K134" s="93"/>
      <c r="L134" s="93"/>
    </row>
    <row r="135" spans="5:12" s="109" customFormat="1">
      <c r="E135" s="104"/>
      <c r="F135" s="110"/>
      <c r="G135" s="93"/>
      <c r="H135" s="93"/>
      <c r="I135" s="56"/>
      <c r="J135" s="93"/>
      <c r="K135" s="93"/>
      <c r="L135" s="93"/>
    </row>
    <row r="136" spans="5:12" s="109" customFormat="1">
      <c r="E136" s="104"/>
      <c r="F136" s="110"/>
      <c r="G136" s="93"/>
      <c r="H136" s="93"/>
      <c r="I136" s="56"/>
      <c r="J136" s="93"/>
      <c r="K136" s="93"/>
      <c r="L136" s="93"/>
    </row>
    <row r="137" spans="5:12" s="109" customFormat="1">
      <c r="E137" s="104"/>
      <c r="F137" s="110"/>
      <c r="G137" s="93"/>
      <c r="H137" s="93"/>
      <c r="I137" s="56"/>
      <c r="J137" s="93"/>
      <c r="K137" s="93"/>
      <c r="L137" s="93"/>
    </row>
    <row r="138" spans="5:12" s="109" customFormat="1">
      <c r="E138" s="104"/>
      <c r="F138" s="110"/>
      <c r="G138" s="93"/>
      <c r="H138" s="93"/>
      <c r="I138" s="56"/>
      <c r="J138" s="93"/>
      <c r="K138" s="93"/>
      <c r="L138" s="93"/>
    </row>
    <row r="139" spans="5:12" s="109" customFormat="1">
      <c r="E139" s="104"/>
      <c r="F139" s="110"/>
      <c r="G139" s="93"/>
      <c r="H139" s="93"/>
      <c r="I139" s="56"/>
      <c r="J139" s="93"/>
      <c r="K139" s="93"/>
      <c r="L139" s="93"/>
    </row>
    <row r="140" spans="5:12" s="109" customFormat="1">
      <c r="E140" s="104"/>
      <c r="F140" s="110"/>
      <c r="G140" s="93"/>
      <c r="H140" s="93"/>
      <c r="I140" s="56"/>
      <c r="J140" s="93"/>
      <c r="K140" s="93"/>
      <c r="L140" s="93"/>
    </row>
    <row r="141" spans="5:12" s="109" customFormat="1">
      <c r="E141" s="104"/>
      <c r="F141" s="110"/>
      <c r="G141" s="93"/>
      <c r="H141" s="93"/>
      <c r="I141" s="56"/>
      <c r="J141" s="93"/>
      <c r="K141" s="93"/>
      <c r="L141" s="93"/>
    </row>
    <row r="142" spans="5:12" s="109" customFormat="1">
      <c r="E142" s="104"/>
      <c r="F142" s="110"/>
      <c r="G142" s="93"/>
      <c r="H142" s="93"/>
      <c r="I142" s="56"/>
      <c r="J142" s="93"/>
      <c r="K142" s="93"/>
      <c r="L142" s="93"/>
    </row>
    <row r="143" spans="5:12" s="109" customFormat="1">
      <c r="E143" s="104"/>
      <c r="F143" s="110"/>
      <c r="G143" s="93"/>
      <c r="H143" s="93"/>
      <c r="I143" s="56"/>
      <c r="J143" s="93"/>
      <c r="K143" s="93"/>
      <c r="L143" s="93"/>
    </row>
    <row r="144" spans="5:12" s="109" customFormat="1">
      <c r="E144" s="104"/>
      <c r="F144" s="110"/>
      <c r="G144" s="93"/>
      <c r="H144" s="93"/>
      <c r="I144" s="56"/>
      <c r="J144" s="93"/>
      <c r="K144" s="93"/>
      <c r="L144" s="93"/>
    </row>
    <row r="145" spans="1:17" s="109" customFormat="1">
      <c r="E145" s="104"/>
      <c r="F145" s="110"/>
      <c r="G145" s="93"/>
      <c r="H145" s="93"/>
      <c r="I145" s="56"/>
      <c r="J145" s="93"/>
      <c r="K145" s="93"/>
      <c r="L145" s="93"/>
    </row>
    <row r="146" spans="1:17" s="109" customFormat="1">
      <c r="E146" s="104"/>
      <c r="F146" s="110"/>
      <c r="G146" s="93"/>
      <c r="H146" s="93"/>
      <c r="I146" s="56"/>
      <c r="J146" s="93"/>
      <c r="K146" s="93"/>
      <c r="L146" s="93"/>
    </row>
    <row r="147" spans="1:17">
      <c r="A147" s="109"/>
      <c r="B147" s="109"/>
      <c r="C147" s="109"/>
      <c r="D147" s="109"/>
      <c r="E147" s="104"/>
      <c r="F147" s="110"/>
      <c r="G147" s="93"/>
      <c r="H147" s="93"/>
      <c r="I147" s="56"/>
      <c r="J147" s="93"/>
      <c r="K147" s="93"/>
      <c r="L147" s="93"/>
      <c r="M147" s="109"/>
      <c r="N147" s="109"/>
      <c r="O147" s="109"/>
      <c r="P147" s="109"/>
      <c r="Q147" s="109"/>
    </row>
    <row r="148" spans="1:17">
      <c r="A148" s="109"/>
      <c r="B148" s="109"/>
      <c r="C148" s="109"/>
      <c r="D148" s="109"/>
      <c r="E148" s="104"/>
      <c r="F148" s="110"/>
      <c r="G148" s="93"/>
      <c r="H148" s="93"/>
      <c r="I148" s="56"/>
      <c r="J148" s="93"/>
      <c r="K148" s="93"/>
      <c r="L148" s="93"/>
      <c r="M148" s="109"/>
      <c r="N148" s="109"/>
      <c r="O148" s="109"/>
      <c r="P148" s="109"/>
      <c r="Q148" s="109"/>
    </row>
    <row r="149" spans="1:17">
      <c r="A149" s="109"/>
      <c r="B149" s="109"/>
      <c r="C149" s="109"/>
      <c r="D149" s="109"/>
      <c r="E149" s="104"/>
      <c r="F149" s="110"/>
      <c r="G149" s="93"/>
      <c r="H149" s="93"/>
      <c r="I149" s="56"/>
      <c r="J149" s="93"/>
      <c r="K149" s="93"/>
      <c r="L149" s="93"/>
      <c r="M149" s="109"/>
      <c r="N149" s="109"/>
      <c r="O149" s="109"/>
      <c r="P149" s="109"/>
      <c r="Q149" s="109"/>
    </row>
    <row r="150" spans="1:17">
      <c r="A150" s="109"/>
      <c r="B150" s="109"/>
      <c r="C150" s="109"/>
      <c r="D150" s="109"/>
      <c r="E150" s="104"/>
      <c r="F150" s="110"/>
      <c r="G150" s="93"/>
      <c r="H150" s="93"/>
      <c r="I150" s="56"/>
      <c r="J150" s="93"/>
      <c r="K150" s="93"/>
      <c r="L150" s="93"/>
      <c r="M150" s="109"/>
      <c r="N150" s="109"/>
      <c r="O150" s="109"/>
      <c r="P150" s="109"/>
      <c r="Q150" s="109"/>
    </row>
    <row r="151" spans="1:17">
      <c r="A151" s="109"/>
      <c r="B151" s="109"/>
      <c r="C151" s="109"/>
      <c r="D151" s="109"/>
      <c r="E151" s="104"/>
      <c r="F151" s="110"/>
      <c r="G151" s="93"/>
      <c r="H151" s="93"/>
      <c r="I151" s="56"/>
      <c r="J151" s="93"/>
      <c r="K151" s="93"/>
      <c r="L151" s="93"/>
      <c r="M151" s="109"/>
      <c r="N151" s="109"/>
      <c r="O151" s="109"/>
      <c r="P151" s="109"/>
      <c r="Q151" s="109"/>
    </row>
    <row r="152" spans="1:17">
      <c r="A152" s="109"/>
      <c r="B152" s="109"/>
      <c r="C152" s="109"/>
      <c r="D152" s="109"/>
      <c r="E152" s="104"/>
      <c r="F152" s="110"/>
      <c r="G152" s="93"/>
      <c r="H152" s="93"/>
      <c r="I152" s="56"/>
      <c r="J152" s="93"/>
      <c r="K152" s="93"/>
      <c r="L152" s="93"/>
      <c r="M152" s="109"/>
    </row>
    <row r="153" spans="1:17">
      <c r="A153" s="109"/>
      <c r="B153" s="109"/>
      <c r="C153" s="109"/>
      <c r="D153" s="109"/>
      <c r="E153" s="104"/>
      <c r="F153" s="110"/>
      <c r="G153" s="93"/>
      <c r="H153" s="93"/>
      <c r="I153" s="56"/>
      <c r="J153" s="93"/>
      <c r="K153" s="93"/>
      <c r="L153" s="93"/>
      <c r="M153" s="109"/>
    </row>
    <row r="154" spans="1:17">
      <c r="A154" s="109"/>
      <c r="B154" s="109"/>
      <c r="C154" s="109"/>
      <c r="D154" s="109"/>
      <c r="E154" s="104"/>
      <c r="F154" s="110"/>
      <c r="G154" s="93"/>
      <c r="H154" s="93"/>
      <c r="I154" s="56"/>
      <c r="J154" s="93"/>
      <c r="K154" s="93"/>
      <c r="L154" s="93"/>
      <c r="M154" s="109"/>
    </row>
    <row r="155" spans="1:17">
      <c r="A155" s="109"/>
      <c r="B155" s="109"/>
      <c r="C155" s="109"/>
      <c r="D155" s="109"/>
      <c r="E155" s="104"/>
      <c r="F155" s="110"/>
      <c r="G155" s="93"/>
      <c r="H155" s="93"/>
      <c r="I155" s="56"/>
      <c r="J155" s="93"/>
      <c r="K155" s="93"/>
      <c r="L155" s="93"/>
      <c r="M155" s="109"/>
    </row>
    <row r="156" spans="1:17">
      <c r="J156" s="93"/>
      <c r="K156" s="93"/>
      <c r="L156" s="93"/>
      <c r="M156" s="109"/>
    </row>
    <row r="157" spans="1:17">
      <c r="J157" s="93"/>
      <c r="K157" s="93"/>
      <c r="L157" s="93"/>
      <c r="M157" s="109"/>
    </row>
    <row r="158" spans="1:17">
      <c r="J158" s="93"/>
      <c r="K158" s="93"/>
      <c r="L158" s="93"/>
      <c r="M158" s="109"/>
    </row>
    <row r="159" spans="1:17">
      <c r="J159" s="93"/>
      <c r="K159" s="93"/>
      <c r="L159" s="93"/>
      <c r="M159" s="109"/>
    </row>
    <row r="160" spans="1:17">
      <c r="J160" s="93"/>
      <c r="K160" s="93"/>
      <c r="L160" s="93"/>
      <c r="M160" s="109"/>
    </row>
    <row r="161" spans="10:13">
      <c r="J161" s="93"/>
      <c r="K161" s="93"/>
      <c r="L161" s="93"/>
      <c r="M161" s="109"/>
    </row>
    <row r="162" spans="10:13">
      <c r="K162" s="93"/>
      <c r="L162" s="93"/>
      <c r="M162" s="109"/>
    </row>
    <row r="163" spans="10:13">
      <c r="K163" s="93"/>
      <c r="L163" s="93"/>
      <c r="M163" s="109"/>
    </row>
    <row r="164" spans="10:13">
      <c r="K164" s="93"/>
      <c r="L164" s="93"/>
      <c r="M164" s="109"/>
    </row>
    <row r="165" spans="10:13">
      <c r="L165" s="93"/>
      <c r="M165" s="109"/>
    </row>
    <row r="166" spans="10:13">
      <c r="L166" s="93"/>
      <c r="M166" s="109"/>
    </row>
    <row r="167" spans="10:13">
      <c r="L167" s="93"/>
    </row>
    <row r="168" spans="10:13">
      <c r="L168" s="93"/>
    </row>
    <row r="169" spans="10:13">
      <c r="L169" s="93"/>
    </row>
  </sheetData>
  <mergeCells count="1">
    <mergeCell ref="L7:M7"/>
  </mergeCells>
  <dataValidations count="1">
    <dataValidation type="list" allowBlank="1" showInputMessage="1" showErrorMessage="1" sqref="B5" xr:uid="{3B901D98-0D1B-44D8-A56C-637DE5000B86}">
      <formula1>$AB$5:$AB$8</formula1>
    </dataValidation>
  </dataValidations>
  <pageMargins left="0.7" right="0.7" top="0.75" bottom="0.75" header="0.3" footer="0.3"/>
  <pageSetup orientation="portrait"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462EA-39E7-4E5C-BCD4-1D9138CB09EE}">
  <dimension ref="A1:AI189"/>
  <sheetViews>
    <sheetView tabSelected="1" topLeftCell="T18" zoomScale="110" zoomScaleNormal="110" workbookViewId="0">
      <selection activeCell="AC24" sqref="AC24"/>
    </sheetView>
  </sheetViews>
  <sheetFormatPr defaultColWidth="7.85546875" defaultRowHeight="11.25"/>
  <cols>
    <col min="1" max="1" width="15.7109375" style="93" bestFit="1" customWidth="1"/>
    <col min="2" max="2" width="9.5703125" style="93" bestFit="1" customWidth="1"/>
    <col min="3" max="3" width="5.140625" style="113" customWidth="1"/>
    <col min="4" max="4" width="8.42578125" style="113" bestFit="1" customWidth="1"/>
    <col min="5" max="6" width="8.7109375" style="113" bestFit="1" customWidth="1"/>
    <col min="7" max="7" width="14.85546875" style="109" bestFit="1" customWidth="1"/>
    <col min="8" max="8" width="10.28515625" style="114" customWidth="1"/>
    <col min="9" max="10" width="10.28515625" style="109" bestFit="1" customWidth="1"/>
    <col min="11" max="11" width="10.28515625" style="104" bestFit="1" customWidth="1"/>
    <col min="12" max="12" width="16.28515625" style="110" bestFit="1" customWidth="1"/>
    <col min="13" max="13" width="7.7109375" style="93" bestFit="1" customWidth="1"/>
    <col min="14" max="14" width="6.140625" style="93" bestFit="1" customWidth="1"/>
    <col min="15" max="15" width="9.28515625" style="56" customWidth="1"/>
    <col min="16" max="16" width="7.7109375" style="435" bestFit="1" customWidth="1"/>
    <col min="17" max="17" width="6.7109375" style="112" bestFit="1" customWidth="1"/>
    <col min="18" max="18" width="8.42578125" style="112" customWidth="1"/>
    <col min="19" max="19" width="9.42578125" style="112" customWidth="1"/>
    <col min="20" max="20" width="15.7109375" style="112" bestFit="1" customWidth="1"/>
    <col min="21" max="21" width="10.140625" style="112" bestFit="1" customWidth="1"/>
    <col min="22" max="22" width="15.7109375" style="112" bestFit="1" customWidth="1"/>
    <col min="23" max="23" width="10.140625" style="112" bestFit="1" customWidth="1"/>
    <col min="24" max="24" width="10.42578125" style="112" bestFit="1" customWidth="1"/>
    <col min="25" max="25" width="14" style="112" bestFit="1" customWidth="1"/>
    <col min="26" max="26" width="15.7109375" style="112" bestFit="1" customWidth="1"/>
    <col min="27" max="27" width="13.7109375" style="112" bestFit="1" customWidth="1"/>
    <col min="28" max="28" width="13.7109375" style="112" customWidth="1"/>
    <col min="29" max="29" width="30.85546875" style="93" customWidth="1"/>
    <col min="30" max="30" width="21.140625" style="93" bestFit="1" customWidth="1"/>
    <col min="31" max="31" width="11.28515625" style="93" customWidth="1"/>
    <col min="32" max="36" width="5.28515625" style="93" customWidth="1"/>
    <col min="37" max="37" width="17" style="93" customWidth="1"/>
    <col min="38" max="16384" width="7.85546875" style="93"/>
  </cols>
  <sheetData>
    <row r="1" spans="1:33" s="32" customFormat="1" ht="12.75">
      <c r="A1" s="288" t="s">
        <v>51</v>
      </c>
      <c r="B1" s="289" t="s">
        <v>138</v>
      </c>
      <c r="C1" s="290"/>
      <c r="D1" s="289"/>
      <c r="E1" s="291"/>
      <c r="F1" s="291"/>
      <c r="G1" s="292"/>
      <c r="H1" s="293" t="s">
        <v>91</v>
      </c>
      <c r="I1" s="294">
        <v>1454</v>
      </c>
      <c r="J1" s="295"/>
      <c r="K1" s="289"/>
      <c r="L1" s="289"/>
      <c r="N1" s="33"/>
      <c r="P1" s="428"/>
      <c r="Q1" s="428"/>
      <c r="R1" s="428"/>
      <c r="S1" s="428"/>
      <c r="T1" s="428"/>
      <c r="U1" s="428"/>
      <c r="V1" s="428"/>
      <c r="W1" s="428"/>
      <c r="X1" s="428"/>
      <c r="Y1" s="428"/>
      <c r="Z1" s="428"/>
      <c r="AA1" s="428"/>
      <c r="AB1" s="428"/>
    </row>
    <row r="2" spans="1:33" s="32" customFormat="1" ht="12.75">
      <c r="A2" s="296" t="s">
        <v>25</v>
      </c>
      <c r="B2" s="289" t="s">
        <v>184</v>
      </c>
      <c r="C2" s="297"/>
      <c r="D2" s="289"/>
      <c r="E2" s="298"/>
      <c r="F2" s="298"/>
      <c r="G2" s="299"/>
      <c r="H2" s="300" t="s">
        <v>92</v>
      </c>
      <c r="I2" s="301">
        <v>691</v>
      </c>
      <c r="J2" s="302"/>
      <c r="K2" s="289"/>
      <c r="L2" s="289"/>
      <c r="N2" s="35"/>
      <c r="P2" s="428"/>
      <c r="Q2" s="428"/>
      <c r="R2" s="428"/>
      <c r="S2" s="428"/>
      <c r="T2" s="428"/>
      <c r="U2" s="428"/>
      <c r="V2" s="428"/>
      <c r="W2" s="428"/>
      <c r="X2" s="428"/>
      <c r="Y2" s="428"/>
      <c r="Z2" s="428"/>
      <c r="AA2" s="428"/>
      <c r="AB2" s="428"/>
    </row>
    <row r="3" spans="1:33" s="36" customFormat="1" ht="11.25" customHeight="1">
      <c r="A3" s="303" t="s">
        <v>50</v>
      </c>
      <c r="B3" s="634">
        <v>45565</v>
      </c>
      <c r="C3" s="297"/>
      <c r="D3" s="298"/>
      <c r="E3" s="298"/>
      <c r="F3" s="298"/>
      <c r="G3" s="299"/>
      <c r="H3" s="303" t="s">
        <v>93</v>
      </c>
      <c r="I3" s="305">
        <f>AA37/100</f>
        <v>6.91</v>
      </c>
      <c r="J3" s="302"/>
      <c r="K3" s="289"/>
      <c r="L3" s="289"/>
      <c r="N3" s="37"/>
      <c r="P3" s="429"/>
      <c r="Q3" s="429"/>
      <c r="R3" s="429"/>
      <c r="S3" s="429"/>
      <c r="T3" s="429"/>
      <c r="U3" s="429"/>
      <c r="V3" s="429"/>
      <c r="W3" s="429"/>
      <c r="X3" s="429"/>
      <c r="Y3" s="429"/>
      <c r="Z3" s="429"/>
      <c r="AA3" s="429"/>
      <c r="AB3" s="429"/>
    </row>
    <row r="4" spans="1:33" s="32" customFormat="1" ht="12.75">
      <c r="A4" s="303" t="s">
        <v>49</v>
      </c>
      <c r="B4" s="304" t="s">
        <v>140</v>
      </c>
      <c r="C4" s="297"/>
      <c r="D4" s="298"/>
      <c r="E4" s="298"/>
      <c r="F4" s="298"/>
      <c r="G4" s="299"/>
      <c r="H4" s="303" t="s">
        <v>94</v>
      </c>
      <c r="I4" s="306">
        <f>Y37</f>
        <v>0.4349541024500973</v>
      </c>
      <c r="J4" s="302"/>
      <c r="K4" s="289"/>
      <c r="L4" s="289"/>
      <c r="M4" s="33"/>
      <c r="N4" s="33"/>
      <c r="P4" s="428"/>
      <c r="Q4" s="428"/>
      <c r="R4" s="428"/>
      <c r="S4" s="428"/>
      <c r="T4" s="428"/>
      <c r="U4" s="428"/>
      <c r="V4" s="428"/>
      <c r="W4" s="428"/>
      <c r="X4" s="428"/>
      <c r="Y4" s="428"/>
      <c r="Z4" s="428"/>
      <c r="AA4" s="428"/>
      <c r="AB4" s="428"/>
    </row>
    <row r="5" spans="1:33" s="54" customFormat="1" ht="12.75">
      <c r="A5" s="296" t="s">
        <v>24</v>
      </c>
      <c r="B5" s="307" t="s">
        <v>26</v>
      </c>
      <c r="C5" s="297"/>
      <c r="D5" s="298"/>
      <c r="E5" s="298"/>
      <c r="F5" s="298"/>
      <c r="G5" s="299"/>
      <c r="H5" s="303" t="s">
        <v>204</v>
      </c>
      <c r="I5" s="852">
        <f>I2-AA24</f>
        <v>512</v>
      </c>
      <c r="J5" s="302">
        <f>I5/100*I4</f>
        <v>2.2269650045444984</v>
      </c>
      <c r="K5" s="289"/>
      <c r="L5" s="289"/>
      <c r="M5" s="52"/>
      <c r="N5" s="52"/>
      <c r="P5" s="430"/>
      <c r="Q5" s="430"/>
      <c r="R5" s="430"/>
      <c r="S5" s="430"/>
      <c r="T5" s="430"/>
      <c r="U5" s="430"/>
      <c r="V5" s="430"/>
      <c r="W5" s="430"/>
      <c r="X5" s="430"/>
      <c r="Y5" s="430"/>
      <c r="Z5" s="430"/>
      <c r="AA5" s="430"/>
      <c r="AB5" s="430"/>
    </row>
    <row r="6" spans="1:33" s="52" customFormat="1" ht="13.5" thickBot="1">
      <c r="A6" s="383"/>
      <c r="B6" s="309"/>
      <c r="C6" s="384"/>
      <c r="D6" s="385"/>
      <c r="E6" s="385"/>
      <c r="F6" s="385"/>
      <c r="G6" s="386"/>
      <c r="H6" s="876" t="s">
        <v>205</v>
      </c>
      <c r="I6" s="877">
        <f>I5/100*I4</f>
        <v>2.2269650045444984</v>
      </c>
      <c r="J6" s="386"/>
      <c r="K6" s="309"/>
      <c r="L6" s="309"/>
      <c r="M6" s="46"/>
      <c r="P6" s="431"/>
      <c r="Q6" s="431"/>
      <c r="R6" s="431"/>
      <c r="S6" s="431"/>
      <c r="T6" s="431"/>
      <c r="U6" s="431"/>
      <c r="V6" s="431"/>
      <c r="W6" s="431"/>
      <c r="X6" s="431"/>
      <c r="Y6" s="431"/>
      <c r="Z6" s="431"/>
      <c r="AA6" s="431"/>
      <c r="AB6" s="431"/>
    </row>
    <row r="7" spans="1:33" s="54" customFormat="1" ht="13.15" customHeight="1">
      <c r="A7" s="970" t="s">
        <v>27</v>
      </c>
      <c r="B7" s="971"/>
      <c r="C7" s="971"/>
      <c r="D7" s="971"/>
      <c r="E7" s="971"/>
      <c r="F7" s="971"/>
      <c r="G7" s="971"/>
      <c r="H7" s="971"/>
      <c r="I7" s="971"/>
      <c r="J7" s="971"/>
      <c r="K7" s="971"/>
      <c r="L7" s="983"/>
      <c r="M7" s="724"/>
      <c r="N7" s="40" t="s">
        <v>54</v>
      </c>
      <c r="O7" s="19"/>
      <c r="P7" s="41" t="s">
        <v>28</v>
      </c>
      <c r="Q7" s="42"/>
      <c r="R7" s="981" t="s">
        <v>29</v>
      </c>
      <c r="S7" s="984"/>
      <c r="T7" s="981" t="s">
        <v>96</v>
      </c>
      <c r="U7" s="984"/>
      <c r="V7" s="984"/>
      <c r="W7" s="984"/>
      <c r="X7" s="984"/>
      <c r="Y7" s="984"/>
      <c r="Z7" s="981" t="s">
        <v>103</v>
      </c>
      <c r="AA7" s="982"/>
      <c r="AB7" s="727"/>
      <c r="AC7" s="463"/>
      <c r="AD7" s="968" t="s">
        <v>86</v>
      </c>
      <c r="AE7" s="969"/>
      <c r="AF7" s="52"/>
      <c r="AG7" s="52"/>
    </row>
    <row r="8" spans="1:33" s="74" customFormat="1" ht="11.25" customHeight="1">
      <c r="A8" s="45"/>
      <c r="B8" s="46"/>
      <c r="C8" s="47"/>
      <c r="D8" s="379"/>
      <c r="E8" s="379"/>
      <c r="F8" s="379"/>
      <c r="G8" s="395"/>
      <c r="H8" s="380"/>
      <c r="I8" s="380"/>
      <c r="J8" s="380"/>
      <c r="K8" s="380"/>
      <c r="L8" s="401"/>
      <c r="M8" s="380"/>
      <c r="N8" s="477"/>
      <c r="O8" s="47"/>
      <c r="P8" s="433"/>
      <c r="Q8" s="49"/>
      <c r="R8" s="434"/>
      <c r="S8" s="434"/>
      <c r="T8" s="433"/>
      <c r="U8" s="434"/>
      <c r="V8" s="433"/>
      <c r="W8" s="434"/>
      <c r="X8" s="434"/>
      <c r="Y8" s="434"/>
      <c r="Z8" s="433"/>
      <c r="AA8" s="49"/>
      <c r="AB8" s="49"/>
      <c r="AC8" s="464"/>
      <c r="AD8" s="53"/>
      <c r="AE8" s="53"/>
      <c r="AF8" s="73"/>
    </row>
    <row r="9" spans="1:33" s="79" customFormat="1">
      <c r="A9" s="34"/>
      <c r="B9" s="52"/>
      <c r="C9" s="55"/>
      <c r="D9" s="978" t="s">
        <v>82</v>
      </c>
      <c r="E9" s="979"/>
      <c r="F9" s="980"/>
      <c r="G9" s="396"/>
      <c r="H9" s="975" t="s">
        <v>83</v>
      </c>
      <c r="I9" s="976"/>
      <c r="J9" s="976"/>
      <c r="K9" s="977"/>
      <c r="L9" s="725"/>
      <c r="M9" s="476"/>
      <c r="N9" s="477" t="s">
        <v>30</v>
      </c>
      <c r="O9" s="256"/>
      <c r="P9" s="434"/>
      <c r="Q9" s="49"/>
      <c r="R9" s="435"/>
      <c r="S9" s="435"/>
      <c r="T9" s="467"/>
      <c r="U9" s="435"/>
      <c r="V9" s="467"/>
      <c r="W9" s="435"/>
      <c r="X9" s="435"/>
      <c r="Y9" s="435"/>
      <c r="Z9" s="467"/>
      <c r="AA9" s="468"/>
      <c r="AB9" s="468"/>
      <c r="AC9" s="464"/>
      <c r="AD9" s="58"/>
      <c r="AE9" s="59"/>
      <c r="AF9" s="77"/>
      <c r="AG9" s="78"/>
    </row>
    <row r="10" spans="1:33" s="79" customFormat="1">
      <c r="A10" s="60" t="s">
        <v>31</v>
      </c>
      <c r="B10" s="61" t="s">
        <v>32</v>
      </c>
      <c r="C10" s="62" t="s">
        <v>33</v>
      </c>
      <c r="D10" s="490" t="s">
        <v>104</v>
      </c>
      <c r="E10" s="486" t="s">
        <v>105</v>
      </c>
      <c r="F10" s="487" t="s">
        <v>106</v>
      </c>
      <c r="G10" s="396" t="s">
        <v>112</v>
      </c>
      <c r="H10" s="726" t="s">
        <v>107</v>
      </c>
      <c r="I10" s="726" t="s">
        <v>108</v>
      </c>
      <c r="J10" s="726" t="s">
        <v>109</v>
      </c>
      <c r="K10" s="726" t="s">
        <v>110</v>
      </c>
      <c r="L10" s="725" t="s">
        <v>111</v>
      </c>
      <c r="M10" s="57" t="s">
        <v>66</v>
      </c>
      <c r="N10" s="478" t="s">
        <v>34</v>
      </c>
      <c r="O10" s="63" t="s">
        <v>35</v>
      </c>
      <c r="P10" s="50" t="s">
        <v>2</v>
      </c>
      <c r="Q10" s="49" t="s">
        <v>36</v>
      </c>
      <c r="R10" s="50" t="s">
        <v>36</v>
      </c>
      <c r="S10" s="50" t="s">
        <v>2</v>
      </c>
      <c r="T10" s="433" t="s">
        <v>97</v>
      </c>
      <c r="U10" s="434" t="s">
        <v>98</v>
      </c>
      <c r="V10" s="433" t="s">
        <v>97</v>
      </c>
      <c r="W10" s="434" t="s">
        <v>98</v>
      </c>
      <c r="X10" s="434" t="s">
        <v>99</v>
      </c>
      <c r="Y10" s="434" t="s">
        <v>100</v>
      </c>
      <c r="Z10" s="433" t="s">
        <v>97</v>
      </c>
      <c r="AA10" s="49" t="s">
        <v>1</v>
      </c>
      <c r="AB10" s="49" t="s">
        <v>36</v>
      </c>
      <c r="AC10" s="408" t="s">
        <v>48</v>
      </c>
      <c r="AD10" s="58" t="s">
        <v>85</v>
      </c>
      <c r="AE10" s="58" t="s">
        <v>53</v>
      </c>
      <c r="AF10" s="17"/>
    </row>
    <row r="11" spans="1:33" s="79" customFormat="1" ht="12" thickBot="1">
      <c r="A11" s="393" t="s">
        <v>37</v>
      </c>
      <c r="B11" s="389" t="s">
        <v>37</v>
      </c>
      <c r="C11" s="390" t="s">
        <v>38</v>
      </c>
      <c r="D11" s="491" t="s">
        <v>84</v>
      </c>
      <c r="E11" s="391" t="s">
        <v>84</v>
      </c>
      <c r="F11" s="492" t="s">
        <v>84</v>
      </c>
      <c r="G11" s="453" t="s">
        <v>84</v>
      </c>
      <c r="H11" s="392" t="s">
        <v>84</v>
      </c>
      <c r="I11" s="392" t="s">
        <v>84</v>
      </c>
      <c r="J11" s="392" t="s">
        <v>84</v>
      </c>
      <c r="K11" s="392" t="s">
        <v>84</v>
      </c>
      <c r="L11" s="454" t="s">
        <v>84</v>
      </c>
      <c r="M11" s="382" t="s">
        <v>87</v>
      </c>
      <c r="N11" s="479" t="s">
        <v>84</v>
      </c>
      <c r="O11" s="66" t="s">
        <v>84</v>
      </c>
      <c r="P11" s="436" t="s">
        <v>88</v>
      </c>
      <c r="Q11" s="69" t="s">
        <v>4</v>
      </c>
      <c r="R11" s="437" t="s">
        <v>4</v>
      </c>
      <c r="S11" s="437" t="s">
        <v>88</v>
      </c>
      <c r="T11" s="436" t="s">
        <v>84</v>
      </c>
      <c r="U11" s="437" t="s">
        <v>84</v>
      </c>
      <c r="V11" s="436" t="s">
        <v>84</v>
      </c>
      <c r="W11" s="437" t="s">
        <v>84</v>
      </c>
      <c r="X11" s="437" t="s">
        <v>101</v>
      </c>
      <c r="Y11" s="437" t="s">
        <v>102</v>
      </c>
      <c r="Z11" s="436" t="s">
        <v>84</v>
      </c>
      <c r="AA11" s="69" t="s">
        <v>84</v>
      </c>
      <c r="AB11" s="69"/>
      <c r="AC11" s="465"/>
      <c r="AD11" s="406"/>
      <c r="AE11" s="72" t="s">
        <v>84</v>
      </c>
      <c r="AF11" s="17"/>
    </row>
    <row r="12" spans="1:33" s="79" customFormat="1">
      <c r="A12" s="424" t="s">
        <v>89</v>
      </c>
      <c r="B12" s="420"/>
      <c r="C12" s="421">
        <v>0</v>
      </c>
      <c r="D12" s="493" t="s">
        <v>95</v>
      </c>
      <c r="E12" s="452" t="s">
        <v>95</v>
      </c>
      <c r="F12" s="456" t="s">
        <v>95</v>
      </c>
      <c r="G12" s="459" t="s">
        <v>95</v>
      </c>
      <c r="H12" s="452" t="s">
        <v>95</v>
      </c>
      <c r="I12" s="452" t="s">
        <v>95</v>
      </c>
      <c r="J12" s="452" t="s">
        <v>95</v>
      </c>
      <c r="K12" s="452" t="s">
        <v>95</v>
      </c>
      <c r="L12" s="461" t="s">
        <v>95</v>
      </c>
      <c r="M12" s="421"/>
      <c r="N12" s="499"/>
      <c r="O12" s="422"/>
      <c r="P12" s="438"/>
      <c r="Q12" s="423"/>
      <c r="R12" s="439"/>
      <c r="S12" s="440"/>
      <c r="T12" s="469"/>
      <c r="U12" s="440"/>
      <c r="V12" s="469"/>
      <c r="W12" s="440"/>
      <c r="X12" s="440"/>
      <c r="Y12" s="440"/>
      <c r="Z12" s="466"/>
      <c r="AA12" s="466"/>
      <c r="AB12" s="466"/>
      <c r="AC12" s="245"/>
      <c r="AD12" s="23" t="s">
        <v>40</v>
      </c>
      <c r="AE12" s="76"/>
      <c r="AF12" s="18"/>
    </row>
    <row r="13" spans="1:33" s="79" customFormat="1">
      <c r="A13" s="91">
        <v>145</v>
      </c>
      <c r="B13" s="91">
        <v>0</v>
      </c>
      <c r="C13" s="351">
        <v>10</v>
      </c>
      <c r="D13" s="494" t="s">
        <v>95</v>
      </c>
      <c r="E13" s="455" t="s">
        <v>95</v>
      </c>
      <c r="F13" s="457" t="s">
        <v>95</v>
      </c>
      <c r="G13" s="460" t="s">
        <v>95</v>
      </c>
      <c r="H13" s="455" t="s">
        <v>95</v>
      </c>
      <c r="I13" s="455" t="s">
        <v>95</v>
      </c>
      <c r="J13" s="455" t="s">
        <v>95</v>
      </c>
      <c r="K13" s="455" t="s">
        <v>95</v>
      </c>
      <c r="L13" s="462" t="s">
        <v>95</v>
      </c>
      <c r="M13" s="351">
        <v>966</v>
      </c>
      <c r="N13" s="481">
        <f>C12</f>
        <v>0</v>
      </c>
      <c r="O13" s="81">
        <f t="shared" ref="O13:O20" si="0">(C13+C14-10)/2</f>
        <v>10</v>
      </c>
      <c r="P13" s="16">
        <f>(A13-B13)/M13</f>
        <v>0.15010351966873706</v>
      </c>
      <c r="Q13" s="75">
        <f>(P13*(O13-N13))/100</f>
        <v>1.5010351966873704E-2</v>
      </c>
      <c r="R13" s="441">
        <f>SUM(Q$13:Q13)</f>
        <v>1.5010351966873704E-2</v>
      </c>
      <c r="S13" s="254">
        <f>R13/O13*100</f>
        <v>0.15010351966873703</v>
      </c>
      <c r="T13" s="470"/>
      <c r="U13" s="254"/>
      <c r="V13" s="470"/>
      <c r="W13" s="254"/>
      <c r="X13" s="254">
        <f>U13*98.5</f>
        <v>0</v>
      </c>
      <c r="Y13" s="254">
        <f>(A14-(X13/0.9))/M13</f>
        <v>0.21739130434782608</v>
      </c>
      <c r="Z13" s="254"/>
      <c r="AA13" s="254"/>
      <c r="AB13" s="254"/>
      <c r="AC13" s="246"/>
      <c r="AD13" s="22" t="s">
        <v>41</v>
      </c>
      <c r="AE13" s="84"/>
      <c r="AF13" s="17"/>
    </row>
    <row r="14" spans="1:33" s="79" customFormat="1">
      <c r="A14" s="91">
        <v>210</v>
      </c>
      <c r="B14" s="91">
        <v>0</v>
      </c>
      <c r="C14" s="351">
        <v>20</v>
      </c>
      <c r="D14" s="494" t="s">
        <v>95</v>
      </c>
      <c r="E14" s="455" t="s">
        <v>95</v>
      </c>
      <c r="F14" s="457" t="s">
        <v>95</v>
      </c>
      <c r="G14" s="460" t="s">
        <v>95</v>
      </c>
      <c r="H14" s="455" t="s">
        <v>95</v>
      </c>
      <c r="I14" s="455" t="s">
        <v>95</v>
      </c>
      <c r="J14" s="455" t="s">
        <v>95</v>
      </c>
      <c r="K14" s="455" t="s">
        <v>95</v>
      </c>
      <c r="L14" s="462" t="s">
        <v>95</v>
      </c>
      <c r="M14" s="351">
        <v>966</v>
      </c>
      <c r="N14" s="481">
        <f t="shared" ref="N14:N21" si="1">(C13+C14-10)/2</f>
        <v>10</v>
      </c>
      <c r="O14" s="81">
        <f t="shared" si="0"/>
        <v>20</v>
      </c>
      <c r="P14" s="16">
        <f t="shared" ref="P14:P21" si="2">(A14-B14)/M14</f>
        <v>0.21739130434782608</v>
      </c>
      <c r="Q14" s="75">
        <f t="shared" ref="Q14:Q21" si="3">(P14*(O14-N14))/100</f>
        <v>2.1739130434782608E-2</v>
      </c>
      <c r="R14" s="441">
        <f>SUM(Q$13:Q14)</f>
        <v>3.6749482401656312E-2</v>
      </c>
      <c r="S14" s="254">
        <f t="shared" ref="S14:S21" si="4">R14/O14*100</f>
        <v>0.18374741200828157</v>
      </c>
      <c r="T14" s="470"/>
      <c r="U14" s="254"/>
      <c r="V14" s="470"/>
      <c r="W14" s="254"/>
      <c r="X14" s="254">
        <f t="shared" ref="X14:X21" si="5">U14*98.5</f>
        <v>0</v>
      </c>
      <c r="Y14" s="254">
        <f t="shared" ref="Y14:Y21" si="6">(A15-(X14/0.9))/M14</f>
        <v>0.30020703933747411</v>
      </c>
      <c r="Z14" s="254"/>
      <c r="AA14" s="254"/>
      <c r="AB14" s="254"/>
      <c r="AC14" s="246"/>
      <c r="AD14" s="22" t="s">
        <v>41</v>
      </c>
      <c r="AE14" s="84"/>
      <c r="AF14" s="17"/>
    </row>
    <row r="15" spans="1:33" s="79" customFormat="1">
      <c r="A15" s="91">
        <v>290</v>
      </c>
      <c r="B15" s="91">
        <v>0</v>
      </c>
      <c r="C15" s="351">
        <v>30</v>
      </c>
      <c r="D15" s="494" t="s">
        <v>95</v>
      </c>
      <c r="E15" s="455" t="s">
        <v>95</v>
      </c>
      <c r="F15" s="457" t="s">
        <v>95</v>
      </c>
      <c r="G15" s="460" t="s">
        <v>95</v>
      </c>
      <c r="H15" s="455" t="s">
        <v>95</v>
      </c>
      <c r="I15" s="455" t="s">
        <v>95</v>
      </c>
      <c r="J15" s="455" t="s">
        <v>95</v>
      </c>
      <c r="K15" s="455" t="s">
        <v>95</v>
      </c>
      <c r="L15" s="462" t="s">
        <v>95</v>
      </c>
      <c r="M15" s="351">
        <v>966</v>
      </c>
      <c r="N15" s="481">
        <f t="shared" si="1"/>
        <v>20</v>
      </c>
      <c r="O15" s="81">
        <f t="shared" si="0"/>
        <v>30</v>
      </c>
      <c r="P15" s="16">
        <f t="shared" si="2"/>
        <v>0.30020703933747411</v>
      </c>
      <c r="Q15" s="75">
        <f t="shared" si="3"/>
        <v>3.0020703933747409E-2</v>
      </c>
      <c r="R15" s="441">
        <f>SUM(Q$13:Q15)</f>
        <v>6.6770186335403714E-2</v>
      </c>
      <c r="S15" s="254">
        <f t="shared" si="4"/>
        <v>0.22256728778467907</v>
      </c>
      <c r="T15" s="470"/>
      <c r="U15" s="254"/>
      <c r="V15" s="470"/>
      <c r="W15" s="254"/>
      <c r="X15" s="254">
        <f t="shared" si="5"/>
        <v>0</v>
      </c>
      <c r="Y15" s="254">
        <f t="shared" si="6"/>
        <v>0.3105590062111801</v>
      </c>
      <c r="Z15" s="254"/>
      <c r="AA15" s="254"/>
      <c r="AB15" s="254"/>
      <c r="AC15" s="246"/>
      <c r="AD15" s="22" t="s">
        <v>41</v>
      </c>
      <c r="AE15" s="85"/>
      <c r="AF15" s="17"/>
    </row>
    <row r="16" spans="1:33" s="79" customFormat="1">
      <c r="A16" s="91">
        <v>300</v>
      </c>
      <c r="B16" s="91">
        <v>0</v>
      </c>
      <c r="C16" s="351">
        <v>40</v>
      </c>
      <c r="D16" s="494" t="s">
        <v>95</v>
      </c>
      <c r="E16" s="455" t="s">
        <v>95</v>
      </c>
      <c r="F16" s="457" t="s">
        <v>95</v>
      </c>
      <c r="G16" s="460" t="s">
        <v>95</v>
      </c>
      <c r="H16" s="455" t="s">
        <v>95</v>
      </c>
      <c r="I16" s="455" t="s">
        <v>95</v>
      </c>
      <c r="J16" s="455" t="s">
        <v>95</v>
      </c>
      <c r="K16" s="455" t="s">
        <v>95</v>
      </c>
      <c r="L16" s="462" t="s">
        <v>95</v>
      </c>
      <c r="M16" s="351">
        <v>966</v>
      </c>
      <c r="N16" s="481">
        <f t="shared" si="1"/>
        <v>30</v>
      </c>
      <c r="O16" s="81">
        <f t="shared" si="0"/>
        <v>40</v>
      </c>
      <c r="P16" s="16">
        <f t="shared" si="2"/>
        <v>0.3105590062111801</v>
      </c>
      <c r="Q16" s="75">
        <f t="shared" si="3"/>
        <v>3.1055900621118009E-2</v>
      </c>
      <c r="R16" s="441">
        <f>SUM(Q$13:Q16)</f>
        <v>9.7826086956521729E-2</v>
      </c>
      <c r="S16" s="254">
        <f t="shared" si="4"/>
        <v>0.24456521739130432</v>
      </c>
      <c r="T16" s="470"/>
      <c r="U16" s="254"/>
      <c r="V16" s="470"/>
      <c r="W16" s="254"/>
      <c r="X16" s="254">
        <f t="shared" si="5"/>
        <v>0</v>
      </c>
      <c r="Y16" s="254">
        <f t="shared" si="6"/>
        <v>0.35196687370600416</v>
      </c>
      <c r="Z16" s="254"/>
      <c r="AA16" s="254"/>
      <c r="AB16" s="254"/>
      <c r="AC16" s="246"/>
      <c r="AD16" s="22" t="s">
        <v>41</v>
      </c>
      <c r="AE16" s="84"/>
      <c r="AF16" s="17"/>
    </row>
    <row r="17" spans="1:34" s="79" customFormat="1">
      <c r="A17" s="91">
        <v>340</v>
      </c>
      <c r="B17" s="91">
        <v>0</v>
      </c>
      <c r="C17" s="351">
        <v>50</v>
      </c>
      <c r="D17" s="494" t="s">
        <v>95</v>
      </c>
      <c r="E17" s="455" t="s">
        <v>95</v>
      </c>
      <c r="F17" s="457" t="s">
        <v>95</v>
      </c>
      <c r="G17" s="460" t="s">
        <v>95</v>
      </c>
      <c r="H17" s="455" t="s">
        <v>95</v>
      </c>
      <c r="I17" s="455" t="s">
        <v>95</v>
      </c>
      <c r="J17" s="455" t="s">
        <v>95</v>
      </c>
      <c r="K17" s="455" t="s">
        <v>95</v>
      </c>
      <c r="L17" s="462" t="s">
        <v>95</v>
      </c>
      <c r="M17" s="351">
        <v>966</v>
      </c>
      <c r="N17" s="481">
        <f t="shared" si="1"/>
        <v>40</v>
      </c>
      <c r="O17" s="81">
        <f t="shared" si="0"/>
        <v>50</v>
      </c>
      <c r="P17" s="16">
        <f t="shared" si="2"/>
        <v>0.35196687370600416</v>
      </c>
      <c r="Q17" s="75">
        <f t="shared" si="3"/>
        <v>3.5196687370600416E-2</v>
      </c>
      <c r="R17" s="441">
        <f>SUM(Q$13:Q17)</f>
        <v>0.13302277432712215</v>
      </c>
      <c r="S17" s="254">
        <f t="shared" si="4"/>
        <v>0.26604554865424429</v>
      </c>
      <c r="T17" s="470"/>
      <c r="U17" s="254"/>
      <c r="V17" s="470"/>
      <c r="W17" s="254"/>
      <c r="X17" s="254">
        <f t="shared" si="5"/>
        <v>0</v>
      </c>
      <c r="Y17" s="254">
        <f t="shared" si="6"/>
        <v>0.35196687370600416</v>
      </c>
      <c r="Z17" s="254"/>
      <c r="AA17" s="254"/>
      <c r="AB17" s="254"/>
      <c r="AC17" s="246" t="s">
        <v>47</v>
      </c>
      <c r="AD17" s="22" t="s">
        <v>41</v>
      </c>
      <c r="AE17" s="84"/>
      <c r="AF17" s="77"/>
    </row>
    <row r="18" spans="1:34" s="79" customFormat="1">
      <c r="A18" s="91">
        <v>340</v>
      </c>
      <c r="B18" s="91">
        <v>0</v>
      </c>
      <c r="C18" s="351">
        <v>60</v>
      </c>
      <c r="D18" s="494" t="s">
        <v>95</v>
      </c>
      <c r="E18" s="455" t="s">
        <v>95</v>
      </c>
      <c r="F18" s="457" t="s">
        <v>95</v>
      </c>
      <c r="G18" s="460" t="s">
        <v>95</v>
      </c>
      <c r="H18" s="455" t="s">
        <v>95</v>
      </c>
      <c r="I18" s="455" t="s">
        <v>95</v>
      </c>
      <c r="J18" s="455" t="s">
        <v>95</v>
      </c>
      <c r="K18" s="455" t="s">
        <v>95</v>
      </c>
      <c r="L18" s="462" t="s">
        <v>95</v>
      </c>
      <c r="M18" s="351">
        <v>966</v>
      </c>
      <c r="N18" s="481">
        <f t="shared" si="1"/>
        <v>50</v>
      </c>
      <c r="O18" s="81">
        <f t="shared" si="0"/>
        <v>60</v>
      </c>
      <c r="P18" s="16">
        <f t="shared" si="2"/>
        <v>0.35196687370600416</v>
      </c>
      <c r="Q18" s="75">
        <f t="shared" si="3"/>
        <v>3.5196687370600416E-2</v>
      </c>
      <c r="R18" s="441">
        <f>SUM(Q$13:Q18)</f>
        <v>0.16821946169772256</v>
      </c>
      <c r="S18" s="254">
        <f t="shared" si="4"/>
        <v>0.28036576949620423</v>
      </c>
      <c r="T18" s="470"/>
      <c r="U18" s="254"/>
      <c r="V18" s="470"/>
      <c r="W18" s="254"/>
      <c r="X18" s="254">
        <f t="shared" si="5"/>
        <v>0</v>
      </c>
      <c r="Y18" s="254">
        <f t="shared" si="6"/>
        <v>0.35196687370600416</v>
      </c>
      <c r="Z18" s="254"/>
      <c r="AA18" s="254"/>
      <c r="AB18" s="254"/>
      <c r="AC18" s="244"/>
      <c r="AD18" s="22" t="s">
        <v>41</v>
      </c>
      <c r="AE18" s="84"/>
      <c r="AF18" s="77"/>
    </row>
    <row r="19" spans="1:34" s="79" customFormat="1" ht="10.15" customHeight="1">
      <c r="A19" s="91">
        <v>340</v>
      </c>
      <c r="B19" s="91">
        <v>0</v>
      </c>
      <c r="C19" s="351">
        <v>70</v>
      </c>
      <c r="D19" s="494" t="s">
        <v>95</v>
      </c>
      <c r="E19" s="455" t="s">
        <v>95</v>
      </c>
      <c r="F19" s="457" t="s">
        <v>95</v>
      </c>
      <c r="G19" s="460" t="s">
        <v>95</v>
      </c>
      <c r="H19" s="455" t="s">
        <v>95</v>
      </c>
      <c r="I19" s="455" t="s">
        <v>95</v>
      </c>
      <c r="J19" s="455" t="s">
        <v>95</v>
      </c>
      <c r="K19" s="455" t="s">
        <v>95</v>
      </c>
      <c r="L19" s="462" t="s">
        <v>95</v>
      </c>
      <c r="M19" s="351">
        <v>966</v>
      </c>
      <c r="N19" s="481">
        <f t="shared" si="1"/>
        <v>60</v>
      </c>
      <c r="O19" s="81">
        <f t="shared" si="0"/>
        <v>70</v>
      </c>
      <c r="P19" s="16">
        <f t="shared" si="2"/>
        <v>0.35196687370600416</v>
      </c>
      <c r="Q19" s="75">
        <f t="shared" si="3"/>
        <v>3.5196687370600416E-2</v>
      </c>
      <c r="R19" s="441">
        <f>SUM(Q$13:Q19)</f>
        <v>0.20341614906832298</v>
      </c>
      <c r="S19" s="254">
        <f t="shared" si="4"/>
        <v>0.29059449866903281</v>
      </c>
      <c r="T19" s="470"/>
      <c r="U19" s="254"/>
      <c r="V19" s="470"/>
      <c r="W19" s="254"/>
      <c r="X19" s="254">
        <f t="shared" si="5"/>
        <v>0</v>
      </c>
      <c r="Y19" s="254">
        <f t="shared" si="6"/>
        <v>0.38302277432712217</v>
      </c>
      <c r="Z19" s="254"/>
      <c r="AA19" s="254"/>
      <c r="AB19" s="254"/>
      <c r="AC19" s="244"/>
      <c r="AD19" s="22" t="s">
        <v>41</v>
      </c>
      <c r="AE19" s="84"/>
      <c r="AF19" s="87"/>
    </row>
    <row r="20" spans="1:34" s="79" customFormat="1">
      <c r="A20" s="91">
        <v>370</v>
      </c>
      <c r="B20" s="91">
        <v>0</v>
      </c>
      <c r="C20" s="351">
        <v>80</v>
      </c>
      <c r="D20" s="494" t="s">
        <v>95</v>
      </c>
      <c r="E20" s="455" t="s">
        <v>95</v>
      </c>
      <c r="F20" s="457" t="s">
        <v>95</v>
      </c>
      <c r="G20" s="460" t="s">
        <v>95</v>
      </c>
      <c r="H20" s="455" t="s">
        <v>95</v>
      </c>
      <c r="I20" s="455" t="s">
        <v>95</v>
      </c>
      <c r="J20" s="455" t="s">
        <v>95</v>
      </c>
      <c r="K20" s="455" t="s">
        <v>95</v>
      </c>
      <c r="L20" s="462" t="s">
        <v>95</v>
      </c>
      <c r="M20" s="351">
        <v>966</v>
      </c>
      <c r="N20" s="481">
        <f t="shared" si="1"/>
        <v>70</v>
      </c>
      <c r="O20" s="81">
        <f t="shared" si="0"/>
        <v>80</v>
      </c>
      <c r="P20" s="16">
        <f t="shared" si="2"/>
        <v>0.38302277432712217</v>
      </c>
      <c r="Q20" s="75">
        <f t="shared" si="3"/>
        <v>3.8302277432712216E-2</v>
      </c>
      <c r="R20" s="441">
        <f>SUM(Q$13:Q20)</f>
        <v>0.2417184265010352</v>
      </c>
      <c r="S20" s="254">
        <f t="shared" si="4"/>
        <v>0.30214803312629396</v>
      </c>
      <c r="T20" s="470"/>
      <c r="U20" s="254"/>
      <c r="V20" s="470"/>
      <c r="W20" s="254"/>
      <c r="X20" s="254">
        <f t="shared" si="5"/>
        <v>0</v>
      </c>
      <c r="Y20" s="254">
        <f t="shared" si="6"/>
        <v>0.36231884057971014</v>
      </c>
      <c r="Z20" s="254"/>
      <c r="AA20" s="254"/>
      <c r="AB20" s="254"/>
      <c r="AC20" s="246"/>
      <c r="AD20" s="22" t="s">
        <v>41</v>
      </c>
      <c r="AE20" s="84"/>
      <c r="AF20" s="89"/>
    </row>
    <row r="21" spans="1:34" s="90" customFormat="1">
      <c r="A21" s="91">
        <v>350</v>
      </c>
      <c r="B21" s="91">
        <v>0</v>
      </c>
      <c r="C21" s="351">
        <v>90</v>
      </c>
      <c r="D21" s="494" t="s">
        <v>95</v>
      </c>
      <c r="E21" s="455" t="s">
        <v>95</v>
      </c>
      <c r="F21" s="457" t="s">
        <v>95</v>
      </c>
      <c r="G21" s="460" t="s">
        <v>95</v>
      </c>
      <c r="H21" s="455" t="s">
        <v>95</v>
      </c>
      <c r="I21" s="455" t="s">
        <v>95</v>
      </c>
      <c r="J21" s="455" t="s">
        <v>95</v>
      </c>
      <c r="K21" s="455" t="s">
        <v>95</v>
      </c>
      <c r="L21" s="462" t="s">
        <v>95</v>
      </c>
      <c r="M21" s="351">
        <v>966</v>
      </c>
      <c r="N21" s="481">
        <f t="shared" si="1"/>
        <v>80</v>
      </c>
      <c r="O21" s="81">
        <f>(C21+C24-D24)/2</f>
        <v>93.5</v>
      </c>
      <c r="P21" s="16">
        <f t="shared" si="2"/>
        <v>0.36231884057971014</v>
      </c>
      <c r="Q21" s="75">
        <f t="shared" si="3"/>
        <v>4.8913043478260872E-2</v>
      </c>
      <c r="R21" s="441">
        <f>SUM(Q$13:Q21)</f>
        <v>0.29063146997929606</v>
      </c>
      <c r="S21" s="254">
        <f t="shared" si="4"/>
        <v>0.31083579676930062</v>
      </c>
      <c r="T21" s="470"/>
      <c r="U21" s="254"/>
      <c r="V21" s="470"/>
      <c r="W21" s="254"/>
      <c r="X21" s="254">
        <f t="shared" si="5"/>
        <v>0</v>
      </c>
      <c r="Y21" s="254">
        <f t="shared" si="6"/>
        <v>0</v>
      </c>
      <c r="Z21" s="254"/>
      <c r="AA21" s="254"/>
      <c r="AB21" s="254"/>
      <c r="AC21" s="251"/>
      <c r="AD21" s="22" t="s">
        <v>41</v>
      </c>
      <c r="AE21" s="86"/>
      <c r="AF21" s="89"/>
    </row>
    <row r="22" spans="1:34" s="90" customFormat="1" ht="12" thickBot="1">
      <c r="A22" s="410"/>
      <c r="B22" s="411"/>
      <c r="C22" s="412"/>
      <c r="D22" s="495"/>
      <c r="E22" s="412"/>
      <c r="F22" s="458"/>
      <c r="G22" s="413"/>
      <c r="H22" s="412"/>
      <c r="I22" s="412"/>
      <c r="J22" s="412"/>
      <c r="K22" s="412"/>
      <c r="L22" s="414"/>
      <c r="M22" s="412"/>
      <c r="N22" s="482"/>
      <c r="O22" s="415"/>
      <c r="P22" s="416"/>
      <c r="Q22" s="442"/>
      <c r="R22" s="443"/>
      <c r="S22" s="417"/>
      <c r="T22" s="471"/>
      <c r="U22" s="417"/>
      <c r="V22" s="471"/>
      <c r="W22" s="417"/>
      <c r="X22" s="417"/>
      <c r="Y22" s="417"/>
      <c r="Z22" s="417"/>
      <c r="AA22" s="417"/>
      <c r="AB22" s="417"/>
      <c r="AC22" s="418"/>
      <c r="AD22" s="22" t="s">
        <v>41</v>
      </c>
      <c r="AE22" s="88"/>
      <c r="AF22" s="92"/>
    </row>
    <row r="23" spans="1:34" s="90" customFormat="1">
      <c r="A23" s="419" t="s">
        <v>90</v>
      </c>
      <c r="B23" s="91"/>
      <c r="C23" s="351"/>
      <c r="D23" s="496"/>
      <c r="E23" s="351"/>
      <c r="F23" s="394"/>
      <c r="G23" s="397"/>
      <c r="H23" s="351"/>
      <c r="I23" s="351"/>
      <c r="J23" s="351"/>
      <c r="K23" s="351"/>
      <c r="L23" s="402"/>
      <c r="M23" s="351"/>
      <c r="N23" s="481"/>
      <c r="O23" s="81"/>
      <c r="P23" s="16"/>
      <c r="Q23" s="75"/>
      <c r="R23" s="441"/>
      <c r="S23" s="254"/>
      <c r="T23" s="254"/>
      <c r="U23" s="254"/>
      <c r="V23" s="254"/>
      <c r="W23" s="254"/>
      <c r="X23" s="254"/>
      <c r="Y23" s="254"/>
      <c r="Z23" s="254"/>
      <c r="AA23" s="254"/>
      <c r="AB23" s="254"/>
      <c r="AC23" s="251" t="s">
        <v>185</v>
      </c>
      <c r="AD23" s="22" t="s">
        <v>41</v>
      </c>
      <c r="AE23" s="88"/>
      <c r="AF23" s="92"/>
    </row>
    <row r="24" spans="1:34" s="760" customFormat="1">
      <c r="A24" s="742">
        <v>920</v>
      </c>
      <c r="B24" s="743">
        <v>0</v>
      </c>
      <c r="C24" s="744">
        <v>182</v>
      </c>
      <c r="D24" s="745">
        <v>85</v>
      </c>
      <c r="E24" s="746"/>
      <c r="F24" s="747"/>
      <c r="G24" s="748">
        <f>AVERAGE(D24:F24)</f>
        <v>85</v>
      </c>
      <c r="H24" s="746">
        <v>5.7</v>
      </c>
      <c r="I24" s="746"/>
      <c r="J24" s="746"/>
      <c r="K24" s="746"/>
      <c r="L24" s="749">
        <f>AVERAGE(H24:K24)</f>
        <v>5.7</v>
      </c>
      <c r="M24" s="744">
        <f>G24*    PI()* (L24/2)^2</f>
        <v>2168.9948379465632</v>
      </c>
      <c r="N24" s="750">
        <f>(C21+C24-D24)/2</f>
        <v>93.5</v>
      </c>
      <c r="O24" s="751">
        <f>(C24+C25-G25)/2</f>
        <v>182.5</v>
      </c>
      <c r="P24" s="752">
        <f>(A24-B24)/M24</f>
        <v>0.42415960789975182</v>
      </c>
      <c r="Q24" s="753">
        <f>(P24*(O24-N24))/100</f>
        <v>0.37750205103077911</v>
      </c>
      <c r="R24" s="754">
        <f>SUM(Q$13:Q24)</f>
        <v>0.66813352101007517</v>
      </c>
      <c r="S24" s="755">
        <f>R24/O24*100</f>
        <v>0.36610055945757541</v>
      </c>
      <c r="T24" s="755"/>
      <c r="U24" s="755"/>
      <c r="V24" s="755"/>
      <c r="W24" s="755"/>
      <c r="X24" s="755">
        <f>U24*    PI()* (L24/2)^2</f>
        <v>0</v>
      </c>
      <c r="Y24" s="755">
        <f t="shared" ref="Y24:Y36" si="7">(A24-(X24*0.9))/(M24-X24)</f>
        <v>0.42415960789975182</v>
      </c>
      <c r="Z24" s="755">
        <v>3</v>
      </c>
      <c r="AA24" s="755">
        <f>C24-Z24</f>
        <v>179</v>
      </c>
      <c r="AB24" s="755">
        <f>AA24*S24/100</f>
        <v>0.65532000142906</v>
      </c>
      <c r="AC24" s="756" t="s">
        <v>186</v>
      </c>
      <c r="AD24" s="757" t="s">
        <v>41</v>
      </c>
      <c r="AE24" s="761"/>
      <c r="AF24" s="759"/>
    </row>
    <row r="25" spans="1:34" s="90" customFormat="1">
      <c r="A25" s="286">
        <v>380</v>
      </c>
      <c r="B25" s="91">
        <v>0</v>
      </c>
      <c r="C25" s="351">
        <f>C26-D26</f>
        <v>218</v>
      </c>
      <c r="D25" s="497">
        <v>35</v>
      </c>
      <c r="E25" s="425"/>
      <c r="F25" s="498"/>
      <c r="G25" s="427">
        <f>AVERAGE(D25:F25)</f>
        <v>35</v>
      </c>
      <c r="H25" s="425">
        <v>5.7</v>
      </c>
      <c r="I25" s="425"/>
      <c r="J25" s="425"/>
      <c r="K25" s="425"/>
      <c r="L25" s="426">
        <f>AVERAGE(H25:K25)</f>
        <v>5.7</v>
      </c>
      <c r="M25" s="351">
        <f>G25*    PI()* (L25/2)^2</f>
        <v>893.11552150740829</v>
      </c>
      <c r="N25" s="481">
        <f>(C24+C25-G25)/2</f>
        <v>182.5</v>
      </c>
      <c r="O25" s="81">
        <f>(C25+C26-G26)/2</f>
        <v>218</v>
      </c>
      <c r="P25" s="16">
        <f>(A25-B25)/M25</f>
        <v>0.42547687376279458</v>
      </c>
      <c r="Q25" s="75">
        <f>(P25*(O25-N25))/100</f>
        <v>0.15104429018579207</v>
      </c>
      <c r="R25" s="441">
        <f>SUM(Q$13:Q25)-AB$24</f>
        <v>0.16385780976680719</v>
      </c>
      <c r="S25" s="254">
        <f>R25/(O25-179)*100</f>
        <v>0.42014823017130049</v>
      </c>
      <c r="T25" s="254"/>
      <c r="U25" s="254"/>
      <c r="V25" s="254"/>
      <c r="W25" s="254"/>
      <c r="X25" s="254">
        <f t="shared" ref="X25:X54" si="8">U25*    PI()* (L25/2)^2</f>
        <v>0</v>
      </c>
      <c r="Y25" s="755">
        <f t="shared" si="7"/>
        <v>0.42547687376279458</v>
      </c>
      <c r="Z25" s="254"/>
      <c r="AA25" s="254"/>
      <c r="AB25" s="254"/>
      <c r="AC25" s="251" t="s">
        <v>188</v>
      </c>
      <c r="AD25" s="22" t="s">
        <v>41</v>
      </c>
      <c r="AE25" s="84"/>
      <c r="AF25" s="92"/>
    </row>
    <row r="26" spans="1:34" s="760" customFormat="1">
      <c r="A26" s="742">
        <v>505</v>
      </c>
      <c r="B26" s="743">
        <v>0</v>
      </c>
      <c r="C26" s="744">
        <v>264</v>
      </c>
      <c r="D26" s="745">
        <v>46</v>
      </c>
      <c r="E26" s="746"/>
      <c r="F26" s="747"/>
      <c r="G26" s="748">
        <f>AVERAGE(D26:F26)</f>
        <v>46</v>
      </c>
      <c r="H26" s="746">
        <v>5.7</v>
      </c>
      <c r="I26" s="746"/>
      <c r="J26" s="746"/>
      <c r="K26" s="746"/>
      <c r="L26" s="749">
        <f>AVERAGE(H26:K26)</f>
        <v>5.7</v>
      </c>
      <c r="M26" s="744">
        <f>G26*    PI()* (L26/2)^2</f>
        <v>1173.8089711240223</v>
      </c>
      <c r="N26" s="750">
        <f>(C25+C26-G26)/2</f>
        <v>218</v>
      </c>
      <c r="O26" s="751">
        <f t="shared" ref="O26:O54" si="9">(C26+C27-G27)/2</f>
        <v>262</v>
      </c>
      <c r="P26" s="752">
        <f>(A26-B26)/M26</f>
        <v>0.43022332630191046</v>
      </c>
      <c r="Q26" s="753">
        <f>(P26*(O26-N26))/100</f>
        <v>0.1892982635728406</v>
      </c>
      <c r="R26" s="441">
        <f>SUM(Q$13:Q26)-AB$24</f>
        <v>0.35315607333964782</v>
      </c>
      <c r="S26" s="254">
        <f t="shared" ref="S26:S37" si="10">R26/(O26-179)*100</f>
        <v>0.42548924498752749</v>
      </c>
      <c r="T26" s="755"/>
      <c r="U26" s="755"/>
      <c r="V26" s="755"/>
      <c r="W26" s="755"/>
      <c r="X26" s="755">
        <f t="shared" si="8"/>
        <v>0</v>
      </c>
      <c r="Y26" s="755">
        <f t="shared" si="7"/>
        <v>0.43022332630191046</v>
      </c>
      <c r="Z26" s="755"/>
      <c r="AA26" s="755"/>
      <c r="AB26" s="755"/>
      <c r="AC26" s="756" t="s">
        <v>188</v>
      </c>
      <c r="AD26" s="757" t="s">
        <v>41</v>
      </c>
      <c r="AE26" s="758"/>
      <c r="AF26" s="759"/>
    </row>
    <row r="27" spans="1:34" s="90" customFormat="1">
      <c r="A27" s="286">
        <v>445</v>
      </c>
      <c r="B27" s="91">
        <v>0</v>
      </c>
      <c r="C27" s="351">
        <f>C28-D28</f>
        <v>298</v>
      </c>
      <c r="D27" s="497">
        <v>38</v>
      </c>
      <c r="E27" s="425"/>
      <c r="F27" s="498"/>
      <c r="G27" s="427">
        <f t="shared" ref="G27:G53" si="11">AVERAGE(D27:F27)</f>
        <v>38</v>
      </c>
      <c r="H27" s="425">
        <v>5.7</v>
      </c>
      <c r="I27" s="425"/>
      <c r="J27" s="425"/>
      <c r="K27" s="425"/>
      <c r="L27" s="426">
        <f t="shared" ref="L27:L53" si="12">AVERAGE(H27:K27)</f>
        <v>5.7</v>
      </c>
      <c r="M27" s="351">
        <f t="shared" ref="M27:M54" si="13">G27*    PI()* (L27/2)^2</f>
        <v>969.66828049375761</v>
      </c>
      <c r="N27" s="481">
        <f>(C26+C27-G27)/2</f>
        <v>262</v>
      </c>
      <c r="O27" s="81">
        <f t="shared" si="9"/>
        <v>298</v>
      </c>
      <c r="P27" s="16">
        <f t="shared" ref="P27:P53" si="14">(A27-B27)/M27</f>
        <v>0.45891982748306964</v>
      </c>
      <c r="Q27" s="75">
        <f t="shared" ref="Q27:Q53" si="15">(P27*(O27-N27))/100</f>
        <v>0.16521113789390507</v>
      </c>
      <c r="R27" s="441">
        <f>SUM(Q$13:Q27)-AB$24</f>
        <v>0.518367211233553</v>
      </c>
      <c r="S27" s="254">
        <f t="shared" si="10"/>
        <v>0.43560269851559075</v>
      </c>
      <c r="T27" s="254"/>
      <c r="U27" s="254"/>
      <c r="V27" s="254"/>
      <c r="W27" s="254"/>
      <c r="X27" s="254">
        <f t="shared" si="8"/>
        <v>0</v>
      </c>
      <c r="Y27" s="755">
        <f t="shared" si="7"/>
        <v>0.45891982748306964</v>
      </c>
      <c r="Z27" s="254"/>
      <c r="AA27" s="254"/>
      <c r="AB27" s="254"/>
      <c r="AC27" s="251" t="s">
        <v>188</v>
      </c>
      <c r="AD27" s="22" t="s">
        <v>41</v>
      </c>
      <c r="AE27" s="84"/>
      <c r="AF27" s="92"/>
    </row>
    <row r="28" spans="1:34" s="762" customFormat="1">
      <c r="A28" s="742">
        <v>460</v>
      </c>
      <c r="B28" s="743">
        <v>0</v>
      </c>
      <c r="C28" s="744">
        <v>336</v>
      </c>
      <c r="D28" s="745">
        <v>38</v>
      </c>
      <c r="E28" s="746"/>
      <c r="F28" s="747"/>
      <c r="G28" s="748">
        <f t="shared" si="11"/>
        <v>38</v>
      </c>
      <c r="H28" s="746">
        <v>5.7</v>
      </c>
      <c r="I28" s="746"/>
      <c r="J28" s="746"/>
      <c r="K28" s="746"/>
      <c r="L28" s="749">
        <f t="shared" si="12"/>
        <v>5.7</v>
      </c>
      <c r="M28" s="744">
        <f t="shared" si="13"/>
        <v>969.66828049375761</v>
      </c>
      <c r="N28" s="750">
        <f t="shared" ref="N28:N54" si="16">(C27+C28-G28)/2</f>
        <v>298</v>
      </c>
      <c r="O28" s="751">
        <f t="shared" si="9"/>
        <v>338</v>
      </c>
      <c r="P28" s="752">
        <f t="shared" si="14"/>
        <v>0.47438903515103825</v>
      </c>
      <c r="Q28" s="753">
        <f t="shared" si="15"/>
        <v>0.18975561406041527</v>
      </c>
      <c r="R28" s="441">
        <f>SUM(Q$13:Q28)-AB$24</f>
        <v>0.70812282529396831</v>
      </c>
      <c r="S28" s="254">
        <f t="shared" si="10"/>
        <v>0.44536026748048319</v>
      </c>
      <c r="T28" s="755"/>
      <c r="U28" s="755"/>
      <c r="V28" s="755"/>
      <c r="W28" s="755"/>
      <c r="X28" s="755">
        <f t="shared" si="8"/>
        <v>0</v>
      </c>
      <c r="Y28" s="755">
        <f t="shared" si="7"/>
        <v>0.47438903515103825</v>
      </c>
      <c r="Z28" s="755"/>
      <c r="AA28" s="755"/>
      <c r="AB28" s="755"/>
      <c r="AC28" s="756" t="s">
        <v>187</v>
      </c>
      <c r="AD28" s="757" t="s">
        <v>41</v>
      </c>
      <c r="AE28" s="758"/>
      <c r="AF28" s="759"/>
      <c r="AG28" s="760"/>
      <c r="AH28" s="760"/>
    </row>
    <row r="29" spans="1:34">
      <c r="A29" s="286">
        <v>490</v>
      </c>
      <c r="B29" s="91">
        <v>0</v>
      </c>
      <c r="C29" s="351">
        <f t="shared" ref="C29:C52" si="17">C30-D30</f>
        <v>382</v>
      </c>
      <c r="D29" s="497">
        <v>42</v>
      </c>
      <c r="E29" s="425"/>
      <c r="F29" s="498"/>
      <c r="G29" s="427">
        <f t="shared" si="11"/>
        <v>42</v>
      </c>
      <c r="H29" s="425">
        <v>5.7</v>
      </c>
      <c r="I29" s="425"/>
      <c r="J29" s="425"/>
      <c r="K29" s="425"/>
      <c r="L29" s="426">
        <f t="shared" si="12"/>
        <v>5.7</v>
      </c>
      <c r="M29" s="351">
        <f t="shared" si="13"/>
        <v>1071.73862580889</v>
      </c>
      <c r="N29" s="481">
        <f t="shared" si="16"/>
        <v>338</v>
      </c>
      <c r="O29" s="81">
        <f t="shared" si="9"/>
        <v>382</v>
      </c>
      <c r="P29" s="16">
        <f t="shared" si="14"/>
        <v>0.45720102663107309</v>
      </c>
      <c r="Q29" s="75">
        <f t="shared" si="15"/>
        <v>0.20116845171767217</v>
      </c>
      <c r="R29" s="441">
        <f>SUM(Q$13:Q29)-AB$24</f>
        <v>0.90929127701164048</v>
      </c>
      <c r="S29" s="254">
        <f t="shared" si="10"/>
        <v>0.4479267374441579</v>
      </c>
      <c r="T29" s="254"/>
      <c r="U29" s="254"/>
      <c r="V29" s="254"/>
      <c r="W29" s="254"/>
      <c r="X29" s="254">
        <f t="shared" si="8"/>
        <v>0</v>
      </c>
      <c r="Y29" s="755">
        <f t="shared" si="7"/>
        <v>0.45720102663107309</v>
      </c>
      <c r="Z29" s="254"/>
      <c r="AA29" s="254"/>
      <c r="AB29" s="254"/>
      <c r="AC29" s="251" t="s">
        <v>187</v>
      </c>
      <c r="AD29" s="22" t="s">
        <v>41</v>
      </c>
      <c r="AE29" s="84"/>
      <c r="AF29" s="92"/>
      <c r="AG29" s="90"/>
      <c r="AH29" s="90"/>
    </row>
    <row r="30" spans="1:34" s="762" customFormat="1">
      <c r="A30" s="742">
        <v>510</v>
      </c>
      <c r="B30" s="743">
        <v>0</v>
      </c>
      <c r="C30" s="744">
        <v>420</v>
      </c>
      <c r="D30" s="745">
        <v>38</v>
      </c>
      <c r="E30" s="746"/>
      <c r="F30" s="747"/>
      <c r="G30" s="748">
        <f t="shared" si="11"/>
        <v>38</v>
      </c>
      <c r="H30" s="746">
        <v>5.7</v>
      </c>
      <c r="I30" s="746"/>
      <c r="J30" s="746"/>
      <c r="K30" s="746"/>
      <c r="L30" s="749">
        <f t="shared" si="12"/>
        <v>5.7</v>
      </c>
      <c r="M30" s="744">
        <f t="shared" si="13"/>
        <v>969.66828049375761</v>
      </c>
      <c r="N30" s="750">
        <f t="shared" si="16"/>
        <v>382</v>
      </c>
      <c r="O30" s="751">
        <f t="shared" si="9"/>
        <v>423</v>
      </c>
      <c r="P30" s="752">
        <f t="shared" si="14"/>
        <v>0.52595306071093373</v>
      </c>
      <c r="Q30" s="753">
        <f t="shared" si="15"/>
        <v>0.21564075489148282</v>
      </c>
      <c r="R30" s="441">
        <f>SUM(Q$13:Q30)-AB$24</f>
        <v>1.1249320319031231</v>
      </c>
      <c r="S30" s="254">
        <f t="shared" si="10"/>
        <v>0.46103771799308318</v>
      </c>
      <c r="T30" s="755"/>
      <c r="U30" s="755"/>
      <c r="V30" s="755"/>
      <c r="W30" s="755"/>
      <c r="X30" s="755">
        <f t="shared" si="8"/>
        <v>0</v>
      </c>
      <c r="Y30" s="755">
        <f t="shared" si="7"/>
        <v>0.52595306071093373</v>
      </c>
      <c r="Z30" s="755"/>
      <c r="AA30" s="755"/>
      <c r="AB30" s="755"/>
      <c r="AC30" s="756" t="s">
        <v>187</v>
      </c>
      <c r="AD30" s="757" t="s">
        <v>41</v>
      </c>
      <c r="AE30" s="758"/>
      <c r="AF30" s="759"/>
      <c r="AG30" s="760"/>
      <c r="AH30" s="760"/>
    </row>
    <row r="31" spans="1:34">
      <c r="A31" s="286">
        <v>445</v>
      </c>
      <c r="B31" s="91">
        <v>0</v>
      </c>
      <c r="C31" s="351">
        <f t="shared" si="17"/>
        <v>462</v>
      </c>
      <c r="D31" s="497">
        <v>36</v>
      </c>
      <c r="E31" s="425"/>
      <c r="F31" s="498"/>
      <c r="G31" s="427">
        <f t="shared" si="11"/>
        <v>36</v>
      </c>
      <c r="H31" s="425">
        <v>5.7</v>
      </c>
      <c r="I31" s="425"/>
      <c r="J31" s="425"/>
      <c r="K31" s="425"/>
      <c r="L31" s="426">
        <f t="shared" si="12"/>
        <v>5.7</v>
      </c>
      <c r="M31" s="351">
        <f t="shared" si="13"/>
        <v>918.63310783619147</v>
      </c>
      <c r="N31" s="481">
        <f t="shared" si="16"/>
        <v>423</v>
      </c>
      <c r="O31" s="81">
        <f t="shared" si="9"/>
        <v>462</v>
      </c>
      <c r="P31" s="16">
        <f t="shared" si="14"/>
        <v>0.48441537345435126</v>
      </c>
      <c r="Q31" s="75">
        <f t="shared" si="15"/>
        <v>0.188921995647197</v>
      </c>
      <c r="R31" s="441">
        <f>SUM(Q$13:Q31)-AB$24</f>
        <v>1.3138540275503203</v>
      </c>
      <c r="S31" s="254">
        <f t="shared" si="10"/>
        <v>0.46425937369269271</v>
      </c>
      <c r="T31" s="254"/>
      <c r="U31" s="254"/>
      <c r="V31" s="254"/>
      <c r="W31" s="254"/>
      <c r="X31" s="254">
        <f t="shared" si="8"/>
        <v>0</v>
      </c>
      <c r="Y31" s="755">
        <f t="shared" si="7"/>
        <v>0.48441537345435126</v>
      </c>
      <c r="Z31" s="254"/>
      <c r="AA31" s="254"/>
      <c r="AB31" s="254"/>
      <c r="AC31" s="251" t="s">
        <v>187</v>
      </c>
      <c r="AD31" s="22" t="s">
        <v>41</v>
      </c>
      <c r="AE31" s="84"/>
      <c r="AF31" s="92"/>
      <c r="AG31" s="90"/>
      <c r="AH31" s="90"/>
    </row>
    <row r="32" spans="1:34" s="762" customFormat="1">
      <c r="A32" s="742">
        <v>420</v>
      </c>
      <c r="B32" s="743">
        <v>0</v>
      </c>
      <c r="C32" s="744">
        <v>497</v>
      </c>
      <c r="D32" s="745">
        <v>35</v>
      </c>
      <c r="E32" s="746"/>
      <c r="F32" s="747"/>
      <c r="G32" s="748">
        <f t="shared" si="11"/>
        <v>35</v>
      </c>
      <c r="H32" s="746">
        <v>5.7</v>
      </c>
      <c r="I32" s="746"/>
      <c r="J32" s="746"/>
      <c r="K32" s="746"/>
      <c r="L32" s="749">
        <f t="shared" si="12"/>
        <v>5.7</v>
      </c>
      <c r="M32" s="744">
        <f t="shared" si="13"/>
        <v>893.11552150740829</v>
      </c>
      <c r="N32" s="750">
        <f t="shared" si="16"/>
        <v>462</v>
      </c>
      <c r="O32" s="751">
        <f t="shared" si="9"/>
        <v>493.5</v>
      </c>
      <c r="P32" s="752">
        <f t="shared" si="14"/>
        <v>0.47026391310624666</v>
      </c>
      <c r="Q32" s="753">
        <f t="shared" si="15"/>
        <v>0.1481331326284677</v>
      </c>
      <c r="R32" s="441">
        <f>SUM(Q$13:Q32)-AB$24</f>
        <v>1.4619871601787877</v>
      </c>
      <c r="S32" s="254">
        <f t="shared" si="10"/>
        <v>0.46486078225080696</v>
      </c>
      <c r="T32" s="755"/>
      <c r="U32" s="755"/>
      <c r="V32" s="755"/>
      <c r="W32" s="755"/>
      <c r="X32" s="755">
        <f t="shared" si="8"/>
        <v>0</v>
      </c>
      <c r="Y32" s="755">
        <f t="shared" si="7"/>
        <v>0.47026391310624666</v>
      </c>
      <c r="Z32" s="755"/>
      <c r="AA32" s="755"/>
      <c r="AB32" s="755"/>
      <c r="AC32" s="756" t="s">
        <v>187</v>
      </c>
      <c r="AD32" s="757" t="s">
        <v>41</v>
      </c>
      <c r="AE32" s="758"/>
      <c r="AF32" s="759"/>
      <c r="AG32" s="760"/>
      <c r="AH32" s="760"/>
    </row>
    <row r="33" spans="1:35">
      <c r="A33" s="286">
        <v>435</v>
      </c>
      <c r="B33" s="91">
        <v>0</v>
      </c>
      <c r="C33" s="351">
        <f t="shared" si="17"/>
        <v>529</v>
      </c>
      <c r="D33" s="497">
        <v>39</v>
      </c>
      <c r="E33" s="425"/>
      <c r="F33" s="498"/>
      <c r="G33" s="427">
        <f t="shared" si="11"/>
        <v>39</v>
      </c>
      <c r="H33" s="425">
        <v>5.7</v>
      </c>
      <c r="I33" s="425"/>
      <c r="J33" s="425"/>
      <c r="K33" s="425"/>
      <c r="L33" s="426">
        <f t="shared" si="12"/>
        <v>5.7</v>
      </c>
      <c r="M33" s="351">
        <f t="shared" si="13"/>
        <v>995.18586682254067</v>
      </c>
      <c r="N33" s="481">
        <f t="shared" si="16"/>
        <v>493.5</v>
      </c>
      <c r="O33" s="81">
        <f t="shared" si="9"/>
        <v>529</v>
      </c>
      <c r="P33" s="16">
        <f t="shared" si="14"/>
        <v>0.43710427820772924</v>
      </c>
      <c r="Q33" s="75">
        <f t="shared" si="15"/>
        <v>0.15517201876374387</v>
      </c>
      <c r="R33" s="441">
        <f>SUM(Q$13:Q33)-AB$24</f>
        <v>1.6171591789425315</v>
      </c>
      <c r="S33" s="254">
        <f t="shared" si="10"/>
        <v>0.46204547969786613</v>
      </c>
      <c r="T33" s="254"/>
      <c r="U33" s="254"/>
      <c r="V33" s="254"/>
      <c r="W33" s="254"/>
      <c r="X33" s="254">
        <f t="shared" si="8"/>
        <v>0</v>
      </c>
      <c r="Y33" s="755">
        <f t="shared" si="7"/>
        <v>0.43710427820772924</v>
      </c>
      <c r="Z33" s="254"/>
      <c r="AA33" s="254"/>
      <c r="AB33" s="254"/>
      <c r="AC33" s="251" t="s">
        <v>187</v>
      </c>
      <c r="AD33" s="22"/>
      <c r="AE33" s="84"/>
      <c r="AF33" s="94"/>
    </row>
    <row r="34" spans="1:35" s="762" customFormat="1">
      <c r="A34" s="742">
        <v>400</v>
      </c>
      <c r="B34" s="743">
        <v>0</v>
      </c>
      <c r="C34" s="744">
        <v>564</v>
      </c>
      <c r="D34" s="745">
        <v>35</v>
      </c>
      <c r="E34" s="746"/>
      <c r="F34" s="747"/>
      <c r="G34" s="748">
        <f t="shared" si="11"/>
        <v>35</v>
      </c>
      <c r="H34" s="746">
        <v>5.7</v>
      </c>
      <c r="I34" s="746"/>
      <c r="J34" s="746"/>
      <c r="K34" s="746"/>
      <c r="L34" s="749">
        <f t="shared" si="12"/>
        <v>5.7</v>
      </c>
      <c r="M34" s="744">
        <f t="shared" si="13"/>
        <v>893.11552150740829</v>
      </c>
      <c r="N34" s="750">
        <f t="shared" si="16"/>
        <v>529</v>
      </c>
      <c r="O34" s="751">
        <f t="shared" si="9"/>
        <v>568.5</v>
      </c>
      <c r="P34" s="752">
        <f t="shared" si="14"/>
        <v>0.44787039343452062</v>
      </c>
      <c r="Q34" s="753">
        <f t="shared" si="15"/>
        <v>0.17690880540663564</v>
      </c>
      <c r="R34" s="441">
        <f>SUM(Q$13:Q34)-AB$24</f>
        <v>1.7940679843491671</v>
      </c>
      <c r="S34" s="254">
        <f t="shared" si="10"/>
        <v>0.46060795490350892</v>
      </c>
      <c r="T34" s="755"/>
      <c r="U34" s="755"/>
      <c r="V34" s="755"/>
      <c r="W34" s="755"/>
      <c r="X34" s="755">
        <f t="shared" si="8"/>
        <v>0</v>
      </c>
      <c r="Y34" s="755">
        <f t="shared" si="7"/>
        <v>0.44787039343452062</v>
      </c>
      <c r="Z34" s="755"/>
      <c r="AA34" s="755"/>
      <c r="AB34" s="755"/>
      <c r="AC34" s="756" t="s">
        <v>187</v>
      </c>
      <c r="AD34" s="757"/>
      <c r="AE34" s="758"/>
      <c r="AF34" s="763"/>
      <c r="AH34" s="764"/>
    </row>
    <row r="35" spans="1:35" s="762" customFormat="1">
      <c r="A35" s="742">
        <v>660</v>
      </c>
      <c r="B35" s="743">
        <v>0</v>
      </c>
      <c r="C35" s="744">
        <v>625</v>
      </c>
      <c r="D35" s="745">
        <v>52</v>
      </c>
      <c r="E35" s="746"/>
      <c r="F35" s="747"/>
      <c r="G35" s="748">
        <f t="shared" si="11"/>
        <v>52</v>
      </c>
      <c r="H35" s="746">
        <v>5.7</v>
      </c>
      <c r="I35" s="746"/>
      <c r="J35" s="746"/>
      <c r="K35" s="746"/>
      <c r="L35" s="749">
        <f t="shared" si="12"/>
        <v>5.7</v>
      </c>
      <c r="M35" s="744">
        <f t="shared" si="13"/>
        <v>1326.9144890967211</v>
      </c>
      <c r="N35" s="750">
        <f t="shared" si="16"/>
        <v>568.5</v>
      </c>
      <c r="O35" s="751">
        <f t="shared" si="9"/>
        <v>635</v>
      </c>
      <c r="P35" s="752">
        <f t="shared" si="14"/>
        <v>0.49739452347776075</v>
      </c>
      <c r="Q35" s="753">
        <f t="shared" si="15"/>
        <v>0.33076735811271091</v>
      </c>
      <c r="R35" s="441">
        <f>SUM(Q$13:Q35)-AB$24</f>
        <v>2.124835342461878</v>
      </c>
      <c r="S35" s="254">
        <f t="shared" si="10"/>
        <v>0.4659726628205873</v>
      </c>
      <c r="T35" s="755"/>
      <c r="U35" s="755"/>
      <c r="V35" s="755"/>
      <c r="W35" s="755"/>
      <c r="X35" s="755">
        <f t="shared" si="8"/>
        <v>0</v>
      </c>
      <c r="Y35" s="755">
        <f t="shared" si="7"/>
        <v>0.49739452347776075</v>
      </c>
      <c r="Z35" s="755"/>
      <c r="AA35" s="755"/>
      <c r="AB35" s="755"/>
      <c r="AC35" s="756" t="s">
        <v>187</v>
      </c>
      <c r="AD35" s="757"/>
      <c r="AE35" s="758"/>
      <c r="AF35" s="763"/>
      <c r="AH35" s="765"/>
    </row>
    <row r="36" spans="1:35">
      <c r="A36" s="286">
        <v>440</v>
      </c>
      <c r="B36" s="91">
        <v>0</v>
      </c>
      <c r="C36" s="351">
        <f t="shared" si="17"/>
        <v>676</v>
      </c>
      <c r="D36" s="497">
        <v>31</v>
      </c>
      <c r="E36" s="425"/>
      <c r="F36" s="498"/>
      <c r="G36" s="427">
        <f t="shared" si="11"/>
        <v>31</v>
      </c>
      <c r="H36" s="425">
        <v>5.7</v>
      </c>
      <c r="I36" s="425"/>
      <c r="J36" s="425"/>
      <c r="K36" s="425"/>
      <c r="L36" s="426">
        <f t="shared" si="12"/>
        <v>5.7</v>
      </c>
      <c r="M36" s="351">
        <f t="shared" si="13"/>
        <v>791.0451761922759</v>
      </c>
      <c r="N36" s="481">
        <f t="shared" si="16"/>
        <v>635</v>
      </c>
      <c r="O36" s="81">
        <f t="shared" si="9"/>
        <v>676</v>
      </c>
      <c r="P36" s="16">
        <f t="shared" si="14"/>
        <v>0.55622613378158203</v>
      </c>
      <c r="Q36" s="75">
        <f t="shared" si="15"/>
        <v>0.22805271485044862</v>
      </c>
      <c r="R36" s="441">
        <f>SUM(Q$13:Q36)-AB$24</f>
        <v>2.3528880573123265</v>
      </c>
      <c r="S36" s="254">
        <f t="shared" si="10"/>
        <v>0.47341812018356666</v>
      </c>
      <c r="T36" s="254"/>
      <c r="U36" s="254"/>
      <c r="V36" s="254"/>
      <c r="W36" s="254"/>
      <c r="X36" s="254">
        <f t="shared" si="8"/>
        <v>0</v>
      </c>
      <c r="Y36" s="755">
        <f t="shared" si="7"/>
        <v>0.55622613378158203</v>
      </c>
      <c r="Z36" s="254"/>
      <c r="AA36" s="254"/>
      <c r="AB36" s="254"/>
      <c r="AC36" s="251" t="s">
        <v>187</v>
      </c>
      <c r="AD36" s="22"/>
      <c r="AE36" s="84"/>
      <c r="AF36" s="241"/>
      <c r="AG36" s="97"/>
      <c r="AH36" s="97"/>
      <c r="AI36" s="97"/>
    </row>
    <row r="37" spans="1:35" s="702" customFormat="1">
      <c r="A37" s="683">
        <v>390</v>
      </c>
      <c r="B37" s="684">
        <v>0</v>
      </c>
      <c r="C37" s="685">
        <v>709</v>
      </c>
      <c r="D37" s="686">
        <v>33</v>
      </c>
      <c r="E37" s="687"/>
      <c r="F37" s="688"/>
      <c r="G37" s="689">
        <f t="shared" si="11"/>
        <v>33</v>
      </c>
      <c r="H37" s="687">
        <v>5.7</v>
      </c>
      <c r="I37" s="687"/>
      <c r="J37" s="687"/>
      <c r="K37" s="687"/>
      <c r="L37" s="690">
        <f t="shared" si="12"/>
        <v>5.7</v>
      </c>
      <c r="M37" s="685">
        <f t="shared" si="13"/>
        <v>842.08034884984215</v>
      </c>
      <c r="N37" s="691">
        <f t="shared" si="16"/>
        <v>676</v>
      </c>
      <c r="O37" s="692">
        <f t="shared" si="9"/>
        <v>709</v>
      </c>
      <c r="P37" s="693">
        <f t="shared" si="14"/>
        <v>0.46313870230160653</v>
      </c>
      <c r="Q37" s="694">
        <f t="shared" si="15"/>
        <v>0.15283577175953014</v>
      </c>
      <c r="R37" s="441">
        <f>SUM(Q$13:Q37)-AB$24</f>
        <v>2.5057238290718566</v>
      </c>
      <c r="S37" s="254">
        <f t="shared" si="10"/>
        <v>0.47277808095695406</v>
      </c>
      <c r="T37" s="696">
        <v>16</v>
      </c>
      <c r="U37" s="696">
        <v>2</v>
      </c>
      <c r="V37" s="696"/>
      <c r="W37" s="696"/>
      <c r="X37" s="696">
        <f t="shared" si="8"/>
        <v>51.035172657566193</v>
      </c>
      <c r="Y37" s="696">
        <f>(A37-(X37*0.9))/(M37-X37)</f>
        <v>0.4349541024500973</v>
      </c>
      <c r="Z37" s="696">
        <v>18</v>
      </c>
      <c r="AA37" s="696">
        <f>C37-Z37</f>
        <v>691</v>
      </c>
      <c r="AB37" s="696">
        <f>(S37*AA37 - S24*AA24)/100</f>
        <v>2.6115765379834928</v>
      </c>
      <c r="AC37" s="697" t="s">
        <v>189</v>
      </c>
      <c r="AD37" s="698"/>
      <c r="AE37" s="699"/>
      <c r="AF37" s="700"/>
      <c r="AG37" s="701"/>
    </row>
    <row r="38" spans="1:35">
      <c r="A38" s="286">
        <v>355</v>
      </c>
      <c r="B38" s="91">
        <v>0</v>
      </c>
      <c r="C38" s="351">
        <f t="shared" si="17"/>
        <v>737</v>
      </c>
      <c r="D38" s="497">
        <v>28</v>
      </c>
      <c r="E38" s="425"/>
      <c r="F38" s="498"/>
      <c r="G38" s="427">
        <f t="shared" si="11"/>
        <v>28</v>
      </c>
      <c r="H38" s="425">
        <v>5.7</v>
      </c>
      <c r="I38" s="425"/>
      <c r="J38" s="425"/>
      <c r="K38" s="425"/>
      <c r="L38" s="426">
        <f t="shared" si="12"/>
        <v>5.7</v>
      </c>
      <c r="M38" s="351">
        <f t="shared" si="13"/>
        <v>714.4924172059267</v>
      </c>
      <c r="N38" s="481">
        <f t="shared" si="16"/>
        <v>709</v>
      </c>
      <c r="O38" s="81">
        <f t="shared" si="9"/>
        <v>737</v>
      </c>
      <c r="P38" s="16">
        <f t="shared" si="14"/>
        <v>0.49685621771642124</v>
      </c>
      <c r="Q38" s="75">
        <f t="shared" si="15"/>
        <v>0.13911974096059795</v>
      </c>
      <c r="R38" s="441">
        <f>SUM(Q$13:Q38)-(AB$37+AB$24)</f>
        <v>3.3267032048961642E-2</v>
      </c>
      <c r="S38" s="254">
        <f>R38/(O38-691)*100</f>
        <v>7.2319634889047052E-2</v>
      </c>
      <c r="T38" s="254"/>
      <c r="U38" s="254"/>
      <c r="V38" s="254"/>
      <c r="W38" s="254"/>
      <c r="X38" s="254">
        <f t="shared" si="8"/>
        <v>0</v>
      </c>
      <c r="Y38" s="755">
        <f t="shared" ref="Y38:Y54" si="18">(A38-(X38*0.9))/(M38-X38)</f>
        <v>0.49685621771642124</v>
      </c>
      <c r="Z38" s="254"/>
      <c r="AA38" s="254"/>
      <c r="AB38" s="254"/>
      <c r="AC38" s="251" t="s">
        <v>190</v>
      </c>
      <c r="AD38" s="22"/>
      <c r="AE38" s="84"/>
      <c r="AF38" s="99"/>
      <c r="AG38" s="99"/>
    </row>
    <row r="39" spans="1:35" s="762" customFormat="1">
      <c r="A39" s="742">
        <v>310</v>
      </c>
      <c r="B39" s="743">
        <v>0</v>
      </c>
      <c r="C39" s="744">
        <v>760</v>
      </c>
      <c r="D39" s="745">
        <v>23</v>
      </c>
      <c r="E39" s="746"/>
      <c r="F39" s="747"/>
      <c r="G39" s="748">
        <f t="shared" si="11"/>
        <v>23</v>
      </c>
      <c r="H39" s="746">
        <v>5.7</v>
      </c>
      <c r="I39" s="746"/>
      <c r="J39" s="746"/>
      <c r="K39" s="746"/>
      <c r="L39" s="749">
        <f t="shared" si="12"/>
        <v>5.7</v>
      </c>
      <c r="M39" s="744">
        <f t="shared" si="13"/>
        <v>586.90448556201113</v>
      </c>
      <c r="N39" s="750">
        <f t="shared" si="16"/>
        <v>737</v>
      </c>
      <c r="O39" s="751">
        <f t="shared" si="9"/>
        <v>764</v>
      </c>
      <c r="P39" s="752">
        <f t="shared" si="14"/>
        <v>0.52819497486571187</v>
      </c>
      <c r="Q39" s="753">
        <f t="shared" si="15"/>
        <v>0.1426126432137422</v>
      </c>
      <c r="R39" s="441">
        <f>SUM(Q$13:Q39)-(AB$37+AB$24)</f>
        <v>0.17587967526270365</v>
      </c>
      <c r="S39" s="254">
        <f t="shared" ref="S39:S54" si="19">R39/(O39-691)*100</f>
        <v>0.24093106200370365</v>
      </c>
      <c r="T39" s="755">
        <v>19</v>
      </c>
      <c r="U39" s="755">
        <v>1</v>
      </c>
      <c r="V39" s="755">
        <v>28</v>
      </c>
      <c r="W39" s="755">
        <v>2.5</v>
      </c>
      <c r="X39" s="755">
        <f t="shared" si="8"/>
        <v>25.517586328783096</v>
      </c>
      <c r="Y39" s="755">
        <f t="shared" si="18"/>
        <v>0.51129474645051687</v>
      </c>
      <c r="Z39" s="755"/>
      <c r="AA39" s="755"/>
      <c r="AB39" s="755"/>
      <c r="AC39" s="756" t="s">
        <v>187</v>
      </c>
      <c r="AD39" s="757"/>
      <c r="AE39" s="758"/>
    </row>
    <row r="40" spans="1:35" s="97" customFormat="1">
      <c r="A40" s="286">
        <v>210</v>
      </c>
      <c r="B40" s="767">
        <v>0</v>
      </c>
      <c r="C40" s="768">
        <v>785</v>
      </c>
      <c r="D40" s="769">
        <v>17</v>
      </c>
      <c r="E40" s="770"/>
      <c r="F40" s="771"/>
      <c r="G40" s="772">
        <f t="shared" si="11"/>
        <v>17</v>
      </c>
      <c r="H40" s="770">
        <v>5.7</v>
      </c>
      <c r="I40" s="770"/>
      <c r="J40" s="770"/>
      <c r="K40" s="770"/>
      <c r="L40" s="773">
        <f t="shared" si="12"/>
        <v>5.7</v>
      </c>
      <c r="M40" s="768">
        <f t="shared" si="13"/>
        <v>433.79896758931267</v>
      </c>
      <c r="N40" s="774">
        <f t="shared" si="16"/>
        <v>764</v>
      </c>
      <c r="O40" s="775">
        <f t="shared" si="9"/>
        <v>795.5</v>
      </c>
      <c r="P40" s="776">
        <f t="shared" si="14"/>
        <v>0.484095204668195</v>
      </c>
      <c r="Q40" s="777">
        <f t="shared" si="15"/>
        <v>0.15248998947048142</v>
      </c>
      <c r="R40" s="441">
        <f>SUM(Q$13:Q40)-(AB$37+AB$24)</f>
        <v>0.3283696647331853</v>
      </c>
      <c r="S40" s="254">
        <f t="shared" si="19"/>
        <v>0.3142293442422826</v>
      </c>
      <c r="T40" s="675"/>
      <c r="U40" s="675"/>
      <c r="V40" s="675"/>
      <c r="W40" s="675"/>
      <c r="X40" s="675">
        <f t="shared" si="8"/>
        <v>0</v>
      </c>
      <c r="Y40" s="675">
        <f t="shared" si="18"/>
        <v>0.484095204668195</v>
      </c>
      <c r="Z40" s="675"/>
      <c r="AA40" s="675"/>
      <c r="AB40" s="675"/>
      <c r="AC40" s="778" t="s">
        <v>187</v>
      </c>
      <c r="AD40" s="779"/>
      <c r="AE40" s="780"/>
    </row>
    <row r="41" spans="1:35" s="762" customFormat="1">
      <c r="A41" s="742">
        <v>760</v>
      </c>
      <c r="B41" s="743">
        <v>0</v>
      </c>
      <c r="C41" s="744">
        <v>862</v>
      </c>
      <c r="D41" s="745">
        <v>56</v>
      </c>
      <c r="E41" s="746"/>
      <c r="F41" s="747"/>
      <c r="G41" s="748">
        <f t="shared" si="11"/>
        <v>56</v>
      </c>
      <c r="H41" s="746">
        <v>5.7</v>
      </c>
      <c r="I41" s="746"/>
      <c r="J41" s="746"/>
      <c r="K41" s="746"/>
      <c r="L41" s="749">
        <f t="shared" si="12"/>
        <v>5.7</v>
      </c>
      <c r="M41" s="744">
        <f t="shared" si="13"/>
        <v>1428.9848344118534</v>
      </c>
      <c r="N41" s="750">
        <f t="shared" si="16"/>
        <v>795.5</v>
      </c>
      <c r="O41" s="751">
        <f t="shared" si="9"/>
        <v>861</v>
      </c>
      <c r="P41" s="752">
        <f t="shared" si="14"/>
        <v>0.53184609220349321</v>
      </c>
      <c r="Q41" s="753">
        <f t="shared" si="15"/>
        <v>0.34835919039328805</v>
      </c>
      <c r="R41" s="441">
        <f>SUM(Q$13:Q41)-(AB$37+AB$24)</f>
        <v>0.67672885512647341</v>
      </c>
      <c r="S41" s="254">
        <f t="shared" si="19"/>
        <v>0.39807579713321967</v>
      </c>
      <c r="T41" s="755"/>
      <c r="U41" s="755"/>
      <c r="V41" s="755"/>
      <c r="W41" s="755"/>
      <c r="X41" s="755">
        <f t="shared" si="8"/>
        <v>0</v>
      </c>
      <c r="Y41" s="755">
        <f t="shared" si="18"/>
        <v>0.53184609220349321</v>
      </c>
      <c r="Z41" s="755"/>
      <c r="AA41" s="755"/>
      <c r="AB41" s="755"/>
      <c r="AC41" s="756" t="s">
        <v>187</v>
      </c>
      <c r="AD41" s="757"/>
      <c r="AE41" s="758"/>
    </row>
    <row r="42" spans="1:35" s="97" customFormat="1">
      <c r="A42" s="286">
        <v>590</v>
      </c>
      <c r="B42" s="767">
        <v>0</v>
      </c>
      <c r="C42" s="351">
        <f t="shared" si="17"/>
        <v>901</v>
      </c>
      <c r="D42" s="769">
        <v>41</v>
      </c>
      <c r="E42" s="770"/>
      <c r="F42" s="771"/>
      <c r="G42" s="772">
        <f t="shared" si="11"/>
        <v>41</v>
      </c>
      <c r="H42" s="770">
        <v>5.7</v>
      </c>
      <c r="I42" s="770"/>
      <c r="J42" s="770"/>
      <c r="K42" s="770"/>
      <c r="L42" s="773">
        <f t="shared" si="12"/>
        <v>5.7</v>
      </c>
      <c r="M42" s="768">
        <f t="shared" si="13"/>
        <v>1046.2210394801068</v>
      </c>
      <c r="N42" s="774">
        <f t="shared" si="16"/>
        <v>861</v>
      </c>
      <c r="O42" s="775">
        <f t="shared" si="9"/>
        <v>901</v>
      </c>
      <c r="P42" s="776">
        <f t="shared" si="14"/>
        <v>0.56393436734285673</v>
      </c>
      <c r="Q42" s="777">
        <f t="shared" si="15"/>
        <v>0.22557374693714269</v>
      </c>
      <c r="R42" s="441">
        <f>SUM(Q$13:Q42)-(AB$37+AB$24)</f>
        <v>0.90230260206361645</v>
      </c>
      <c r="S42" s="254">
        <f t="shared" si="19"/>
        <v>0.42966790574457925</v>
      </c>
      <c r="T42" s="675"/>
      <c r="U42" s="675"/>
      <c r="V42" s="675"/>
      <c r="W42" s="675"/>
      <c r="X42" s="675">
        <f t="shared" si="8"/>
        <v>0</v>
      </c>
      <c r="Y42" s="675">
        <f t="shared" si="18"/>
        <v>0.56393436734285673</v>
      </c>
      <c r="Z42" s="675"/>
      <c r="AA42" s="675"/>
      <c r="AB42" s="675"/>
      <c r="AC42" s="778" t="s">
        <v>187</v>
      </c>
      <c r="AD42" s="779"/>
      <c r="AE42" s="780"/>
    </row>
    <row r="43" spans="1:35" s="762" customFormat="1">
      <c r="A43" s="742">
        <v>435</v>
      </c>
      <c r="B43" s="743">
        <v>0</v>
      </c>
      <c r="C43" s="744">
        <v>932</v>
      </c>
      <c r="D43" s="745">
        <v>31</v>
      </c>
      <c r="E43" s="746"/>
      <c r="F43" s="747"/>
      <c r="G43" s="748">
        <f t="shared" si="11"/>
        <v>31</v>
      </c>
      <c r="H43" s="746">
        <v>5.7</v>
      </c>
      <c r="I43" s="746"/>
      <c r="J43" s="746"/>
      <c r="K43" s="746"/>
      <c r="L43" s="749">
        <f t="shared" si="12"/>
        <v>5.7</v>
      </c>
      <c r="M43" s="744">
        <f t="shared" si="13"/>
        <v>791.0451761922759</v>
      </c>
      <c r="N43" s="774">
        <f t="shared" si="16"/>
        <v>901</v>
      </c>
      <c r="O43" s="775">
        <f t="shared" si="9"/>
        <v>932.5</v>
      </c>
      <c r="P43" s="752">
        <f t="shared" si="14"/>
        <v>0.54990538226133678</v>
      </c>
      <c r="Q43" s="753">
        <f t="shared" si="15"/>
        <v>0.17322019541232109</v>
      </c>
      <c r="R43" s="441">
        <f>SUM(Q$13:Q43)-(AB$37+AB$24)</f>
        <v>1.0755227974759372</v>
      </c>
      <c r="S43" s="254">
        <f t="shared" si="19"/>
        <v>0.44535105485546056</v>
      </c>
      <c r="T43" s="755"/>
      <c r="U43" s="755"/>
      <c r="V43" s="755"/>
      <c r="W43" s="755"/>
      <c r="X43" s="755">
        <f t="shared" si="8"/>
        <v>0</v>
      </c>
      <c r="Y43" s="755">
        <f t="shared" si="18"/>
        <v>0.54990538226133678</v>
      </c>
      <c r="Z43" s="755"/>
      <c r="AA43" s="755"/>
      <c r="AB43" s="755"/>
      <c r="AC43" s="756" t="s">
        <v>187</v>
      </c>
      <c r="AD43" s="757"/>
      <c r="AE43" s="758"/>
    </row>
    <row r="44" spans="1:35">
      <c r="A44" s="286">
        <v>530</v>
      </c>
      <c r="B44" s="91">
        <v>0</v>
      </c>
      <c r="C44" s="351">
        <f t="shared" si="17"/>
        <v>971</v>
      </c>
      <c r="D44" s="497">
        <v>38</v>
      </c>
      <c r="E44" s="425"/>
      <c r="F44" s="498"/>
      <c r="G44" s="427">
        <f t="shared" si="11"/>
        <v>38</v>
      </c>
      <c r="H44" s="425">
        <v>5.7</v>
      </c>
      <c r="I44" s="425"/>
      <c r="J44" s="425"/>
      <c r="K44" s="425"/>
      <c r="L44" s="426">
        <f t="shared" si="12"/>
        <v>5.7</v>
      </c>
      <c r="M44" s="351">
        <f t="shared" si="13"/>
        <v>969.66828049375761</v>
      </c>
      <c r="N44" s="774">
        <f t="shared" si="16"/>
        <v>932.5</v>
      </c>
      <c r="O44" s="775">
        <f t="shared" si="9"/>
        <v>971</v>
      </c>
      <c r="P44" s="16">
        <f t="shared" si="14"/>
        <v>0.54657867093489187</v>
      </c>
      <c r="Q44" s="75">
        <f t="shared" si="15"/>
        <v>0.21043278830993337</v>
      </c>
      <c r="R44" s="441">
        <f>SUM(Q$13:Q44)-(AB$37+AB$24)</f>
        <v>1.2859555857858709</v>
      </c>
      <c r="S44" s="254">
        <f t="shared" si="19"/>
        <v>0.45926985206638249</v>
      </c>
      <c r="T44" s="254"/>
      <c r="U44" s="254"/>
      <c r="V44" s="254"/>
      <c r="W44" s="254"/>
      <c r="X44" s="254">
        <f t="shared" si="8"/>
        <v>0</v>
      </c>
      <c r="Y44" s="755">
        <f t="shared" si="18"/>
        <v>0.54657867093489187</v>
      </c>
      <c r="Z44" s="254"/>
      <c r="AA44" s="254"/>
      <c r="AB44" s="254"/>
      <c r="AC44" s="251" t="s">
        <v>187</v>
      </c>
      <c r="AD44" s="22"/>
      <c r="AE44" s="84"/>
    </row>
    <row r="45" spans="1:35" s="762" customFormat="1">
      <c r="A45" s="742">
        <v>496</v>
      </c>
      <c r="B45" s="743">
        <v>0</v>
      </c>
      <c r="C45" s="744">
        <v>1006</v>
      </c>
      <c r="D45" s="745">
        <v>35</v>
      </c>
      <c r="E45" s="746"/>
      <c r="F45" s="747"/>
      <c r="G45" s="748">
        <f t="shared" si="11"/>
        <v>35</v>
      </c>
      <c r="H45" s="746">
        <v>5.7</v>
      </c>
      <c r="I45" s="746"/>
      <c r="J45" s="746"/>
      <c r="K45" s="746"/>
      <c r="L45" s="749">
        <f t="shared" si="12"/>
        <v>5.7</v>
      </c>
      <c r="M45" s="744">
        <f t="shared" si="13"/>
        <v>893.11552150740829</v>
      </c>
      <c r="N45" s="774">
        <f t="shared" si="16"/>
        <v>971</v>
      </c>
      <c r="O45" s="775">
        <f t="shared" si="9"/>
        <v>1010</v>
      </c>
      <c r="P45" s="752">
        <f t="shared" si="14"/>
        <v>0.55535928785880551</v>
      </c>
      <c r="Q45" s="753">
        <f t="shared" si="15"/>
        <v>0.21659012226493413</v>
      </c>
      <c r="R45" s="441">
        <f>SUM(Q$13:Q45)-(AB$37+AB$24)</f>
        <v>1.5025457080508051</v>
      </c>
      <c r="S45" s="254">
        <f t="shared" si="19"/>
        <v>0.47101746333881045</v>
      </c>
      <c r="T45" s="755"/>
      <c r="U45" s="755"/>
      <c r="V45" s="755"/>
      <c r="W45" s="755"/>
      <c r="X45" s="755">
        <f t="shared" si="8"/>
        <v>0</v>
      </c>
      <c r="Y45" s="755">
        <f t="shared" si="18"/>
        <v>0.55535928785880551</v>
      </c>
      <c r="Z45" s="755"/>
      <c r="AA45" s="755"/>
      <c r="AB45" s="755"/>
      <c r="AC45" s="756" t="s">
        <v>187</v>
      </c>
      <c r="AD45" s="757"/>
      <c r="AE45" s="758"/>
    </row>
    <row r="46" spans="1:35" s="762" customFormat="1">
      <c r="A46" s="742">
        <v>730</v>
      </c>
      <c r="B46" s="743">
        <v>0</v>
      </c>
      <c r="C46" s="744">
        <v>1067</v>
      </c>
      <c r="D46" s="745">
        <v>53</v>
      </c>
      <c r="E46" s="746"/>
      <c r="F46" s="747"/>
      <c r="G46" s="748">
        <f t="shared" si="11"/>
        <v>53</v>
      </c>
      <c r="H46" s="746">
        <v>5.7</v>
      </c>
      <c r="I46" s="746"/>
      <c r="J46" s="746"/>
      <c r="K46" s="746"/>
      <c r="L46" s="749">
        <f t="shared" si="12"/>
        <v>5.7</v>
      </c>
      <c r="M46" s="744">
        <f t="shared" si="13"/>
        <v>1352.4320754255041</v>
      </c>
      <c r="N46" s="774">
        <f t="shared" si="16"/>
        <v>1010</v>
      </c>
      <c r="O46" s="775">
        <f t="shared" si="9"/>
        <v>1062</v>
      </c>
      <c r="P46" s="752">
        <f t="shared" si="14"/>
        <v>0.53976832793641516</v>
      </c>
      <c r="Q46" s="753">
        <f t="shared" si="15"/>
        <v>0.28067953052693589</v>
      </c>
      <c r="R46" s="441">
        <f>SUM(Q$13:Q46)-(AB$37+AB$24)</f>
        <v>1.7832252385777414</v>
      </c>
      <c r="S46" s="254">
        <f t="shared" si="19"/>
        <v>0.48065370312068501</v>
      </c>
      <c r="T46" s="755"/>
      <c r="U46" s="755"/>
      <c r="V46" s="755"/>
      <c r="W46" s="755"/>
      <c r="X46" s="755">
        <f t="shared" si="8"/>
        <v>0</v>
      </c>
      <c r="Y46" s="755">
        <f t="shared" si="18"/>
        <v>0.53976832793641516</v>
      </c>
      <c r="Z46" s="755"/>
      <c r="AA46" s="755"/>
      <c r="AB46" s="755"/>
      <c r="AC46" s="756" t="s">
        <v>187</v>
      </c>
      <c r="AD46" s="757"/>
      <c r="AE46" s="758"/>
    </row>
    <row r="47" spans="1:35">
      <c r="A47" s="286">
        <v>720</v>
      </c>
      <c r="B47" s="91">
        <v>0</v>
      </c>
      <c r="C47" s="351">
        <f t="shared" si="17"/>
        <v>1109</v>
      </c>
      <c r="D47" s="497">
        <v>52</v>
      </c>
      <c r="E47" s="425"/>
      <c r="F47" s="498"/>
      <c r="G47" s="427">
        <f t="shared" si="11"/>
        <v>52</v>
      </c>
      <c r="H47" s="425">
        <v>5.7</v>
      </c>
      <c r="I47" s="425"/>
      <c r="J47" s="425"/>
      <c r="K47" s="425"/>
      <c r="L47" s="426">
        <f t="shared" si="12"/>
        <v>5.7</v>
      </c>
      <c r="M47" s="351">
        <f t="shared" si="13"/>
        <v>1326.9144890967211</v>
      </c>
      <c r="N47" s="774">
        <f t="shared" si="16"/>
        <v>1062</v>
      </c>
      <c r="O47" s="775">
        <f t="shared" si="9"/>
        <v>1109</v>
      </c>
      <c r="P47" s="16">
        <f t="shared" si="14"/>
        <v>0.54261220743028449</v>
      </c>
      <c r="Q47" s="75">
        <f t="shared" si="15"/>
        <v>0.25502773749223373</v>
      </c>
      <c r="R47" s="441">
        <f>SUM(Q$13:Q47)-(AB$37+AB$24)</f>
        <v>2.038252976069975</v>
      </c>
      <c r="S47" s="254">
        <f t="shared" si="19"/>
        <v>0.48762032920334331</v>
      </c>
      <c r="T47" s="254"/>
      <c r="U47" s="254"/>
      <c r="V47" s="254"/>
      <c r="W47" s="254"/>
      <c r="X47" s="254">
        <f t="shared" si="8"/>
        <v>0</v>
      </c>
      <c r="Y47" s="755">
        <f t="shared" si="18"/>
        <v>0.54261220743028449</v>
      </c>
      <c r="Z47" s="254"/>
      <c r="AA47" s="254"/>
      <c r="AB47" s="254"/>
      <c r="AC47" s="251" t="s">
        <v>187</v>
      </c>
      <c r="AD47" s="22"/>
      <c r="AE47" s="84"/>
    </row>
    <row r="48" spans="1:35" s="762" customFormat="1">
      <c r="A48" s="742">
        <v>560</v>
      </c>
      <c r="B48" s="743">
        <v>0</v>
      </c>
      <c r="C48" s="744">
        <v>1149</v>
      </c>
      <c r="D48" s="745">
        <v>40</v>
      </c>
      <c r="E48" s="746"/>
      <c r="F48" s="747"/>
      <c r="G48" s="748">
        <f t="shared" si="11"/>
        <v>40</v>
      </c>
      <c r="H48" s="746">
        <v>5.7</v>
      </c>
      <c r="I48" s="746"/>
      <c r="J48" s="746"/>
      <c r="K48" s="746"/>
      <c r="L48" s="749">
        <f t="shared" si="12"/>
        <v>5.7</v>
      </c>
      <c r="M48" s="744">
        <f t="shared" si="13"/>
        <v>1020.7034531513239</v>
      </c>
      <c r="N48" s="774">
        <f t="shared" si="16"/>
        <v>1109</v>
      </c>
      <c r="O48" s="775">
        <f t="shared" si="9"/>
        <v>1151.5</v>
      </c>
      <c r="P48" s="752">
        <f t="shared" si="14"/>
        <v>0.54864123195728765</v>
      </c>
      <c r="Q48" s="753">
        <f t="shared" si="15"/>
        <v>0.23317252358184726</v>
      </c>
      <c r="R48" s="441">
        <f>SUM(Q$13:Q48)-(AB$37+AB$24)</f>
        <v>2.2714254996518219</v>
      </c>
      <c r="S48" s="254">
        <f t="shared" si="19"/>
        <v>0.49325200861060192</v>
      </c>
      <c r="T48" s="755"/>
      <c r="U48" s="755"/>
      <c r="V48" s="755"/>
      <c r="W48" s="755"/>
      <c r="X48" s="755">
        <f t="shared" si="8"/>
        <v>0</v>
      </c>
      <c r="Y48" s="755">
        <f t="shared" si="18"/>
        <v>0.54864123195728765</v>
      </c>
      <c r="Z48" s="755"/>
      <c r="AA48" s="755"/>
      <c r="AB48" s="755"/>
      <c r="AC48" s="756" t="s">
        <v>187</v>
      </c>
      <c r="AD48" s="757"/>
      <c r="AE48" s="758"/>
    </row>
    <row r="49" spans="1:35" s="762" customFormat="1" ht="12" thickBot="1">
      <c r="A49" s="742">
        <v>910</v>
      </c>
      <c r="B49" s="743">
        <v>0</v>
      </c>
      <c r="C49" s="744">
        <v>1217</v>
      </c>
      <c r="D49" s="745">
        <v>63</v>
      </c>
      <c r="E49" s="746"/>
      <c r="F49" s="747"/>
      <c r="G49" s="748">
        <f t="shared" si="11"/>
        <v>63</v>
      </c>
      <c r="H49" s="746">
        <v>5.7</v>
      </c>
      <c r="I49" s="746"/>
      <c r="J49" s="746"/>
      <c r="K49" s="746"/>
      <c r="L49" s="749">
        <f t="shared" si="12"/>
        <v>5.7</v>
      </c>
      <c r="M49" s="744">
        <f t="shared" si="13"/>
        <v>1607.6079387133352</v>
      </c>
      <c r="N49" s="774">
        <f t="shared" si="16"/>
        <v>1151.5</v>
      </c>
      <c r="O49" s="775">
        <f t="shared" si="9"/>
        <v>1213.5</v>
      </c>
      <c r="P49" s="752">
        <f t="shared" si="14"/>
        <v>0.56605841392418565</v>
      </c>
      <c r="Q49" s="753">
        <f t="shared" si="15"/>
        <v>0.35095621663299509</v>
      </c>
      <c r="R49" s="441">
        <f>SUM(Q$13:Q49)-(AB$37+AB$24)</f>
        <v>2.6223817162848171</v>
      </c>
      <c r="S49" s="254">
        <f t="shared" si="19"/>
        <v>0.50189123756647214</v>
      </c>
      <c r="T49" s="755"/>
      <c r="U49" s="755"/>
      <c r="V49" s="755"/>
      <c r="W49" s="755"/>
      <c r="X49" s="755">
        <f t="shared" si="8"/>
        <v>0</v>
      </c>
      <c r="Y49" s="755">
        <f t="shared" si="18"/>
        <v>0.56605841392418565</v>
      </c>
      <c r="Z49" s="755"/>
      <c r="AA49" s="755"/>
      <c r="AB49" s="755"/>
      <c r="AC49" s="756" t="s">
        <v>187</v>
      </c>
      <c r="AD49" s="757"/>
      <c r="AE49" s="781"/>
    </row>
    <row r="50" spans="1:35">
      <c r="A50" s="286">
        <v>600</v>
      </c>
      <c r="B50" s="91">
        <v>0</v>
      </c>
      <c r="C50" s="351">
        <f t="shared" si="17"/>
        <v>1253</v>
      </c>
      <c r="D50" s="497">
        <v>43</v>
      </c>
      <c r="E50" s="425"/>
      <c r="F50" s="498"/>
      <c r="G50" s="427">
        <f t="shared" si="11"/>
        <v>43</v>
      </c>
      <c r="H50" s="425">
        <v>5.7</v>
      </c>
      <c r="I50" s="425"/>
      <c r="J50" s="425"/>
      <c r="K50" s="425"/>
      <c r="L50" s="426">
        <f t="shared" si="12"/>
        <v>5.7</v>
      </c>
      <c r="M50" s="351">
        <f t="shared" si="13"/>
        <v>1097.2562121376732</v>
      </c>
      <c r="N50" s="774">
        <f t="shared" si="16"/>
        <v>1213.5</v>
      </c>
      <c r="O50" s="775">
        <f t="shared" si="9"/>
        <v>1253</v>
      </c>
      <c r="P50" s="16">
        <f t="shared" si="14"/>
        <v>0.54681850361191464</v>
      </c>
      <c r="Q50" s="75">
        <f t="shared" si="15"/>
        <v>0.21599330892670629</v>
      </c>
      <c r="R50" s="441">
        <f>SUM(Q$13:Q50)-(AB$37+AB$24)</f>
        <v>2.8383750252115236</v>
      </c>
      <c r="S50" s="254">
        <f t="shared" si="19"/>
        <v>0.50504893687037788</v>
      </c>
      <c r="T50" s="254"/>
      <c r="U50" s="254"/>
      <c r="V50" s="254"/>
      <c r="W50" s="254"/>
      <c r="X50" s="254">
        <f t="shared" si="8"/>
        <v>0</v>
      </c>
      <c r="Y50" s="755">
        <f t="shared" si="18"/>
        <v>0.54681850361191464</v>
      </c>
      <c r="Z50" s="254"/>
      <c r="AA50" s="254"/>
      <c r="AB50" s="254"/>
      <c r="AC50" s="251" t="s">
        <v>191</v>
      </c>
      <c r="AD50" s="242" t="s">
        <v>42</v>
      </c>
      <c r="AE50" s="96" t="e">
        <f>AVERAGE(AE12:AE49)</f>
        <v>#DIV/0!</v>
      </c>
    </row>
    <row r="51" spans="1:35" s="702" customFormat="1">
      <c r="A51" s="683">
        <v>640</v>
      </c>
      <c r="B51" s="684">
        <v>0</v>
      </c>
      <c r="C51" s="685">
        <v>1300</v>
      </c>
      <c r="D51" s="686">
        <v>47</v>
      </c>
      <c r="E51" s="687"/>
      <c r="F51" s="688"/>
      <c r="G51" s="689">
        <f t="shared" si="11"/>
        <v>47</v>
      </c>
      <c r="H51" s="687">
        <v>5.7</v>
      </c>
      <c r="I51" s="687"/>
      <c r="J51" s="687"/>
      <c r="K51" s="687"/>
      <c r="L51" s="690">
        <f t="shared" si="12"/>
        <v>5.7</v>
      </c>
      <c r="M51" s="685">
        <f t="shared" si="13"/>
        <v>1199.3265574528057</v>
      </c>
      <c r="N51" s="691">
        <f t="shared" si="16"/>
        <v>1253</v>
      </c>
      <c r="O51" s="692">
        <f t="shared" si="9"/>
        <v>1301.5</v>
      </c>
      <c r="P51" s="693">
        <f t="shared" si="14"/>
        <v>0.53363280919857758</v>
      </c>
      <c r="Q51" s="694">
        <f t="shared" si="15"/>
        <v>0.25881191246131013</v>
      </c>
      <c r="R51" s="441">
        <f>SUM(Q$13:Q51)-(AB$37+AB$24)</f>
        <v>3.0971869376728334</v>
      </c>
      <c r="S51" s="254">
        <f t="shared" si="19"/>
        <v>0.50731972771053779</v>
      </c>
      <c r="T51" s="696">
        <v>77</v>
      </c>
      <c r="U51" s="696">
        <v>3</v>
      </c>
      <c r="V51" s="696">
        <v>16</v>
      </c>
      <c r="W51" s="696">
        <v>1.5</v>
      </c>
      <c r="X51" s="696">
        <f t="shared" si="8"/>
        <v>76.552758986349289</v>
      </c>
      <c r="Y51" s="696">
        <f t="shared" si="18"/>
        <v>0.50865322800757162</v>
      </c>
      <c r="Z51" s="696">
        <v>80</v>
      </c>
      <c r="AA51" s="696">
        <f>C51-Z51</f>
        <v>1220</v>
      </c>
      <c r="AB51" s="696">
        <f>(AA51-AA37)*S51/100</f>
        <v>2.6837213595887448</v>
      </c>
      <c r="AC51" s="697" t="s">
        <v>192</v>
      </c>
      <c r="AD51" s="703" t="s">
        <v>43</v>
      </c>
      <c r="AE51" s="704" t="e">
        <f>STDEV(AE12:AE49)</f>
        <v>#DIV/0!</v>
      </c>
      <c r="AF51" s="705"/>
      <c r="AG51" s="705"/>
    </row>
    <row r="52" spans="1:35">
      <c r="A52" s="286">
        <v>580</v>
      </c>
      <c r="B52" s="91">
        <v>0</v>
      </c>
      <c r="C52" s="351">
        <f t="shared" si="17"/>
        <v>1344.5</v>
      </c>
      <c r="D52" s="497">
        <v>41.5</v>
      </c>
      <c r="E52" s="425"/>
      <c r="F52" s="498"/>
      <c r="G52" s="427">
        <f t="shared" si="11"/>
        <v>41.5</v>
      </c>
      <c r="H52" s="425">
        <v>5.7</v>
      </c>
      <c r="I52" s="425"/>
      <c r="J52" s="425"/>
      <c r="K52" s="425"/>
      <c r="L52" s="426">
        <f t="shared" si="12"/>
        <v>5.7</v>
      </c>
      <c r="M52" s="351">
        <f t="shared" si="13"/>
        <v>1058.9798326444986</v>
      </c>
      <c r="N52" s="774">
        <f t="shared" si="16"/>
        <v>1301.5</v>
      </c>
      <c r="O52" s="775">
        <f t="shared" si="9"/>
        <v>1344.5</v>
      </c>
      <c r="P52" s="16">
        <f t="shared" si="14"/>
        <v>0.54769692691088956</v>
      </c>
      <c r="Q52" s="75">
        <f t="shared" si="15"/>
        <v>0.23550967857168253</v>
      </c>
      <c r="R52" s="441">
        <f>SUM(Q$13:Q52)-(AB$37+AB$24)</f>
        <v>3.3326966162445162</v>
      </c>
      <c r="S52" s="254">
        <f t="shared" si="19"/>
        <v>0.50997652888209888</v>
      </c>
      <c r="T52" s="254"/>
      <c r="U52" s="254"/>
      <c r="V52" s="254"/>
      <c r="W52" s="254"/>
      <c r="X52" s="254">
        <f t="shared" si="8"/>
        <v>0</v>
      </c>
      <c r="Y52" s="755">
        <f t="shared" si="18"/>
        <v>0.54769692691088956</v>
      </c>
      <c r="Z52" s="254"/>
      <c r="AA52" s="254"/>
      <c r="AB52" s="254"/>
      <c r="AC52" s="251" t="s">
        <v>188</v>
      </c>
      <c r="AD52" s="33" t="s">
        <v>44</v>
      </c>
      <c r="AE52" s="95" t="e">
        <f>AE51/SQRT(COUNT(AE12:AE49))</f>
        <v>#DIV/0!</v>
      </c>
      <c r="AF52" s="98"/>
      <c r="AG52" s="56"/>
      <c r="AH52" s="56"/>
      <c r="AI52" s="56"/>
    </row>
    <row r="53" spans="1:35" s="762" customFormat="1">
      <c r="A53" s="742">
        <v>515</v>
      </c>
      <c r="B53" s="743">
        <v>0</v>
      </c>
      <c r="C53" s="744">
        <v>1381</v>
      </c>
      <c r="D53" s="745">
        <v>36.5</v>
      </c>
      <c r="E53" s="746"/>
      <c r="F53" s="747"/>
      <c r="G53" s="748">
        <f t="shared" si="11"/>
        <v>36.5</v>
      </c>
      <c r="H53" s="746">
        <v>5.7</v>
      </c>
      <c r="I53" s="746"/>
      <c r="J53" s="746"/>
      <c r="K53" s="746"/>
      <c r="L53" s="749">
        <f t="shared" si="12"/>
        <v>5.7</v>
      </c>
      <c r="M53" s="744">
        <f t="shared" si="13"/>
        <v>931.39190100058295</v>
      </c>
      <c r="N53" s="774">
        <f t="shared" si="16"/>
        <v>1344.5</v>
      </c>
      <c r="O53" s="775">
        <f>C53</f>
        <v>1381</v>
      </c>
      <c r="P53" s="752">
        <f t="shared" si="14"/>
        <v>0.552935879565564</v>
      </c>
      <c r="Q53" s="753">
        <f t="shared" si="15"/>
        <v>0.20182159604143085</v>
      </c>
      <c r="R53" s="441">
        <f>SUM(Q$13:Q53)-(AB$37+AB$24)</f>
        <v>3.5345182122859473</v>
      </c>
      <c r="S53" s="254">
        <f t="shared" si="19"/>
        <v>0.51224901627332564</v>
      </c>
      <c r="T53" s="755">
        <v>58</v>
      </c>
      <c r="U53" s="755">
        <v>0.5</v>
      </c>
      <c r="V53" s="755">
        <v>72</v>
      </c>
      <c r="W53" s="755">
        <v>1</v>
      </c>
      <c r="X53" s="755">
        <f t="shared" si="8"/>
        <v>12.758793164391548</v>
      </c>
      <c r="Y53" s="755">
        <f t="shared" si="18"/>
        <v>0.54811554455953015</v>
      </c>
      <c r="Z53" s="755"/>
      <c r="AA53" s="755"/>
      <c r="AB53" s="755"/>
      <c r="AC53" s="756" t="s">
        <v>187</v>
      </c>
      <c r="AD53" s="782" t="s">
        <v>45</v>
      </c>
      <c r="AE53" s="781">
        <f>MAX(AE12:AE49)</f>
        <v>0</v>
      </c>
      <c r="AF53" s="766"/>
    </row>
    <row r="54" spans="1:35" ht="12" thickBot="1">
      <c r="A54" s="286"/>
      <c r="B54" s="91">
        <v>0</v>
      </c>
      <c r="C54" s="351">
        <v>1453</v>
      </c>
      <c r="D54" s="497"/>
      <c r="E54" s="425"/>
      <c r="F54" s="498"/>
      <c r="G54" s="427">
        <f>C54-C53</f>
        <v>72</v>
      </c>
      <c r="H54" s="425" t="s">
        <v>154</v>
      </c>
      <c r="I54" s="425"/>
      <c r="J54" s="425"/>
      <c r="K54" s="425"/>
      <c r="L54" s="749">
        <v>5.7</v>
      </c>
      <c r="M54" s="351">
        <f t="shared" si="13"/>
        <v>1837.2662156723829</v>
      </c>
      <c r="N54" s="774">
        <f t="shared" si="16"/>
        <v>1381</v>
      </c>
      <c r="O54" s="775">
        <f t="shared" si="9"/>
        <v>726.5</v>
      </c>
      <c r="P54" s="752">
        <f t="shared" ref="P54" si="20">(A54-B54)/M54</f>
        <v>0</v>
      </c>
      <c r="Q54" s="753">
        <f t="shared" ref="Q54" si="21">(P54*(O54-N54))/100</f>
        <v>0</v>
      </c>
      <c r="R54" s="441">
        <f>SUM(Q$13:Q54)-(AB$37+AB$24)</f>
        <v>3.5345182122859473</v>
      </c>
      <c r="S54" s="254">
        <f t="shared" si="19"/>
        <v>9.9563893303829509</v>
      </c>
      <c r="T54" s="254"/>
      <c r="U54" s="254"/>
      <c r="V54" s="254"/>
      <c r="W54" s="254"/>
      <c r="X54" s="755">
        <f t="shared" si="8"/>
        <v>0</v>
      </c>
      <c r="Y54" s="755">
        <f t="shared" si="18"/>
        <v>0</v>
      </c>
      <c r="Z54" s="254"/>
      <c r="AA54" s="254"/>
      <c r="AB54" s="254"/>
      <c r="AC54" s="251" t="s">
        <v>187</v>
      </c>
      <c r="AD54" s="243" t="s">
        <v>46</v>
      </c>
      <c r="AE54" s="100">
        <f>MIN(AE12:AE49)</f>
        <v>0</v>
      </c>
      <c r="AF54" s="56"/>
    </row>
    <row r="55" spans="1:35" s="762" customFormat="1">
      <c r="A55" s="742"/>
      <c r="B55" s="743"/>
      <c r="C55" s="744"/>
      <c r="D55" s="745"/>
      <c r="E55" s="746"/>
      <c r="F55" s="747"/>
      <c r="G55" s="748"/>
      <c r="H55" s="746"/>
      <c r="I55" s="746"/>
      <c r="J55" s="746"/>
      <c r="K55" s="746"/>
      <c r="L55" s="749"/>
      <c r="M55" s="744"/>
      <c r="N55" s="774"/>
      <c r="O55" s="775"/>
      <c r="P55" s="752"/>
      <c r="Q55" s="753"/>
      <c r="R55" s="754"/>
      <c r="S55" s="755"/>
      <c r="T55" s="755"/>
      <c r="U55" s="755"/>
      <c r="V55" s="755"/>
      <c r="W55" s="755"/>
      <c r="X55" s="755"/>
      <c r="Y55" s="755"/>
      <c r="Z55" s="755"/>
      <c r="AA55" s="755"/>
      <c r="AB55" s="755"/>
      <c r="AC55" s="756"/>
    </row>
    <row r="56" spans="1:35">
      <c r="A56" s="287" t="s">
        <v>73</v>
      </c>
      <c r="B56" s="258"/>
      <c r="C56" s="352"/>
      <c r="D56" s="352"/>
      <c r="E56" s="352"/>
      <c r="F56" s="352"/>
      <c r="G56" s="398"/>
      <c r="H56" s="352"/>
      <c r="I56" s="352"/>
      <c r="J56" s="352"/>
      <c r="K56" s="352"/>
      <c r="L56" s="403"/>
      <c r="M56" s="352"/>
      <c r="N56" s="483"/>
      <c r="O56" s="260"/>
      <c r="P56" s="261"/>
      <c r="Q56" s="444"/>
      <c r="R56" s="445"/>
      <c r="S56" s="264"/>
      <c r="T56" s="264"/>
      <c r="U56" s="264"/>
      <c r="V56" s="264"/>
      <c r="W56" s="264"/>
      <c r="X56" s="264"/>
      <c r="Y56" s="264"/>
      <c r="Z56" s="264"/>
      <c r="AA56" s="264"/>
      <c r="AB56" s="264"/>
      <c r="AC56" s="265"/>
    </row>
    <row r="57" spans="1:35">
      <c r="A57" s="266"/>
      <c r="B57" s="267"/>
      <c r="C57" s="353"/>
      <c r="D57" s="353"/>
      <c r="E57" s="353"/>
      <c r="F57" s="353"/>
      <c r="G57" s="399"/>
      <c r="H57" s="353"/>
      <c r="I57" s="353"/>
      <c r="J57" s="353"/>
      <c r="K57" s="353"/>
      <c r="L57" s="404"/>
      <c r="M57" s="353"/>
      <c r="N57" s="484"/>
      <c r="O57" s="269"/>
      <c r="P57" s="446"/>
      <c r="Q57" s="271"/>
      <c r="R57" s="447"/>
      <c r="S57" s="448"/>
      <c r="T57" s="448"/>
      <c r="U57" s="448"/>
      <c r="V57" s="448"/>
      <c r="W57" s="448"/>
      <c r="X57" s="448"/>
      <c r="Y57" s="448"/>
      <c r="Z57" s="448"/>
      <c r="AA57" s="448"/>
      <c r="AB57" s="448"/>
      <c r="AC57" s="274"/>
    </row>
    <row r="58" spans="1:35" ht="12" thickBot="1">
      <c r="A58" s="275"/>
      <c r="B58" s="276"/>
      <c r="C58" s="354"/>
      <c r="D58" s="354"/>
      <c r="E58" s="354"/>
      <c r="F58" s="354"/>
      <c r="G58" s="400"/>
      <c r="H58" s="354"/>
      <c r="I58" s="354"/>
      <c r="J58" s="354"/>
      <c r="K58" s="354"/>
      <c r="L58" s="405"/>
      <c r="M58" s="354"/>
      <c r="N58" s="485"/>
      <c r="O58" s="278"/>
      <c r="P58" s="449"/>
      <c r="Q58" s="280"/>
      <c r="R58" s="450"/>
      <c r="S58" s="451"/>
      <c r="T58" s="451"/>
      <c r="U58" s="451"/>
      <c r="V58" s="451"/>
      <c r="W58" s="451"/>
      <c r="X58" s="451"/>
      <c r="Y58" s="451"/>
      <c r="Z58" s="451"/>
      <c r="AA58" s="451"/>
      <c r="AB58" s="451"/>
      <c r="AC58" s="283"/>
    </row>
    <row r="59" spans="1:35">
      <c r="A59" s="15"/>
      <c r="B59" s="15"/>
      <c r="C59" s="14"/>
      <c r="D59" s="105"/>
      <c r="E59" s="105"/>
      <c r="F59" s="105"/>
      <c r="G59" s="13"/>
      <c r="H59" s="106"/>
      <c r="I59" s="107"/>
      <c r="J59" s="104"/>
      <c r="K59" s="101"/>
      <c r="L59" s="102"/>
      <c r="M59" s="56"/>
      <c r="O59" s="93"/>
      <c r="P59" s="112"/>
    </row>
    <row r="60" spans="1:35">
      <c r="A60" s="56"/>
      <c r="B60" s="56"/>
      <c r="C60" s="108"/>
      <c r="D60" s="108"/>
      <c r="E60" s="108"/>
      <c r="F60" s="108"/>
      <c r="G60" s="107"/>
      <c r="H60" s="106"/>
      <c r="I60" s="107"/>
      <c r="J60" s="104"/>
      <c r="K60" s="103"/>
      <c r="L60" s="102"/>
      <c r="M60" s="56"/>
      <c r="O60" s="93"/>
      <c r="P60" s="112"/>
    </row>
    <row r="61" spans="1:35">
      <c r="A61" s="109"/>
      <c r="B61" s="109"/>
      <c r="C61" s="109"/>
      <c r="D61" s="109"/>
      <c r="E61" s="104"/>
      <c r="F61" s="110"/>
      <c r="G61" s="56"/>
      <c r="H61" s="93"/>
      <c r="I61" s="56"/>
      <c r="J61" s="93"/>
      <c r="K61" s="93"/>
      <c r="L61" s="56"/>
      <c r="M61" s="56"/>
      <c r="O61" s="93"/>
      <c r="P61" s="112"/>
    </row>
    <row r="62" spans="1:35">
      <c r="A62" s="111"/>
      <c r="B62" s="111"/>
      <c r="C62" s="109"/>
      <c r="D62" s="109"/>
      <c r="E62" s="104"/>
      <c r="F62" s="110"/>
      <c r="G62" s="93"/>
      <c r="H62" s="93"/>
      <c r="I62" s="56"/>
      <c r="J62" s="93"/>
      <c r="K62" s="93"/>
      <c r="L62" s="56"/>
      <c r="M62" s="56"/>
      <c r="O62" s="93"/>
      <c r="P62" s="112"/>
    </row>
    <row r="63" spans="1:35">
      <c r="A63" s="50"/>
      <c r="B63" s="50"/>
      <c r="C63" s="109"/>
      <c r="D63" s="109"/>
      <c r="E63" s="104"/>
      <c r="F63" s="110"/>
      <c r="G63" s="93"/>
      <c r="H63" s="93"/>
      <c r="I63" s="56"/>
      <c r="J63" s="93"/>
      <c r="K63" s="93"/>
      <c r="L63" s="56"/>
      <c r="M63" s="56"/>
      <c r="O63" s="93"/>
      <c r="P63" s="112"/>
    </row>
    <row r="64" spans="1:35">
      <c r="A64" s="109"/>
      <c r="B64" s="109"/>
      <c r="C64" s="109"/>
      <c r="D64" s="109"/>
      <c r="E64" s="104"/>
      <c r="F64" s="110"/>
      <c r="G64" s="93"/>
      <c r="H64" s="93"/>
      <c r="I64" s="56"/>
      <c r="J64" s="93"/>
      <c r="K64" s="93"/>
      <c r="L64" s="56"/>
      <c r="M64" s="56"/>
      <c r="O64" s="93"/>
      <c r="P64" s="112"/>
    </row>
    <row r="65" spans="1:16">
      <c r="A65" s="109"/>
      <c r="B65" s="109"/>
      <c r="C65" s="109"/>
      <c r="D65" s="109"/>
      <c r="E65" s="104"/>
      <c r="F65" s="110"/>
      <c r="G65" s="93"/>
      <c r="H65" s="93"/>
      <c r="I65" s="56"/>
      <c r="J65" s="107"/>
      <c r="K65" s="93"/>
      <c r="L65" s="56"/>
      <c r="M65" s="56"/>
      <c r="O65" s="93"/>
      <c r="P65" s="112"/>
    </row>
    <row r="66" spans="1:16">
      <c r="A66" s="109"/>
      <c r="B66" s="109"/>
      <c r="C66" s="109"/>
      <c r="D66" s="109"/>
      <c r="E66" s="104"/>
      <c r="F66" s="110"/>
      <c r="G66" s="93"/>
      <c r="H66" s="93"/>
      <c r="I66" s="56"/>
      <c r="J66" s="107"/>
      <c r="K66" s="93"/>
      <c r="L66" s="56"/>
      <c r="M66" s="56"/>
      <c r="O66" s="93"/>
      <c r="P66" s="112"/>
    </row>
    <row r="67" spans="1:16">
      <c r="A67" s="109"/>
      <c r="B67" s="109"/>
      <c r="C67" s="109"/>
      <c r="D67" s="109"/>
      <c r="E67" s="104"/>
      <c r="F67" s="110"/>
      <c r="G67" s="93"/>
      <c r="H67" s="93"/>
      <c r="I67" s="56"/>
      <c r="J67" s="93"/>
      <c r="K67" s="93"/>
      <c r="L67" s="56"/>
      <c r="M67" s="56"/>
      <c r="O67" s="93"/>
      <c r="P67" s="112"/>
    </row>
    <row r="68" spans="1:16">
      <c r="A68" s="109"/>
      <c r="B68" s="109"/>
      <c r="C68" s="109"/>
      <c r="D68" s="109"/>
      <c r="E68" s="104"/>
      <c r="F68" s="110"/>
      <c r="G68" s="93"/>
      <c r="H68" s="93"/>
      <c r="I68" s="56"/>
      <c r="J68" s="93"/>
      <c r="K68" s="93"/>
      <c r="L68" s="56"/>
      <c r="M68" s="56"/>
      <c r="O68" s="93"/>
      <c r="P68" s="112"/>
    </row>
    <row r="69" spans="1:16">
      <c r="A69" s="109"/>
      <c r="B69" s="109"/>
      <c r="C69" s="109"/>
      <c r="D69" s="109"/>
      <c r="E69" s="104"/>
      <c r="F69" s="110"/>
      <c r="G69" s="93"/>
      <c r="H69" s="93"/>
      <c r="I69" s="56"/>
      <c r="J69" s="93"/>
      <c r="K69" s="93"/>
      <c r="L69" s="56"/>
      <c r="M69" s="56"/>
      <c r="O69" s="93"/>
      <c r="P69" s="112"/>
    </row>
    <row r="70" spans="1:16">
      <c r="A70" s="109"/>
      <c r="B70" s="109"/>
      <c r="C70" s="109"/>
      <c r="D70" s="109"/>
      <c r="E70" s="104"/>
      <c r="F70" s="110"/>
      <c r="G70" s="93"/>
      <c r="H70" s="93"/>
      <c r="I70" s="56"/>
      <c r="J70" s="93"/>
      <c r="K70" s="93"/>
      <c r="L70" s="56"/>
      <c r="M70" s="56"/>
      <c r="O70" s="93"/>
      <c r="P70" s="112"/>
    </row>
    <row r="71" spans="1:16">
      <c r="A71" s="109"/>
      <c r="B71" s="109"/>
      <c r="C71" s="109"/>
      <c r="D71" s="109"/>
      <c r="E71" s="104"/>
      <c r="F71" s="110"/>
      <c r="G71" s="93"/>
      <c r="H71" s="93"/>
      <c r="I71" s="56"/>
      <c r="J71" s="93"/>
      <c r="K71" s="93"/>
      <c r="L71" s="56"/>
      <c r="M71" s="56"/>
      <c r="O71" s="93"/>
      <c r="P71" s="112"/>
    </row>
    <row r="72" spans="1:16">
      <c r="A72" s="109"/>
      <c r="B72" s="109"/>
      <c r="C72" s="109"/>
      <c r="D72" s="109"/>
      <c r="E72" s="104"/>
      <c r="F72" s="110"/>
      <c r="G72" s="93"/>
      <c r="H72" s="93"/>
      <c r="I72" s="56"/>
      <c r="J72" s="93"/>
      <c r="K72" s="93"/>
      <c r="L72" s="56"/>
      <c r="O72" s="93"/>
      <c r="P72" s="112"/>
    </row>
    <row r="73" spans="1:16">
      <c r="A73" s="109"/>
      <c r="B73" s="109"/>
      <c r="C73" s="109"/>
      <c r="D73" s="109"/>
      <c r="E73" s="104"/>
      <c r="F73" s="110"/>
      <c r="G73" s="93"/>
      <c r="H73" s="93"/>
      <c r="I73" s="56"/>
      <c r="J73" s="93"/>
      <c r="K73" s="93"/>
      <c r="L73" s="56"/>
      <c r="O73" s="93"/>
      <c r="P73" s="112"/>
    </row>
    <row r="74" spans="1:16">
      <c r="A74" s="109"/>
      <c r="B74" s="109"/>
      <c r="C74" s="109"/>
      <c r="D74" s="109"/>
      <c r="E74" s="104"/>
      <c r="F74" s="110"/>
      <c r="G74" s="93"/>
      <c r="H74" s="93"/>
      <c r="I74" s="56"/>
      <c r="J74" s="93"/>
      <c r="K74" s="93"/>
      <c r="L74" s="93"/>
      <c r="O74" s="93"/>
      <c r="P74" s="112"/>
    </row>
    <row r="75" spans="1:16">
      <c r="A75" s="109"/>
      <c r="B75" s="109"/>
      <c r="C75" s="109"/>
      <c r="D75" s="109"/>
      <c r="E75" s="104"/>
      <c r="F75" s="110"/>
      <c r="G75" s="93"/>
      <c r="H75" s="93"/>
      <c r="I75" s="56"/>
      <c r="J75" s="93"/>
      <c r="K75" s="93"/>
      <c r="L75" s="93"/>
      <c r="O75" s="93"/>
      <c r="P75" s="112"/>
    </row>
    <row r="76" spans="1:16">
      <c r="A76" s="109"/>
      <c r="B76" s="109"/>
      <c r="C76" s="109"/>
      <c r="D76" s="109"/>
      <c r="E76" s="104"/>
      <c r="F76" s="110"/>
      <c r="G76" s="93"/>
      <c r="H76" s="93"/>
      <c r="I76" s="56"/>
      <c r="J76" s="93"/>
      <c r="K76" s="93"/>
      <c r="L76" s="93"/>
      <c r="O76" s="93"/>
      <c r="P76" s="112"/>
    </row>
    <row r="77" spans="1:16">
      <c r="A77" s="109"/>
      <c r="B77" s="109"/>
      <c r="C77" s="109"/>
      <c r="D77" s="109"/>
      <c r="E77" s="104"/>
      <c r="F77" s="110"/>
      <c r="G77" s="93"/>
      <c r="H77" s="93"/>
      <c r="I77" s="56"/>
      <c r="J77" s="93"/>
      <c r="K77" s="93"/>
      <c r="L77" s="93"/>
      <c r="O77" s="93"/>
      <c r="P77" s="112"/>
    </row>
    <row r="78" spans="1:16">
      <c r="A78" s="109"/>
      <c r="B78" s="109"/>
      <c r="C78" s="109"/>
      <c r="D78" s="109"/>
      <c r="E78" s="104"/>
      <c r="F78" s="110"/>
      <c r="G78" s="93"/>
      <c r="H78" s="93"/>
      <c r="I78" s="56"/>
      <c r="J78" s="93"/>
      <c r="K78" s="93"/>
      <c r="L78" s="93"/>
      <c r="O78" s="93"/>
      <c r="P78" s="112"/>
    </row>
    <row r="79" spans="1:16">
      <c r="A79" s="109"/>
      <c r="B79" s="109"/>
      <c r="C79" s="109"/>
      <c r="D79" s="109"/>
      <c r="E79" s="104"/>
      <c r="F79" s="110"/>
      <c r="G79" s="93"/>
      <c r="H79" s="93"/>
      <c r="I79" s="56"/>
      <c r="J79" s="93"/>
      <c r="K79" s="93"/>
      <c r="L79" s="93"/>
      <c r="O79" s="93"/>
      <c r="P79" s="112"/>
    </row>
    <row r="80" spans="1:16">
      <c r="A80" s="109"/>
      <c r="B80" s="109"/>
      <c r="C80" s="109"/>
      <c r="D80" s="109"/>
      <c r="E80" s="104"/>
      <c r="F80" s="110"/>
      <c r="G80" s="93"/>
      <c r="H80" s="93"/>
      <c r="I80" s="56"/>
      <c r="J80" s="93"/>
      <c r="K80" s="93"/>
      <c r="L80" s="93"/>
      <c r="O80" s="93"/>
      <c r="P80" s="112"/>
    </row>
    <row r="81" spans="1:29">
      <c r="A81" s="109"/>
      <c r="B81" s="109"/>
      <c r="C81" s="109"/>
      <c r="D81" s="109"/>
      <c r="E81" s="104"/>
      <c r="F81" s="110"/>
      <c r="G81" s="93"/>
      <c r="H81" s="93"/>
      <c r="I81" s="56"/>
      <c r="J81" s="93"/>
      <c r="K81" s="93"/>
      <c r="L81" s="93"/>
      <c r="O81" s="93"/>
      <c r="P81" s="112"/>
    </row>
    <row r="82" spans="1:29">
      <c r="A82" s="109"/>
      <c r="B82" s="109"/>
      <c r="C82" s="109"/>
      <c r="D82" s="109"/>
      <c r="E82" s="104"/>
      <c r="F82" s="110"/>
      <c r="G82" s="93"/>
      <c r="H82" s="93"/>
      <c r="I82" s="56"/>
      <c r="J82" s="93"/>
      <c r="K82" s="93"/>
      <c r="L82" s="93"/>
      <c r="O82" s="93"/>
      <c r="P82" s="112"/>
    </row>
    <row r="83" spans="1:29">
      <c r="A83" s="109"/>
      <c r="B83" s="109"/>
      <c r="C83" s="109"/>
      <c r="D83" s="109"/>
      <c r="E83" s="104"/>
      <c r="F83" s="110"/>
      <c r="G83" s="93"/>
      <c r="H83" s="93"/>
      <c r="I83" s="56"/>
      <c r="J83" s="93"/>
      <c r="K83" s="93"/>
      <c r="L83" s="93"/>
      <c r="O83" s="93"/>
      <c r="P83" s="112"/>
    </row>
    <row r="84" spans="1:29">
      <c r="A84" s="109"/>
      <c r="B84" s="109"/>
      <c r="C84" s="109"/>
      <c r="D84" s="109"/>
      <c r="E84" s="104"/>
      <c r="F84" s="110"/>
      <c r="G84" s="93"/>
      <c r="H84" s="93"/>
      <c r="I84" s="56"/>
      <c r="J84" s="93"/>
      <c r="K84" s="93"/>
      <c r="L84" s="93"/>
      <c r="O84" s="93"/>
      <c r="P84" s="112"/>
    </row>
    <row r="85" spans="1:29">
      <c r="A85" s="109"/>
      <c r="B85" s="109"/>
      <c r="C85" s="109"/>
      <c r="D85" s="109"/>
      <c r="E85" s="104"/>
      <c r="F85" s="110"/>
      <c r="G85" s="112"/>
      <c r="H85" s="93"/>
      <c r="I85" s="56"/>
      <c r="J85" s="93"/>
      <c r="K85" s="93"/>
      <c r="L85" s="93"/>
      <c r="O85" s="93"/>
      <c r="P85" s="112"/>
    </row>
    <row r="86" spans="1:29">
      <c r="A86" s="109"/>
      <c r="B86" s="109"/>
      <c r="C86" s="109"/>
      <c r="D86" s="109"/>
      <c r="E86" s="104"/>
      <c r="F86" s="110"/>
      <c r="G86" s="112"/>
      <c r="H86" s="93"/>
      <c r="I86" s="56"/>
      <c r="J86" s="93"/>
      <c r="K86" s="93"/>
      <c r="L86" s="93"/>
      <c r="O86" s="93"/>
      <c r="P86" s="112"/>
    </row>
    <row r="87" spans="1:29" s="109" customFormat="1">
      <c r="E87" s="104"/>
      <c r="F87" s="110"/>
      <c r="G87" s="112"/>
      <c r="H87" s="93"/>
      <c r="I87" s="56"/>
      <c r="J87" s="93"/>
      <c r="K87" s="93"/>
      <c r="L87" s="93"/>
      <c r="M87" s="93"/>
      <c r="N87" s="93"/>
      <c r="O87" s="93"/>
      <c r="P87" s="112"/>
      <c r="Q87" s="112"/>
      <c r="R87" s="112"/>
      <c r="S87" s="112"/>
      <c r="T87" s="112"/>
      <c r="U87" s="112"/>
      <c r="V87" s="112"/>
      <c r="W87" s="112"/>
      <c r="X87" s="112"/>
      <c r="Y87" s="112"/>
      <c r="Z87" s="112"/>
      <c r="AA87" s="112"/>
      <c r="AB87" s="112"/>
      <c r="AC87" s="93"/>
    </row>
    <row r="88" spans="1:29" s="109" customFormat="1">
      <c r="E88" s="104"/>
      <c r="F88" s="110"/>
      <c r="G88" s="112"/>
      <c r="H88" s="93"/>
      <c r="I88" s="56"/>
      <c r="J88" s="93"/>
      <c r="K88" s="93"/>
      <c r="L88" s="93"/>
      <c r="M88" s="93"/>
      <c r="N88" s="93"/>
      <c r="O88" s="93"/>
      <c r="P88" s="112"/>
      <c r="Q88" s="112"/>
      <c r="R88" s="112"/>
      <c r="S88" s="112"/>
      <c r="T88" s="112"/>
      <c r="U88" s="112"/>
      <c r="V88" s="112"/>
      <c r="W88" s="112"/>
      <c r="X88" s="112"/>
      <c r="Y88" s="112"/>
      <c r="Z88" s="112"/>
      <c r="AA88" s="112"/>
      <c r="AB88" s="112"/>
      <c r="AC88" s="93"/>
    </row>
    <row r="89" spans="1:29" s="109" customFormat="1">
      <c r="E89" s="104"/>
      <c r="F89" s="110"/>
      <c r="G89" s="93"/>
      <c r="H89" s="93"/>
      <c r="I89" s="56"/>
      <c r="J89" s="93"/>
      <c r="K89" s="93"/>
      <c r="L89" s="93"/>
      <c r="M89" s="93"/>
      <c r="N89" s="93"/>
      <c r="O89" s="93"/>
      <c r="P89" s="112"/>
      <c r="Q89" s="112"/>
      <c r="R89" s="112"/>
      <c r="S89" s="112"/>
      <c r="T89" s="112"/>
      <c r="U89" s="112"/>
      <c r="V89" s="112"/>
      <c r="W89" s="112"/>
      <c r="X89" s="112"/>
      <c r="Y89" s="112"/>
      <c r="Z89" s="112"/>
      <c r="AA89" s="112"/>
      <c r="AB89" s="112"/>
      <c r="AC89" s="93"/>
    </row>
    <row r="90" spans="1:29" s="109" customFormat="1">
      <c r="E90" s="104"/>
      <c r="F90" s="110"/>
      <c r="G90" s="93"/>
      <c r="H90" s="93"/>
      <c r="I90" s="56"/>
      <c r="J90" s="93"/>
      <c r="K90" s="93"/>
      <c r="L90" s="93"/>
      <c r="M90" s="93"/>
      <c r="N90" s="93"/>
      <c r="O90" s="93"/>
      <c r="P90" s="112"/>
      <c r="Q90" s="112"/>
      <c r="R90" s="112"/>
      <c r="S90" s="112"/>
      <c r="T90" s="112"/>
      <c r="U90" s="112"/>
      <c r="V90" s="112"/>
      <c r="W90" s="112"/>
      <c r="X90" s="112"/>
      <c r="Y90" s="112"/>
      <c r="Z90" s="112"/>
      <c r="AA90" s="112"/>
      <c r="AB90" s="112"/>
      <c r="AC90" s="93"/>
    </row>
    <row r="91" spans="1:29" s="109" customFormat="1">
      <c r="E91" s="104"/>
      <c r="F91" s="110"/>
      <c r="G91" s="93"/>
      <c r="H91" s="93"/>
      <c r="I91" s="56"/>
      <c r="J91" s="93"/>
      <c r="K91" s="93"/>
      <c r="L91" s="93"/>
      <c r="M91" s="93"/>
      <c r="N91" s="93"/>
      <c r="O91" s="93"/>
      <c r="P91" s="112"/>
      <c r="Q91" s="112"/>
      <c r="R91" s="114"/>
      <c r="S91" s="114"/>
      <c r="T91" s="114"/>
      <c r="U91" s="114"/>
      <c r="V91" s="114"/>
      <c r="W91" s="114"/>
      <c r="X91" s="114"/>
      <c r="Y91" s="114"/>
      <c r="Z91" s="114"/>
      <c r="AA91" s="114"/>
      <c r="AB91" s="114"/>
    </row>
    <row r="92" spans="1:29" s="109" customFormat="1">
      <c r="E92" s="104"/>
      <c r="F92" s="110"/>
      <c r="G92" s="93"/>
      <c r="H92" s="93"/>
      <c r="I92" s="56"/>
      <c r="J92" s="93"/>
      <c r="K92" s="93"/>
      <c r="L92" s="93"/>
      <c r="M92" s="93"/>
      <c r="N92" s="93"/>
      <c r="O92" s="93"/>
      <c r="P92" s="112"/>
      <c r="Q92" s="112"/>
      <c r="R92" s="114"/>
      <c r="S92" s="114"/>
      <c r="T92" s="114"/>
      <c r="U92" s="114"/>
      <c r="V92" s="114"/>
      <c r="W92" s="114"/>
      <c r="X92" s="114"/>
      <c r="Y92" s="114"/>
      <c r="Z92" s="114"/>
      <c r="AA92" s="114"/>
      <c r="AB92" s="114"/>
    </row>
    <row r="93" spans="1:29" s="109" customFormat="1">
      <c r="E93" s="104"/>
      <c r="F93" s="110"/>
      <c r="G93" s="93"/>
      <c r="H93" s="93"/>
      <c r="I93" s="56"/>
      <c r="J93" s="93"/>
      <c r="K93" s="93"/>
      <c r="L93" s="93"/>
      <c r="M93" s="93"/>
      <c r="N93" s="93"/>
      <c r="O93" s="93"/>
      <c r="P93" s="112"/>
      <c r="Q93" s="112"/>
      <c r="R93" s="114"/>
      <c r="S93" s="114"/>
      <c r="T93" s="114"/>
      <c r="U93" s="114"/>
      <c r="V93" s="114"/>
      <c r="W93" s="114"/>
      <c r="X93" s="114"/>
      <c r="Y93" s="114"/>
      <c r="Z93" s="114"/>
      <c r="AA93" s="114"/>
      <c r="AB93" s="114"/>
    </row>
    <row r="94" spans="1:29" s="109" customFormat="1">
      <c r="E94" s="104"/>
      <c r="F94" s="110"/>
      <c r="G94" s="93"/>
      <c r="H94" s="93"/>
      <c r="I94" s="56"/>
      <c r="J94" s="93"/>
      <c r="K94" s="93"/>
      <c r="L94" s="93"/>
      <c r="M94" s="93"/>
      <c r="N94" s="93"/>
      <c r="O94" s="93"/>
      <c r="P94" s="112"/>
      <c r="Q94" s="112"/>
      <c r="R94" s="114"/>
      <c r="S94" s="114"/>
      <c r="T94" s="114"/>
      <c r="U94" s="114"/>
      <c r="V94" s="114"/>
      <c r="W94" s="114"/>
      <c r="X94" s="114"/>
      <c r="Y94" s="114"/>
      <c r="Z94" s="114"/>
      <c r="AA94" s="114"/>
      <c r="AB94" s="114"/>
    </row>
    <row r="95" spans="1:29" s="109" customFormat="1">
      <c r="E95" s="104"/>
      <c r="F95" s="110"/>
      <c r="G95" s="93"/>
      <c r="H95" s="93"/>
      <c r="I95" s="56"/>
      <c r="J95" s="93"/>
      <c r="K95" s="93"/>
      <c r="L95" s="93"/>
      <c r="M95" s="93"/>
      <c r="N95" s="93"/>
      <c r="O95" s="93"/>
      <c r="P95" s="112"/>
      <c r="Q95" s="112"/>
      <c r="R95" s="114"/>
      <c r="S95" s="114"/>
      <c r="T95" s="114"/>
      <c r="U95" s="114"/>
      <c r="V95" s="114"/>
      <c r="W95" s="114"/>
      <c r="X95" s="114"/>
      <c r="Y95" s="114"/>
      <c r="Z95" s="114"/>
      <c r="AA95" s="114"/>
      <c r="AB95" s="114"/>
    </row>
    <row r="96" spans="1:29" s="109" customFormat="1">
      <c r="E96" s="104"/>
      <c r="F96" s="110"/>
      <c r="G96" s="93"/>
      <c r="H96" s="93"/>
      <c r="I96" s="56"/>
      <c r="J96" s="93"/>
      <c r="K96" s="93"/>
      <c r="L96" s="93"/>
      <c r="M96" s="93"/>
      <c r="P96" s="114"/>
      <c r="Q96" s="114"/>
      <c r="R96" s="114"/>
      <c r="S96" s="114"/>
      <c r="T96" s="114"/>
      <c r="U96" s="114"/>
      <c r="V96" s="114"/>
      <c r="W96" s="114"/>
      <c r="X96" s="114"/>
      <c r="Y96" s="114"/>
      <c r="Z96" s="114"/>
      <c r="AA96" s="114"/>
      <c r="AB96" s="114"/>
    </row>
    <row r="97" spans="5:28" s="109" customFormat="1">
      <c r="E97" s="104"/>
      <c r="F97" s="110"/>
      <c r="G97" s="93"/>
      <c r="H97" s="93"/>
      <c r="I97" s="56"/>
      <c r="J97" s="93"/>
      <c r="K97" s="93"/>
      <c r="L97" s="93"/>
      <c r="M97" s="93"/>
      <c r="P97" s="114"/>
      <c r="Q97" s="114"/>
      <c r="R97" s="114"/>
      <c r="S97" s="114"/>
      <c r="T97" s="114"/>
      <c r="U97" s="114"/>
      <c r="V97" s="114"/>
      <c r="W97" s="114"/>
      <c r="X97" s="114"/>
      <c r="Y97" s="114"/>
      <c r="Z97" s="114"/>
      <c r="AA97" s="114"/>
      <c r="AB97" s="114"/>
    </row>
    <row r="98" spans="5:28" s="109" customFormat="1">
      <c r="E98" s="104"/>
      <c r="F98" s="110"/>
      <c r="G98" s="93"/>
      <c r="H98" s="93"/>
      <c r="I98" s="56"/>
      <c r="J98" s="93"/>
      <c r="K98" s="93"/>
      <c r="L98" s="93"/>
      <c r="M98" s="93"/>
      <c r="P98" s="114"/>
      <c r="Q98" s="114"/>
      <c r="R98" s="114"/>
      <c r="S98" s="114"/>
      <c r="T98" s="114"/>
      <c r="U98" s="114"/>
      <c r="V98" s="114"/>
      <c r="W98" s="114"/>
      <c r="X98" s="114"/>
      <c r="Y98" s="114"/>
      <c r="Z98" s="114"/>
      <c r="AA98" s="114"/>
      <c r="AB98" s="114"/>
    </row>
    <row r="99" spans="5:28" s="109" customFormat="1">
      <c r="E99" s="104"/>
      <c r="F99" s="110"/>
      <c r="G99" s="93"/>
      <c r="H99" s="93"/>
      <c r="I99" s="56"/>
      <c r="J99" s="93"/>
      <c r="K99" s="93"/>
      <c r="L99" s="93"/>
      <c r="M99" s="93"/>
      <c r="P99" s="114"/>
      <c r="Q99" s="114"/>
      <c r="R99" s="114"/>
      <c r="S99" s="114"/>
      <c r="T99" s="114"/>
      <c r="U99" s="114"/>
      <c r="V99" s="114"/>
      <c r="W99" s="114"/>
      <c r="X99" s="114"/>
      <c r="Y99" s="114"/>
      <c r="Z99" s="114"/>
      <c r="AA99" s="114"/>
      <c r="AB99" s="114"/>
    </row>
    <row r="100" spans="5:28" s="109" customFormat="1">
      <c r="E100" s="104"/>
      <c r="F100" s="110"/>
      <c r="G100" s="93"/>
      <c r="H100" s="93"/>
      <c r="I100" s="56"/>
      <c r="J100" s="93"/>
      <c r="K100" s="93"/>
      <c r="L100" s="93"/>
      <c r="M100" s="93"/>
      <c r="P100" s="114"/>
      <c r="Q100" s="114"/>
      <c r="R100" s="114"/>
      <c r="S100" s="114"/>
      <c r="T100" s="114"/>
      <c r="U100" s="114"/>
      <c r="V100" s="114"/>
      <c r="W100" s="114"/>
      <c r="X100" s="114"/>
      <c r="Y100" s="114"/>
      <c r="Z100" s="114"/>
      <c r="AA100" s="114"/>
      <c r="AB100" s="114"/>
    </row>
    <row r="101" spans="5:28" s="109" customFormat="1">
      <c r="E101" s="104"/>
      <c r="F101" s="110"/>
      <c r="G101" s="93"/>
      <c r="H101" s="93"/>
      <c r="I101" s="56"/>
      <c r="J101" s="93"/>
      <c r="K101" s="93"/>
      <c r="L101" s="93"/>
      <c r="M101" s="93"/>
      <c r="P101" s="114"/>
      <c r="Q101" s="114"/>
      <c r="R101" s="114"/>
      <c r="S101" s="114"/>
      <c r="T101" s="114"/>
      <c r="U101" s="114"/>
      <c r="V101" s="114"/>
      <c r="W101" s="114"/>
      <c r="X101" s="114"/>
      <c r="Y101" s="114"/>
      <c r="Z101" s="114"/>
      <c r="AA101" s="114"/>
      <c r="AB101" s="114"/>
    </row>
    <row r="102" spans="5:28" s="109" customFormat="1">
      <c r="E102" s="104"/>
      <c r="F102" s="110"/>
      <c r="G102" s="93"/>
      <c r="H102" s="93"/>
      <c r="I102" s="56"/>
      <c r="J102" s="93"/>
      <c r="K102" s="93"/>
      <c r="L102" s="93"/>
      <c r="M102" s="93"/>
      <c r="P102" s="114"/>
      <c r="Q102" s="114"/>
      <c r="R102" s="114"/>
      <c r="S102" s="114"/>
      <c r="T102" s="114"/>
      <c r="U102" s="114"/>
      <c r="V102" s="114"/>
      <c r="W102" s="114"/>
      <c r="X102" s="114"/>
      <c r="Y102" s="114"/>
      <c r="Z102" s="114"/>
      <c r="AA102" s="114"/>
      <c r="AB102" s="114"/>
    </row>
    <row r="103" spans="5:28" s="109" customFormat="1">
      <c r="E103" s="104"/>
      <c r="F103" s="110"/>
      <c r="G103" s="93"/>
      <c r="H103" s="93"/>
      <c r="I103" s="56"/>
      <c r="J103" s="93"/>
      <c r="K103" s="93"/>
      <c r="L103" s="93"/>
      <c r="M103" s="93"/>
      <c r="P103" s="114"/>
      <c r="Q103" s="114"/>
      <c r="R103" s="114"/>
      <c r="S103" s="114"/>
      <c r="T103" s="114"/>
      <c r="U103" s="114"/>
      <c r="V103" s="114"/>
      <c r="W103" s="114"/>
      <c r="X103" s="114"/>
      <c r="Y103" s="114"/>
      <c r="Z103" s="114"/>
      <c r="AA103" s="114"/>
      <c r="AB103" s="114"/>
    </row>
    <row r="104" spans="5:28" s="109" customFormat="1">
      <c r="E104" s="104"/>
      <c r="F104" s="110"/>
      <c r="G104" s="93"/>
      <c r="H104" s="93"/>
      <c r="I104" s="56"/>
      <c r="J104" s="93"/>
      <c r="K104" s="93"/>
      <c r="L104" s="93"/>
      <c r="M104" s="93"/>
      <c r="P104" s="114"/>
      <c r="Q104" s="114"/>
      <c r="R104" s="114"/>
      <c r="S104" s="114"/>
      <c r="T104" s="114"/>
      <c r="U104" s="114"/>
      <c r="V104" s="114"/>
      <c r="W104" s="114"/>
      <c r="X104" s="114"/>
      <c r="Y104" s="114"/>
      <c r="Z104" s="114"/>
      <c r="AA104" s="114"/>
      <c r="AB104" s="114"/>
    </row>
    <row r="105" spans="5:28" s="109" customFormat="1">
      <c r="E105" s="104"/>
      <c r="F105" s="110"/>
      <c r="G105" s="93"/>
      <c r="H105" s="93"/>
      <c r="I105" s="56"/>
      <c r="J105" s="93"/>
      <c r="K105" s="93"/>
      <c r="L105" s="93"/>
      <c r="M105" s="93"/>
      <c r="P105" s="114"/>
      <c r="Q105" s="114"/>
      <c r="R105" s="114"/>
      <c r="S105" s="114"/>
      <c r="T105" s="114"/>
      <c r="U105" s="114"/>
      <c r="V105" s="114"/>
      <c r="W105" s="114"/>
      <c r="X105" s="114"/>
      <c r="Y105" s="114"/>
      <c r="Z105" s="114"/>
      <c r="AA105" s="114"/>
      <c r="AB105" s="114"/>
    </row>
    <row r="106" spans="5:28" s="109" customFormat="1">
      <c r="E106" s="104"/>
      <c r="F106" s="110"/>
      <c r="G106" s="93"/>
      <c r="H106" s="93"/>
      <c r="I106" s="56"/>
      <c r="J106" s="93"/>
      <c r="K106" s="93"/>
      <c r="L106" s="93"/>
      <c r="M106" s="93"/>
      <c r="P106" s="114"/>
      <c r="Q106" s="114"/>
      <c r="R106" s="114"/>
      <c r="S106" s="114"/>
      <c r="T106" s="114"/>
      <c r="U106" s="114"/>
      <c r="V106" s="114"/>
      <c r="W106" s="114"/>
      <c r="X106" s="114"/>
      <c r="Y106" s="114"/>
      <c r="Z106" s="114"/>
      <c r="AA106" s="114"/>
      <c r="AB106" s="114"/>
    </row>
    <row r="107" spans="5:28" s="109" customFormat="1">
      <c r="E107" s="104"/>
      <c r="F107" s="110"/>
      <c r="G107" s="93"/>
      <c r="H107" s="93"/>
      <c r="I107" s="56"/>
      <c r="J107" s="93"/>
      <c r="K107" s="93"/>
      <c r="L107" s="93"/>
      <c r="M107" s="93"/>
      <c r="P107" s="114"/>
      <c r="Q107" s="114"/>
      <c r="R107" s="114"/>
      <c r="S107" s="114"/>
      <c r="T107" s="114"/>
      <c r="U107" s="114"/>
      <c r="V107" s="114"/>
      <c r="W107" s="114"/>
      <c r="X107" s="114"/>
      <c r="Y107" s="114"/>
      <c r="Z107" s="114"/>
      <c r="AA107" s="114"/>
      <c r="AB107" s="114"/>
    </row>
    <row r="108" spans="5:28" s="109" customFormat="1">
      <c r="E108" s="104"/>
      <c r="F108" s="110"/>
      <c r="G108" s="93"/>
      <c r="H108" s="93"/>
      <c r="I108" s="56"/>
      <c r="J108" s="93"/>
      <c r="K108" s="93"/>
      <c r="L108" s="93"/>
      <c r="M108" s="93"/>
      <c r="P108" s="114"/>
      <c r="Q108" s="114"/>
      <c r="R108" s="114"/>
      <c r="S108" s="114"/>
      <c r="T108" s="114"/>
      <c r="U108" s="114"/>
      <c r="V108" s="114"/>
      <c r="W108" s="114"/>
      <c r="X108" s="114"/>
      <c r="Y108" s="114"/>
      <c r="Z108" s="114"/>
      <c r="AA108" s="114"/>
      <c r="AB108" s="114"/>
    </row>
    <row r="109" spans="5:28" s="109" customFormat="1">
      <c r="E109" s="104"/>
      <c r="F109" s="110"/>
      <c r="G109" s="93"/>
      <c r="H109" s="93"/>
      <c r="I109" s="56"/>
      <c r="J109" s="93"/>
      <c r="K109" s="93"/>
      <c r="L109" s="93"/>
      <c r="M109" s="93"/>
      <c r="P109" s="114"/>
      <c r="Q109" s="114"/>
      <c r="R109" s="114"/>
      <c r="S109" s="114"/>
      <c r="T109" s="114"/>
      <c r="U109" s="114"/>
      <c r="V109" s="114"/>
      <c r="W109" s="114"/>
      <c r="X109" s="114"/>
      <c r="Y109" s="114"/>
      <c r="Z109" s="114"/>
      <c r="AA109" s="114"/>
      <c r="AB109" s="114"/>
    </row>
    <row r="110" spans="5:28" s="109" customFormat="1">
      <c r="E110" s="104"/>
      <c r="F110" s="110"/>
      <c r="G110" s="93"/>
      <c r="H110" s="93"/>
      <c r="I110" s="56"/>
      <c r="J110" s="93"/>
      <c r="K110" s="93"/>
      <c r="L110" s="93"/>
      <c r="M110" s="93"/>
      <c r="P110" s="114"/>
      <c r="Q110" s="114"/>
      <c r="R110" s="114"/>
      <c r="S110" s="114"/>
      <c r="T110" s="114"/>
      <c r="U110" s="114"/>
      <c r="V110" s="114"/>
      <c r="W110" s="114"/>
      <c r="X110" s="114"/>
      <c r="Y110" s="114"/>
      <c r="Z110" s="114"/>
      <c r="AA110" s="114"/>
      <c r="AB110" s="114"/>
    </row>
    <row r="111" spans="5:28" s="109" customFormat="1">
      <c r="E111" s="104"/>
      <c r="F111" s="110"/>
      <c r="G111" s="93"/>
      <c r="H111" s="93"/>
      <c r="I111" s="56"/>
      <c r="J111" s="93"/>
      <c r="K111" s="93"/>
      <c r="L111" s="93"/>
      <c r="P111" s="114"/>
      <c r="Q111" s="114"/>
      <c r="R111" s="114"/>
      <c r="S111" s="114"/>
      <c r="T111" s="114"/>
      <c r="U111" s="114"/>
      <c r="V111" s="114"/>
      <c r="W111" s="114"/>
      <c r="X111" s="114"/>
      <c r="Y111" s="114"/>
      <c r="Z111" s="114"/>
      <c r="AA111" s="114"/>
      <c r="AB111" s="114"/>
    </row>
    <row r="112" spans="5:28" s="109" customFormat="1">
      <c r="E112" s="104"/>
      <c r="F112" s="110"/>
      <c r="G112" s="93"/>
      <c r="H112" s="93"/>
      <c r="I112" s="56"/>
      <c r="J112" s="93"/>
      <c r="K112" s="93"/>
      <c r="L112" s="93"/>
      <c r="P112" s="114"/>
      <c r="Q112" s="114"/>
      <c r="R112" s="114"/>
      <c r="S112" s="114"/>
      <c r="T112" s="114"/>
      <c r="U112" s="114"/>
      <c r="V112" s="114"/>
      <c r="W112" s="114"/>
      <c r="X112" s="114"/>
      <c r="Y112" s="114"/>
      <c r="Z112" s="114"/>
      <c r="AA112" s="114"/>
      <c r="AB112" s="114"/>
    </row>
    <row r="113" spans="5:28" s="109" customFormat="1">
      <c r="E113" s="104"/>
      <c r="F113" s="110"/>
      <c r="G113" s="93"/>
      <c r="H113" s="93"/>
      <c r="I113" s="56"/>
      <c r="J113" s="93"/>
      <c r="K113" s="93"/>
      <c r="L113" s="93"/>
      <c r="P113" s="114"/>
      <c r="Q113" s="114"/>
      <c r="R113" s="114"/>
      <c r="S113" s="114"/>
      <c r="T113" s="114"/>
      <c r="U113" s="114"/>
      <c r="V113" s="114"/>
      <c r="W113" s="114"/>
      <c r="X113" s="114"/>
      <c r="Y113" s="114"/>
      <c r="Z113" s="114"/>
      <c r="AA113" s="114"/>
      <c r="AB113" s="114"/>
    </row>
    <row r="114" spans="5:28" s="109" customFormat="1">
      <c r="E114" s="104"/>
      <c r="F114" s="110"/>
      <c r="G114" s="93"/>
      <c r="H114" s="93"/>
      <c r="I114" s="56"/>
      <c r="J114" s="93"/>
      <c r="K114" s="93"/>
      <c r="L114" s="93"/>
      <c r="P114" s="114"/>
      <c r="Q114" s="114"/>
      <c r="R114" s="114"/>
      <c r="S114" s="114"/>
      <c r="T114" s="114"/>
      <c r="U114" s="114"/>
      <c r="V114" s="114"/>
      <c r="W114" s="114"/>
      <c r="X114" s="114"/>
      <c r="Y114" s="114"/>
      <c r="Z114" s="114"/>
      <c r="AA114" s="114"/>
      <c r="AB114" s="114"/>
    </row>
    <row r="115" spans="5:28" s="109" customFormat="1">
      <c r="E115" s="104"/>
      <c r="F115" s="110"/>
      <c r="G115" s="93"/>
      <c r="H115" s="93"/>
      <c r="I115" s="56"/>
      <c r="J115" s="93"/>
      <c r="K115" s="93"/>
      <c r="L115" s="93"/>
      <c r="P115" s="114"/>
      <c r="Q115" s="114"/>
      <c r="R115" s="114"/>
      <c r="S115" s="114"/>
      <c r="T115" s="114"/>
      <c r="U115" s="114"/>
      <c r="V115" s="114"/>
      <c r="W115" s="114"/>
      <c r="X115" s="114"/>
      <c r="Y115" s="114"/>
      <c r="Z115" s="114"/>
      <c r="AA115" s="114"/>
      <c r="AB115" s="114"/>
    </row>
    <row r="116" spans="5:28" s="109" customFormat="1">
      <c r="E116" s="104"/>
      <c r="F116" s="110"/>
      <c r="G116" s="93"/>
      <c r="H116" s="93"/>
      <c r="I116" s="56"/>
      <c r="J116" s="93"/>
      <c r="K116" s="93"/>
      <c r="L116" s="93"/>
      <c r="P116" s="114"/>
      <c r="Q116" s="114"/>
      <c r="R116" s="114"/>
      <c r="S116" s="114"/>
      <c r="T116" s="114"/>
      <c r="U116" s="114"/>
      <c r="V116" s="114"/>
      <c r="W116" s="114"/>
      <c r="X116" s="114"/>
      <c r="Y116" s="114"/>
      <c r="Z116" s="114"/>
      <c r="AA116" s="114"/>
      <c r="AB116" s="114"/>
    </row>
    <row r="117" spans="5:28" s="109" customFormat="1">
      <c r="E117" s="104"/>
      <c r="F117" s="110"/>
      <c r="G117" s="93"/>
      <c r="H117" s="93"/>
      <c r="I117" s="56"/>
      <c r="J117" s="93"/>
      <c r="K117" s="93"/>
      <c r="L117" s="93"/>
      <c r="P117" s="114"/>
      <c r="Q117" s="114"/>
      <c r="R117" s="114"/>
      <c r="S117" s="114"/>
      <c r="T117" s="114"/>
      <c r="U117" s="114"/>
      <c r="V117" s="114"/>
      <c r="W117" s="114"/>
      <c r="X117" s="114"/>
      <c r="Y117" s="114"/>
      <c r="Z117" s="114"/>
      <c r="AA117" s="114"/>
      <c r="AB117" s="114"/>
    </row>
    <row r="118" spans="5:28" s="109" customFormat="1">
      <c r="E118" s="104"/>
      <c r="F118" s="110"/>
      <c r="G118" s="93"/>
      <c r="H118" s="93"/>
      <c r="I118" s="56"/>
      <c r="J118" s="93"/>
      <c r="K118" s="93"/>
      <c r="L118" s="93"/>
      <c r="P118" s="114"/>
      <c r="Q118" s="114"/>
      <c r="R118" s="114"/>
      <c r="S118" s="114"/>
      <c r="T118" s="114"/>
      <c r="U118" s="114"/>
      <c r="V118" s="114"/>
      <c r="W118" s="114"/>
      <c r="X118" s="114"/>
      <c r="Y118" s="114"/>
      <c r="Z118" s="114"/>
      <c r="AA118" s="114"/>
      <c r="AB118" s="114"/>
    </row>
    <row r="119" spans="5:28" s="109" customFormat="1">
      <c r="E119" s="104"/>
      <c r="F119" s="110"/>
      <c r="G119" s="93"/>
      <c r="H119" s="93"/>
      <c r="I119" s="56"/>
      <c r="J119" s="93"/>
      <c r="K119" s="93"/>
      <c r="L119" s="93"/>
      <c r="P119" s="114"/>
      <c r="Q119" s="114"/>
      <c r="R119" s="114"/>
      <c r="S119" s="114"/>
      <c r="T119" s="114"/>
      <c r="U119" s="114"/>
      <c r="V119" s="114"/>
      <c r="W119" s="114"/>
      <c r="X119" s="114"/>
      <c r="Y119" s="114"/>
      <c r="Z119" s="114"/>
      <c r="AA119" s="114"/>
      <c r="AB119" s="114"/>
    </row>
    <row r="120" spans="5:28" s="109" customFormat="1">
      <c r="E120" s="104"/>
      <c r="F120" s="110"/>
      <c r="G120" s="93"/>
      <c r="H120" s="93"/>
      <c r="I120" s="56"/>
      <c r="J120" s="93"/>
      <c r="K120" s="93"/>
      <c r="L120" s="93"/>
      <c r="P120" s="114"/>
      <c r="Q120" s="114"/>
      <c r="R120" s="114"/>
      <c r="S120" s="114"/>
      <c r="T120" s="114"/>
      <c r="U120" s="114"/>
      <c r="V120" s="114"/>
      <c r="W120" s="114"/>
      <c r="X120" s="114"/>
      <c r="Y120" s="114"/>
      <c r="Z120" s="114"/>
      <c r="AA120" s="114"/>
      <c r="AB120" s="114"/>
    </row>
    <row r="121" spans="5:28" s="109" customFormat="1">
      <c r="E121" s="104"/>
      <c r="F121" s="110"/>
      <c r="G121" s="93"/>
      <c r="H121" s="93"/>
      <c r="I121" s="56"/>
      <c r="J121" s="93"/>
      <c r="K121" s="93"/>
      <c r="L121" s="93"/>
      <c r="P121" s="114"/>
      <c r="Q121" s="114"/>
      <c r="R121" s="114"/>
      <c r="S121" s="114"/>
      <c r="T121" s="114"/>
      <c r="U121" s="114"/>
      <c r="V121" s="114"/>
      <c r="W121" s="114"/>
      <c r="X121" s="114"/>
      <c r="Y121" s="114"/>
      <c r="Z121" s="114"/>
      <c r="AA121" s="114"/>
      <c r="AB121" s="114"/>
    </row>
    <row r="122" spans="5:28" s="109" customFormat="1">
      <c r="E122" s="104"/>
      <c r="F122" s="110"/>
      <c r="G122" s="93"/>
      <c r="H122" s="93"/>
      <c r="I122" s="56"/>
      <c r="J122" s="93"/>
      <c r="K122" s="93"/>
      <c r="L122" s="93"/>
      <c r="P122" s="114"/>
      <c r="Q122" s="114"/>
      <c r="R122" s="114"/>
      <c r="S122" s="114"/>
      <c r="T122" s="114"/>
      <c r="U122" s="114"/>
      <c r="V122" s="114"/>
      <c r="W122" s="114"/>
      <c r="X122" s="114"/>
      <c r="Y122" s="114"/>
      <c r="Z122" s="114"/>
      <c r="AA122" s="114"/>
      <c r="AB122" s="114"/>
    </row>
    <row r="123" spans="5:28" s="109" customFormat="1">
      <c r="E123" s="104"/>
      <c r="F123" s="110"/>
      <c r="G123" s="93"/>
      <c r="H123" s="93"/>
      <c r="I123" s="56"/>
      <c r="J123" s="93"/>
      <c r="K123" s="93"/>
      <c r="L123" s="93"/>
      <c r="P123" s="114"/>
      <c r="Q123" s="114"/>
      <c r="R123" s="114"/>
      <c r="S123" s="114"/>
      <c r="T123" s="114"/>
      <c r="U123" s="114"/>
      <c r="V123" s="114"/>
      <c r="W123" s="114"/>
      <c r="X123" s="114"/>
      <c r="Y123" s="114"/>
      <c r="Z123" s="114"/>
      <c r="AA123" s="114"/>
      <c r="AB123" s="114"/>
    </row>
    <row r="124" spans="5:28" s="109" customFormat="1">
      <c r="E124" s="104"/>
      <c r="F124" s="110"/>
      <c r="G124" s="93"/>
      <c r="H124" s="93"/>
      <c r="I124" s="56"/>
      <c r="J124" s="93"/>
      <c r="K124" s="93"/>
      <c r="L124" s="93"/>
      <c r="P124" s="114"/>
      <c r="Q124" s="114"/>
      <c r="R124" s="114"/>
      <c r="S124" s="114"/>
      <c r="T124" s="114"/>
      <c r="U124" s="114"/>
      <c r="V124" s="114"/>
      <c r="W124" s="114"/>
      <c r="X124" s="114"/>
      <c r="Y124" s="114"/>
      <c r="Z124" s="114"/>
      <c r="AA124" s="114"/>
      <c r="AB124" s="114"/>
    </row>
    <row r="125" spans="5:28" s="109" customFormat="1">
      <c r="E125" s="104"/>
      <c r="F125" s="110"/>
      <c r="G125" s="93"/>
      <c r="H125" s="93"/>
      <c r="I125" s="56"/>
      <c r="J125" s="93"/>
      <c r="K125" s="93"/>
      <c r="L125" s="93"/>
      <c r="P125" s="114"/>
      <c r="Q125" s="114"/>
      <c r="R125" s="114"/>
      <c r="S125" s="114"/>
      <c r="T125" s="114"/>
      <c r="U125" s="114"/>
      <c r="V125" s="114"/>
      <c r="W125" s="114"/>
      <c r="X125" s="114"/>
      <c r="Y125" s="114"/>
      <c r="Z125" s="114"/>
      <c r="AA125" s="114"/>
      <c r="AB125" s="114"/>
    </row>
    <row r="126" spans="5:28" s="109" customFormat="1">
      <c r="E126" s="104"/>
      <c r="F126" s="110"/>
      <c r="G126" s="93"/>
      <c r="H126" s="93"/>
      <c r="I126" s="56"/>
      <c r="J126" s="93"/>
      <c r="K126" s="93"/>
      <c r="L126" s="93"/>
      <c r="P126" s="114"/>
      <c r="Q126" s="114"/>
      <c r="R126" s="114"/>
      <c r="S126" s="114"/>
      <c r="T126" s="114"/>
      <c r="U126" s="114"/>
      <c r="V126" s="114"/>
      <c r="W126" s="114"/>
      <c r="X126" s="114"/>
      <c r="Y126" s="114"/>
      <c r="Z126" s="114"/>
      <c r="AA126" s="114"/>
      <c r="AB126" s="114"/>
    </row>
    <row r="127" spans="5:28" s="109" customFormat="1">
      <c r="E127" s="104"/>
      <c r="F127" s="110"/>
      <c r="G127" s="93"/>
      <c r="H127" s="93"/>
      <c r="I127" s="56"/>
      <c r="J127" s="93"/>
      <c r="K127" s="93"/>
      <c r="L127" s="93"/>
      <c r="P127" s="114"/>
      <c r="Q127" s="114"/>
      <c r="R127" s="114"/>
      <c r="S127" s="114"/>
      <c r="T127" s="114"/>
      <c r="U127" s="114"/>
      <c r="V127" s="114"/>
      <c r="W127" s="114"/>
      <c r="X127" s="114"/>
      <c r="Y127" s="114"/>
      <c r="Z127" s="114"/>
      <c r="AA127" s="114"/>
      <c r="AB127" s="114"/>
    </row>
    <row r="128" spans="5:28" s="109" customFormat="1">
      <c r="E128" s="104"/>
      <c r="F128" s="110"/>
      <c r="G128" s="93"/>
      <c r="H128" s="93"/>
      <c r="I128" s="56"/>
      <c r="J128" s="93"/>
      <c r="K128" s="93"/>
      <c r="L128" s="93"/>
      <c r="P128" s="114"/>
      <c r="Q128" s="114"/>
      <c r="R128" s="114"/>
      <c r="S128" s="114"/>
      <c r="T128" s="114"/>
      <c r="U128" s="114"/>
      <c r="V128" s="114"/>
      <c r="W128" s="114"/>
      <c r="X128" s="114"/>
      <c r="Y128" s="114"/>
      <c r="Z128" s="114"/>
      <c r="AA128" s="114"/>
      <c r="AB128" s="114"/>
    </row>
    <row r="129" spans="1:29" s="109" customFormat="1">
      <c r="E129" s="104"/>
      <c r="F129" s="110"/>
      <c r="G129" s="93"/>
      <c r="H129" s="93"/>
      <c r="I129" s="56"/>
      <c r="J129" s="93"/>
      <c r="K129" s="93"/>
      <c r="L129" s="93"/>
      <c r="P129" s="114"/>
      <c r="Q129" s="114"/>
      <c r="R129" s="114"/>
      <c r="S129" s="114"/>
      <c r="T129" s="114"/>
      <c r="U129" s="114"/>
      <c r="V129" s="114"/>
      <c r="W129" s="114"/>
      <c r="X129" s="114"/>
      <c r="Y129" s="114"/>
      <c r="Z129" s="114"/>
      <c r="AA129" s="114"/>
      <c r="AB129" s="114"/>
    </row>
    <row r="130" spans="1:29" s="109" customFormat="1">
      <c r="E130" s="104"/>
      <c r="F130" s="110"/>
      <c r="G130" s="93"/>
      <c r="H130" s="93"/>
      <c r="I130" s="56"/>
      <c r="J130" s="93"/>
      <c r="K130" s="93"/>
      <c r="L130" s="93"/>
      <c r="P130" s="114"/>
      <c r="Q130" s="114"/>
      <c r="R130" s="114"/>
      <c r="S130" s="114"/>
      <c r="T130" s="114"/>
      <c r="U130" s="114"/>
      <c r="V130" s="114"/>
      <c r="W130" s="114"/>
      <c r="X130" s="114"/>
      <c r="Y130" s="114"/>
      <c r="Z130" s="114"/>
      <c r="AA130" s="114"/>
      <c r="AB130" s="114"/>
    </row>
    <row r="131" spans="1:29" s="109" customFormat="1">
      <c r="E131" s="104"/>
      <c r="F131" s="110"/>
      <c r="G131" s="93"/>
      <c r="H131" s="93"/>
      <c r="I131" s="56"/>
      <c r="J131" s="93"/>
      <c r="K131" s="93"/>
      <c r="L131" s="93"/>
      <c r="P131" s="114"/>
      <c r="Q131" s="114"/>
      <c r="R131" s="114"/>
      <c r="S131" s="114"/>
      <c r="T131" s="114"/>
      <c r="U131" s="114"/>
      <c r="V131" s="114"/>
      <c r="W131" s="114"/>
      <c r="X131" s="114"/>
      <c r="Y131" s="114"/>
      <c r="Z131" s="114"/>
      <c r="AA131" s="114"/>
      <c r="AB131" s="114"/>
    </row>
    <row r="132" spans="1:29" s="109" customFormat="1">
      <c r="E132" s="104"/>
      <c r="F132" s="110"/>
      <c r="G132" s="93"/>
      <c r="H132" s="93"/>
      <c r="I132" s="56"/>
      <c r="J132" s="93"/>
      <c r="K132" s="93"/>
      <c r="L132" s="93"/>
      <c r="P132" s="114"/>
      <c r="Q132" s="114"/>
      <c r="R132" s="114"/>
      <c r="S132" s="114"/>
      <c r="T132" s="114"/>
      <c r="U132" s="114"/>
      <c r="V132" s="114"/>
      <c r="W132" s="114"/>
      <c r="X132" s="114"/>
      <c r="Y132" s="114"/>
      <c r="Z132" s="114"/>
      <c r="AA132" s="114"/>
      <c r="AB132" s="114"/>
    </row>
    <row r="133" spans="1:29" s="109" customFormat="1">
      <c r="E133" s="104"/>
      <c r="F133" s="110"/>
      <c r="G133" s="93"/>
      <c r="H133" s="93"/>
      <c r="I133" s="56"/>
      <c r="J133" s="93"/>
      <c r="K133" s="93"/>
      <c r="L133" s="93"/>
      <c r="P133" s="114"/>
      <c r="Q133" s="114"/>
      <c r="R133" s="114"/>
      <c r="S133" s="114"/>
      <c r="T133" s="114"/>
      <c r="U133" s="114"/>
      <c r="V133" s="114"/>
      <c r="W133" s="114"/>
      <c r="X133" s="114"/>
      <c r="Y133" s="114"/>
      <c r="Z133" s="114"/>
      <c r="AA133" s="114"/>
      <c r="AB133" s="114"/>
    </row>
    <row r="134" spans="1:29" s="109" customFormat="1">
      <c r="E134" s="104"/>
      <c r="F134" s="110"/>
      <c r="G134" s="93"/>
      <c r="H134" s="93"/>
      <c r="I134" s="56"/>
      <c r="J134" s="93"/>
      <c r="K134" s="93"/>
      <c r="L134" s="93"/>
      <c r="P134" s="114"/>
      <c r="Q134" s="114"/>
      <c r="R134" s="114"/>
      <c r="S134" s="114"/>
      <c r="T134" s="114"/>
      <c r="U134" s="114"/>
      <c r="V134" s="114"/>
      <c r="W134" s="114"/>
      <c r="X134" s="114"/>
      <c r="Y134" s="114"/>
      <c r="Z134" s="114"/>
      <c r="AA134" s="114"/>
      <c r="AB134" s="114"/>
    </row>
    <row r="135" spans="1:29" s="109" customFormat="1">
      <c r="E135" s="104"/>
      <c r="F135" s="110"/>
      <c r="G135" s="93"/>
      <c r="H135" s="93"/>
      <c r="I135" s="56"/>
      <c r="J135" s="93"/>
      <c r="K135" s="93"/>
      <c r="L135" s="93"/>
      <c r="P135" s="114"/>
      <c r="Q135" s="114"/>
      <c r="R135" s="114"/>
      <c r="S135" s="114"/>
      <c r="T135" s="114"/>
      <c r="U135" s="114"/>
      <c r="V135" s="114"/>
      <c r="W135" s="114"/>
      <c r="X135" s="114"/>
      <c r="Y135" s="114"/>
      <c r="Z135" s="114"/>
      <c r="AA135" s="114"/>
      <c r="AB135" s="114"/>
    </row>
    <row r="136" spans="1:29" s="109" customFormat="1">
      <c r="E136" s="104"/>
      <c r="F136" s="110"/>
      <c r="G136" s="93"/>
      <c r="H136" s="93"/>
      <c r="I136" s="56"/>
      <c r="J136" s="93"/>
      <c r="K136" s="93"/>
      <c r="L136" s="93"/>
      <c r="P136" s="114"/>
      <c r="Q136" s="114"/>
      <c r="R136" s="114"/>
      <c r="S136" s="114"/>
      <c r="T136" s="114"/>
      <c r="U136" s="114"/>
      <c r="V136" s="114"/>
      <c r="W136" s="114"/>
      <c r="X136" s="114"/>
      <c r="Y136" s="114"/>
      <c r="Z136" s="114"/>
      <c r="AA136" s="114"/>
      <c r="AB136" s="114"/>
    </row>
    <row r="137" spans="1:29" s="109" customFormat="1">
      <c r="E137" s="104"/>
      <c r="F137" s="110"/>
      <c r="G137" s="93"/>
      <c r="H137" s="93"/>
      <c r="I137" s="56"/>
      <c r="J137" s="93"/>
      <c r="K137" s="93"/>
      <c r="L137" s="93"/>
      <c r="P137" s="114"/>
      <c r="Q137" s="114"/>
      <c r="R137" s="114"/>
      <c r="S137" s="114"/>
      <c r="T137" s="114"/>
      <c r="U137" s="114"/>
      <c r="V137" s="114"/>
      <c r="W137" s="114"/>
      <c r="X137" s="114"/>
      <c r="Y137" s="114"/>
      <c r="Z137" s="114"/>
      <c r="AA137" s="114"/>
      <c r="AB137" s="114"/>
    </row>
    <row r="138" spans="1:29" s="109" customFormat="1">
      <c r="E138" s="104"/>
      <c r="F138" s="110"/>
      <c r="G138" s="93"/>
      <c r="H138" s="93"/>
      <c r="I138" s="56"/>
      <c r="J138" s="93"/>
      <c r="K138" s="93"/>
      <c r="L138" s="93"/>
      <c r="P138" s="114"/>
      <c r="Q138" s="114"/>
      <c r="R138" s="114"/>
      <c r="S138" s="114"/>
      <c r="T138" s="114"/>
      <c r="U138" s="114"/>
      <c r="V138" s="114"/>
      <c r="W138" s="114"/>
      <c r="X138" s="114"/>
      <c r="Y138" s="114"/>
      <c r="Z138" s="114"/>
      <c r="AA138" s="114"/>
      <c r="AB138" s="114"/>
    </row>
    <row r="139" spans="1:29" s="109" customFormat="1">
      <c r="E139" s="104"/>
      <c r="F139" s="110"/>
      <c r="G139" s="93"/>
      <c r="H139" s="93"/>
      <c r="I139" s="56"/>
      <c r="J139" s="93"/>
      <c r="K139" s="93"/>
      <c r="L139" s="93"/>
      <c r="P139" s="114"/>
      <c r="Q139" s="114"/>
      <c r="R139" s="114"/>
      <c r="S139" s="114"/>
      <c r="T139" s="114"/>
      <c r="U139" s="114"/>
      <c r="V139" s="114"/>
      <c r="W139" s="114"/>
      <c r="X139" s="114"/>
      <c r="Y139" s="114"/>
      <c r="Z139" s="114"/>
      <c r="AA139" s="114"/>
      <c r="AB139" s="114"/>
    </row>
    <row r="140" spans="1:29" s="109" customFormat="1">
      <c r="E140" s="104"/>
      <c r="F140" s="110"/>
      <c r="G140" s="93"/>
      <c r="H140" s="93"/>
      <c r="I140" s="56"/>
      <c r="J140" s="93"/>
      <c r="K140" s="93"/>
      <c r="L140" s="93"/>
      <c r="P140" s="114"/>
      <c r="Q140" s="114"/>
      <c r="R140" s="114"/>
      <c r="S140" s="114"/>
      <c r="T140" s="114"/>
      <c r="U140" s="114"/>
      <c r="V140" s="114"/>
      <c r="W140" s="114"/>
      <c r="X140" s="114"/>
      <c r="Y140" s="114"/>
      <c r="Z140" s="114"/>
      <c r="AA140" s="114"/>
      <c r="AB140" s="114"/>
    </row>
    <row r="141" spans="1:29" s="109" customFormat="1">
      <c r="E141" s="104"/>
      <c r="F141" s="110"/>
      <c r="G141" s="93"/>
      <c r="H141" s="93"/>
      <c r="I141" s="56"/>
      <c r="J141" s="93"/>
      <c r="K141" s="93"/>
      <c r="L141" s="93"/>
      <c r="P141" s="114"/>
      <c r="Q141" s="114"/>
      <c r="R141" s="114"/>
      <c r="S141" s="114"/>
      <c r="T141" s="114"/>
      <c r="U141" s="114"/>
      <c r="V141" s="114"/>
      <c r="W141" s="114"/>
      <c r="X141" s="114"/>
      <c r="Y141" s="114"/>
      <c r="Z141" s="114"/>
      <c r="AA141" s="114"/>
      <c r="AB141" s="114"/>
    </row>
    <row r="142" spans="1:29" s="109" customFormat="1">
      <c r="E142" s="104"/>
      <c r="F142" s="110"/>
      <c r="G142" s="93"/>
      <c r="H142" s="93"/>
      <c r="I142" s="56"/>
      <c r="J142" s="93"/>
      <c r="K142" s="93"/>
      <c r="L142" s="93"/>
      <c r="P142" s="114"/>
      <c r="Q142" s="114"/>
      <c r="R142" s="114"/>
      <c r="S142" s="114"/>
      <c r="T142" s="114"/>
      <c r="U142" s="114"/>
      <c r="V142" s="114"/>
      <c r="W142" s="114"/>
      <c r="X142" s="114"/>
      <c r="Y142" s="114"/>
      <c r="Z142" s="114"/>
      <c r="AA142" s="114"/>
      <c r="AB142" s="114"/>
    </row>
    <row r="143" spans="1:29" s="109" customFormat="1">
      <c r="E143" s="104"/>
      <c r="F143" s="110"/>
      <c r="G143" s="93"/>
      <c r="H143" s="93"/>
      <c r="I143" s="56"/>
      <c r="J143" s="93"/>
      <c r="K143" s="93"/>
      <c r="L143" s="93"/>
      <c r="P143" s="114"/>
      <c r="Q143" s="114"/>
      <c r="R143" s="114"/>
      <c r="S143" s="114"/>
      <c r="T143" s="114"/>
      <c r="U143" s="114"/>
      <c r="V143" s="114"/>
      <c r="W143" s="114"/>
      <c r="X143" s="114"/>
      <c r="Y143" s="114"/>
      <c r="Z143" s="114"/>
      <c r="AA143" s="114"/>
      <c r="AB143" s="114"/>
    </row>
    <row r="144" spans="1:29">
      <c r="A144" s="109"/>
      <c r="B144" s="109"/>
      <c r="C144" s="109"/>
      <c r="D144" s="109"/>
      <c r="E144" s="104"/>
      <c r="F144" s="110"/>
      <c r="G144" s="93"/>
      <c r="H144" s="93"/>
      <c r="I144" s="56"/>
      <c r="J144" s="93"/>
      <c r="K144" s="93"/>
      <c r="L144" s="93"/>
      <c r="M144" s="109"/>
      <c r="N144" s="109"/>
      <c r="O144" s="109"/>
      <c r="P144" s="114"/>
      <c r="Q144" s="114"/>
      <c r="R144" s="114"/>
      <c r="S144" s="114"/>
      <c r="T144" s="114"/>
      <c r="U144" s="114"/>
      <c r="V144" s="114"/>
      <c r="W144" s="114"/>
      <c r="X144" s="114"/>
      <c r="Y144" s="114"/>
      <c r="Z144" s="114"/>
      <c r="AA144" s="114"/>
      <c r="AB144" s="114"/>
      <c r="AC144" s="109"/>
    </row>
    <row r="145" spans="1:29">
      <c r="A145" s="109"/>
      <c r="B145" s="109"/>
      <c r="C145" s="109"/>
      <c r="D145" s="109"/>
      <c r="E145" s="104"/>
      <c r="F145" s="110"/>
      <c r="G145" s="93"/>
      <c r="H145" s="93"/>
      <c r="I145" s="56"/>
      <c r="J145" s="93"/>
      <c r="K145" s="93"/>
      <c r="L145" s="93"/>
      <c r="M145" s="109"/>
      <c r="N145" s="109"/>
      <c r="O145" s="109"/>
      <c r="P145" s="114"/>
      <c r="Q145" s="114"/>
      <c r="R145" s="114"/>
      <c r="S145" s="114"/>
      <c r="T145" s="114"/>
      <c r="U145" s="114"/>
      <c r="V145" s="114"/>
      <c r="W145" s="114"/>
      <c r="X145" s="114"/>
      <c r="Y145" s="114"/>
      <c r="Z145" s="114"/>
      <c r="AA145" s="114"/>
      <c r="AB145" s="114"/>
      <c r="AC145" s="109"/>
    </row>
    <row r="146" spans="1:29">
      <c r="A146" s="109"/>
      <c r="B146" s="109"/>
      <c r="C146" s="109"/>
      <c r="D146" s="109"/>
      <c r="E146" s="104"/>
      <c r="F146" s="110"/>
      <c r="G146" s="93"/>
      <c r="H146" s="93"/>
      <c r="I146" s="56"/>
      <c r="J146" s="93"/>
      <c r="K146" s="93"/>
      <c r="L146" s="93"/>
      <c r="M146" s="109"/>
      <c r="N146" s="109"/>
      <c r="O146" s="109"/>
      <c r="P146" s="114"/>
      <c r="Q146" s="114"/>
      <c r="R146" s="114"/>
      <c r="S146" s="114"/>
      <c r="T146" s="114"/>
      <c r="U146" s="114"/>
      <c r="V146" s="114"/>
      <c r="W146" s="114"/>
      <c r="X146" s="114"/>
      <c r="Y146" s="114"/>
      <c r="Z146" s="114"/>
      <c r="AA146" s="114"/>
      <c r="AB146" s="114"/>
      <c r="AC146" s="109"/>
    </row>
    <row r="147" spans="1:29">
      <c r="A147" s="109"/>
      <c r="B147" s="109"/>
      <c r="C147" s="109"/>
      <c r="D147" s="109"/>
      <c r="E147" s="104"/>
      <c r="F147" s="110"/>
      <c r="G147" s="93"/>
      <c r="H147" s="93"/>
      <c r="I147" s="56"/>
      <c r="J147" s="93"/>
      <c r="K147" s="93"/>
      <c r="L147" s="93"/>
      <c r="M147" s="109"/>
      <c r="N147" s="109"/>
      <c r="O147" s="109"/>
      <c r="P147" s="114"/>
      <c r="Q147" s="114"/>
      <c r="R147" s="114"/>
      <c r="S147" s="114"/>
      <c r="T147" s="114"/>
      <c r="U147" s="114"/>
      <c r="V147" s="114"/>
      <c r="W147" s="114"/>
      <c r="X147" s="114"/>
      <c r="Y147" s="114"/>
      <c r="Z147" s="114"/>
      <c r="AA147" s="114"/>
      <c r="AB147" s="114"/>
      <c r="AC147" s="109"/>
    </row>
    <row r="148" spans="1:29">
      <c r="A148" s="109"/>
      <c r="B148" s="109"/>
      <c r="C148" s="109"/>
      <c r="D148" s="109"/>
      <c r="E148" s="104"/>
      <c r="F148" s="110"/>
      <c r="G148" s="93"/>
      <c r="H148" s="93"/>
      <c r="I148" s="56"/>
      <c r="J148" s="93"/>
      <c r="K148" s="93"/>
      <c r="L148" s="93"/>
      <c r="M148" s="109"/>
      <c r="N148" s="109"/>
      <c r="O148" s="109"/>
      <c r="P148" s="114"/>
      <c r="Q148" s="114"/>
    </row>
    <row r="149" spans="1:29">
      <c r="A149" s="109"/>
      <c r="B149" s="109"/>
      <c r="C149" s="109"/>
      <c r="D149" s="109"/>
      <c r="E149" s="104"/>
      <c r="F149" s="110"/>
      <c r="G149" s="93"/>
      <c r="H149" s="93"/>
      <c r="I149" s="56"/>
      <c r="J149" s="93"/>
      <c r="K149" s="93"/>
      <c r="L149" s="93"/>
      <c r="M149" s="109"/>
      <c r="N149" s="109"/>
      <c r="O149" s="109"/>
      <c r="P149" s="114"/>
      <c r="Q149" s="114"/>
    </row>
    <row r="150" spans="1:29">
      <c r="A150" s="109"/>
      <c r="B150" s="109"/>
      <c r="C150" s="109"/>
      <c r="D150" s="109"/>
      <c r="E150" s="104"/>
      <c r="F150" s="110"/>
      <c r="G150" s="93"/>
      <c r="H150" s="93"/>
      <c r="I150" s="56"/>
      <c r="J150" s="93"/>
      <c r="K150" s="93"/>
      <c r="L150" s="93"/>
      <c r="M150" s="109"/>
      <c r="N150" s="109"/>
      <c r="O150" s="109"/>
      <c r="P150" s="114"/>
      <c r="Q150" s="114"/>
    </row>
    <row r="151" spans="1:29">
      <c r="A151" s="109"/>
      <c r="B151" s="109"/>
      <c r="C151" s="109"/>
      <c r="D151" s="109"/>
      <c r="E151" s="104"/>
      <c r="F151" s="110"/>
      <c r="G151" s="93"/>
      <c r="H151" s="93"/>
      <c r="I151" s="56"/>
      <c r="J151" s="93"/>
      <c r="K151" s="93"/>
      <c r="L151" s="93"/>
      <c r="M151" s="109"/>
      <c r="N151" s="109"/>
      <c r="O151" s="109"/>
      <c r="P151" s="114"/>
      <c r="Q151" s="114"/>
    </row>
    <row r="152" spans="1:29">
      <c r="A152" s="109"/>
      <c r="B152" s="109"/>
      <c r="C152" s="109"/>
      <c r="D152" s="109"/>
      <c r="E152" s="104"/>
      <c r="F152" s="110"/>
      <c r="G152" s="93"/>
      <c r="H152" s="93"/>
      <c r="I152" s="56"/>
      <c r="J152" s="93"/>
      <c r="K152" s="93"/>
      <c r="L152" s="93"/>
      <c r="M152" s="109"/>
      <c r="N152" s="109"/>
      <c r="O152" s="109"/>
      <c r="P152" s="114"/>
      <c r="Q152" s="114"/>
    </row>
    <row r="153" spans="1:29">
      <c r="A153" s="109"/>
      <c r="B153" s="109"/>
      <c r="C153" s="109"/>
      <c r="D153" s="109"/>
      <c r="E153" s="104"/>
      <c r="F153" s="110"/>
      <c r="G153" s="93"/>
      <c r="H153" s="93"/>
      <c r="I153" s="56"/>
      <c r="J153" s="93"/>
      <c r="K153" s="93"/>
      <c r="L153" s="93"/>
      <c r="M153" s="109"/>
    </row>
    <row r="154" spans="1:29">
      <c r="A154" s="109"/>
      <c r="B154" s="109"/>
      <c r="C154" s="109"/>
      <c r="D154" s="109"/>
      <c r="E154" s="104"/>
      <c r="F154" s="110"/>
      <c r="G154" s="93"/>
      <c r="H154" s="93"/>
      <c r="I154" s="56"/>
      <c r="J154" s="93"/>
      <c r="K154" s="93"/>
      <c r="L154" s="93"/>
      <c r="M154" s="109"/>
    </row>
    <row r="155" spans="1:29">
      <c r="A155" s="109"/>
      <c r="B155" s="109"/>
      <c r="C155" s="109"/>
      <c r="D155" s="109"/>
      <c r="E155" s="104"/>
      <c r="F155" s="110"/>
      <c r="G155" s="93"/>
      <c r="H155" s="93"/>
      <c r="I155" s="56"/>
      <c r="J155" s="93"/>
      <c r="K155" s="93"/>
      <c r="L155" s="93"/>
      <c r="M155" s="109"/>
    </row>
    <row r="156" spans="1:29">
      <c r="A156" s="109"/>
      <c r="B156" s="109"/>
      <c r="C156" s="109"/>
      <c r="D156" s="109"/>
      <c r="E156" s="104"/>
      <c r="F156" s="110"/>
      <c r="G156" s="93"/>
      <c r="H156" s="93"/>
      <c r="I156" s="56"/>
      <c r="J156" s="93"/>
      <c r="K156" s="93"/>
      <c r="L156" s="93"/>
      <c r="M156" s="109"/>
    </row>
    <row r="157" spans="1:29">
      <c r="J157" s="93"/>
      <c r="K157" s="93"/>
      <c r="L157" s="93"/>
      <c r="M157" s="109"/>
    </row>
    <row r="158" spans="1:29">
      <c r="J158" s="93"/>
      <c r="K158" s="93"/>
      <c r="L158" s="93"/>
      <c r="M158" s="109"/>
    </row>
    <row r="159" spans="1:29">
      <c r="J159" s="93"/>
      <c r="K159" s="93"/>
      <c r="L159" s="93"/>
      <c r="M159" s="109"/>
    </row>
    <row r="160" spans="1:29">
      <c r="J160" s="93"/>
      <c r="K160" s="93"/>
      <c r="L160" s="93"/>
      <c r="M160" s="109"/>
    </row>
    <row r="161" spans="1:35">
      <c r="J161" s="93"/>
      <c r="K161" s="93"/>
      <c r="L161" s="93"/>
      <c r="M161" s="109"/>
    </row>
    <row r="162" spans="1:35">
      <c r="J162" s="93"/>
      <c r="K162" s="93"/>
      <c r="L162" s="93"/>
      <c r="M162" s="109"/>
    </row>
    <row r="163" spans="1:35">
      <c r="K163" s="93"/>
      <c r="L163" s="93"/>
      <c r="M163" s="109"/>
    </row>
    <row r="164" spans="1:35">
      <c r="K164" s="93"/>
      <c r="L164" s="93"/>
      <c r="M164" s="109"/>
    </row>
    <row r="165" spans="1:35">
      <c r="K165" s="93"/>
      <c r="L165" s="93"/>
      <c r="M165" s="109"/>
    </row>
    <row r="166" spans="1:35">
      <c r="L166" s="93"/>
      <c r="M166" s="109"/>
    </row>
    <row r="167" spans="1:35">
      <c r="L167" s="93"/>
      <c r="M167" s="109"/>
    </row>
    <row r="168" spans="1:35">
      <c r="L168" s="93"/>
    </row>
    <row r="169" spans="1:35">
      <c r="L169" s="93"/>
    </row>
    <row r="170" spans="1:35">
      <c r="L170" s="93"/>
    </row>
    <row r="174" spans="1:35" s="112" customFormat="1">
      <c r="A174" s="93"/>
      <c r="B174" s="93"/>
      <c r="C174" s="113"/>
      <c r="D174" s="113"/>
      <c r="E174" s="113"/>
      <c r="F174" s="113"/>
      <c r="G174" s="109"/>
      <c r="H174" s="114"/>
      <c r="I174" s="109"/>
      <c r="J174" s="109"/>
      <c r="K174" s="104"/>
      <c r="L174" s="110"/>
      <c r="M174" s="93"/>
      <c r="N174" s="93"/>
      <c r="O174" s="56"/>
      <c r="P174" s="435"/>
      <c r="AC174" s="93"/>
      <c r="AD174" s="93"/>
      <c r="AE174" s="93"/>
      <c r="AF174" s="93"/>
      <c r="AG174" s="93"/>
      <c r="AH174" s="93"/>
      <c r="AI174" s="93"/>
    </row>
    <row r="175" spans="1:35" s="112" customFormat="1">
      <c r="A175" s="93"/>
      <c r="B175" s="93"/>
      <c r="C175" s="113"/>
      <c r="D175" s="113"/>
      <c r="E175" s="113"/>
      <c r="F175" s="113"/>
      <c r="G175" s="109"/>
      <c r="H175" s="114"/>
      <c r="I175" s="109"/>
      <c r="J175" s="109"/>
      <c r="K175" s="104"/>
      <c r="L175" s="110"/>
      <c r="M175" s="93"/>
      <c r="N175" s="93"/>
      <c r="O175" s="56"/>
      <c r="P175" s="435"/>
      <c r="AC175" s="93"/>
      <c r="AD175" s="93"/>
      <c r="AE175" s="93"/>
      <c r="AF175" s="93"/>
      <c r="AG175" s="93"/>
      <c r="AH175" s="93"/>
      <c r="AI175" s="93"/>
    </row>
    <row r="176" spans="1:35" s="112" customFormat="1">
      <c r="A176" s="93"/>
      <c r="B176" s="93"/>
      <c r="C176" s="113"/>
      <c r="D176" s="113"/>
      <c r="E176" s="113"/>
      <c r="F176" s="113"/>
      <c r="G176" s="109"/>
      <c r="H176" s="114"/>
      <c r="I176" s="109"/>
      <c r="J176" s="109"/>
      <c r="K176" s="104"/>
      <c r="L176" s="110"/>
      <c r="M176" s="93"/>
      <c r="N176" s="93"/>
      <c r="O176" s="56"/>
      <c r="P176" s="435"/>
      <c r="AC176" s="93"/>
      <c r="AD176" s="93"/>
      <c r="AE176" s="93"/>
      <c r="AF176" s="93"/>
      <c r="AG176" s="93"/>
      <c r="AH176" s="93"/>
      <c r="AI176" s="93"/>
    </row>
    <row r="177" spans="1:35" s="112" customFormat="1">
      <c r="A177" s="93"/>
      <c r="B177" s="93"/>
      <c r="C177" s="113"/>
      <c r="D177" s="113"/>
      <c r="E177" s="113"/>
      <c r="F177" s="113"/>
      <c r="G177" s="109"/>
      <c r="H177" s="114"/>
      <c r="I177" s="109"/>
      <c r="J177" s="109"/>
      <c r="K177" s="104"/>
      <c r="L177" s="110"/>
      <c r="M177" s="93"/>
      <c r="N177" s="93"/>
      <c r="O177" s="56"/>
      <c r="P177" s="435"/>
      <c r="AC177" s="93"/>
      <c r="AD177" s="93"/>
      <c r="AE177" s="93"/>
      <c r="AF177" s="93"/>
      <c r="AG177" s="93"/>
      <c r="AH177" s="93"/>
      <c r="AI177" s="93"/>
    </row>
    <row r="178" spans="1:35" s="112" customFormat="1">
      <c r="A178" s="93"/>
      <c r="B178" s="93"/>
      <c r="C178" s="113"/>
      <c r="D178" s="113"/>
      <c r="E178" s="113"/>
      <c r="F178" s="113"/>
      <c r="G178" s="109"/>
      <c r="H178" s="114"/>
      <c r="I178" s="109"/>
      <c r="J178" s="109"/>
      <c r="K178" s="104"/>
      <c r="L178" s="110"/>
      <c r="M178" s="93"/>
      <c r="N178" s="93"/>
      <c r="O178" s="56"/>
      <c r="P178" s="435"/>
      <c r="AC178" s="93"/>
      <c r="AD178" s="93"/>
      <c r="AE178" s="93"/>
      <c r="AF178" s="93"/>
      <c r="AG178" s="93"/>
      <c r="AH178" s="93"/>
      <c r="AI178" s="93"/>
    </row>
    <row r="179" spans="1:35" s="112" customFormat="1">
      <c r="A179" s="93"/>
      <c r="B179" s="93"/>
      <c r="C179" s="113"/>
      <c r="D179" s="113"/>
      <c r="E179" s="113"/>
      <c r="F179" s="113"/>
      <c r="G179" s="109"/>
      <c r="H179" s="114"/>
      <c r="I179" s="109"/>
      <c r="J179" s="109"/>
      <c r="K179" s="104"/>
      <c r="L179" s="110"/>
      <c r="M179" s="93"/>
      <c r="N179" s="93"/>
      <c r="O179" s="56"/>
      <c r="P179" s="435"/>
      <c r="AC179" s="93"/>
      <c r="AD179" s="93"/>
      <c r="AE179" s="93"/>
      <c r="AF179" s="93"/>
      <c r="AG179" s="93"/>
      <c r="AH179" s="93"/>
      <c r="AI179" s="93"/>
    </row>
    <row r="180" spans="1:35" s="112" customFormat="1">
      <c r="A180" s="93"/>
      <c r="B180" s="93"/>
      <c r="C180" s="113"/>
      <c r="D180" s="113"/>
      <c r="E180" s="113"/>
      <c r="F180" s="113"/>
      <c r="G180" s="109"/>
      <c r="H180" s="114"/>
      <c r="I180" s="109"/>
      <c r="J180" s="109"/>
      <c r="K180" s="104"/>
      <c r="L180" s="110"/>
      <c r="M180" s="93"/>
      <c r="N180" s="93"/>
      <c r="O180" s="56"/>
      <c r="P180" s="435"/>
      <c r="AC180" s="93"/>
      <c r="AD180" s="93"/>
      <c r="AE180" s="93"/>
      <c r="AF180" s="93"/>
      <c r="AG180" s="93"/>
      <c r="AH180" s="93"/>
      <c r="AI180" s="93"/>
    </row>
    <row r="181" spans="1:35" s="112" customFormat="1">
      <c r="A181" s="93"/>
      <c r="B181" s="93"/>
      <c r="C181" s="113"/>
      <c r="D181" s="113"/>
      <c r="E181" s="113"/>
      <c r="F181" s="113"/>
      <c r="G181" s="109"/>
      <c r="H181" s="114"/>
      <c r="I181" s="109"/>
      <c r="J181" s="109"/>
      <c r="K181" s="104"/>
      <c r="L181" s="110"/>
      <c r="M181" s="93"/>
      <c r="N181" s="93"/>
      <c r="O181" s="56"/>
      <c r="P181" s="435"/>
      <c r="AC181" s="93"/>
      <c r="AD181" s="93"/>
      <c r="AE181" s="93"/>
      <c r="AF181" s="93"/>
      <c r="AG181" s="93"/>
      <c r="AH181" s="93"/>
      <c r="AI181" s="93"/>
    </row>
    <row r="182" spans="1:35" s="112" customFormat="1">
      <c r="A182" s="93"/>
      <c r="B182" s="93"/>
      <c r="C182" s="113"/>
      <c r="D182" s="113"/>
      <c r="E182" s="113"/>
      <c r="F182" s="113"/>
      <c r="G182" s="109"/>
      <c r="H182" s="114"/>
      <c r="I182" s="109"/>
      <c r="J182" s="109"/>
      <c r="K182" s="104"/>
      <c r="L182" s="110"/>
      <c r="M182" s="93"/>
      <c r="N182" s="93"/>
      <c r="O182" s="56"/>
      <c r="P182" s="435"/>
      <c r="AC182" s="93"/>
      <c r="AD182" s="93"/>
      <c r="AE182" s="93"/>
      <c r="AF182" s="93"/>
      <c r="AG182" s="93"/>
      <c r="AH182" s="93"/>
      <c r="AI182" s="93"/>
    </row>
    <row r="183" spans="1:35" s="112" customFormat="1">
      <c r="A183" s="93"/>
      <c r="B183" s="93"/>
      <c r="C183" s="113"/>
      <c r="D183" s="113"/>
      <c r="E183" s="113"/>
      <c r="F183" s="113"/>
      <c r="G183" s="109"/>
      <c r="H183" s="114"/>
      <c r="I183" s="109"/>
      <c r="J183" s="109"/>
      <c r="K183" s="104"/>
      <c r="L183" s="110"/>
      <c r="M183" s="93"/>
      <c r="N183" s="93"/>
      <c r="O183" s="56"/>
      <c r="P183" s="435"/>
      <c r="AC183" s="93"/>
      <c r="AD183" s="93"/>
      <c r="AE183" s="93"/>
      <c r="AF183" s="93"/>
      <c r="AG183" s="93"/>
      <c r="AH183" s="93"/>
      <c r="AI183" s="93"/>
    </row>
    <row r="184" spans="1:35" s="112" customFormat="1">
      <c r="A184" s="93"/>
      <c r="B184" s="93"/>
      <c r="C184" s="113"/>
      <c r="D184" s="113"/>
      <c r="E184" s="113"/>
      <c r="F184" s="113"/>
      <c r="G184" s="109"/>
      <c r="H184" s="114"/>
      <c r="I184" s="109"/>
      <c r="J184" s="109"/>
      <c r="K184" s="104"/>
      <c r="L184" s="110"/>
      <c r="M184" s="93"/>
      <c r="N184" s="93"/>
      <c r="O184" s="56"/>
      <c r="P184" s="435"/>
      <c r="AC184" s="93"/>
      <c r="AD184" s="93"/>
      <c r="AE184" s="93"/>
      <c r="AF184" s="93"/>
      <c r="AG184" s="93"/>
      <c r="AH184" s="93"/>
      <c r="AI184" s="93"/>
    </row>
    <row r="185" spans="1:35" s="112" customFormat="1">
      <c r="A185" s="93"/>
      <c r="B185" s="93"/>
      <c r="C185" s="113"/>
      <c r="D185" s="113"/>
      <c r="E185" s="113"/>
      <c r="F185" s="113"/>
      <c r="G185" s="109"/>
      <c r="H185" s="114"/>
      <c r="I185" s="109"/>
      <c r="J185" s="109"/>
      <c r="K185" s="104"/>
      <c r="L185" s="110"/>
      <c r="M185" s="93"/>
      <c r="N185" s="93"/>
      <c r="O185" s="56"/>
      <c r="P185" s="435"/>
      <c r="AC185" s="93"/>
      <c r="AD185" s="93"/>
      <c r="AE185" s="93"/>
      <c r="AF185" s="93"/>
      <c r="AG185" s="93"/>
      <c r="AH185" s="93"/>
      <c r="AI185" s="93"/>
    </row>
    <row r="186" spans="1:35" s="112" customFormat="1">
      <c r="A186" s="93"/>
      <c r="B186" s="93"/>
      <c r="C186" s="113"/>
      <c r="D186" s="113"/>
      <c r="E186" s="113"/>
      <c r="F186" s="113"/>
      <c r="G186" s="109"/>
      <c r="H186" s="114"/>
      <c r="I186" s="109"/>
      <c r="J186" s="109"/>
      <c r="K186" s="104"/>
      <c r="L186" s="110"/>
      <c r="M186" s="93"/>
      <c r="N186" s="93"/>
      <c r="O186" s="56"/>
      <c r="P186" s="435"/>
      <c r="AC186" s="93"/>
      <c r="AD186" s="93"/>
      <c r="AE186" s="93"/>
      <c r="AF186" s="93"/>
      <c r="AG186" s="93"/>
      <c r="AH186" s="93"/>
      <c r="AI186" s="93"/>
    </row>
    <row r="187" spans="1:35" s="112" customFormat="1">
      <c r="A187" s="93"/>
      <c r="B187" s="93"/>
      <c r="C187" s="113"/>
      <c r="D187" s="113"/>
      <c r="E187" s="113"/>
      <c r="F187" s="113"/>
      <c r="G187" s="109"/>
      <c r="H187" s="114"/>
      <c r="I187" s="109"/>
      <c r="J187" s="109"/>
      <c r="K187" s="104"/>
      <c r="L187" s="110"/>
      <c r="M187" s="93"/>
      <c r="N187" s="93"/>
      <c r="O187" s="56"/>
      <c r="P187" s="435"/>
      <c r="AC187" s="93"/>
      <c r="AD187" s="93"/>
      <c r="AE187" s="93"/>
      <c r="AF187" s="93"/>
      <c r="AG187" s="93"/>
      <c r="AH187" s="93"/>
      <c r="AI187" s="93"/>
    </row>
    <row r="188" spans="1:35" s="112" customFormat="1">
      <c r="A188" s="93"/>
      <c r="B188" s="93"/>
      <c r="C188" s="113"/>
      <c r="D188" s="113"/>
      <c r="E188" s="113"/>
      <c r="F188" s="113"/>
      <c r="G188" s="109"/>
      <c r="H188" s="114"/>
      <c r="I188" s="109"/>
      <c r="J188" s="109"/>
      <c r="K188" s="104"/>
      <c r="L188" s="110"/>
      <c r="M188" s="93"/>
      <c r="N188" s="93"/>
      <c r="O188" s="56"/>
      <c r="P188" s="435"/>
      <c r="AC188" s="93"/>
      <c r="AD188" s="93"/>
      <c r="AE188" s="93"/>
      <c r="AF188" s="93"/>
      <c r="AG188" s="93"/>
      <c r="AH188" s="93"/>
      <c r="AI188" s="93"/>
    </row>
    <row r="189" spans="1:35" s="112" customFormat="1">
      <c r="A189" s="93"/>
      <c r="B189" s="93"/>
      <c r="C189" s="113"/>
      <c r="D189" s="113"/>
      <c r="E189" s="113"/>
      <c r="F189" s="113"/>
      <c r="G189" s="109"/>
      <c r="H189" s="114"/>
      <c r="I189" s="109"/>
      <c r="J189" s="109"/>
      <c r="K189" s="104"/>
      <c r="L189" s="110"/>
      <c r="M189" s="93"/>
      <c r="N189" s="93"/>
      <c r="O189" s="56"/>
      <c r="P189" s="435"/>
      <c r="AC189" s="93"/>
      <c r="AD189" s="93"/>
      <c r="AE189" s="93"/>
      <c r="AF189" s="93"/>
      <c r="AG189" s="93"/>
      <c r="AH189" s="93"/>
      <c r="AI189" s="93"/>
    </row>
  </sheetData>
  <mergeCells count="7">
    <mergeCell ref="Z7:AA7"/>
    <mergeCell ref="AD7:AE7"/>
    <mergeCell ref="D9:F9"/>
    <mergeCell ref="H9:K9"/>
    <mergeCell ref="A7:L7"/>
    <mergeCell ref="R7:S7"/>
    <mergeCell ref="T7:Y7"/>
  </mergeCells>
  <conditionalFormatting sqref="P59:P75 AI9:AI54">
    <cfRule type="aboveAverage" dxfId="3" priority="1" aboveAverage="0" stdDev="1"/>
    <cfRule type="aboveAverage" dxfId="2" priority="2" stdDev="1"/>
  </conditionalFormatting>
  <dataValidations count="1">
    <dataValidation type="list" allowBlank="1" showInputMessage="1" showErrorMessage="1" sqref="B5" xr:uid="{D63D2E18-6A74-476B-9BB5-7DBA61B1A422}">
      <formula1>$AK$5:$AK$8</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69"/>
  <sheetViews>
    <sheetView workbookViewId="0">
      <selection activeCell="I4" sqref="I3:I4"/>
    </sheetView>
  </sheetViews>
  <sheetFormatPr defaultColWidth="7.85546875" defaultRowHeight="11.25"/>
  <cols>
    <col min="1" max="1" width="15.7109375" style="93" bestFit="1" customWidth="1"/>
    <col min="2" max="2" width="9.5703125" style="93" bestFit="1" customWidth="1"/>
    <col min="3" max="3" width="5.140625" style="113" customWidth="1"/>
    <col min="4" max="6" width="7.7109375" style="113" customWidth="1"/>
    <col min="7" max="7" width="6.28515625" style="109" customWidth="1"/>
    <col min="8" max="8" width="6.85546875" style="114" customWidth="1"/>
    <col min="9" max="9" width="9.7109375" style="109" customWidth="1"/>
    <col min="10" max="10" width="8.7109375" style="109" bestFit="1" customWidth="1"/>
    <col min="11" max="11" width="12.5703125" style="104" customWidth="1"/>
    <col min="12" max="12" width="17.28515625" style="110" bestFit="1" customWidth="1"/>
    <col min="13" max="13" width="12.85546875" style="93" customWidth="1"/>
    <col min="14" max="14" width="11.28515625" style="93" customWidth="1"/>
    <col min="15" max="15" width="14.5703125" style="56" customWidth="1"/>
    <col min="16" max="16" width="2.42578125" style="56" customWidth="1"/>
    <col min="17" max="17" width="14" style="93" bestFit="1" customWidth="1"/>
    <col min="18" max="18" width="5.42578125" style="93" customWidth="1"/>
    <col min="19" max="27" width="5.28515625" style="93" customWidth="1"/>
    <col min="28" max="28" width="17" style="93" customWidth="1"/>
    <col min="29" max="16384" width="7.85546875" style="93"/>
  </cols>
  <sheetData>
    <row r="1" spans="1:15" s="32" customFormat="1" ht="12.75">
      <c r="A1" s="367" t="s">
        <v>51</v>
      </c>
      <c r="B1" s="368"/>
      <c r="C1" s="290"/>
      <c r="D1" s="368"/>
      <c r="E1" s="291"/>
      <c r="F1" s="291"/>
      <c r="G1" s="292"/>
      <c r="H1" s="293" t="s">
        <v>69</v>
      </c>
      <c r="I1" s="294">
        <f>F54</f>
        <v>420</v>
      </c>
      <c r="J1" s="295"/>
      <c r="K1" s="368"/>
      <c r="L1" s="368"/>
      <c r="M1" s="39"/>
      <c r="N1" s="33"/>
    </row>
    <row r="2" spans="1:15" s="32" customFormat="1" ht="12.75">
      <c r="A2" s="369" t="s">
        <v>25</v>
      </c>
      <c r="B2" s="304"/>
      <c r="C2" s="297"/>
      <c r="D2" s="304"/>
      <c r="E2" s="298"/>
      <c r="F2" s="298"/>
      <c r="G2" s="299"/>
      <c r="H2" s="300" t="s">
        <v>70</v>
      </c>
      <c r="I2" s="370"/>
      <c r="J2" s="302"/>
      <c r="K2" s="304"/>
      <c r="L2" s="304"/>
      <c r="M2" s="371"/>
      <c r="N2" s="35"/>
    </row>
    <row r="3" spans="1:15" s="36" customFormat="1" ht="11.25" customHeight="1">
      <c r="A3" s="372" t="s">
        <v>50</v>
      </c>
      <c r="B3" s="304"/>
      <c r="C3" s="297"/>
      <c r="D3" s="298"/>
      <c r="E3" s="298"/>
      <c r="F3" s="298"/>
      <c r="G3" s="299"/>
      <c r="H3" s="303" t="s">
        <v>71</v>
      </c>
      <c r="I3" s="374" t="e">
        <f>M53/100</f>
        <v>#DIV/0!</v>
      </c>
      <c r="J3" s="302"/>
      <c r="K3" s="304"/>
      <c r="L3" s="304"/>
      <c r="M3" s="373"/>
      <c r="N3" s="37"/>
    </row>
    <row r="4" spans="1:15" s="32" customFormat="1" ht="12.75">
      <c r="A4" s="372" t="s">
        <v>49</v>
      </c>
      <c r="B4" s="304"/>
      <c r="C4" s="297"/>
      <c r="D4" s="298"/>
      <c r="E4" s="298"/>
      <c r="F4" s="298"/>
      <c r="G4" s="299"/>
      <c r="H4" s="303" t="s">
        <v>72</v>
      </c>
      <c r="I4" s="374">
        <f>J54</f>
        <v>0</v>
      </c>
      <c r="J4" s="302"/>
      <c r="K4" s="304"/>
      <c r="L4" s="304"/>
      <c r="M4" s="371"/>
      <c r="N4" s="33"/>
    </row>
    <row r="5" spans="1:15" s="54" customFormat="1" ht="12.75">
      <c r="A5" s="369" t="s">
        <v>24</v>
      </c>
      <c r="B5" s="307" t="s">
        <v>26</v>
      </c>
      <c r="C5" s="297"/>
      <c r="D5" s="298"/>
      <c r="E5" s="298"/>
      <c r="F5" s="298"/>
      <c r="G5" s="299"/>
      <c r="H5" s="303"/>
      <c r="I5" s="375"/>
      <c r="J5" s="302"/>
      <c r="K5" s="304"/>
      <c r="L5" s="304"/>
      <c r="M5" s="53"/>
      <c r="N5" s="52"/>
    </row>
    <row r="6" spans="1:15" s="52" customFormat="1" ht="13.5" thickBot="1">
      <c r="A6" s="376"/>
      <c r="B6" s="377"/>
      <c r="C6" s="310"/>
      <c r="D6" s="311"/>
      <c r="E6" s="311"/>
      <c r="F6" s="311"/>
      <c r="G6" s="312"/>
      <c r="H6" s="313"/>
      <c r="I6" s="314"/>
      <c r="J6" s="312"/>
      <c r="K6" s="407"/>
      <c r="L6" s="377"/>
      <c r="M6" s="378"/>
    </row>
    <row r="7" spans="1:15" s="54" customFormat="1" ht="13.15" customHeight="1">
      <c r="A7" s="38" t="s">
        <v>27</v>
      </c>
      <c r="B7" s="20"/>
      <c r="C7" s="21"/>
      <c r="D7" s="255"/>
      <c r="E7" s="356" t="s">
        <v>54</v>
      </c>
      <c r="F7" s="20"/>
      <c r="G7" s="41" t="s">
        <v>28</v>
      </c>
      <c r="H7" s="42"/>
      <c r="I7" s="43" t="s">
        <v>29</v>
      </c>
      <c r="J7" s="43"/>
      <c r="K7" s="44"/>
      <c r="L7" s="968" t="s">
        <v>86</v>
      </c>
      <c r="M7" s="969"/>
      <c r="N7" s="52"/>
      <c r="O7" s="52"/>
    </row>
    <row r="8" spans="1:15" s="74" customFormat="1" ht="11.25" customHeight="1">
      <c r="A8" s="45"/>
      <c r="B8" s="46"/>
      <c r="C8" s="47"/>
      <c r="D8" s="256"/>
      <c r="E8" s="357"/>
      <c r="F8" s="256"/>
      <c r="G8" s="48"/>
      <c r="H8" s="49"/>
      <c r="I8" s="50"/>
      <c r="J8" s="50"/>
      <c r="K8" s="51"/>
      <c r="L8" s="53"/>
      <c r="M8" s="53"/>
      <c r="N8" s="73"/>
    </row>
    <row r="9" spans="1:15" s="79" customFormat="1">
      <c r="C9" s="55"/>
      <c r="D9" s="257"/>
      <c r="E9" s="357" t="s">
        <v>30</v>
      </c>
      <c r="F9" s="256"/>
      <c r="G9" s="48"/>
      <c r="H9" s="49"/>
      <c r="I9" s="56"/>
      <c r="J9" s="56"/>
      <c r="K9" s="51"/>
      <c r="L9" s="58"/>
      <c r="M9" s="59"/>
      <c r="N9" s="77"/>
      <c r="O9" s="78"/>
    </row>
    <row r="10" spans="1:15" s="79" customFormat="1">
      <c r="A10" s="60" t="s">
        <v>31</v>
      </c>
      <c r="B10" s="61" t="s">
        <v>32</v>
      </c>
      <c r="C10" s="62" t="s">
        <v>33</v>
      </c>
      <c r="D10" s="63" t="s">
        <v>66</v>
      </c>
      <c r="E10" s="57" t="s">
        <v>34</v>
      </c>
      <c r="F10" s="63" t="s">
        <v>35</v>
      </c>
      <c r="G10" s="48" t="s">
        <v>2</v>
      </c>
      <c r="H10" s="49" t="s">
        <v>36</v>
      </c>
      <c r="I10" s="50" t="s">
        <v>36</v>
      </c>
      <c r="J10" s="50" t="s">
        <v>2</v>
      </c>
      <c r="K10" s="408" t="s">
        <v>48</v>
      </c>
      <c r="L10" s="58" t="s">
        <v>85</v>
      </c>
      <c r="M10" s="58" t="s">
        <v>53</v>
      </c>
      <c r="N10" s="17"/>
    </row>
    <row r="11" spans="1:15" s="79" customFormat="1" ht="12" thickBot="1">
      <c r="A11" s="64" t="s">
        <v>37</v>
      </c>
      <c r="B11" s="65" t="s">
        <v>37</v>
      </c>
      <c r="C11" s="66" t="s">
        <v>38</v>
      </c>
      <c r="D11" s="67" t="s">
        <v>81</v>
      </c>
      <c r="E11" s="71" t="s">
        <v>38</v>
      </c>
      <c r="F11" s="67" t="s">
        <v>38</v>
      </c>
      <c r="G11" s="68" t="s">
        <v>52</v>
      </c>
      <c r="H11" s="69" t="s">
        <v>39</v>
      </c>
      <c r="I11" s="70" t="s">
        <v>39</v>
      </c>
      <c r="J11" s="70" t="s">
        <v>52</v>
      </c>
      <c r="K11" s="409"/>
      <c r="L11" s="406"/>
      <c r="M11" s="72" t="s">
        <v>38</v>
      </c>
      <c r="N11" s="17"/>
    </row>
    <row r="12" spans="1:15" s="79" customFormat="1">
      <c r="A12" s="284"/>
      <c r="B12" s="91"/>
      <c r="C12" s="351">
        <v>0</v>
      </c>
      <c r="D12" s="285"/>
      <c r="E12" s="358"/>
      <c r="F12" s="359"/>
      <c r="G12" s="24"/>
      <c r="H12" s="75"/>
      <c r="I12" s="252"/>
      <c r="J12" s="253"/>
      <c r="K12" s="246"/>
      <c r="L12" s="23" t="s">
        <v>40</v>
      </c>
      <c r="M12" s="76"/>
      <c r="N12" s="18"/>
    </row>
    <row r="13" spans="1:15" s="79" customFormat="1">
      <c r="A13" s="284"/>
      <c r="B13" s="91">
        <v>0</v>
      </c>
      <c r="C13" s="351">
        <v>10</v>
      </c>
      <c r="D13" s="285">
        <v>966</v>
      </c>
      <c r="E13" s="360">
        <f>C12</f>
        <v>0</v>
      </c>
      <c r="F13" s="80">
        <f>(C13+C14-10)/2</f>
        <v>10</v>
      </c>
      <c r="G13" s="16">
        <f t="shared" ref="G13:G18" si="0">(A13-B13)/966</f>
        <v>0</v>
      </c>
      <c r="H13" s="82">
        <f t="shared" ref="H13:H18" si="1">(G13*(F13-E13))/100</f>
        <v>0</v>
      </c>
      <c r="I13" s="83">
        <f>SUM(H$13:H13)</f>
        <v>0</v>
      </c>
      <c r="J13" s="254">
        <f t="shared" ref="J13:J18" si="2">I13/F13*100</f>
        <v>0</v>
      </c>
      <c r="K13" s="246"/>
      <c r="L13" s="22" t="s">
        <v>41</v>
      </c>
      <c r="M13" s="84"/>
      <c r="N13" s="17"/>
    </row>
    <row r="14" spans="1:15" s="79" customFormat="1">
      <c r="A14" s="284"/>
      <c r="B14" s="91">
        <v>0</v>
      </c>
      <c r="C14" s="351">
        <v>20</v>
      </c>
      <c r="D14" s="285">
        <v>966</v>
      </c>
      <c r="E14" s="360">
        <f>(C13+C14-10)/2</f>
        <v>10</v>
      </c>
      <c r="F14" s="80">
        <f t="shared" ref="F14:F53" si="3">(C14+C15-10)/2</f>
        <v>20</v>
      </c>
      <c r="G14" s="16">
        <f t="shared" si="0"/>
        <v>0</v>
      </c>
      <c r="H14" s="82">
        <f t="shared" si="1"/>
        <v>0</v>
      </c>
      <c r="I14" s="83">
        <f>SUM(H$13:H14)</f>
        <v>0</v>
      </c>
      <c r="J14" s="254">
        <f t="shared" si="2"/>
        <v>0</v>
      </c>
      <c r="K14" s="246"/>
      <c r="L14" s="22" t="s">
        <v>41</v>
      </c>
      <c r="M14" s="84"/>
      <c r="N14" s="17"/>
    </row>
    <row r="15" spans="1:15" s="79" customFormat="1">
      <c r="A15" s="284"/>
      <c r="B15" s="91">
        <v>0</v>
      </c>
      <c r="C15" s="351">
        <v>30</v>
      </c>
      <c r="D15" s="285">
        <v>966</v>
      </c>
      <c r="E15" s="360">
        <f>(C14+C15-10)/2</f>
        <v>20</v>
      </c>
      <c r="F15" s="80">
        <f t="shared" si="3"/>
        <v>30</v>
      </c>
      <c r="G15" s="16">
        <f t="shared" si="0"/>
        <v>0</v>
      </c>
      <c r="H15" s="82">
        <f t="shared" si="1"/>
        <v>0</v>
      </c>
      <c r="I15" s="83">
        <f>SUM(H$13:H15)</f>
        <v>0</v>
      </c>
      <c r="J15" s="254">
        <f t="shared" si="2"/>
        <v>0</v>
      </c>
      <c r="K15" s="246"/>
      <c r="L15" s="22" t="s">
        <v>41</v>
      </c>
      <c r="M15" s="85"/>
      <c r="N15" s="17"/>
    </row>
    <row r="16" spans="1:15" s="79" customFormat="1">
      <c r="A16" s="286"/>
      <c r="B16" s="91">
        <v>0</v>
      </c>
      <c r="C16" s="351">
        <v>40</v>
      </c>
      <c r="D16" s="285">
        <v>966</v>
      </c>
      <c r="E16" s="360">
        <f t="shared" ref="E16:E54" si="4">(C15+C16-10)/2</f>
        <v>30</v>
      </c>
      <c r="F16" s="80">
        <f t="shared" si="3"/>
        <v>40</v>
      </c>
      <c r="G16" s="16">
        <f t="shared" si="0"/>
        <v>0</v>
      </c>
      <c r="H16" s="82">
        <f t="shared" si="1"/>
        <v>0</v>
      </c>
      <c r="I16" s="83">
        <f>SUM(H$13:H16)</f>
        <v>0</v>
      </c>
      <c r="J16" s="254">
        <f t="shared" si="2"/>
        <v>0</v>
      </c>
      <c r="K16" s="246"/>
      <c r="L16" s="22" t="s">
        <v>41</v>
      </c>
      <c r="M16" s="84"/>
      <c r="N16" s="17"/>
    </row>
    <row r="17" spans="1:16" s="79" customFormat="1">
      <c r="A17" s="286"/>
      <c r="B17" s="91">
        <v>0</v>
      </c>
      <c r="C17" s="351">
        <v>50</v>
      </c>
      <c r="D17" s="285">
        <v>966</v>
      </c>
      <c r="E17" s="360">
        <f t="shared" si="4"/>
        <v>40</v>
      </c>
      <c r="F17" s="80">
        <f t="shared" si="3"/>
        <v>50</v>
      </c>
      <c r="G17" s="16">
        <f t="shared" si="0"/>
        <v>0</v>
      </c>
      <c r="H17" s="82">
        <f t="shared" si="1"/>
        <v>0</v>
      </c>
      <c r="I17" s="83">
        <f>SUM(H$13:H17)</f>
        <v>0</v>
      </c>
      <c r="J17" s="254">
        <f t="shared" si="2"/>
        <v>0</v>
      </c>
      <c r="K17" s="247" t="s">
        <v>47</v>
      </c>
      <c r="L17" s="22" t="s">
        <v>41</v>
      </c>
      <c r="M17" s="84"/>
      <c r="N17" s="77"/>
    </row>
    <row r="18" spans="1:16" s="79" customFormat="1">
      <c r="A18" s="286"/>
      <c r="B18" s="91">
        <v>0</v>
      </c>
      <c r="C18" s="351">
        <v>60</v>
      </c>
      <c r="D18" s="285">
        <v>966</v>
      </c>
      <c r="E18" s="360">
        <f t="shared" si="4"/>
        <v>50</v>
      </c>
      <c r="F18" s="80">
        <f t="shared" si="3"/>
        <v>60</v>
      </c>
      <c r="G18" s="16">
        <f t="shared" si="0"/>
        <v>0</v>
      </c>
      <c r="H18" s="82">
        <f t="shared" si="1"/>
        <v>0</v>
      </c>
      <c r="I18" s="83">
        <f>SUM(H$13:H18)</f>
        <v>0</v>
      </c>
      <c r="J18" s="254">
        <f t="shared" si="2"/>
        <v>0</v>
      </c>
      <c r="K18" s="244"/>
      <c r="L18" s="22" t="s">
        <v>41</v>
      </c>
      <c r="M18" s="84"/>
      <c r="N18" s="77"/>
    </row>
    <row r="19" spans="1:16" s="79" customFormat="1" ht="10.15" customHeight="1">
      <c r="A19" s="286"/>
      <c r="B19" s="91">
        <v>0</v>
      </c>
      <c r="C19" s="351">
        <v>70</v>
      </c>
      <c r="D19" s="285">
        <v>966</v>
      </c>
      <c r="E19" s="360">
        <f t="shared" si="4"/>
        <v>60</v>
      </c>
      <c r="F19" s="80">
        <f t="shared" si="3"/>
        <v>70</v>
      </c>
      <c r="G19" s="16">
        <f t="shared" ref="G19:G54" si="5">(A19-B19)/966</f>
        <v>0</v>
      </c>
      <c r="H19" s="82">
        <f t="shared" ref="H19:H54" si="6">(G19*(F19-E19))/100</f>
        <v>0</v>
      </c>
      <c r="I19" s="83">
        <f>SUM(H$13:H19)</f>
        <v>0</v>
      </c>
      <c r="J19" s="254">
        <f t="shared" ref="J19:J54" si="7">I19/F19*100</f>
        <v>0</v>
      </c>
      <c r="K19" s="244"/>
      <c r="L19" s="22" t="s">
        <v>41</v>
      </c>
      <c r="M19" s="84"/>
      <c r="N19" s="87"/>
    </row>
    <row r="20" spans="1:16" s="79" customFormat="1">
      <c r="A20" s="286"/>
      <c r="B20" s="91">
        <v>0</v>
      </c>
      <c r="C20" s="351">
        <v>80</v>
      </c>
      <c r="D20" s="285">
        <v>966</v>
      </c>
      <c r="E20" s="360">
        <f t="shared" si="4"/>
        <v>70</v>
      </c>
      <c r="F20" s="80">
        <f t="shared" si="3"/>
        <v>80</v>
      </c>
      <c r="G20" s="16">
        <f t="shared" si="5"/>
        <v>0</v>
      </c>
      <c r="H20" s="82">
        <f t="shared" si="6"/>
        <v>0</v>
      </c>
      <c r="I20" s="83">
        <f>SUM(H$13:H20)</f>
        <v>0</v>
      </c>
      <c r="J20" s="254">
        <f t="shared" si="7"/>
        <v>0</v>
      </c>
      <c r="K20" s="246"/>
      <c r="L20" s="22" t="s">
        <v>41</v>
      </c>
      <c r="M20" s="84"/>
      <c r="N20" s="89"/>
    </row>
    <row r="21" spans="1:16" s="90" customFormat="1">
      <c r="A21" s="286"/>
      <c r="B21" s="91">
        <v>0</v>
      </c>
      <c r="C21" s="351">
        <v>90</v>
      </c>
      <c r="D21" s="285">
        <v>966</v>
      </c>
      <c r="E21" s="360">
        <f t="shared" si="4"/>
        <v>80</v>
      </c>
      <c r="F21" s="80">
        <f t="shared" si="3"/>
        <v>90</v>
      </c>
      <c r="G21" s="16">
        <f t="shared" si="5"/>
        <v>0</v>
      </c>
      <c r="H21" s="82">
        <f t="shared" si="6"/>
        <v>0</v>
      </c>
      <c r="I21" s="83">
        <f>SUM(H$13:H21)</f>
        <v>0</v>
      </c>
      <c r="J21" s="254">
        <f t="shared" si="7"/>
        <v>0</v>
      </c>
      <c r="K21" s="248"/>
      <c r="L21" s="22" t="s">
        <v>41</v>
      </c>
      <c r="M21" s="84"/>
      <c r="N21" s="89"/>
    </row>
    <row r="22" spans="1:16" s="90" customFormat="1">
      <c r="A22" s="286"/>
      <c r="B22" s="91">
        <v>0</v>
      </c>
      <c r="C22" s="351">
        <v>100</v>
      </c>
      <c r="D22" s="285">
        <v>966</v>
      </c>
      <c r="E22" s="360">
        <f t="shared" si="4"/>
        <v>90</v>
      </c>
      <c r="F22" s="80">
        <f t="shared" si="3"/>
        <v>100</v>
      </c>
      <c r="G22" s="16">
        <f t="shared" si="5"/>
        <v>0</v>
      </c>
      <c r="H22" s="82">
        <f t="shared" si="6"/>
        <v>0</v>
      </c>
      <c r="I22" s="83">
        <f>SUM(H$13:H22)</f>
        <v>0</v>
      </c>
      <c r="J22" s="254">
        <f t="shared" si="7"/>
        <v>0</v>
      </c>
      <c r="K22" s="246"/>
      <c r="L22" s="22" t="s">
        <v>41</v>
      </c>
      <c r="M22" s="86"/>
      <c r="N22" s="89"/>
    </row>
    <row r="23" spans="1:16" s="90" customFormat="1">
      <c r="A23" s="286"/>
      <c r="B23" s="91">
        <v>0</v>
      </c>
      <c r="C23" s="351">
        <v>110</v>
      </c>
      <c r="D23" s="285">
        <v>966</v>
      </c>
      <c r="E23" s="360">
        <f t="shared" si="4"/>
        <v>100</v>
      </c>
      <c r="F23" s="80">
        <f t="shared" si="3"/>
        <v>110</v>
      </c>
      <c r="G23" s="16">
        <f t="shared" si="5"/>
        <v>0</v>
      </c>
      <c r="H23" s="82">
        <f t="shared" si="6"/>
        <v>0</v>
      </c>
      <c r="I23" s="83">
        <f>SUM(H$13:H23)</f>
        <v>0</v>
      </c>
      <c r="J23" s="254">
        <f t="shared" si="7"/>
        <v>0</v>
      </c>
      <c r="K23" s="249"/>
      <c r="L23" s="22" t="s">
        <v>41</v>
      </c>
      <c r="M23" s="88"/>
      <c r="N23" s="92"/>
    </row>
    <row r="24" spans="1:16" s="90" customFormat="1">
      <c r="A24" s="286"/>
      <c r="B24" s="91">
        <v>0</v>
      </c>
      <c r="C24" s="351">
        <v>120</v>
      </c>
      <c r="D24" s="285">
        <v>966</v>
      </c>
      <c r="E24" s="360">
        <f t="shared" si="4"/>
        <v>110</v>
      </c>
      <c r="F24" s="80">
        <f t="shared" si="3"/>
        <v>120</v>
      </c>
      <c r="G24" s="16">
        <f t="shared" si="5"/>
        <v>0</v>
      </c>
      <c r="H24" s="82">
        <f t="shared" si="6"/>
        <v>0</v>
      </c>
      <c r="I24" s="83">
        <f>SUM(H$13:H24)</f>
        <v>0</v>
      </c>
      <c r="J24" s="254">
        <f t="shared" si="7"/>
        <v>0</v>
      </c>
      <c r="K24" s="250"/>
      <c r="L24" s="22" t="s">
        <v>41</v>
      </c>
      <c r="M24" s="88"/>
      <c r="N24" s="92"/>
    </row>
    <row r="25" spans="1:16" s="90" customFormat="1">
      <c r="A25" s="286"/>
      <c r="B25" s="91">
        <v>0</v>
      </c>
      <c r="C25" s="351">
        <v>130</v>
      </c>
      <c r="D25" s="285">
        <v>966</v>
      </c>
      <c r="E25" s="360">
        <f t="shared" si="4"/>
        <v>120</v>
      </c>
      <c r="F25" s="80">
        <f t="shared" si="3"/>
        <v>130</v>
      </c>
      <c r="G25" s="16">
        <f t="shared" si="5"/>
        <v>0</v>
      </c>
      <c r="H25" s="82">
        <f t="shared" si="6"/>
        <v>0</v>
      </c>
      <c r="I25" s="83">
        <f>SUM(H$13:H25)</f>
        <v>0</v>
      </c>
      <c r="J25" s="254">
        <f t="shared" si="7"/>
        <v>0</v>
      </c>
      <c r="K25" s="250"/>
      <c r="L25" s="22" t="s">
        <v>41</v>
      </c>
      <c r="M25" s="88"/>
      <c r="N25" s="92"/>
    </row>
    <row r="26" spans="1:16" s="90" customFormat="1">
      <c r="A26" s="286"/>
      <c r="B26" s="91">
        <v>0</v>
      </c>
      <c r="C26" s="351">
        <v>140</v>
      </c>
      <c r="D26" s="285">
        <v>966</v>
      </c>
      <c r="E26" s="360">
        <f t="shared" si="4"/>
        <v>130</v>
      </c>
      <c r="F26" s="80">
        <f t="shared" si="3"/>
        <v>140</v>
      </c>
      <c r="G26" s="16">
        <f t="shared" si="5"/>
        <v>0</v>
      </c>
      <c r="H26" s="82">
        <f t="shared" si="6"/>
        <v>0</v>
      </c>
      <c r="I26" s="83">
        <f>SUM(H$13:H26)</f>
        <v>0</v>
      </c>
      <c r="J26" s="254">
        <f t="shared" si="7"/>
        <v>0</v>
      </c>
      <c r="K26" s="250"/>
      <c r="L26" s="22" t="s">
        <v>41</v>
      </c>
      <c r="M26" s="84"/>
      <c r="N26" s="92"/>
    </row>
    <row r="27" spans="1:16" s="90" customFormat="1">
      <c r="A27" s="286"/>
      <c r="B27" s="91">
        <v>0</v>
      </c>
      <c r="C27" s="351">
        <v>150</v>
      </c>
      <c r="D27" s="285">
        <v>966</v>
      </c>
      <c r="E27" s="360">
        <f t="shared" si="4"/>
        <v>140</v>
      </c>
      <c r="F27" s="80">
        <f t="shared" si="3"/>
        <v>150</v>
      </c>
      <c r="G27" s="16">
        <f t="shared" si="5"/>
        <v>0</v>
      </c>
      <c r="H27" s="82">
        <f t="shared" si="6"/>
        <v>0</v>
      </c>
      <c r="I27" s="83">
        <f>SUM(H$13:H27)</f>
        <v>0</v>
      </c>
      <c r="J27" s="254">
        <f t="shared" si="7"/>
        <v>0</v>
      </c>
      <c r="K27" s="250"/>
      <c r="L27" s="22" t="s">
        <v>41</v>
      </c>
      <c r="M27" s="84"/>
      <c r="N27" s="92"/>
    </row>
    <row r="28" spans="1:16" s="90" customFormat="1">
      <c r="A28" s="286"/>
      <c r="B28" s="91">
        <v>0</v>
      </c>
      <c r="C28" s="351">
        <v>160</v>
      </c>
      <c r="D28" s="285">
        <v>966</v>
      </c>
      <c r="E28" s="360">
        <f t="shared" si="4"/>
        <v>150</v>
      </c>
      <c r="F28" s="80">
        <f t="shared" si="3"/>
        <v>160</v>
      </c>
      <c r="G28" s="16">
        <f t="shared" si="5"/>
        <v>0</v>
      </c>
      <c r="H28" s="82">
        <f t="shared" si="6"/>
        <v>0</v>
      </c>
      <c r="I28" s="83">
        <f>SUM(H$13:H28)</f>
        <v>0</v>
      </c>
      <c r="J28" s="254">
        <f t="shared" si="7"/>
        <v>0</v>
      </c>
      <c r="K28" s="250"/>
      <c r="L28" s="22" t="s">
        <v>41</v>
      </c>
      <c r="M28" s="84"/>
      <c r="N28" s="92"/>
    </row>
    <row r="29" spans="1:16">
      <c r="A29" s="286"/>
      <c r="B29" s="91">
        <v>0</v>
      </c>
      <c r="C29" s="351">
        <v>170</v>
      </c>
      <c r="D29" s="285">
        <v>966</v>
      </c>
      <c r="E29" s="360">
        <f t="shared" si="4"/>
        <v>160</v>
      </c>
      <c r="F29" s="80">
        <f t="shared" si="3"/>
        <v>170</v>
      </c>
      <c r="G29" s="16">
        <f t="shared" si="5"/>
        <v>0</v>
      </c>
      <c r="H29" s="82">
        <f t="shared" si="6"/>
        <v>0</v>
      </c>
      <c r="I29" s="83">
        <f>SUM(H$13:H29)</f>
        <v>0</v>
      </c>
      <c r="J29" s="254">
        <f t="shared" si="7"/>
        <v>0</v>
      </c>
      <c r="K29" s="250"/>
      <c r="L29" s="22" t="s">
        <v>41</v>
      </c>
      <c r="M29" s="84"/>
      <c r="N29" s="92"/>
      <c r="O29" s="90"/>
      <c r="P29" s="90"/>
    </row>
    <row r="30" spans="1:16">
      <c r="A30" s="286"/>
      <c r="B30" s="91">
        <v>0</v>
      </c>
      <c r="C30" s="351">
        <v>180</v>
      </c>
      <c r="D30" s="285">
        <v>966</v>
      </c>
      <c r="E30" s="360">
        <f t="shared" si="4"/>
        <v>170</v>
      </c>
      <c r="F30" s="80">
        <f t="shared" si="3"/>
        <v>180</v>
      </c>
      <c r="G30" s="16">
        <f t="shared" si="5"/>
        <v>0</v>
      </c>
      <c r="H30" s="82">
        <f t="shared" si="6"/>
        <v>0</v>
      </c>
      <c r="I30" s="83">
        <f>SUM(H$13:H30)</f>
        <v>0</v>
      </c>
      <c r="J30" s="254">
        <f t="shared" si="7"/>
        <v>0</v>
      </c>
      <c r="K30" s="250"/>
      <c r="L30" s="22" t="s">
        <v>41</v>
      </c>
      <c r="M30" s="84"/>
      <c r="N30" s="92"/>
      <c r="O30" s="90"/>
      <c r="P30" s="90"/>
    </row>
    <row r="31" spans="1:16">
      <c r="A31" s="286"/>
      <c r="B31" s="91">
        <v>0</v>
      </c>
      <c r="C31" s="351">
        <v>190</v>
      </c>
      <c r="D31" s="285">
        <v>966</v>
      </c>
      <c r="E31" s="360">
        <f t="shared" si="4"/>
        <v>180</v>
      </c>
      <c r="F31" s="80">
        <f t="shared" si="3"/>
        <v>190</v>
      </c>
      <c r="G31" s="16">
        <f t="shared" si="5"/>
        <v>0</v>
      </c>
      <c r="H31" s="82">
        <f t="shared" si="6"/>
        <v>0</v>
      </c>
      <c r="I31" s="83">
        <f>SUM(H$13:H31)</f>
        <v>0</v>
      </c>
      <c r="J31" s="254">
        <f t="shared" si="7"/>
        <v>0</v>
      </c>
      <c r="K31" s="250"/>
      <c r="L31" s="22" t="s">
        <v>41</v>
      </c>
      <c r="M31" s="84"/>
      <c r="N31" s="92"/>
      <c r="O31" s="90"/>
      <c r="P31" s="90"/>
    </row>
    <row r="32" spans="1:16">
      <c r="A32" s="286"/>
      <c r="B32" s="91">
        <v>0</v>
      </c>
      <c r="C32" s="351">
        <v>200</v>
      </c>
      <c r="D32" s="285">
        <v>966</v>
      </c>
      <c r="E32" s="360">
        <f t="shared" si="4"/>
        <v>190</v>
      </c>
      <c r="F32" s="80">
        <f t="shared" si="3"/>
        <v>200</v>
      </c>
      <c r="G32" s="16">
        <f t="shared" si="5"/>
        <v>0</v>
      </c>
      <c r="H32" s="82">
        <f t="shared" si="6"/>
        <v>0</v>
      </c>
      <c r="I32" s="83">
        <f>SUM(H$13:H32)</f>
        <v>0</v>
      </c>
      <c r="J32" s="254">
        <f t="shared" si="7"/>
        <v>0</v>
      </c>
      <c r="K32" s="251"/>
      <c r="L32" s="22" t="s">
        <v>41</v>
      </c>
      <c r="M32" s="84"/>
      <c r="N32" s="92"/>
      <c r="O32" s="90"/>
      <c r="P32" s="90"/>
    </row>
    <row r="33" spans="1:17">
      <c r="A33" s="286"/>
      <c r="B33" s="91">
        <v>0</v>
      </c>
      <c r="C33" s="351">
        <v>210</v>
      </c>
      <c r="D33" s="285">
        <v>966</v>
      </c>
      <c r="E33" s="360">
        <f t="shared" si="4"/>
        <v>200</v>
      </c>
      <c r="F33" s="80">
        <f t="shared" si="3"/>
        <v>210</v>
      </c>
      <c r="G33" s="16">
        <f t="shared" si="5"/>
        <v>0</v>
      </c>
      <c r="H33" s="82">
        <f t="shared" si="6"/>
        <v>0</v>
      </c>
      <c r="I33" s="83">
        <f>SUM(H$13:H33)</f>
        <v>0</v>
      </c>
      <c r="J33" s="254">
        <f t="shared" si="7"/>
        <v>0</v>
      </c>
      <c r="K33" s="251"/>
      <c r="L33" s="22" t="s">
        <v>41</v>
      </c>
      <c r="M33" s="84"/>
      <c r="N33" s="92"/>
      <c r="O33" s="90"/>
      <c r="P33" s="90"/>
    </row>
    <row r="34" spans="1:17">
      <c r="A34" s="286"/>
      <c r="B34" s="91">
        <v>0</v>
      </c>
      <c r="C34" s="351">
        <v>220</v>
      </c>
      <c r="D34" s="285">
        <v>966</v>
      </c>
      <c r="E34" s="360">
        <f t="shared" si="4"/>
        <v>210</v>
      </c>
      <c r="F34" s="80">
        <f t="shared" si="3"/>
        <v>220</v>
      </c>
      <c r="G34" s="16">
        <f t="shared" si="5"/>
        <v>0</v>
      </c>
      <c r="H34" s="82">
        <f t="shared" si="6"/>
        <v>0</v>
      </c>
      <c r="I34" s="83">
        <f>SUM(H$13:H34)</f>
        <v>0</v>
      </c>
      <c r="J34" s="254">
        <f t="shared" si="7"/>
        <v>0</v>
      </c>
      <c r="K34" s="251"/>
      <c r="L34" s="22"/>
      <c r="M34" s="84"/>
      <c r="N34" s="94"/>
      <c r="O34" s="93"/>
      <c r="P34" s="93"/>
    </row>
    <row r="35" spans="1:17">
      <c r="A35" s="286"/>
      <c r="B35" s="91">
        <v>0</v>
      </c>
      <c r="C35" s="351">
        <v>230</v>
      </c>
      <c r="D35" s="285">
        <v>966</v>
      </c>
      <c r="E35" s="360">
        <f t="shared" si="4"/>
        <v>220</v>
      </c>
      <c r="F35" s="80">
        <f t="shared" si="3"/>
        <v>230</v>
      </c>
      <c r="G35" s="16">
        <f t="shared" si="5"/>
        <v>0</v>
      </c>
      <c r="H35" s="82">
        <f t="shared" si="6"/>
        <v>0</v>
      </c>
      <c r="I35" s="83">
        <f>SUM(H$13:H35)</f>
        <v>0</v>
      </c>
      <c r="J35" s="254">
        <f t="shared" si="7"/>
        <v>0</v>
      </c>
      <c r="K35" s="251"/>
      <c r="L35" s="22"/>
      <c r="M35" s="84"/>
      <c r="N35" s="238"/>
      <c r="O35" s="97"/>
      <c r="P35" s="239"/>
      <c r="Q35" s="97"/>
    </row>
    <row r="36" spans="1:17">
      <c r="A36" s="286"/>
      <c r="B36" s="91">
        <v>0</v>
      </c>
      <c r="C36" s="351">
        <v>240</v>
      </c>
      <c r="D36" s="285">
        <v>966</v>
      </c>
      <c r="E36" s="360">
        <f t="shared" si="4"/>
        <v>230</v>
      </c>
      <c r="F36" s="80">
        <f t="shared" si="3"/>
        <v>240</v>
      </c>
      <c r="G36" s="16">
        <f t="shared" si="5"/>
        <v>0</v>
      </c>
      <c r="H36" s="82">
        <f t="shared" si="6"/>
        <v>0</v>
      </c>
      <c r="I36" s="83">
        <f>SUM(H$13:H36)</f>
        <v>0</v>
      </c>
      <c r="J36" s="254">
        <f t="shared" si="7"/>
        <v>0</v>
      </c>
      <c r="K36" s="251"/>
      <c r="L36" s="22"/>
      <c r="M36" s="84"/>
      <c r="N36" s="238"/>
      <c r="O36" s="97"/>
      <c r="P36" s="240"/>
      <c r="Q36" s="97"/>
    </row>
    <row r="37" spans="1:17">
      <c r="A37" s="286"/>
      <c r="B37" s="91">
        <v>0</v>
      </c>
      <c r="C37" s="351">
        <v>250</v>
      </c>
      <c r="D37" s="285">
        <v>966</v>
      </c>
      <c r="E37" s="360">
        <f t="shared" si="4"/>
        <v>240</v>
      </c>
      <c r="F37" s="80">
        <f t="shared" si="3"/>
        <v>250</v>
      </c>
      <c r="G37" s="16">
        <f t="shared" si="5"/>
        <v>0</v>
      </c>
      <c r="H37" s="82">
        <f t="shared" si="6"/>
        <v>0</v>
      </c>
      <c r="I37" s="83">
        <f>SUM(H$13:H37)</f>
        <v>0</v>
      </c>
      <c r="J37" s="254">
        <f t="shared" si="7"/>
        <v>0</v>
      </c>
      <c r="K37" s="251"/>
      <c r="L37" s="22"/>
      <c r="M37" s="84"/>
      <c r="N37" s="241"/>
      <c r="O37" s="97"/>
      <c r="P37" s="97"/>
      <c r="Q37" s="97"/>
    </row>
    <row r="38" spans="1:17">
      <c r="A38" s="286"/>
      <c r="B38" s="91">
        <v>0</v>
      </c>
      <c r="C38" s="351">
        <v>260</v>
      </c>
      <c r="D38" s="285">
        <v>966</v>
      </c>
      <c r="E38" s="360">
        <f t="shared" si="4"/>
        <v>250</v>
      </c>
      <c r="F38" s="80">
        <f t="shared" si="3"/>
        <v>260</v>
      </c>
      <c r="G38" s="16">
        <f t="shared" si="5"/>
        <v>0</v>
      </c>
      <c r="H38" s="82">
        <f t="shared" si="6"/>
        <v>0</v>
      </c>
      <c r="I38" s="83">
        <f>SUM(H$13:H38)</f>
        <v>0</v>
      </c>
      <c r="J38" s="254">
        <f t="shared" si="7"/>
        <v>0</v>
      </c>
      <c r="K38" s="251"/>
      <c r="L38" s="22"/>
      <c r="M38" s="84"/>
      <c r="N38" s="98"/>
      <c r="O38" s="99"/>
      <c r="P38" s="93"/>
    </row>
    <row r="39" spans="1:17">
      <c r="A39" s="286"/>
      <c r="B39" s="91">
        <v>0</v>
      </c>
      <c r="C39" s="351">
        <v>270</v>
      </c>
      <c r="D39" s="285">
        <v>966</v>
      </c>
      <c r="E39" s="360">
        <f t="shared" si="4"/>
        <v>260</v>
      </c>
      <c r="F39" s="80">
        <f t="shared" si="3"/>
        <v>270</v>
      </c>
      <c r="G39" s="16">
        <f t="shared" si="5"/>
        <v>0</v>
      </c>
      <c r="H39" s="82">
        <f t="shared" si="6"/>
        <v>0</v>
      </c>
      <c r="I39" s="83">
        <f>SUM(H$13:H39)</f>
        <v>0</v>
      </c>
      <c r="J39" s="254">
        <f t="shared" si="7"/>
        <v>0</v>
      </c>
      <c r="K39" s="251"/>
      <c r="L39" s="22"/>
      <c r="M39" s="84"/>
      <c r="N39" s="99"/>
      <c r="O39" s="99"/>
      <c r="P39" s="93"/>
    </row>
    <row r="40" spans="1:17">
      <c r="A40" s="286"/>
      <c r="B40" s="91">
        <v>0</v>
      </c>
      <c r="C40" s="351">
        <v>280</v>
      </c>
      <c r="D40" s="285">
        <v>966</v>
      </c>
      <c r="E40" s="360">
        <f t="shared" si="4"/>
        <v>270</v>
      </c>
      <c r="F40" s="80">
        <f t="shared" si="3"/>
        <v>280</v>
      </c>
      <c r="G40" s="16">
        <f t="shared" si="5"/>
        <v>0</v>
      </c>
      <c r="H40" s="82">
        <f t="shared" si="6"/>
        <v>0</v>
      </c>
      <c r="I40" s="83">
        <f>SUM(H$13:H40)</f>
        <v>0</v>
      </c>
      <c r="J40" s="254">
        <f t="shared" si="7"/>
        <v>0</v>
      </c>
      <c r="K40" s="251"/>
      <c r="L40" s="22"/>
      <c r="M40" s="84"/>
      <c r="O40" s="93"/>
      <c r="P40" s="93"/>
    </row>
    <row r="41" spans="1:17">
      <c r="A41" s="286"/>
      <c r="B41" s="91">
        <v>0</v>
      </c>
      <c r="C41" s="351">
        <v>290</v>
      </c>
      <c r="D41" s="285">
        <v>966</v>
      </c>
      <c r="E41" s="360">
        <f t="shared" si="4"/>
        <v>280</v>
      </c>
      <c r="F41" s="80">
        <f t="shared" si="3"/>
        <v>290</v>
      </c>
      <c r="G41" s="16">
        <f t="shared" si="5"/>
        <v>0</v>
      </c>
      <c r="H41" s="82">
        <f t="shared" si="6"/>
        <v>0</v>
      </c>
      <c r="I41" s="83">
        <f>SUM(H$13:H41)</f>
        <v>0</v>
      </c>
      <c r="J41" s="254">
        <f t="shared" si="7"/>
        <v>0</v>
      </c>
      <c r="K41" s="251"/>
      <c r="L41" s="22"/>
      <c r="M41" s="84"/>
      <c r="O41" s="93"/>
      <c r="P41" s="93"/>
    </row>
    <row r="42" spans="1:17">
      <c r="A42" s="286"/>
      <c r="B42" s="91">
        <v>0</v>
      </c>
      <c r="C42" s="351">
        <v>300</v>
      </c>
      <c r="D42" s="285">
        <v>966</v>
      </c>
      <c r="E42" s="360">
        <f t="shared" si="4"/>
        <v>290</v>
      </c>
      <c r="F42" s="80">
        <f t="shared" si="3"/>
        <v>300</v>
      </c>
      <c r="G42" s="16">
        <f t="shared" si="5"/>
        <v>0</v>
      </c>
      <c r="H42" s="82">
        <f t="shared" si="6"/>
        <v>0</v>
      </c>
      <c r="I42" s="83">
        <f>SUM(H$13:H42)</f>
        <v>0</v>
      </c>
      <c r="J42" s="254">
        <f t="shared" si="7"/>
        <v>0</v>
      </c>
      <c r="K42" s="251"/>
      <c r="L42" s="22"/>
      <c r="M42" s="84"/>
      <c r="O42" s="93"/>
      <c r="P42" s="93"/>
    </row>
    <row r="43" spans="1:17">
      <c r="A43" s="286"/>
      <c r="B43" s="91">
        <v>0</v>
      </c>
      <c r="C43" s="351">
        <v>310</v>
      </c>
      <c r="D43" s="285">
        <v>966</v>
      </c>
      <c r="E43" s="360">
        <f t="shared" si="4"/>
        <v>300</v>
      </c>
      <c r="F43" s="80">
        <f t="shared" si="3"/>
        <v>310</v>
      </c>
      <c r="G43" s="16">
        <f t="shared" si="5"/>
        <v>0</v>
      </c>
      <c r="H43" s="82">
        <f t="shared" si="6"/>
        <v>0</v>
      </c>
      <c r="I43" s="83">
        <f>SUM(H$13:H43)</f>
        <v>0</v>
      </c>
      <c r="J43" s="254">
        <f t="shared" si="7"/>
        <v>0</v>
      </c>
      <c r="K43" s="251"/>
      <c r="L43" s="22"/>
      <c r="M43" s="84"/>
      <c r="O43" s="93"/>
      <c r="P43" s="93"/>
    </row>
    <row r="44" spans="1:17">
      <c r="A44" s="286"/>
      <c r="B44" s="91">
        <v>0</v>
      </c>
      <c r="C44" s="351">
        <v>320</v>
      </c>
      <c r="D44" s="285">
        <v>966</v>
      </c>
      <c r="E44" s="360">
        <f t="shared" si="4"/>
        <v>310</v>
      </c>
      <c r="F44" s="80">
        <f t="shared" si="3"/>
        <v>320</v>
      </c>
      <c r="G44" s="16">
        <f t="shared" si="5"/>
        <v>0</v>
      </c>
      <c r="H44" s="82">
        <f t="shared" si="6"/>
        <v>0</v>
      </c>
      <c r="I44" s="83">
        <f>SUM(H$13:H44)</f>
        <v>0</v>
      </c>
      <c r="J44" s="254">
        <f t="shared" si="7"/>
        <v>0</v>
      </c>
      <c r="K44" s="251"/>
      <c r="L44" s="22"/>
      <c r="M44" s="84"/>
      <c r="O44" s="93"/>
      <c r="P44" s="93"/>
    </row>
    <row r="45" spans="1:17">
      <c r="A45" s="286"/>
      <c r="B45" s="91">
        <v>0</v>
      </c>
      <c r="C45" s="351">
        <v>330</v>
      </c>
      <c r="D45" s="285">
        <v>966</v>
      </c>
      <c r="E45" s="360">
        <f t="shared" si="4"/>
        <v>320</v>
      </c>
      <c r="F45" s="80">
        <f t="shared" si="3"/>
        <v>330</v>
      </c>
      <c r="G45" s="16">
        <f t="shared" si="5"/>
        <v>0</v>
      </c>
      <c r="H45" s="82">
        <f t="shared" si="6"/>
        <v>0</v>
      </c>
      <c r="I45" s="83">
        <f>SUM(H$13:H45)</f>
        <v>0</v>
      </c>
      <c r="J45" s="254">
        <f t="shared" si="7"/>
        <v>0</v>
      </c>
      <c r="K45" s="251"/>
      <c r="L45" s="22"/>
      <c r="M45" s="84"/>
      <c r="O45" s="93"/>
      <c r="P45" s="93"/>
    </row>
    <row r="46" spans="1:17">
      <c r="A46" s="286"/>
      <c r="B46" s="91">
        <v>0</v>
      </c>
      <c r="C46" s="351">
        <v>340</v>
      </c>
      <c r="D46" s="285">
        <v>966</v>
      </c>
      <c r="E46" s="360">
        <f t="shared" si="4"/>
        <v>330</v>
      </c>
      <c r="F46" s="80">
        <f t="shared" si="3"/>
        <v>340</v>
      </c>
      <c r="G46" s="16">
        <f t="shared" si="5"/>
        <v>0</v>
      </c>
      <c r="H46" s="82">
        <f t="shared" si="6"/>
        <v>0</v>
      </c>
      <c r="I46" s="83">
        <f>SUM(H$13:H46)</f>
        <v>0</v>
      </c>
      <c r="J46" s="254">
        <f t="shared" si="7"/>
        <v>0</v>
      </c>
      <c r="K46" s="251"/>
      <c r="L46" s="22"/>
      <c r="M46" s="84"/>
      <c r="O46" s="93"/>
      <c r="P46" s="93"/>
    </row>
    <row r="47" spans="1:17">
      <c r="A47" s="286"/>
      <c r="B47" s="91">
        <v>0</v>
      </c>
      <c r="C47" s="351">
        <v>350</v>
      </c>
      <c r="D47" s="285">
        <v>966</v>
      </c>
      <c r="E47" s="360">
        <f t="shared" si="4"/>
        <v>340</v>
      </c>
      <c r="F47" s="80">
        <f t="shared" si="3"/>
        <v>350</v>
      </c>
      <c r="G47" s="16">
        <f t="shared" si="5"/>
        <v>0</v>
      </c>
      <c r="H47" s="82">
        <f t="shared" si="6"/>
        <v>0</v>
      </c>
      <c r="I47" s="83">
        <f>SUM(H$13:H47)</f>
        <v>0</v>
      </c>
      <c r="J47" s="254">
        <f t="shared" si="7"/>
        <v>0</v>
      </c>
      <c r="K47" s="251"/>
      <c r="L47" s="22"/>
      <c r="M47" s="84"/>
      <c r="O47" s="93"/>
      <c r="P47" s="93"/>
    </row>
    <row r="48" spans="1:17">
      <c r="A48" s="286"/>
      <c r="B48" s="91">
        <v>0</v>
      </c>
      <c r="C48" s="351">
        <v>360</v>
      </c>
      <c r="D48" s="285">
        <v>966</v>
      </c>
      <c r="E48" s="360">
        <f t="shared" si="4"/>
        <v>350</v>
      </c>
      <c r="F48" s="80">
        <f t="shared" si="3"/>
        <v>360</v>
      </c>
      <c r="G48" s="16">
        <f t="shared" si="5"/>
        <v>0</v>
      </c>
      <c r="H48" s="82">
        <f t="shared" si="6"/>
        <v>0</v>
      </c>
      <c r="I48" s="83">
        <f>SUM(H$13:H48)</f>
        <v>0</v>
      </c>
      <c r="J48" s="254">
        <f t="shared" si="7"/>
        <v>0</v>
      </c>
      <c r="K48" s="251"/>
      <c r="L48" s="22"/>
      <c r="M48" s="84"/>
      <c r="O48" s="93"/>
      <c r="P48" s="93"/>
    </row>
    <row r="49" spans="1:17">
      <c r="A49" s="286"/>
      <c r="B49" s="91">
        <v>0</v>
      </c>
      <c r="C49" s="351">
        <v>370</v>
      </c>
      <c r="D49" s="285">
        <v>966</v>
      </c>
      <c r="E49" s="360">
        <f t="shared" si="4"/>
        <v>360</v>
      </c>
      <c r="F49" s="80">
        <f t="shared" si="3"/>
        <v>370</v>
      </c>
      <c r="G49" s="16">
        <f t="shared" si="5"/>
        <v>0</v>
      </c>
      <c r="H49" s="82">
        <f t="shared" si="6"/>
        <v>0</v>
      </c>
      <c r="I49" s="83">
        <f>SUM(H$13:H49)</f>
        <v>0</v>
      </c>
      <c r="J49" s="254">
        <f t="shared" si="7"/>
        <v>0</v>
      </c>
      <c r="K49" s="251"/>
      <c r="L49" s="22"/>
      <c r="M49" s="84"/>
      <c r="O49" s="93"/>
      <c r="P49" s="93"/>
    </row>
    <row r="50" spans="1:17">
      <c r="A50" s="286"/>
      <c r="B50" s="91">
        <v>0</v>
      </c>
      <c r="C50" s="351">
        <v>380</v>
      </c>
      <c r="D50" s="285">
        <v>966</v>
      </c>
      <c r="E50" s="360">
        <f t="shared" si="4"/>
        <v>370</v>
      </c>
      <c r="F50" s="80">
        <f t="shared" si="3"/>
        <v>380</v>
      </c>
      <c r="G50" s="16">
        <f t="shared" si="5"/>
        <v>0</v>
      </c>
      <c r="H50" s="82">
        <f t="shared" si="6"/>
        <v>0</v>
      </c>
      <c r="I50" s="83">
        <f>SUM(H$13:H50)</f>
        <v>0</v>
      </c>
      <c r="J50" s="254">
        <f t="shared" si="7"/>
        <v>0</v>
      </c>
      <c r="K50" s="251"/>
      <c r="L50" s="22"/>
      <c r="M50" s="84"/>
      <c r="O50" s="93"/>
      <c r="P50" s="93"/>
    </row>
    <row r="51" spans="1:17">
      <c r="A51" s="286"/>
      <c r="B51" s="91">
        <v>0</v>
      </c>
      <c r="C51" s="351">
        <v>390</v>
      </c>
      <c r="D51" s="285">
        <v>966</v>
      </c>
      <c r="E51" s="360">
        <f t="shared" si="4"/>
        <v>380</v>
      </c>
      <c r="F51" s="80">
        <f t="shared" si="3"/>
        <v>390</v>
      </c>
      <c r="G51" s="16">
        <f t="shared" si="5"/>
        <v>0</v>
      </c>
      <c r="H51" s="82">
        <f t="shared" si="6"/>
        <v>0</v>
      </c>
      <c r="I51" s="83">
        <f>SUM(H$13:H51)</f>
        <v>0</v>
      </c>
      <c r="J51" s="254">
        <f t="shared" si="7"/>
        <v>0</v>
      </c>
      <c r="K51" s="251"/>
      <c r="L51" s="22"/>
      <c r="M51" s="84"/>
      <c r="O51" s="93"/>
      <c r="P51" s="93"/>
    </row>
    <row r="52" spans="1:17" ht="12" thickBot="1">
      <c r="A52" s="286"/>
      <c r="B52" s="91">
        <v>0</v>
      </c>
      <c r="C52" s="351">
        <v>400</v>
      </c>
      <c r="D52" s="285">
        <v>966</v>
      </c>
      <c r="E52" s="360">
        <f t="shared" si="4"/>
        <v>390</v>
      </c>
      <c r="F52" s="80">
        <f t="shared" si="3"/>
        <v>400</v>
      </c>
      <c r="G52" s="16">
        <f t="shared" si="5"/>
        <v>0</v>
      </c>
      <c r="H52" s="82">
        <f t="shared" si="6"/>
        <v>0</v>
      </c>
      <c r="I52" s="83">
        <f>SUM(H$13:H52)</f>
        <v>0</v>
      </c>
      <c r="J52" s="254">
        <f t="shared" si="7"/>
        <v>0</v>
      </c>
      <c r="K52" s="251"/>
      <c r="L52" s="22"/>
      <c r="M52" s="95"/>
      <c r="O52" s="93"/>
      <c r="P52" s="93"/>
    </row>
    <row r="53" spans="1:17">
      <c r="A53" s="286"/>
      <c r="B53" s="91">
        <v>0</v>
      </c>
      <c r="C53" s="351">
        <v>410</v>
      </c>
      <c r="D53" s="285">
        <v>966</v>
      </c>
      <c r="E53" s="360">
        <f t="shared" si="4"/>
        <v>400</v>
      </c>
      <c r="F53" s="80">
        <f t="shared" si="3"/>
        <v>410</v>
      </c>
      <c r="G53" s="16">
        <f t="shared" si="5"/>
        <v>0</v>
      </c>
      <c r="H53" s="82">
        <f t="shared" si="6"/>
        <v>0</v>
      </c>
      <c r="I53" s="83">
        <f>SUM(H$13:H53)</f>
        <v>0</v>
      </c>
      <c r="J53" s="254">
        <f t="shared" si="7"/>
        <v>0</v>
      </c>
      <c r="K53" s="251"/>
      <c r="L53" s="242" t="s">
        <v>42</v>
      </c>
      <c r="M53" s="96" t="e">
        <f>AVERAGE(M12:M52)</f>
        <v>#DIV/0!</v>
      </c>
      <c r="O53" s="93"/>
      <c r="P53" s="93"/>
    </row>
    <row r="54" spans="1:17">
      <c r="A54" s="286"/>
      <c r="B54" s="91">
        <v>0</v>
      </c>
      <c r="C54" s="351">
        <v>420</v>
      </c>
      <c r="D54" s="285">
        <v>966</v>
      </c>
      <c r="E54" s="360">
        <f t="shared" si="4"/>
        <v>410</v>
      </c>
      <c r="F54" s="80">
        <f>C54</f>
        <v>420</v>
      </c>
      <c r="G54" s="16">
        <f t="shared" si="5"/>
        <v>0</v>
      </c>
      <c r="H54" s="82">
        <f t="shared" si="6"/>
        <v>0</v>
      </c>
      <c r="I54" s="83">
        <f>SUM(H$13:H54)</f>
        <v>0</v>
      </c>
      <c r="J54" s="254">
        <f t="shared" si="7"/>
        <v>0</v>
      </c>
      <c r="K54" s="251"/>
      <c r="L54" s="33" t="s">
        <v>43</v>
      </c>
      <c r="M54" s="95" t="e">
        <f>STDEV(M12:M52)</f>
        <v>#DIV/0!</v>
      </c>
      <c r="N54" s="56"/>
      <c r="P54" s="93"/>
    </row>
    <row r="55" spans="1:17">
      <c r="A55" s="287" t="s">
        <v>73</v>
      </c>
      <c r="B55" s="258"/>
      <c r="C55" s="352"/>
      <c r="D55" s="259"/>
      <c r="E55" s="361"/>
      <c r="F55" s="362"/>
      <c r="G55" s="261"/>
      <c r="H55" s="262"/>
      <c r="I55" s="263"/>
      <c r="J55" s="264"/>
      <c r="K55" s="265"/>
      <c r="L55" s="33" t="s">
        <v>44</v>
      </c>
      <c r="M55" s="95" t="e">
        <f>M54/SQRT(COUNT(M12:M51))</f>
        <v>#DIV/0!</v>
      </c>
      <c r="N55" s="98"/>
      <c r="Q55" s="56"/>
    </row>
    <row r="56" spans="1:17">
      <c r="A56" s="266"/>
      <c r="B56" s="267"/>
      <c r="C56" s="353"/>
      <c r="D56" s="268"/>
      <c r="E56" s="363"/>
      <c r="F56" s="364"/>
      <c r="G56" s="270"/>
      <c r="H56" s="271"/>
      <c r="I56" s="272"/>
      <c r="J56" s="273"/>
      <c r="K56" s="274"/>
      <c r="L56" s="33" t="s">
        <v>45</v>
      </c>
      <c r="M56" s="95">
        <f>MAX(M12:M51)</f>
        <v>0</v>
      </c>
      <c r="N56" s="98"/>
      <c r="O56" s="93"/>
      <c r="P56" s="93"/>
    </row>
    <row r="57" spans="1:17" ht="12" thickBot="1">
      <c r="A57" s="275"/>
      <c r="B57" s="276"/>
      <c r="C57" s="354"/>
      <c r="D57" s="277"/>
      <c r="E57" s="365"/>
      <c r="F57" s="366"/>
      <c r="G57" s="279"/>
      <c r="H57" s="280"/>
      <c r="I57" s="281"/>
      <c r="J57" s="282"/>
      <c r="K57" s="283"/>
      <c r="L57" s="243" t="s">
        <v>46</v>
      </c>
      <c r="M57" s="100">
        <f>MIN(M12:M51)</f>
        <v>0</v>
      </c>
      <c r="N57" s="56"/>
      <c r="O57" s="93"/>
      <c r="P57" s="93"/>
    </row>
    <row r="58" spans="1:17">
      <c r="A58" s="15"/>
      <c r="B58" s="15"/>
      <c r="C58" s="14"/>
      <c r="D58" s="105"/>
      <c r="E58" s="105"/>
      <c r="F58" s="105"/>
      <c r="G58" s="13"/>
      <c r="H58" s="106"/>
      <c r="I58" s="107"/>
      <c r="J58" s="104"/>
      <c r="K58" s="101"/>
      <c r="L58" s="102"/>
      <c r="M58" s="56"/>
      <c r="O58" s="93"/>
      <c r="P58" s="93"/>
    </row>
    <row r="59" spans="1:17">
      <c r="A59" s="56"/>
      <c r="B59" s="56"/>
      <c r="C59" s="108"/>
      <c r="D59" s="108"/>
      <c r="E59" s="108"/>
      <c r="F59" s="108"/>
      <c r="G59" s="107"/>
      <c r="H59" s="106"/>
      <c r="I59" s="107"/>
      <c r="J59" s="104"/>
      <c r="K59" s="103"/>
      <c r="L59" s="102"/>
      <c r="M59" s="56"/>
      <c r="O59" s="93"/>
      <c r="P59" s="93"/>
    </row>
    <row r="60" spans="1:17">
      <c r="A60" s="109"/>
      <c r="B60" s="109"/>
      <c r="C60" s="109"/>
      <c r="D60" s="109"/>
      <c r="E60" s="104"/>
      <c r="F60" s="110"/>
      <c r="G60" s="56"/>
      <c r="H60" s="93"/>
      <c r="I60" s="56"/>
      <c r="J60" s="93"/>
      <c r="K60" s="93"/>
      <c r="L60" s="56"/>
      <c r="M60" s="56"/>
      <c r="O60" s="93"/>
      <c r="P60" s="93"/>
    </row>
    <row r="61" spans="1:17">
      <c r="A61" s="111"/>
      <c r="B61" s="111"/>
      <c r="C61" s="109"/>
      <c r="D61" s="109"/>
      <c r="E61" s="104"/>
      <c r="F61" s="110"/>
      <c r="G61" s="93"/>
      <c r="H61" s="93"/>
      <c r="I61" s="56"/>
      <c r="J61" s="93"/>
      <c r="K61" s="93"/>
      <c r="L61" s="56"/>
      <c r="M61" s="56"/>
      <c r="O61" s="93"/>
      <c r="P61" s="93"/>
    </row>
    <row r="62" spans="1:17">
      <c r="A62" s="50"/>
      <c r="B62" s="50"/>
      <c r="C62" s="109"/>
      <c r="D62" s="109"/>
      <c r="E62" s="104"/>
      <c r="F62" s="110"/>
      <c r="G62" s="93"/>
      <c r="H62" s="93"/>
      <c r="I62" s="56"/>
      <c r="J62" s="93"/>
      <c r="K62" s="93"/>
      <c r="L62" s="56"/>
      <c r="M62" s="56"/>
      <c r="O62" s="93"/>
      <c r="P62" s="93"/>
    </row>
    <row r="63" spans="1:17">
      <c r="A63" s="109"/>
      <c r="B63" s="109"/>
      <c r="C63" s="109"/>
      <c r="D63" s="109"/>
      <c r="E63" s="104"/>
      <c r="F63" s="110"/>
      <c r="G63" s="93"/>
      <c r="H63" s="93"/>
      <c r="I63" s="56"/>
      <c r="J63" s="93"/>
      <c r="K63" s="93"/>
      <c r="L63" s="56"/>
      <c r="M63" s="56"/>
      <c r="O63" s="93"/>
      <c r="P63" s="93"/>
    </row>
    <row r="64" spans="1:17">
      <c r="A64" s="109"/>
      <c r="B64" s="109"/>
      <c r="C64" s="109"/>
      <c r="D64" s="109"/>
      <c r="E64" s="104"/>
      <c r="F64" s="110"/>
      <c r="G64" s="93"/>
      <c r="H64" s="93"/>
      <c r="I64" s="56"/>
      <c r="J64" s="107"/>
      <c r="K64" s="93"/>
      <c r="L64" s="56"/>
      <c r="M64" s="56"/>
      <c r="O64" s="93"/>
      <c r="P64" s="93"/>
    </row>
    <row r="65" spans="1:16">
      <c r="A65" s="109"/>
      <c r="B65" s="109"/>
      <c r="C65" s="109"/>
      <c r="D65" s="109"/>
      <c r="E65" s="104"/>
      <c r="F65" s="110"/>
      <c r="G65" s="93"/>
      <c r="H65" s="93"/>
      <c r="I65" s="56"/>
      <c r="J65" s="107"/>
      <c r="K65" s="93"/>
      <c r="L65" s="56"/>
      <c r="M65" s="56"/>
      <c r="O65" s="93"/>
      <c r="P65" s="93"/>
    </row>
    <row r="66" spans="1:16">
      <c r="A66" s="109"/>
      <c r="B66" s="109"/>
      <c r="C66" s="109"/>
      <c r="D66" s="109"/>
      <c r="E66" s="104"/>
      <c r="F66" s="110"/>
      <c r="G66" s="93"/>
      <c r="H66" s="93"/>
      <c r="I66" s="56"/>
      <c r="J66" s="93"/>
      <c r="K66" s="93"/>
      <c r="L66" s="56"/>
      <c r="M66" s="56"/>
      <c r="O66" s="93"/>
      <c r="P66" s="93"/>
    </row>
    <row r="67" spans="1:16">
      <c r="A67" s="109"/>
      <c r="B67" s="109"/>
      <c r="C67" s="109"/>
      <c r="D67" s="109"/>
      <c r="E67" s="104"/>
      <c r="F67" s="110"/>
      <c r="G67" s="93"/>
      <c r="H67" s="93"/>
      <c r="I67" s="56"/>
      <c r="J67" s="93"/>
      <c r="K67" s="93"/>
      <c r="L67" s="56"/>
      <c r="M67" s="56"/>
      <c r="O67" s="93"/>
      <c r="P67" s="93"/>
    </row>
    <row r="68" spans="1:16">
      <c r="A68" s="109"/>
      <c r="B68" s="109"/>
      <c r="C68" s="109"/>
      <c r="D68" s="109"/>
      <c r="E68" s="104"/>
      <c r="F68" s="110"/>
      <c r="G68" s="93"/>
      <c r="H68" s="93"/>
      <c r="I68" s="56"/>
      <c r="J68" s="93"/>
      <c r="K68" s="93"/>
      <c r="L68" s="56"/>
      <c r="M68" s="56"/>
      <c r="O68" s="93"/>
      <c r="P68" s="93"/>
    </row>
    <row r="69" spans="1:16">
      <c r="A69" s="109"/>
      <c r="B69" s="109"/>
      <c r="C69" s="109"/>
      <c r="D69" s="109"/>
      <c r="E69" s="104"/>
      <c r="F69" s="110"/>
      <c r="G69" s="93"/>
      <c r="H69" s="93"/>
      <c r="I69" s="56"/>
      <c r="J69" s="93"/>
      <c r="K69" s="93"/>
      <c r="L69" s="56"/>
      <c r="M69" s="56"/>
      <c r="O69" s="93"/>
      <c r="P69" s="93"/>
    </row>
    <row r="70" spans="1:16">
      <c r="A70" s="109"/>
      <c r="B70" s="109"/>
      <c r="C70" s="109"/>
      <c r="D70" s="109"/>
      <c r="E70" s="104"/>
      <c r="F70" s="110"/>
      <c r="G70" s="93"/>
      <c r="H70" s="93"/>
      <c r="I70" s="56"/>
      <c r="J70" s="93"/>
      <c r="K70" s="93"/>
      <c r="L70" s="56"/>
      <c r="M70" s="56"/>
      <c r="O70" s="93"/>
      <c r="P70" s="93"/>
    </row>
    <row r="71" spans="1:16">
      <c r="A71" s="109"/>
      <c r="B71" s="109"/>
      <c r="C71" s="109"/>
      <c r="D71" s="109"/>
      <c r="E71" s="104"/>
      <c r="F71" s="110"/>
      <c r="G71" s="93"/>
      <c r="H71" s="93"/>
      <c r="I71" s="56"/>
      <c r="J71" s="93"/>
      <c r="K71" s="93"/>
      <c r="L71" s="56"/>
      <c r="O71" s="93"/>
      <c r="P71" s="93"/>
    </row>
    <row r="72" spans="1:16">
      <c r="A72" s="109"/>
      <c r="B72" s="109"/>
      <c r="C72" s="109"/>
      <c r="D72" s="109"/>
      <c r="E72" s="104"/>
      <c r="F72" s="110"/>
      <c r="G72" s="93"/>
      <c r="H72" s="93"/>
      <c r="I72" s="56"/>
      <c r="J72" s="93"/>
      <c r="K72" s="93"/>
      <c r="L72" s="56"/>
      <c r="O72" s="93"/>
      <c r="P72" s="93"/>
    </row>
    <row r="73" spans="1:16">
      <c r="A73" s="109"/>
      <c r="B73" s="109"/>
      <c r="C73" s="109"/>
      <c r="D73" s="109"/>
      <c r="E73" s="104"/>
      <c r="F73" s="110"/>
      <c r="G73" s="93"/>
      <c r="H73" s="93"/>
      <c r="I73" s="56"/>
      <c r="J73" s="93"/>
      <c r="K73" s="93"/>
      <c r="L73" s="93"/>
      <c r="O73" s="93"/>
      <c r="P73" s="93"/>
    </row>
    <row r="74" spans="1:16">
      <c r="A74" s="109"/>
      <c r="B74" s="109"/>
      <c r="C74" s="109"/>
      <c r="D74" s="109"/>
      <c r="E74" s="104"/>
      <c r="F74" s="110"/>
      <c r="G74" s="93"/>
      <c r="H74" s="93"/>
      <c r="I74" s="56"/>
      <c r="J74" s="93"/>
      <c r="K74" s="93"/>
      <c r="L74" s="93"/>
      <c r="O74" s="93"/>
      <c r="P74" s="93"/>
    </row>
    <row r="75" spans="1:16">
      <c r="A75" s="109"/>
      <c r="B75" s="109"/>
      <c r="C75" s="109"/>
      <c r="D75" s="109"/>
      <c r="E75" s="104"/>
      <c r="F75" s="110"/>
      <c r="G75" s="93"/>
      <c r="H75" s="93"/>
      <c r="I75" s="56"/>
      <c r="J75" s="93"/>
      <c r="K75" s="93"/>
      <c r="L75" s="93"/>
      <c r="O75" s="93"/>
      <c r="P75" s="93"/>
    </row>
    <row r="76" spans="1:16">
      <c r="A76" s="109"/>
      <c r="B76" s="109"/>
      <c r="C76" s="109"/>
      <c r="D76" s="109"/>
      <c r="E76" s="104"/>
      <c r="F76" s="110"/>
      <c r="G76" s="93"/>
      <c r="H76" s="93"/>
      <c r="I76" s="56"/>
      <c r="J76" s="93"/>
      <c r="K76" s="93"/>
      <c r="L76" s="93"/>
      <c r="O76" s="93"/>
      <c r="P76" s="93"/>
    </row>
    <row r="77" spans="1:16">
      <c r="A77" s="109"/>
      <c r="B77" s="109"/>
      <c r="C77" s="109"/>
      <c r="D77" s="109"/>
      <c r="E77" s="104"/>
      <c r="F77" s="110"/>
      <c r="G77" s="93"/>
      <c r="H77" s="93"/>
      <c r="I77" s="56"/>
      <c r="J77" s="93"/>
      <c r="K77" s="93"/>
      <c r="L77" s="93"/>
      <c r="O77" s="93"/>
      <c r="P77" s="93"/>
    </row>
    <row r="78" spans="1:16">
      <c r="A78" s="109"/>
      <c r="B78" s="109"/>
      <c r="C78" s="109"/>
      <c r="D78" s="109"/>
      <c r="E78" s="104"/>
      <c r="F78" s="110"/>
      <c r="G78" s="93"/>
      <c r="H78" s="93"/>
      <c r="I78" s="56"/>
      <c r="J78" s="93"/>
      <c r="K78" s="93"/>
      <c r="L78" s="93"/>
      <c r="O78" s="93"/>
      <c r="P78" s="93"/>
    </row>
    <row r="79" spans="1:16">
      <c r="A79" s="109"/>
      <c r="B79" s="109"/>
      <c r="C79" s="109"/>
      <c r="D79" s="109"/>
      <c r="E79" s="104"/>
      <c r="F79" s="110"/>
      <c r="G79" s="93"/>
      <c r="H79" s="93"/>
      <c r="I79" s="56"/>
      <c r="J79" s="93"/>
      <c r="K79" s="93"/>
      <c r="L79" s="93"/>
      <c r="O79" s="93"/>
      <c r="P79" s="93"/>
    </row>
    <row r="80" spans="1:16">
      <c r="A80" s="109"/>
      <c r="B80" s="109"/>
      <c r="C80" s="109"/>
      <c r="D80" s="109"/>
      <c r="E80" s="104"/>
      <c r="F80" s="110"/>
      <c r="G80" s="93"/>
      <c r="H80" s="93"/>
      <c r="I80" s="56"/>
      <c r="J80" s="93"/>
      <c r="K80" s="93"/>
      <c r="L80" s="93"/>
      <c r="O80" s="93"/>
      <c r="P80" s="93"/>
    </row>
    <row r="81" spans="1:17">
      <c r="A81" s="109"/>
      <c r="B81" s="109"/>
      <c r="C81" s="109"/>
      <c r="D81" s="109"/>
      <c r="E81" s="104"/>
      <c r="F81" s="110"/>
      <c r="G81" s="93"/>
      <c r="H81" s="93"/>
      <c r="I81" s="56"/>
      <c r="J81" s="93"/>
      <c r="K81" s="93"/>
      <c r="L81" s="93"/>
      <c r="O81" s="93"/>
      <c r="P81" s="93"/>
    </row>
    <row r="82" spans="1:17">
      <c r="A82" s="109"/>
      <c r="B82" s="109"/>
      <c r="C82" s="109"/>
      <c r="D82" s="109"/>
      <c r="E82" s="104"/>
      <c r="F82" s="110"/>
      <c r="G82" s="93"/>
      <c r="H82" s="93"/>
      <c r="I82" s="56"/>
      <c r="J82" s="93"/>
      <c r="K82" s="93"/>
      <c r="L82" s="93"/>
      <c r="O82" s="93"/>
      <c r="P82" s="93"/>
    </row>
    <row r="83" spans="1:17">
      <c r="A83" s="109"/>
      <c r="B83" s="109"/>
      <c r="C83" s="109"/>
      <c r="D83" s="109"/>
      <c r="E83" s="104"/>
      <c r="F83" s="110"/>
      <c r="G83" s="93"/>
      <c r="H83" s="93"/>
      <c r="I83" s="56"/>
      <c r="J83" s="93"/>
      <c r="K83" s="93"/>
      <c r="L83" s="93"/>
      <c r="O83" s="93"/>
      <c r="P83" s="93"/>
    </row>
    <row r="84" spans="1:17">
      <c r="A84" s="109"/>
      <c r="B84" s="109"/>
      <c r="C84" s="109"/>
      <c r="D84" s="109"/>
      <c r="E84" s="104"/>
      <c r="F84" s="110"/>
      <c r="G84" s="112"/>
      <c r="H84" s="93"/>
      <c r="I84" s="56"/>
      <c r="J84" s="93"/>
      <c r="K84" s="93"/>
      <c r="L84" s="93"/>
      <c r="O84" s="93"/>
      <c r="P84" s="93"/>
    </row>
    <row r="85" spans="1:17">
      <c r="A85" s="109"/>
      <c r="B85" s="109"/>
      <c r="C85" s="109"/>
      <c r="D85" s="109"/>
      <c r="E85" s="104"/>
      <c r="F85" s="110"/>
      <c r="G85" s="112"/>
      <c r="H85" s="93"/>
      <c r="I85" s="56"/>
      <c r="J85" s="93"/>
      <c r="K85" s="93"/>
      <c r="L85" s="93"/>
      <c r="O85" s="93"/>
      <c r="P85" s="93"/>
    </row>
    <row r="86" spans="1:17">
      <c r="A86" s="109"/>
      <c r="B86" s="109"/>
      <c r="C86" s="109"/>
      <c r="D86" s="109"/>
      <c r="E86" s="104"/>
      <c r="F86" s="110"/>
      <c r="G86" s="112"/>
      <c r="H86" s="93"/>
      <c r="I86" s="56"/>
      <c r="J86" s="93"/>
      <c r="K86" s="93"/>
      <c r="L86" s="93"/>
      <c r="O86" s="93"/>
      <c r="P86" s="93"/>
    </row>
    <row r="87" spans="1:17">
      <c r="A87" s="109"/>
      <c r="B87" s="109"/>
      <c r="C87" s="109"/>
      <c r="D87" s="109"/>
      <c r="E87" s="104"/>
      <c r="F87" s="110"/>
      <c r="G87" s="112"/>
      <c r="H87" s="93"/>
      <c r="I87" s="56"/>
      <c r="J87" s="93"/>
      <c r="K87" s="93"/>
      <c r="L87" s="93"/>
      <c r="O87" s="93"/>
      <c r="P87" s="93"/>
    </row>
    <row r="88" spans="1:17">
      <c r="A88" s="109"/>
      <c r="B88" s="109"/>
      <c r="C88" s="109"/>
      <c r="D88" s="109"/>
      <c r="E88" s="104"/>
      <c r="F88" s="110"/>
      <c r="G88" s="93"/>
      <c r="H88" s="93"/>
      <c r="I88" s="56"/>
      <c r="J88" s="93"/>
      <c r="K88" s="93"/>
      <c r="L88" s="93"/>
      <c r="O88" s="93"/>
      <c r="P88" s="93"/>
    </row>
    <row r="89" spans="1:17">
      <c r="A89" s="109"/>
      <c r="B89" s="109"/>
      <c r="C89" s="109"/>
      <c r="D89" s="109"/>
      <c r="E89" s="104"/>
      <c r="F89" s="110"/>
      <c r="G89" s="93"/>
      <c r="H89" s="93"/>
      <c r="I89" s="56"/>
      <c r="J89" s="93"/>
      <c r="K89" s="93"/>
      <c r="L89" s="93"/>
      <c r="O89" s="93"/>
      <c r="P89" s="93"/>
    </row>
    <row r="90" spans="1:17" s="109" customFormat="1">
      <c r="E90" s="104"/>
      <c r="F90" s="110"/>
      <c r="G90" s="93"/>
      <c r="H90" s="93"/>
      <c r="I90" s="56"/>
      <c r="J90" s="93"/>
      <c r="K90" s="93"/>
      <c r="L90" s="93"/>
      <c r="M90" s="93"/>
      <c r="N90" s="93"/>
      <c r="O90" s="93"/>
      <c r="P90" s="93"/>
      <c r="Q90" s="93"/>
    </row>
    <row r="91" spans="1:17" s="109" customFormat="1">
      <c r="E91" s="104"/>
      <c r="F91" s="110"/>
      <c r="G91" s="93"/>
      <c r="H91" s="93"/>
      <c r="I91" s="56"/>
      <c r="J91" s="93"/>
      <c r="K91" s="93"/>
      <c r="L91" s="93"/>
      <c r="M91" s="93"/>
      <c r="N91" s="93"/>
      <c r="O91" s="93"/>
      <c r="P91" s="93"/>
      <c r="Q91" s="93"/>
    </row>
    <row r="92" spans="1:17" s="109" customFormat="1">
      <c r="E92" s="104"/>
      <c r="F92" s="110"/>
      <c r="G92" s="93"/>
      <c r="H92" s="93"/>
      <c r="I92" s="56"/>
      <c r="J92" s="93"/>
      <c r="K92" s="93"/>
      <c r="L92" s="93"/>
      <c r="M92" s="93"/>
      <c r="N92" s="93"/>
      <c r="O92" s="93"/>
      <c r="P92" s="93"/>
      <c r="Q92" s="93"/>
    </row>
    <row r="93" spans="1:17" s="109" customFormat="1">
      <c r="E93" s="104"/>
      <c r="F93" s="110"/>
      <c r="G93" s="93"/>
      <c r="H93" s="93"/>
      <c r="I93" s="56"/>
      <c r="J93" s="93"/>
      <c r="K93" s="93"/>
      <c r="L93" s="93"/>
      <c r="M93" s="93"/>
      <c r="N93" s="93"/>
      <c r="O93" s="93"/>
      <c r="P93" s="93"/>
      <c r="Q93" s="93"/>
    </row>
    <row r="94" spans="1:17" s="109" customFormat="1">
      <c r="E94" s="104"/>
      <c r="F94" s="110"/>
      <c r="G94" s="93"/>
      <c r="H94" s="93"/>
      <c r="I94" s="56"/>
      <c r="J94" s="93"/>
      <c r="K94" s="93"/>
      <c r="L94" s="93"/>
      <c r="M94" s="93"/>
      <c r="N94" s="93"/>
      <c r="O94" s="93"/>
      <c r="P94" s="93"/>
      <c r="Q94" s="93"/>
    </row>
    <row r="95" spans="1:17" s="109" customFormat="1">
      <c r="E95" s="104"/>
      <c r="F95" s="110"/>
      <c r="G95" s="93"/>
      <c r="H95" s="93"/>
      <c r="I95" s="56"/>
      <c r="J95" s="93"/>
      <c r="K95" s="93"/>
      <c r="L95" s="93"/>
      <c r="M95" s="93"/>
    </row>
    <row r="96" spans="1:17" s="109" customFormat="1">
      <c r="E96" s="104"/>
      <c r="F96" s="110"/>
      <c r="G96" s="93"/>
      <c r="H96" s="93"/>
      <c r="I96" s="56"/>
      <c r="J96" s="93"/>
      <c r="K96" s="93"/>
      <c r="L96" s="93"/>
      <c r="M96" s="93"/>
    </row>
    <row r="97" spans="5:13" s="109" customFormat="1">
      <c r="E97" s="104"/>
      <c r="F97" s="110"/>
      <c r="G97" s="93"/>
      <c r="H97" s="93"/>
      <c r="I97" s="56"/>
      <c r="J97" s="93"/>
      <c r="K97" s="93"/>
      <c r="L97" s="93"/>
      <c r="M97" s="93"/>
    </row>
    <row r="98" spans="5:13" s="109" customFormat="1">
      <c r="E98" s="104"/>
      <c r="F98" s="110"/>
      <c r="G98" s="93"/>
      <c r="H98" s="93"/>
      <c r="I98" s="56"/>
      <c r="J98" s="93"/>
      <c r="K98" s="93"/>
      <c r="L98" s="93"/>
      <c r="M98" s="93"/>
    </row>
    <row r="99" spans="5:13" s="109" customFormat="1">
      <c r="E99" s="104"/>
      <c r="F99" s="110"/>
      <c r="G99" s="93"/>
      <c r="H99" s="93"/>
      <c r="I99" s="56"/>
      <c r="J99" s="93"/>
      <c r="K99" s="93"/>
      <c r="L99" s="93"/>
      <c r="M99" s="93"/>
    </row>
    <row r="100" spans="5:13" s="109" customFormat="1">
      <c r="E100" s="104"/>
      <c r="F100" s="110"/>
      <c r="G100" s="93"/>
      <c r="H100" s="93"/>
      <c r="I100" s="56"/>
      <c r="J100" s="93"/>
      <c r="K100" s="93"/>
      <c r="L100" s="93"/>
      <c r="M100" s="93"/>
    </row>
    <row r="101" spans="5:13" s="109" customFormat="1">
      <c r="E101" s="104"/>
      <c r="F101" s="110"/>
      <c r="G101" s="93"/>
      <c r="H101" s="93"/>
      <c r="I101" s="56"/>
      <c r="J101" s="93"/>
      <c r="K101" s="93"/>
      <c r="L101" s="93"/>
      <c r="M101" s="93"/>
    </row>
    <row r="102" spans="5:13" s="109" customFormat="1">
      <c r="E102" s="104"/>
      <c r="F102" s="110"/>
      <c r="G102" s="93"/>
      <c r="H102" s="93"/>
      <c r="I102" s="56"/>
      <c r="J102" s="93"/>
      <c r="K102" s="93"/>
      <c r="L102" s="93"/>
      <c r="M102" s="93"/>
    </row>
    <row r="103" spans="5:13" s="109" customFormat="1">
      <c r="E103" s="104"/>
      <c r="F103" s="110"/>
      <c r="G103" s="93"/>
      <c r="H103" s="93"/>
      <c r="I103" s="56"/>
      <c r="J103" s="93"/>
      <c r="K103" s="93"/>
      <c r="L103" s="93"/>
      <c r="M103" s="93"/>
    </row>
    <row r="104" spans="5:13" s="109" customFormat="1">
      <c r="E104" s="104"/>
      <c r="F104" s="110"/>
      <c r="G104" s="93"/>
      <c r="H104" s="93"/>
      <c r="I104" s="56"/>
      <c r="J104" s="93"/>
      <c r="K104" s="93"/>
      <c r="L104" s="93"/>
      <c r="M104" s="93"/>
    </row>
    <row r="105" spans="5:13" s="109" customFormat="1">
      <c r="E105" s="104"/>
      <c r="F105" s="110"/>
      <c r="G105" s="93"/>
      <c r="H105" s="93"/>
      <c r="I105" s="56"/>
      <c r="J105" s="93"/>
      <c r="K105" s="93"/>
      <c r="L105" s="93"/>
      <c r="M105" s="93"/>
    </row>
    <row r="106" spans="5:13" s="109" customFormat="1">
      <c r="E106" s="104"/>
      <c r="F106" s="110"/>
      <c r="G106" s="93"/>
      <c r="H106" s="93"/>
      <c r="I106" s="56"/>
      <c r="J106" s="93"/>
      <c r="K106" s="93"/>
      <c r="L106" s="93"/>
      <c r="M106" s="93"/>
    </row>
    <row r="107" spans="5:13" s="109" customFormat="1">
      <c r="E107" s="104"/>
      <c r="F107" s="110"/>
      <c r="G107" s="93"/>
      <c r="H107" s="93"/>
      <c r="I107" s="56"/>
      <c r="J107" s="93"/>
      <c r="K107" s="93"/>
      <c r="L107" s="93"/>
      <c r="M107" s="93"/>
    </row>
    <row r="108" spans="5:13" s="109" customFormat="1">
      <c r="E108" s="104"/>
      <c r="F108" s="110"/>
      <c r="G108" s="93"/>
      <c r="H108" s="93"/>
      <c r="I108" s="56"/>
      <c r="J108" s="93"/>
      <c r="K108" s="93"/>
      <c r="L108" s="93"/>
      <c r="M108" s="93"/>
    </row>
    <row r="109" spans="5:13" s="109" customFormat="1">
      <c r="E109" s="104"/>
      <c r="F109" s="110"/>
      <c r="G109" s="93"/>
      <c r="H109" s="93"/>
      <c r="I109" s="56"/>
      <c r="J109" s="93"/>
      <c r="K109" s="93"/>
      <c r="L109" s="93"/>
      <c r="M109" s="93"/>
    </row>
    <row r="110" spans="5:13" s="109" customFormat="1">
      <c r="E110" s="104"/>
      <c r="F110" s="110"/>
      <c r="G110" s="93"/>
      <c r="H110" s="93"/>
      <c r="I110" s="56"/>
      <c r="J110" s="93"/>
      <c r="K110" s="93"/>
      <c r="L110" s="93"/>
    </row>
    <row r="111" spans="5:13" s="109" customFormat="1">
      <c r="E111" s="104"/>
      <c r="F111" s="110"/>
      <c r="G111" s="93"/>
      <c r="H111" s="93"/>
      <c r="I111" s="56"/>
      <c r="J111" s="93"/>
      <c r="K111" s="93"/>
      <c r="L111" s="93"/>
    </row>
    <row r="112" spans="5:13" s="109" customFormat="1">
      <c r="E112" s="104"/>
      <c r="F112" s="110"/>
      <c r="G112" s="93"/>
      <c r="H112" s="93"/>
      <c r="I112" s="56"/>
      <c r="J112" s="93"/>
      <c r="K112" s="93"/>
      <c r="L112" s="93"/>
    </row>
    <row r="113" spans="5:12" s="109" customFormat="1">
      <c r="E113" s="104"/>
      <c r="F113" s="110"/>
      <c r="G113" s="93"/>
      <c r="H113" s="93"/>
      <c r="I113" s="56"/>
      <c r="J113" s="93"/>
      <c r="K113" s="93"/>
      <c r="L113" s="93"/>
    </row>
    <row r="114" spans="5:12" s="109" customFormat="1">
      <c r="E114" s="104"/>
      <c r="F114" s="110"/>
      <c r="G114" s="93"/>
      <c r="H114" s="93"/>
      <c r="I114" s="56"/>
      <c r="J114" s="93"/>
      <c r="K114" s="93"/>
      <c r="L114" s="93"/>
    </row>
    <row r="115" spans="5:12" s="109" customFormat="1">
      <c r="E115" s="104"/>
      <c r="F115" s="110"/>
      <c r="G115" s="93"/>
      <c r="H115" s="93"/>
      <c r="I115" s="56"/>
      <c r="J115" s="93"/>
      <c r="K115" s="93"/>
      <c r="L115" s="93"/>
    </row>
    <row r="116" spans="5:12" s="109" customFormat="1">
      <c r="E116" s="104"/>
      <c r="F116" s="110"/>
      <c r="G116" s="93"/>
      <c r="H116" s="93"/>
      <c r="I116" s="56"/>
      <c r="J116" s="93"/>
      <c r="K116" s="93"/>
      <c r="L116" s="93"/>
    </row>
    <row r="117" spans="5:12" s="109" customFormat="1">
      <c r="E117" s="104"/>
      <c r="F117" s="110"/>
      <c r="G117" s="93"/>
      <c r="H117" s="93"/>
      <c r="I117" s="56"/>
      <c r="J117" s="93"/>
      <c r="K117" s="93"/>
      <c r="L117" s="93"/>
    </row>
    <row r="118" spans="5:12" s="109" customFormat="1">
      <c r="E118" s="104"/>
      <c r="F118" s="110"/>
      <c r="G118" s="93"/>
      <c r="H118" s="93"/>
      <c r="I118" s="56"/>
      <c r="J118" s="93"/>
      <c r="K118" s="93"/>
      <c r="L118" s="93"/>
    </row>
    <row r="119" spans="5:12" s="109" customFormat="1">
      <c r="E119" s="104"/>
      <c r="F119" s="110"/>
      <c r="G119" s="93"/>
      <c r="H119" s="93"/>
      <c r="I119" s="56"/>
      <c r="J119" s="93"/>
      <c r="K119" s="93"/>
      <c r="L119" s="93"/>
    </row>
    <row r="120" spans="5:12" s="109" customFormat="1">
      <c r="E120" s="104"/>
      <c r="F120" s="110"/>
      <c r="G120" s="93"/>
      <c r="H120" s="93"/>
      <c r="I120" s="56"/>
      <c r="J120" s="93"/>
      <c r="K120" s="93"/>
      <c r="L120" s="93"/>
    </row>
    <row r="121" spans="5:12" s="109" customFormat="1">
      <c r="E121" s="104"/>
      <c r="F121" s="110"/>
      <c r="G121" s="93"/>
      <c r="H121" s="93"/>
      <c r="I121" s="56"/>
      <c r="J121" s="93"/>
      <c r="K121" s="93"/>
      <c r="L121" s="93"/>
    </row>
    <row r="122" spans="5:12" s="109" customFormat="1">
      <c r="E122" s="104"/>
      <c r="F122" s="110"/>
      <c r="G122" s="93"/>
      <c r="H122" s="93"/>
      <c r="I122" s="56"/>
      <c r="J122" s="93"/>
      <c r="K122" s="93"/>
      <c r="L122" s="93"/>
    </row>
    <row r="123" spans="5:12" s="109" customFormat="1">
      <c r="E123" s="104"/>
      <c r="F123" s="110"/>
      <c r="G123" s="93"/>
      <c r="H123" s="93"/>
      <c r="I123" s="56"/>
      <c r="J123" s="93"/>
      <c r="K123" s="93"/>
      <c r="L123" s="93"/>
    </row>
    <row r="124" spans="5:12" s="109" customFormat="1">
      <c r="E124" s="104"/>
      <c r="F124" s="110"/>
      <c r="G124" s="93"/>
      <c r="H124" s="93"/>
      <c r="I124" s="56"/>
      <c r="J124" s="93"/>
      <c r="K124" s="93"/>
      <c r="L124" s="93"/>
    </row>
    <row r="125" spans="5:12" s="109" customFormat="1">
      <c r="E125" s="104"/>
      <c r="F125" s="110"/>
      <c r="G125" s="93"/>
      <c r="H125" s="93"/>
      <c r="I125" s="56"/>
      <c r="J125" s="93"/>
      <c r="K125" s="93"/>
      <c r="L125" s="93"/>
    </row>
    <row r="126" spans="5:12" s="109" customFormat="1">
      <c r="E126" s="104"/>
      <c r="F126" s="110"/>
      <c r="G126" s="93"/>
      <c r="H126" s="93"/>
      <c r="I126" s="56"/>
      <c r="J126" s="93"/>
      <c r="K126" s="93"/>
      <c r="L126" s="93"/>
    </row>
    <row r="127" spans="5:12" s="109" customFormat="1">
      <c r="E127" s="104"/>
      <c r="F127" s="110"/>
      <c r="G127" s="93"/>
      <c r="H127" s="93"/>
      <c r="I127" s="56"/>
      <c r="J127" s="93"/>
      <c r="K127" s="93"/>
      <c r="L127" s="93"/>
    </row>
    <row r="128" spans="5:12" s="109" customFormat="1">
      <c r="E128" s="104"/>
      <c r="F128" s="110"/>
      <c r="G128" s="93"/>
      <c r="H128" s="93"/>
      <c r="I128" s="56"/>
      <c r="J128" s="93"/>
      <c r="K128" s="93"/>
      <c r="L128" s="93"/>
    </row>
    <row r="129" spans="5:12" s="109" customFormat="1">
      <c r="E129" s="104"/>
      <c r="F129" s="110"/>
      <c r="G129" s="93"/>
      <c r="H129" s="93"/>
      <c r="I129" s="56"/>
      <c r="J129" s="93"/>
      <c r="K129" s="93"/>
      <c r="L129" s="93"/>
    </row>
    <row r="130" spans="5:12" s="109" customFormat="1">
      <c r="E130" s="104"/>
      <c r="F130" s="110"/>
      <c r="G130" s="93"/>
      <c r="H130" s="93"/>
      <c r="I130" s="56"/>
      <c r="J130" s="93"/>
      <c r="K130" s="93"/>
      <c r="L130" s="93"/>
    </row>
    <row r="131" spans="5:12" s="109" customFormat="1">
      <c r="E131" s="104"/>
      <c r="F131" s="110"/>
      <c r="G131" s="93"/>
      <c r="H131" s="93"/>
      <c r="I131" s="56"/>
      <c r="J131" s="93"/>
      <c r="K131" s="93"/>
      <c r="L131" s="93"/>
    </row>
    <row r="132" spans="5:12" s="109" customFormat="1">
      <c r="E132" s="104"/>
      <c r="F132" s="110"/>
      <c r="G132" s="93"/>
      <c r="H132" s="93"/>
      <c r="I132" s="56"/>
      <c r="J132" s="93"/>
      <c r="K132" s="93"/>
      <c r="L132" s="93"/>
    </row>
    <row r="133" spans="5:12" s="109" customFormat="1">
      <c r="E133" s="104"/>
      <c r="F133" s="110"/>
      <c r="G133" s="93"/>
      <c r="H133" s="93"/>
      <c r="I133" s="56"/>
      <c r="J133" s="93"/>
      <c r="K133" s="93"/>
      <c r="L133" s="93"/>
    </row>
    <row r="134" spans="5:12" s="109" customFormat="1">
      <c r="E134" s="104"/>
      <c r="F134" s="110"/>
      <c r="G134" s="93"/>
      <c r="H134" s="93"/>
      <c r="I134" s="56"/>
      <c r="J134" s="93"/>
      <c r="K134" s="93"/>
      <c r="L134" s="93"/>
    </row>
    <row r="135" spans="5:12" s="109" customFormat="1">
      <c r="E135" s="104"/>
      <c r="F135" s="110"/>
      <c r="G135" s="93"/>
      <c r="H135" s="93"/>
      <c r="I135" s="56"/>
      <c r="J135" s="93"/>
      <c r="K135" s="93"/>
      <c r="L135" s="93"/>
    </row>
    <row r="136" spans="5:12" s="109" customFormat="1">
      <c r="E136" s="104"/>
      <c r="F136" s="110"/>
      <c r="G136" s="93"/>
      <c r="H136" s="93"/>
      <c r="I136" s="56"/>
      <c r="J136" s="93"/>
      <c r="K136" s="93"/>
      <c r="L136" s="93"/>
    </row>
    <row r="137" spans="5:12" s="109" customFormat="1">
      <c r="E137" s="104"/>
      <c r="F137" s="110"/>
      <c r="G137" s="93"/>
      <c r="H137" s="93"/>
      <c r="I137" s="56"/>
      <c r="J137" s="93"/>
      <c r="K137" s="93"/>
      <c r="L137" s="93"/>
    </row>
    <row r="138" spans="5:12" s="109" customFormat="1">
      <c r="E138" s="104"/>
      <c r="F138" s="110"/>
      <c r="G138" s="93"/>
      <c r="H138" s="93"/>
      <c r="I138" s="56"/>
      <c r="J138" s="93"/>
      <c r="K138" s="93"/>
      <c r="L138" s="93"/>
    </row>
    <row r="139" spans="5:12" s="109" customFormat="1">
      <c r="E139" s="104"/>
      <c r="F139" s="110"/>
      <c r="G139" s="93"/>
      <c r="H139" s="93"/>
      <c r="I139" s="56"/>
      <c r="J139" s="93"/>
      <c r="K139" s="93"/>
      <c r="L139" s="93"/>
    </row>
    <row r="140" spans="5:12" s="109" customFormat="1">
      <c r="E140" s="104"/>
      <c r="F140" s="110"/>
      <c r="G140" s="93"/>
      <c r="H140" s="93"/>
      <c r="I140" s="56"/>
      <c r="J140" s="93"/>
      <c r="K140" s="93"/>
      <c r="L140" s="93"/>
    </row>
    <row r="141" spans="5:12" s="109" customFormat="1">
      <c r="E141" s="104"/>
      <c r="F141" s="110"/>
      <c r="G141" s="93"/>
      <c r="H141" s="93"/>
      <c r="I141" s="56"/>
      <c r="J141" s="93"/>
      <c r="K141" s="93"/>
      <c r="L141" s="93"/>
    </row>
    <row r="142" spans="5:12" s="109" customFormat="1">
      <c r="E142" s="104"/>
      <c r="F142" s="110"/>
      <c r="G142" s="93"/>
      <c r="H142" s="93"/>
      <c r="I142" s="56"/>
      <c r="J142" s="93"/>
      <c r="K142" s="93"/>
      <c r="L142" s="93"/>
    </row>
    <row r="143" spans="5:12" s="109" customFormat="1">
      <c r="E143" s="104"/>
      <c r="F143" s="110"/>
      <c r="G143" s="93"/>
      <c r="H143" s="93"/>
      <c r="I143" s="56"/>
      <c r="J143" s="93"/>
      <c r="K143" s="93"/>
      <c r="L143" s="93"/>
    </row>
    <row r="144" spans="5:12" s="109" customFormat="1">
      <c r="E144" s="104"/>
      <c r="F144" s="110"/>
      <c r="G144" s="93"/>
      <c r="H144" s="93"/>
      <c r="I144" s="56"/>
      <c r="J144" s="93"/>
      <c r="K144" s="93"/>
      <c r="L144" s="93"/>
    </row>
    <row r="145" spans="1:17" s="109" customFormat="1">
      <c r="E145" s="104"/>
      <c r="F145" s="110"/>
      <c r="G145" s="93"/>
      <c r="H145" s="93"/>
      <c r="I145" s="56"/>
      <c r="J145" s="93"/>
      <c r="K145" s="93"/>
      <c r="L145" s="93"/>
    </row>
    <row r="146" spans="1:17" s="109" customFormat="1">
      <c r="E146" s="104"/>
      <c r="F146" s="110"/>
      <c r="G146" s="93"/>
      <c r="H146" s="93"/>
      <c r="I146" s="56"/>
      <c r="J146" s="93"/>
      <c r="K146" s="93"/>
      <c r="L146" s="93"/>
    </row>
    <row r="147" spans="1:17">
      <c r="A147" s="109"/>
      <c r="B147" s="109"/>
      <c r="C147" s="109"/>
      <c r="D147" s="109"/>
      <c r="E147" s="104"/>
      <c r="F147" s="110"/>
      <c r="G147" s="93"/>
      <c r="H147" s="93"/>
      <c r="I147" s="56"/>
      <c r="J147" s="93"/>
      <c r="K147" s="93"/>
      <c r="L147" s="93"/>
      <c r="M147" s="109"/>
      <c r="N147" s="109"/>
      <c r="O147" s="109"/>
      <c r="P147" s="109"/>
      <c r="Q147" s="109"/>
    </row>
    <row r="148" spans="1:17">
      <c r="A148" s="109"/>
      <c r="B148" s="109"/>
      <c r="C148" s="109"/>
      <c r="D148" s="109"/>
      <c r="E148" s="104"/>
      <c r="F148" s="110"/>
      <c r="G148" s="93"/>
      <c r="H148" s="93"/>
      <c r="I148" s="56"/>
      <c r="J148" s="93"/>
      <c r="K148" s="93"/>
      <c r="L148" s="93"/>
      <c r="M148" s="109"/>
      <c r="N148" s="109"/>
      <c r="O148" s="109"/>
      <c r="P148" s="109"/>
      <c r="Q148" s="109"/>
    </row>
    <row r="149" spans="1:17">
      <c r="A149" s="109"/>
      <c r="B149" s="109"/>
      <c r="C149" s="109"/>
      <c r="D149" s="109"/>
      <c r="E149" s="104"/>
      <c r="F149" s="110"/>
      <c r="G149" s="93"/>
      <c r="H149" s="93"/>
      <c r="I149" s="56"/>
      <c r="J149" s="93"/>
      <c r="K149" s="93"/>
      <c r="L149" s="93"/>
      <c r="M149" s="109"/>
      <c r="N149" s="109"/>
      <c r="O149" s="109"/>
      <c r="P149" s="109"/>
      <c r="Q149" s="109"/>
    </row>
    <row r="150" spans="1:17">
      <c r="A150" s="109"/>
      <c r="B150" s="109"/>
      <c r="C150" s="109"/>
      <c r="D150" s="109"/>
      <c r="E150" s="104"/>
      <c r="F150" s="110"/>
      <c r="G150" s="93"/>
      <c r="H150" s="93"/>
      <c r="I150" s="56"/>
      <c r="J150" s="93"/>
      <c r="K150" s="93"/>
      <c r="L150" s="93"/>
      <c r="M150" s="109"/>
      <c r="N150" s="109"/>
      <c r="O150" s="109"/>
      <c r="P150" s="109"/>
      <c r="Q150" s="109"/>
    </row>
    <row r="151" spans="1:17">
      <c r="A151" s="109"/>
      <c r="B151" s="109"/>
      <c r="C151" s="109"/>
      <c r="D151" s="109"/>
      <c r="E151" s="104"/>
      <c r="F151" s="110"/>
      <c r="G151" s="93"/>
      <c r="H151" s="93"/>
      <c r="I151" s="56"/>
      <c r="J151" s="93"/>
      <c r="K151" s="93"/>
      <c r="L151" s="93"/>
      <c r="M151" s="109"/>
      <c r="N151" s="109"/>
      <c r="O151" s="109"/>
      <c r="P151" s="109"/>
      <c r="Q151" s="109"/>
    </row>
    <row r="152" spans="1:17">
      <c r="A152" s="109"/>
      <c r="B152" s="109"/>
      <c r="C152" s="109"/>
      <c r="D152" s="109"/>
      <c r="E152" s="104"/>
      <c r="F152" s="110"/>
      <c r="G152" s="93"/>
      <c r="H152" s="93"/>
      <c r="I152" s="56"/>
      <c r="J152" s="93"/>
      <c r="K152" s="93"/>
      <c r="L152" s="93"/>
      <c r="M152" s="109"/>
    </row>
    <row r="153" spans="1:17">
      <c r="A153" s="109"/>
      <c r="B153" s="109"/>
      <c r="C153" s="109"/>
      <c r="D153" s="109"/>
      <c r="E153" s="104"/>
      <c r="F153" s="110"/>
      <c r="G153" s="93"/>
      <c r="H153" s="93"/>
      <c r="I153" s="56"/>
      <c r="J153" s="93"/>
      <c r="K153" s="93"/>
      <c r="L153" s="93"/>
      <c r="M153" s="109"/>
    </row>
    <row r="154" spans="1:17">
      <c r="A154" s="109"/>
      <c r="B154" s="109"/>
      <c r="C154" s="109"/>
      <c r="D154" s="109"/>
      <c r="E154" s="104"/>
      <c r="F154" s="110"/>
      <c r="G154" s="93"/>
      <c r="H154" s="93"/>
      <c r="I154" s="56"/>
      <c r="J154" s="93"/>
      <c r="K154" s="93"/>
      <c r="L154" s="93"/>
      <c r="M154" s="109"/>
    </row>
    <row r="155" spans="1:17">
      <c r="A155" s="109"/>
      <c r="B155" s="109"/>
      <c r="C155" s="109"/>
      <c r="D155" s="109"/>
      <c r="E155" s="104"/>
      <c r="F155" s="110"/>
      <c r="G155" s="93"/>
      <c r="H155" s="93"/>
      <c r="I155" s="56"/>
      <c r="J155" s="93"/>
      <c r="K155" s="93"/>
      <c r="L155" s="93"/>
      <c r="M155" s="109"/>
    </row>
    <row r="156" spans="1:17">
      <c r="J156" s="93"/>
      <c r="K156" s="93"/>
      <c r="L156" s="93"/>
      <c r="M156" s="109"/>
    </row>
    <row r="157" spans="1:17">
      <c r="J157" s="93"/>
      <c r="K157" s="93"/>
      <c r="L157" s="93"/>
      <c r="M157" s="109"/>
    </row>
    <row r="158" spans="1:17">
      <c r="J158" s="93"/>
      <c r="K158" s="93"/>
      <c r="L158" s="93"/>
      <c r="M158" s="109"/>
    </row>
    <row r="159" spans="1:17">
      <c r="J159" s="93"/>
      <c r="K159" s="93"/>
      <c r="L159" s="93"/>
      <c r="M159" s="109"/>
    </row>
    <row r="160" spans="1:17">
      <c r="J160" s="93"/>
      <c r="K160" s="93"/>
      <c r="L160" s="93"/>
      <c r="M160" s="109"/>
    </row>
    <row r="161" spans="10:13">
      <c r="J161" s="93"/>
      <c r="K161" s="93"/>
      <c r="L161" s="93"/>
      <c r="M161" s="109"/>
    </row>
    <row r="162" spans="10:13">
      <c r="K162" s="93"/>
      <c r="L162" s="93"/>
      <c r="M162" s="109"/>
    </row>
    <row r="163" spans="10:13">
      <c r="K163" s="93"/>
      <c r="L163" s="93"/>
      <c r="M163" s="109"/>
    </row>
    <row r="164" spans="10:13">
      <c r="K164" s="93"/>
      <c r="L164" s="93"/>
      <c r="M164" s="109"/>
    </row>
    <row r="165" spans="10:13">
      <c r="L165" s="93"/>
      <c r="M165" s="109"/>
    </row>
    <row r="166" spans="10:13">
      <c r="L166" s="93"/>
      <c r="M166" s="109"/>
    </row>
    <row r="167" spans="10:13">
      <c r="L167" s="93"/>
    </row>
    <row r="168" spans="10:13">
      <c r="L168" s="93"/>
    </row>
    <row r="169" spans="10:13">
      <c r="L169" s="93"/>
    </row>
  </sheetData>
  <mergeCells count="1">
    <mergeCell ref="L7:M7"/>
  </mergeCells>
  <dataValidations count="1">
    <dataValidation type="list" allowBlank="1" showInputMessage="1" showErrorMessage="1" sqref="B5" xr:uid="{00000000-0002-0000-0200-000000000000}">
      <formula1>$AB$5:$AB$8</formula1>
    </dataValidation>
  </dataValidations>
  <pageMargins left="0.7" right="0.7" top="0.75" bottom="0.75" header="0.3" footer="0.3"/>
  <pageSetup orientation="portrait" verticalDpi="0"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95"/>
  <sheetViews>
    <sheetView topLeftCell="J1" zoomScale="80" zoomScaleNormal="80" workbookViewId="0">
      <selection activeCell="W27" sqref="W27"/>
    </sheetView>
  </sheetViews>
  <sheetFormatPr defaultColWidth="7.85546875" defaultRowHeight="11.25"/>
  <cols>
    <col min="1" max="1" width="15.7109375" style="93" bestFit="1" customWidth="1"/>
    <col min="2" max="2" width="9.5703125" style="93" bestFit="1" customWidth="1"/>
    <col min="3" max="3" width="5.140625" style="113" customWidth="1"/>
    <col min="4" max="4" width="8.42578125" style="113" bestFit="1" customWidth="1"/>
    <col min="5" max="6" width="8.7109375" style="113" bestFit="1" customWidth="1"/>
    <col min="7" max="7" width="14.85546875" style="109" bestFit="1" customWidth="1"/>
    <col min="8" max="8" width="10.28515625" style="114" customWidth="1"/>
    <col min="9" max="10" width="10.28515625" style="109" bestFit="1" customWidth="1"/>
    <col min="11" max="11" width="10.28515625" style="104" bestFit="1" customWidth="1"/>
    <col min="12" max="12" width="16.28515625" style="110" bestFit="1" customWidth="1"/>
    <col min="13" max="13" width="7.7109375" style="93" bestFit="1" customWidth="1"/>
    <col min="14" max="14" width="6.140625" style="93" bestFit="1" customWidth="1"/>
    <col min="15" max="15" width="9.28515625" style="56" customWidth="1"/>
    <col min="16" max="16" width="7.7109375" style="435" bestFit="1" customWidth="1"/>
    <col min="17" max="17" width="6.7109375" style="112" bestFit="1" customWidth="1"/>
    <col min="18" max="18" width="8.42578125" style="112" customWidth="1"/>
    <col min="19" max="19" width="9.42578125" style="112" customWidth="1"/>
    <col min="20" max="20" width="15.7109375" style="112" bestFit="1" customWidth="1"/>
    <col min="21" max="21" width="10.140625" style="112" bestFit="1" customWidth="1"/>
    <col min="22" max="22" width="10.42578125" style="112" bestFit="1" customWidth="1"/>
    <col min="23" max="23" width="14" style="112" bestFit="1" customWidth="1"/>
    <col min="24" max="24" width="15.7109375" style="112" bestFit="1" customWidth="1"/>
    <col min="25" max="25" width="13.7109375" style="112" bestFit="1" customWidth="1"/>
    <col min="26" max="26" width="17.28515625" style="93" bestFit="1" customWidth="1"/>
    <col min="27" max="27" width="21.140625" style="93" bestFit="1" customWidth="1"/>
    <col min="28" max="28" width="11.28515625" style="93" customWidth="1"/>
    <col min="29" max="33" width="5.28515625" style="93" customWidth="1"/>
    <col min="34" max="34" width="17" style="93" customWidth="1"/>
    <col min="35" max="16384" width="7.85546875" style="93"/>
  </cols>
  <sheetData>
    <row r="1" spans="1:30" s="32" customFormat="1" ht="12.75">
      <c r="A1" s="288" t="s">
        <v>51</v>
      </c>
      <c r="B1" s="289"/>
      <c r="C1" s="290"/>
      <c r="D1" s="289"/>
      <c r="E1" s="291"/>
      <c r="F1" s="291"/>
      <c r="G1" s="292"/>
      <c r="H1" s="293" t="s">
        <v>91</v>
      </c>
      <c r="I1" s="294">
        <f>C80</f>
        <v>1220</v>
      </c>
      <c r="J1" s="295"/>
      <c r="K1" s="289"/>
      <c r="L1" s="289"/>
      <c r="N1" s="33"/>
      <c r="P1" s="428"/>
      <c r="Q1" s="428"/>
      <c r="R1" s="428"/>
      <c r="S1" s="428"/>
      <c r="T1" s="428"/>
      <c r="U1" s="428"/>
      <c r="V1" s="428"/>
      <c r="W1" s="428"/>
      <c r="X1" s="428"/>
      <c r="Y1" s="428"/>
    </row>
    <row r="2" spans="1:30" s="32" customFormat="1" ht="12.75">
      <c r="A2" s="296" t="s">
        <v>25</v>
      </c>
      <c r="B2" s="289"/>
      <c r="C2" s="297"/>
      <c r="D2" s="289"/>
      <c r="E2" s="298"/>
      <c r="F2" s="298"/>
      <c r="G2" s="299"/>
      <c r="H2" s="300" t="s">
        <v>92</v>
      </c>
      <c r="I2" s="301"/>
      <c r="J2" s="302"/>
      <c r="K2" s="289"/>
      <c r="L2" s="289"/>
      <c r="N2" s="35"/>
      <c r="P2" s="428"/>
      <c r="Q2" s="428"/>
      <c r="R2" s="428"/>
      <c r="S2" s="428"/>
      <c r="T2" s="428"/>
      <c r="U2" s="428"/>
      <c r="V2" s="428"/>
      <c r="W2" s="428"/>
      <c r="X2" s="428"/>
      <c r="Y2" s="428"/>
    </row>
    <row r="3" spans="1:30" s="36" customFormat="1" ht="11.25" customHeight="1">
      <c r="A3" s="303" t="s">
        <v>50</v>
      </c>
      <c r="B3" s="304"/>
      <c r="C3" s="297"/>
      <c r="D3" s="298"/>
      <c r="E3" s="298"/>
      <c r="F3" s="298"/>
      <c r="G3" s="299"/>
      <c r="H3" s="303" t="s">
        <v>93</v>
      </c>
      <c r="I3" s="305" t="e">
        <f>AB53/100</f>
        <v>#DIV/0!</v>
      </c>
      <c r="J3" s="302"/>
      <c r="K3" s="289"/>
      <c r="L3" s="289"/>
      <c r="N3" s="37"/>
      <c r="P3" s="429"/>
      <c r="Q3" s="429"/>
      <c r="R3" s="429"/>
      <c r="S3" s="429"/>
      <c r="T3" s="429"/>
      <c r="U3" s="429"/>
      <c r="V3" s="429"/>
      <c r="W3" s="429"/>
      <c r="X3" s="429"/>
      <c r="Y3" s="429"/>
    </row>
    <row r="4" spans="1:30" s="32" customFormat="1" ht="12.75">
      <c r="A4" s="303" t="s">
        <v>49</v>
      </c>
      <c r="B4" s="304"/>
      <c r="C4" s="297"/>
      <c r="D4" s="298"/>
      <c r="E4" s="298"/>
      <c r="F4" s="298"/>
      <c r="G4" s="299"/>
      <c r="H4" s="303" t="s">
        <v>94</v>
      </c>
      <c r="I4" s="306">
        <f>S22</f>
        <v>0</v>
      </c>
      <c r="J4" s="302"/>
      <c r="K4" s="289"/>
      <c r="L4" s="289"/>
      <c r="M4" s="33"/>
      <c r="N4" s="33"/>
      <c r="P4" s="428"/>
      <c r="Q4" s="428"/>
      <c r="R4" s="428"/>
      <c r="S4" s="428"/>
      <c r="T4" s="428"/>
      <c r="U4" s="428"/>
      <c r="V4" s="428"/>
      <c r="W4" s="428"/>
      <c r="X4" s="428"/>
      <c r="Y4" s="428"/>
    </row>
    <row r="5" spans="1:30" s="54" customFormat="1" ht="12.75">
      <c r="A5" s="296" t="s">
        <v>24</v>
      </c>
      <c r="B5" s="307" t="s">
        <v>26</v>
      </c>
      <c r="C5" s="297"/>
      <c r="D5" s="298"/>
      <c r="E5" s="298"/>
      <c r="F5" s="298"/>
      <c r="G5" s="299"/>
      <c r="H5" s="303"/>
      <c r="I5" s="308"/>
      <c r="J5" s="302"/>
      <c r="K5" s="289"/>
      <c r="L5" s="289"/>
      <c r="M5" s="52"/>
      <c r="N5" s="52"/>
      <c r="P5" s="430"/>
      <c r="Q5" s="430"/>
      <c r="R5" s="430"/>
      <c r="S5" s="430"/>
      <c r="T5" s="430"/>
      <c r="U5" s="430"/>
      <c r="V5" s="430"/>
      <c r="W5" s="430"/>
      <c r="X5" s="430"/>
      <c r="Y5" s="430"/>
    </row>
    <row r="6" spans="1:30" s="52" customFormat="1" ht="13.5" thickBot="1">
      <c r="A6" s="383"/>
      <c r="B6" s="309"/>
      <c r="C6" s="384"/>
      <c r="D6" s="385"/>
      <c r="E6" s="385"/>
      <c r="F6" s="385"/>
      <c r="G6" s="386"/>
      <c r="H6" s="387"/>
      <c r="I6" s="388"/>
      <c r="J6" s="386"/>
      <c r="K6" s="309"/>
      <c r="L6" s="309"/>
      <c r="M6" s="46"/>
      <c r="P6" s="431"/>
      <c r="Q6" s="431"/>
      <c r="R6" s="431"/>
      <c r="S6" s="431"/>
      <c r="T6" s="431"/>
      <c r="U6" s="431"/>
      <c r="V6" s="431"/>
      <c r="W6" s="431"/>
      <c r="X6" s="431"/>
      <c r="Y6" s="431"/>
    </row>
    <row r="7" spans="1:30" s="54" customFormat="1" ht="13.15" customHeight="1">
      <c r="A7" s="970" t="s">
        <v>27</v>
      </c>
      <c r="B7" s="971"/>
      <c r="C7" s="971"/>
      <c r="D7" s="971"/>
      <c r="E7" s="971"/>
      <c r="F7" s="971"/>
      <c r="G7" s="971"/>
      <c r="H7" s="971"/>
      <c r="I7" s="971"/>
      <c r="J7" s="971"/>
      <c r="K7" s="971"/>
      <c r="L7" s="983"/>
      <c r="M7" s="355"/>
      <c r="N7" s="40" t="s">
        <v>54</v>
      </c>
      <c r="O7" s="19"/>
      <c r="P7" s="41" t="s">
        <v>28</v>
      </c>
      <c r="Q7" s="42"/>
      <c r="R7" s="981" t="s">
        <v>29</v>
      </c>
      <c r="S7" s="984"/>
      <c r="T7" s="981" t="s">
        <v>96</v>
      </c>
      <c r="U7" s="984"/>
      <c r="V7" s="984"/>
      <c r="W7" s="984"/>
      <c r="X7" s="981" t="s">
        <v>103</v>
      </c>
      <c r="Y7" s="982"/>
      <c r="Z7" s="463"/>
      <c r="AA7" s="968" t="s">
        <v>86</v>
      </c>
      <c r="AB7" s="969"/>
      <c r="AC7" s="52"/>
      <c r="AD7" s="52"/>
    </row>
    <row r="8" spans="1:30" s="74" customFormat="1" ht="11.25" customHeight="1">
      <c r="A8" s="45"/>
      <c r="B8" s="46"/>
      <c r="C8" s="47"/>
      <c r="D8" s="379"/>
      <c r="E8" s="379"/>
      <c r="F8" s="379"/>
      <c r="G8" s="395"/>
      <c r="H8" s="380"/>
      <c r="I8" s="380"/>
      <c r="J8" s="380"/>
      <c r="K8" s="380"/>
      <c r="L8" s="401"/>
      <c r="M8" s="380"/>
      <c r="N8" s="477"/>
      <c r="O8" s="47"/>
      <c r="P8" s="433"/>
      <c r="Q8" s="49"/>
      <c r="R8" s="434"/>
      <c r="S8" s="434"/>
      <c r="T8" s="433"/>
      <c r="U8" s="434"/>
      <c r="V8" s="434"/>
      <c r="W8" s="434"/>
      <c r="X8" s="433"/>
      <c r="Y8" s="49"/>
      <c r="Z8" s="464"/>
      <c r="AA8" s="53"/>
      <c r="AB8" s="53"/>
      <c r="AC8" s="73"/>
    </row>
    <row r="9" spans="1:30" s="79" customFormat="1">
      <c r="A9" s="34"/>
      <c r="B9" s="52"/>
      <c r="C9" s="55"/>
      <c r="D9" s="978" t="s">
        <v>82</v>
      </c>
      <c r="E9" s="979"/>
      <c r="F9" s="980"/>
      <c r="G9" s="396"/>
      <c r="H9" s="975" t="s">
        <v>83</v>
      </c>
      <c r="I9" s="976"/>
      <c r="J9" s="976"/>
      <c r="K9" s="977"/>
      <c r="L9" s="473"/>
      <c r="M9" s="476"/>
      <c r="N9" s="477" t="s">
        <v>30</v>
      </c>
      <c r="O9" s="256"/>
      <c r="P9" s="434"/>
      <c r="Q9" s="49"/>
      <c r="R9" s="435"/>
      <c r="S9" s="435"/>
      <c r="T9" s="467"/>
      <c r="U9" s="435"/>
      <c r="V9" s="435"/>
      <c r="W9" s="435"/>
      <c r="X9" s="467"/>
      <c r="Y9" s="468"/>
      <c r="Z9" s="464"/>
      <c r="AA9" s="58"/>
      <c r="AB9" s="59"/>
      <c r="AC9" s="77"/>
      <c r="AD9" s="78"/>
    </row>
    <row r="10" spans="1:30" s="79" customFormat="1">
      <c r="A10" s="60" t="s">
        <v>31</v>
      </c>
      <c r="B10" s="61" t="s">
        <v>32</v>
      </c>
      <c r="C10" s="62" t="s">
        <v>33</v>
      </c>
      <c r="D10" s="490" t="s">
        <v>104</v>
      </c>
      <c r="E10" s="486" t="s">
        <v>105</v>
      </c>
      <c r="F10" s="487" t="s">
        <v>106</v>
      </c>
      <c r="G10" s="396" t="s">
        <v>112</v>
      </c>
      <c r="H10" s="381" t="s">
        <v>107</v>
      </c>
      <c r="I10" s="381" t="s">
        <v>108</v>
      </c>
      <c r="J10" s="381" t="s">
        <v>109</v>
      </c>
      <c r="K10" s="381" t="s">
        <v>110</v>
      </c>
      <c r="L10" s="473" t="s">
        <v>111</v>
      </c>
      <c r="M10" s="57" t="s">
        <v>66</v>
      </c>
      <c r="N10" s="478" t="s">
        <v>34</v>
      </c>
      <c r="O10" s="63" t="s">
        <v>35</v>
      </c>
      <c r="P10" s="50" t="s">
        <v>2</v>
      </c>
      <c r="Q10" s="49" t="s">
        <v>36</v>
      </c>
      <c r="R10" s="50" t="s">
        <v>36</v>
      </c>
      <c r="S10" s="50" t="s">
        <v>2</v>
      </c>
      <c r="T10" s="433" t="s">
        <v>97</v>
      </c>
      <c r="U10" s="434" t="s">
        <v>98</v>
      </c>
      <c r="V10" s="434" t="s">
        <v>99</v>
      </c>
      <c r="W10" s="434" t="s">
        <v>100</v>
      </c>
      <c r="X10" s="433" t="s">
        <v>97</v>
      </c>
      <c r="Y10" s="49" t="s">
        <v>1</v>
      </c>
      <c r="Z10" s="408" t="s">
        <v>48</v>
      </c>
      <c r="AA10" s="58" t="s">
        <v>85</v>
      </c>
      <c r="AB10" s="58" t="s">
        <v>53</v>
      </c>
      <c r="AC10" s="17"/>
    </row>
    <row r="11" spans="1:30" s="79" customFormat="1" ht="12" thickBot="1">
      <c r="A11" s="393" t="s">
        <v>37</v>
      </c>
      <c r="B11" s="389" t="s">
        <v>37</v>
      </c>
      <c r="C11" s="390" t="s">
        <v>38</v>
      </c>
      <c r="D11" s="491" t="s">
        <v>84</v>
      </c>
      <c r="E11" s="391" t="s">
        <v>84</v>
      </c>
      <c r="F11" s="492" t="s">
        <v>84</v>
      </c>
      <c r="G11" s="453" t="s">
        <v>84</v>
      </c>
      <c r="H11" s="392" t="s">
        <v>84</v>
      </c>
      <c r="I11" s="392" t="s">
        <v>84</v>
      </c>
      <c r="J11" s="392" t="s">
        <v>84</v>
      </c>
      <c r="K11" s="392" t="s">
        <v>84</v>
      </c>
      <c r="L11" s="454" t="s">
        <v>84</v>
      </c>
      <c r="M11" s="382" t="s">
        <v>87</v>
      </c>
      <c r="N11" s="479" t="s">
        <v>84</v>
      </c>
      <c r="O11" s="66" t="s">
        <v>84</v>
      </c>
      <c r="P11" s="436" t="s">
        <v>88</v>
      </c>
      <c r="Q11" s="69" t="s">
        <v>4</v>
      </c>
      <c r="R11" s="437" t="s">
        <v>4</v>
      </c>
      <c r="S11" s="437" t="s">
        <v>88</v>
      </c>
      <c r="T11" s="436" t="s">
        <v>84</v>
      </c>
      <c r="U11" s="437" t="s">
        <v>84</v>
      </c>
      <c r="V11" s="437" t="s">
        <v>101</v>
      </c>
      <c r="W11" s="437" t="s">
        <v>102</v>
      </c>
      <c r="X11" s="436" t="s">
        <v>84</v>
      </c>
      <c r="Y11" s="69" t="s">
        <v>84</v>
      </c>
      <c r="Z11" s="465"/>
      <c r="AA11" s="406"/>
      <c r="AB11" s="72" t="s">
        <v>84</v>
      </c>
      <c r="AC11" s="17"/>
    </row>
    <row r="12" spans="1:30" s="79" customFormat="1">
      <c r="A12" s="424" t="s">
        <v>89</v>
      </c>
      <c r="B12" s="420"/>
      <c r="C12" s="421">
        <v>0</v>
      </c>
      <c r="D12" s="493" t="s">
        <v>95</v>
      </c>
      <c r="E12" s="452" t="s">
        <v>95</v>
      </c>
      <c r="F12" s="456" t="s">
        <v>95</v>
      </c>
      <c r="G12" s="459" t="s">
        <v>95</v>
      </c>
      <c r="H12" s="452" t="s">
        <v>95</v>
      </c>
      <c r="I12" s="452" t="s">
        <v>95</v>
      </c>
      <c r="J12" s="452" t="s">
        <v>95</v>
      </c>
      <c r="K12" s="452" t="s">
        <v>95</v>
      </c>
      <c r="L12" s="461" t="s">
        <v>95</v>
      </c>
      <c r="M12" s="421"/>
      <c r="N12" s="499"/>
      <c r="O12" s="422"/>
      <c r="P12" s="438"/>
      <c r="Q12" s="423"/>
      <c r="R12" s="439"/>
      <c r="S12" s="440"/>
      <c r="T12" s="469"/>
      <c r="U12" s="440"/>
      <c r="V12" s="440"/>
      <c r="W12" s="440"/>
      <c r="X12" s="466"/>
      <c r="Y12" s="466"/>
      <c r="Z12" s="245"/>
      <c r="AA12" s="23" t="s">
        <v>40</v>
      </c>
      <c r="AB12" s="76"/>
      <c r="AC12" s="18"/>
    </row>
    <row r="13" spans="1:30" s="79" customFormat="1">
      <c r="A13" s="284"/>
      <c r="B13" s="91">
        <v>0</v>
      </c>
      <c r="C13" s="351">
        <v>10</v>
      </c>
      <c r="D13" s="494" t="s">
        <v>95</v>
      </c>
      <c r="E13" s="455" t="s">
        <v>95</v>
      </c>
      <c r="F13" s="457" t="s">
        <v>95</v>
      </c>
      <c r="G13" s="460" t="s">
        <v>95</v>
      </c>
      <c r="H13" s="455" t="s">
        <v>95</v>
      </c>
      <c r="I13" s="455" t="s">
        <v>95</v>
      </c>
      <c r="J13" s="455" t="s">
        <v>95</v>
      </c>
      <c r="K13" s="455" t="s">
        <v>95</v>
      </c>
      <c r="L13" s="462" t="s">
        <v>95</v>
      </c>
      <c r="M13" s="351">
        <v>966</v>
      </c>
      <c r="N13" s="481">
        <f>C12</f>
        <v>0</v>
      </c>
      <c r="O13" s="81">
        <f t="shared" ref="O13:O21" si="0">(C13+C14-10)/2</f>
        <v>10</v>
      </c>
      <c r="P13" s="16">
        <f>(A13-B13)/M13</f>
        <v>0</v>
      </c>
      <c r="Q13" s="75">
        <f>(P13*(O13-N13))/100</f>
        <v>0</v>
      </c>
      <c r="R13" s="441">
        <f>SUM(Q$13:Q13)</f>
        <v>0</v>
      </c>
      <c r="S13" s="254">
        <f>R13/O13*100</f>
        <v>0</v>
      </c>
      <c r="T13" s="470"/>
      <c r="U13" s="254"/>
      <c r="V13" s="254">
        <f>U13*98.5</f>
        <v>0</v>
      </c>
      <c r="W13" s="254">
        <f>(A14-(V13/0.9))/M13</f>
        <v>0</v>
      </c>
      <c r="X13" s="254"/>
      <c r="Y13" s="254"/>
      <c r="Z13" s="246"/>
      <c r="AA13" s="22" t="s">
        <v>41</v>
      </c>
      <c r="AB13" s="84"/>
      <c r="AC13" s="17"/>
    </row>
    <row r="14" spans="1:30" s="79" customFormat="1">
      <c r="A14" s="284"/>
      <c r="B14" s="91">
        <v>0</v>
      </c>
      <c r="C14" s="351">
        <v>20</v>
      </c>
      <c r="D14" s="494" t="s">
        <v>95</v>
      </c>
      <c r="E14" s="455" t="s">
        <v>95</v>
      </c>
      <c r="F14" s="457" t="s">
        <v>95</v>
      </c>
      <c r="G14" s="460" t="s">
        <v>95</v>
      </c>
      <c r="H14" s="455" t="s">
        <v>95</v>
      </c>
      <c r="I14" s="455" t="s">
        <v>95</v>
      </c>
      <c r="J14" s="455" t="s">
        <v>95</v>
      </c>
      <c r="K14" s="455" t="s">
        <v>95</v>
      </c>
      <c r="L14" s="462" t="s">
        <v>95</v>
      </c>
      <c r="M14" s="351">
        <v>966</v>
      </c>
      <c r="N14" s="481">
        <f t="shared" ref="N14:N22" si="1">(C13+C14-10)/2</f>
        <v>10</v>
      </c>
      <c r="O14" s="81">
        <f t="shared" si="0"/>
        <v>20</v>
      </c>
      <c r="P14" s="16">
        <f t="shared" ref="P14:P22" si="2">(A14-B14)/M14</f>
        <v>0</v>
      </c>
      <c r="Q14" s="75">
        <f t="shared" ref="Q14:Q22" si="3">(P14*(O14-N14))/100</f>
        <v>0</v>
      </c>
      <c r="R14" s="441">
        <f>SUM(Q$13:Q14)</f>
        <v>0</v>
      </c>
      <c r="S14" s="254">
        <f t="shared" ref="S14:S22" si="4">R14/O14*100</f>
        <v>0</v>
      </c>
      <c r="T14" s="470"/>
      <c r="U14" s="254"/>
      <c r="V14" s="254">
        <f t="shared" ref="V14:V22" si="5">U14*98.5</f>
        <v>0</v>
      </c>
      <c r="W14" s="254">
        <f t="shared" ref="W14:W77" si="6">(A15-(V14/0.9))/M14</f>
        <v>0</v>
      </c>
      <c r="X14" s="254"/>
      <c r="Y14" s="254"/>
      <c r="Z14" s="246"/>
      <c r="AA14" s="22" t="s">
        <v>41</v>
      </c>
      <c r="AB14" s="84"/>
      <c r="AC14" s="17"/>
    </row>
    <row r="15" spans="1:30" s="79" customFormat="1">
      <c r="A15" s="284"/>
      <c r="B15" s="91">
        <v>0</v>
      </c>
      <c r="C15" s="351">
        <v>30</v>
      </c>
      <c r="D15" s="494" t="s">
        <v>95</v>
      </c>
      <c r="E15" s="455" t="s">
        <v>95</v>
      </c>
      <c r="F15" s="457" t="s">
        <v>95</v>
      </c>
      <c r="G15" s="460" t="s">
        <v>95</v>
      </c>
      <c r="H15" s="455" t="s">
        <v>95</v>
      </c>
      <c r="I15" s="455" t="s">
        <v>95</v>
      </c>
      <c r="J15" s="455" t="s">
        <v>95</v>
      </c>
      <c r="K15" s="455" t="s">
        <v>95</v>
      </c>
      <c r="L15" s="462" t="s">
        <v>95</v>
      </c>
      <c r="M15" s="351">
        <v>966</v>
      </c>
      <c r="N15" s="481">
        <f t="shared" si="1"/>
        <v>20</v>
      </c>
      <c r="O15" s="81">
        <f t="shared" si="0"/>
        <v>30</v>
      </c>
      <c r="P15" s="16">
        <f t="shared" si="2"/>
        <v>0</v>
      </c>
      <c r="Q15" s="75">
        <f t="shared" si="3"/>
        <v>0</v>
      </c>
      <c r="R15" s="441">
        <f>SUM(Q$13:Q15)</f>
        <v>0</v>
      </c>
      <c r="S15" s="254">
        <f t="shared" si="4"/>
        <v>0</v>
      </c>
      <c r="T15" s="470"/>
      <c r="U15" s="254"/>
      <c r="V15" s="254">
        <f t="shared" si="5"/>
        <v>0</v>
      </c>
      <c r="W15" s="254">
        <f t="shared" si="6"/>
        <v>0</v>
      </c>
      <c r="X15" s="254"/>
      <c r="Y15" s="254"/>
      <c r="Z15" s="246"/>
      <c r="AA15" s="22" t="s">
        <v>41</v>
      </c>
      <c r="AB15" s="85"/>
      <c r="AC15" s="17"/>
    </row>
    <row r="16" spans="1:30" s="79" customFormat="1">
      <c r="A16" s="286"/>
      <c r="B16" s="91">
        <v>0</v>
      </c>
      <c r="C16" s="351">
        <v>40</v>
      </c>
      <c r="D16" s="494" t="s">
        <v>95</v>
      </c>
      <c r="E16" s="455" t="s">
        <v>95</v>
      </c>
      <c r="F16" s="457" t="s">
        <v>95</v>
      </c>
      <c r="G16" s="460" t="s">
        <v>95</v>
      </c>
      <c r="H16" s="455" t="s">
        <v>95</v>
      </c>
      <c r="I16" s="455" t="s">
        <v>95</v>
      </c>
      <c r="J16" s="455" t="s">
        <v>95</v>
      </c>
      <c r="K16" s="455" t="s">
        <v>95</v>
      </c>
      <c r="L16" s="462" t="s">
        <v>95</v>
      </c>
      <c r="M16" s="351">
        <v>966</v>
      </c>
      <c r="N16" s="481">
        <f t="shared" si="1"/>
        <v>30</v>
      </c>
      <c r="O16" s="81">
        <f t="shared" si="0"/>
        <v>40</v>
      </c>
      <c r="P16" s="16">
        <f t="shared" si="2"/>
        <v>0</v>
      </c>
      <c r="Q16" s="75">
        <f t="shared" si="3"/>
        <v>0</v>
      </c>
      <c r="R16" s="441">
        <f>SUM(Q$13:Q16)</f>
        <v>0</v>
      </c>
      <c r="S16" s="254">
        <f t="shared" si="4"/>
        <v>0</v>
      </c>
      <c r="T16" s="470"/>
      <c r="U16" s="254"/>
      <c r="V16" s="254">
        <f t="shared" si="5"/>
        <v>0</v>
      </c>
      <c r="W16" s="254">
        <f t="shared" si="6"/>
        <v>0</v>
      </c>
      <c r="X16" s="254"/>
      <c r="Y16" s="254"/>
      <c r="Z16" s="246"/>
      <c r="AA16" s="22" t="s">
        <v>41</v>
      </c>
      <c r="AB16" s="84"/>
      <c r="AC16" s="17"/>
    </row>
    <row r="17" spans="1:31" s="79" customFormat="1">
      <c r="A17" s="286"/>
      <c r="B17" s="91">
        <v>0</v>
      </c>
      <c r="C17" s="351">
        <v>50</v>
      </c>
      <c r="D17" s="494" t="s">
        <v>95</v>
      </c>
      <c r="E17" s="455" t="s">
        <v>95</v>
      </c>
      <c r="F17" s="457" t="s">
        <v>95</v>
      </c>
      <c r="G17" s="460" t="s">
        <v>95</v>
      </c>
      <c r="H17" s="455" t="s">
        <v>95</v>
      </c>
      <c r="I17" s="455" t="s">
        <v>95</v>
      </c>
      <c r="J17" s="455" t="s">
        <v>95</v>
      </c>
      <c r="K17" s="455" t="s">
        <v>95</v>
      </c>
      <c r="L17" s="462" t="s">
        <v>95</v>
      </c>
      <c r="M17" s="351">
        <v>966</v>
      </c>
      <c r="N17" s="481">
        <f t="shared" si="1"/>
        <v>40</v>
      </c>
      <c r="O17" s="81">
        <f t="shared" si="0"/>
        <v>50</v>
      </c>
      <c r="P17" s="16">
        <f t="shared" si="2"/>
        <v>0</v>
      </c>
      <c r="Q17" s="75">
        <f t="shared" si="3"/>
        <v>0</v>
      </c>
      <c r="R17" s="441">
        <f>SUM(Q$13:Q17)</f>
        <v>0</v>
      </c>
      <c r="S17" s="254">
        <f t="shared" si="4"/>
        <v>0</v>
      </c>
      <c r="T17" s="470"/>
      <c r="U17" s="254"/>
      <c r="V17" s="254">
        <f t="shared" si="5"/>
        <v>0</v>
      </c>
      <c r="W17" s="254">
        <f t="shared" si="6"/>
        <v>0</v>
      </c>
      <c r="X17" s="254"/>
      <c r="Y17" s="254"/>
      <c r="Z17" s="246" t="s">
        <v>47</v>
      </c>
      <c r="AA17" s="22" t="s">
        <v>41</v>
      </c>
      <c r="AB17" s="84"/>
      <c r="AC17" s="77"/>
    </row>
    <row r="18" spans="1:31" s="79" customFormat="1">
      <c r="A18" s="286"/>
      <c r="B18" s="91">
        <v>0</v>
      </c>
      <c r="C18" s="351">
        <v>60</v>
      </c>
      <c r="D18" s="494" t="s">
        <v>95</v>
      </c>
      <c r="E18" s="455" t="s">
        <v>95</v>
      </c>
      <c r="F18" s="457" t="s">
        <v>95</v>
      </c>
      <c r="G18" s="460" t="s">
        <v>95</v>
      </c>
      <c r="H18" s="455" t="s">
        <v>95</v>
      </c>
      <c r="I18" s="455" t="s">
        <v>95</v>
      </c>
      <c r="J18" s="455" t="s">
        <v>95</v>
      </c>
      <c r="K18" s="455" t="s">
        <v>95</v>
      </c>
      <c r="L18" s="462" t="s">
        <v>95</v>
      </c>
      <c r="M18" s="351">
        <v>966</v>
      </c>
      <c r="N18" s="481">
        <f t="shared" si="1"/>
        <v>50</v>
      </c>
      <c r="O18" s="81">
        <f t="shared" si="0"/>
        <v>60</v>
      </c>
      <c r="P18" s="16">
        <f t="shared" si="2"/>
        <v>0</v>
      </c>
      <c r="Q18" s="75">
        <f t="shared" si="3"/>
        <v>0</v>
      </c>
      <c r="R18" s="441">
        <f>SUM(Q$13:Q18)</f>
        <v>0</v>
      </c>
      <c r="S18" s="254">
        <f t="shared" si="4"/>
        <v>0</v>
      </c>
      <c r="T18" s="470"/>
      <c r="U18" s="254"/>
      <c r="V18" s="254">
        <f t="shared" si="5"/>
        <v>0</v>
      </c>
      <c r="W18" s="254">
        <f t="shared" si="6"/>
        <v>0</v>
      </c>
      <c r="X18" s="254"/>
      <c r="Y18" s="254"/>
      <c r="Z18" s="244"/>
      <c r="AA18" s="22" t="s">
        <v>41</v>
      </c>
      <c r="AB18" s="84"/>
      <c r="AC18" s="77"/>
    </row>
    <row r="19" spans="1:31" s="79" customFormat="1" ht="10.15" customHeight="1">
      <c r="A19" s="286"/>
      <c r="B19" s="91">
        <v>0</v>
      </c>
      <c r="C19" s="351">
        <v>70</v>
      </c>
      <c r="D19" s="494" t="s">
        <v>95</v>
      </c>
      <c r="E19" s="455" t="s">
        <v>95</v>
      </c>
      <c r="F19" s="457" t="s">
        <v>95</v>
      </c>
      <c r="G19" s="460" t="s">
        <v>95</v>
      </c>
      <c r="H19" s="455" t="s">
        <v>95</v>
      </c>
      <c r="I19" s="455" t="s">
        <v>95</v>
      </c>
      <c r="J19" s="455" t="s">
        <v>95</v>
      </c>
      <c r="K19" s="455" t="s">
        <v>95</v>
      </c>
      <c r="L19" s="462" t="s">
        <v>95</v>
      </c>
      <c r="M19" s="351">
        <v>966</v>
      </c>
      <c r="N19" s="481">
        <f t="shared" si="1"/>
        <v>60</v>
      </c>
      <c r="O19" s="81">
        <f t="shared" si="0"/>
        <v>70</v>
      </c>
      <c r="P19" s="16">
        <f t="shared" si="2"/>
        <v>0</v>
      </c>
      <c r="Q19" s="75">
        <f t="shared" si="3"/>
        <v>0</v>
      </c>
      <c r="R19" s="441">
        <f>SUM(Q$13:Q19)</f>
        <v>0</v>
      </c>
      <c r="S19" s="254">
        <f t="shared" si="4"/>
        <v>0</v>
      </c>
      <c r="T19" s="470"/>
      <c r="U19" s="254"/>
      <c r="V19" s="254">
        <f t="shared" si="5"/>
        <v>0</v>
      </c>
      <c r="W19" s="254">
        <f t="shared" si="6"/>
        <v>0</v>
      </c>
      <c r="X19" s="254"/>
      <c r="Y19" s="254"/>
      <c r="Z19" s="244"/>
      <c r="AA19" s="22" t="s">
        <v>41</v>
      </c>
      <c r="AB19" s="84"/>
      <c r="AC19" s="87"/>
    </row>
    <row r="20" spans="1:31" s="79" customFormat="1">
      <c r="A20" s="286"/>
      <c r="B20" s="91">
        <v>0</v>
      </c>
      <c r="C20" s="351">
        <v>80</v>
      </c>
      <c r="D20" s="494" t="s">
        <v>95</v>
      </c>
      <c r="E20" s="455" t="s">
        <v>95</v>
      </c>
      <c r="F20" s="457" t="s">
        <v>95</v>
      </c>
      <c r="G20" s="460" t="s">
        <v>95</v>
      </c>
      <c r="H20" s="455" t="s">
        <v>95</v>
      </c>
      <c r="I20" s="455" t="s">
        <v>95</v>
      </c>
      <c r="J20" s="455" t="s">
        <v>95</v>
      </c>
      <c r="K20" s="455" t="s">
        <v>95</v>
      </c>
      <c r="L20" s="462" t="s">
        <v>95</v>
      </c>
      <c r="M20" s="351">
        <v>966</v>
      </c>
      <c r="N20" s="481">
        <f t="shared" si="1"/>
        <v>70</v>
      </c>
      <c r="O20" s="81">
        <f t="shared" si="0"/>
        <v>80</v>
      </c>
      <c r="P20" s="16">
        <f t="shared" si="2"/>
        <v>0</v>
      </c>
      <c r="Q20" s="75">
        <f>(P20*(O21-N20))/100</f>
        <v>0</v>
      </c>
      <c r="R20" s="441">
        <f>SUM(Q$13:Q20)</f>
        <v>0</v>
      </c>
      <c r="S20" s="254">
        <f t="shared" si="4"/>
        <v>0</v>
      </c>
      <c r="T20" s="470"/>
      <c r="U20" s="254"/>
      <c r="V20" s="254">
        <f t="shared" si="5"/>
        <v>0</v>
      </c>
      <c r="W20" s="254">
        <f t="shared" si="6"/>
        <v>0</v>
      </c>
      <c r="X20" s="254"/>
      <c r="Y20" s="254"/>
      <c r="Z20" s="246"/>
      <c r="AA20" s="22" t="s">
        <v>41</v>
      </c>
      <c r="AB20" s="84"/>
      <c r="AC20" s="89"/>
    </row>
    <row r="21" spans="1:31" s="90" customFormat="1">
      <c r="A21" s="286"/>
      <c r="B21" s="91">
        <v>0</v>
      </c>
      <c r="C21" s="351">
        <v>90</v>
      </c>
      <c r="D21" s="494" t="s">
        <v>95</v>
      </c>
      <c r="E21" s="455" t="s">
        <v>95</v>
      </c>
      <c r="F21" s="457" t="s">
        <v>95</v>
      </c>
      <c r="G21" s="460" t="s">
        <v>95</v>
      </c>
      <c r="H21" s="455" t="s">
        <v>95</v>
      </c>
      <c r="I21" s="455" t="s">
        <v>95</v>
      </c>
      <c r="J21" s="455" t="s">
        <v>95</v>
      </c>
      <c r="K21" s="455" t="s">
        <v>95</v>
      </c>
      <c r="L21" s="462" t="s">
        <v>95</v>
      </c>
      <c r="M21" s="351">
        <v>966</v>
      </c>
      <c r="N21" s="481">
        <f t="shared" si="1"/>
        <v>80</v>
      </c>
      <c r="O21" s="81">
        <f t="shared" si="0"/>
        <v>90</v>
      </c>
      <c r="P21" s="16">
        <f t="shared" si="2"/>
        <v>0</v>
      </c>
      <c r="Q21" s="75">
        <f>(P21*(O22-N21))/100</f>
        <v>0</v>
      </c>
      <c r="R21" s="441">
        <f>SUM(Q$13:Q21)</f>
        <v>0</v>
      </c>
      <c r="S21" s="254">
        <f t="shared" si="4"/>
        <v>0</v>
      </c>
      <c r="T21" s="470"/>
      <c r="U21" s="254"/>
      <c r="V21" s="254">
        <f t="shared" si="5"/>
        <v>0</v>
      </c>
      <c r="W21" s="254">
        <f t="shared" si="6"/>
        <v>0</v>
      </c>
      <c r="X21" s="254"/>
      <c r="Y21" s="254"/>
      <c r="Z21" s="248"/>
      <c r="AA21" s="22" t="s">
        <v>41</v>
      </c>
      <c r="AB21" s="84"/>
      <c r="AC21" s="89"/>
    </row>
    <row r="22" spans="1:31" s="90" customFormat="1">
      <c r="A22" s="286"/>
      <c r="B22" s="91">
        <v>0</v>
      </c>
      <c r="C22" s="351">
        <v>100</v>
      </c>
      <c r="D22" s="494" t="s">
        <v>95</v>
      </c>
      <c r="E22" s="455" t="s">
        <v>95</v>
      </c>
      <c r="F22" s="457" t="s">
        <v>95</v>
      </c>
      <c r="G22" s="460" t="s">
        <v>95</v>
      </c>
      <c r="H22" s="455" t="s">
        <v>95</v>
      </c>
      <c r="I22" s="455" t="s">
        <v>95</v>
      </c>
      <c r="J22" s="455" t="s">
        <v>95</v>
      </c>
      <c r="K22" s="455" t="s">
        <v>95</v>
      </c>
      <c r="L22" s="462" t="s">
        <v>95</v>
      </c>
      <c r="M22" s="351">
        <v>966</v>
      </c>
      <c r="N22" s="481">
        <f t="shared" si="1"/>
        <v>90</v>
      </c>
      <c r="O22" s="81">
        <f>(C22+C25-10)/2</f>
        <v>105</v>
      </c>
      <c r="P22" s="16">
        <f t="shared" si="2"/>
        <v>0</v>
      </c>
      <c r="Q22" s="75">
        <f t="shared" si="3"/>
        <v>0</v>
      </c>
      <c r="R22" s="441">
        <f>SUM(Q$13:Q22)</f>
        <v>0</v>
      </c>
      <c r="S22" s="254">
        <f t="shared" si="4"/>
        <v>0</v>
      </c>
      <c r="T22" s="470"/>
      <c r="U22" s="254"/>
      <c r="V22" s="254">
        <f t="shared" si="5"/>
        <v>0</v>
      </c>
      <c r="W22" s="254">
        <f t="shared" si="6"/>
        <v>0</v>
      </c>
      <c r="X22" s="254"/>
      <c r="Y22" s="254"/>
      <c r="Z22" s="251"/>
      <c r="AA22" s="22" t="s">
        <v>41</v>
      </c>
      <c r="AB22" s="86"/>
      <c r="AC22" s="89"/>
    </row>
    <row r="23" spans="1:31" s="90" customFormat="1" ht="12" thickBot="1">
      <c r="A23" s="410"/>
      <c r="B23" s="411"/>
      <c r="C23" s="412"/>
      <c r="D23" s="495"/>
      <c r="E23" s="412"/>
      <c r="F23" s="458"/>
      <c r="G23" s="413"/>
      <c r="H23" s="412"/>
      <c r="I23" s="412"/>
      <c r="J23" s="412"/>
      <c r="K23" s="412"/>
      <c r="L23" s="414"/>
      <c r="M23" s="412"/>
      <c r="N23" s="482"/>
      <c r="O23" s="415"/>
      <c r="P23" s="416"/>
      <c r="Q23" s="442"/>
      <c r="R23" s="443"/>
      <c r="S23" s="417"/>
      <c r="T23" s="471"/>
      <c r="U23" s="417"/>
      <c r="V23" s="417"/>
      <c r="W23" s="417"/>
      <c r="X23" s="417"/>
      <c r="Y23" s="417"/>
      <c r="Z23" s="418"/>
      <c r="AA23" s="22" t="s">
        <v>41</v>
      </c>
      <c r="AB23" s="88"/>
      <c r="AC23" s="92"/>
    </row>
    <row r="24" spans="1:31" s="90" customFormat="1">
      <c r="A24" s="419" t="s">
        <v>90</v>
      </c>
      <c r="B24" s="91"/>
      <c r="C24" s="351"/>
      <c r="D24" s="496"/>
      <c r="E24" s="351"/>
      <c r="F24" s="394"/>
      <c r="G24" s="397"/>
      <c r="H24" s="351"/>
      <c r="I24" s="351"/>
      <c r="J24" s="351"/>
      <c r="K24" s="351"/>
      <c r="L24" s="402"/>
      <c r="M24" s="351"/>
      <c r="N24" s="481"/>
      <c r="O24" s="81"/>
      <c r="P24" s="16"/>
      <c r="Q24" s="75"/>
      <c r="R24" s="441"/>
      <c r="S24" s="254"/>
      <c r="T24" s="254"/>
      <c r="U24" s="254"/>
      <c r="V24" s="254"/>
      <c r="W24" s="254"/>
      <c r="X24" s="254"/>
      <c r="Y24" s="254"/>
      <c r="Z24" s="251"/>
      <c r="AA24" s="22" t="s">
        <v>41</v>
      </c>
      <c r="AB24" s="88"/>
      <c r="AC24" s="92"/>
    </row>
    <row r="25" spans="1:31" s="90" customFormat="1">
      <c r="A25" s="286"/>
      <c r="B25" s="91">
        <v>0</v>
      </c>
      <c r="C25" s="351">
        <v>120</v>
      </c>
      <c r="D25" s="497">
        <v>20</v>
      </c>
      <c r="E25" s="425"/>
      <c r="F25" s="498"/>
      <c r="G25" s="427">
        <f>AVERAGE(D25:F25)</f>
        <v>20</v>
      </c>
      <c r="H25" s="425">
        <v>7.2</v>
      </c>
      <c r="I25" s="425"/>
      <c r="J25" s="425"/>
      <c r="K25" s="425"/>
      <c r="L25" s="426">
        <f>AVERAGE(H25:K25)</f>
        <v>7.2</v>
      </c>
      <c r="M25" s="351">
        <f>G25*    PI()* (L25/2)^2</f>
        <v>814.30081581047443</v>
      </c>
      <c r="N25" s="481">
        <f>(C22+C25-10)/2</f>
        <v>105</v>
      </c>
      <c r="O25" s="81" t="e">
        <f>(C25+C26-G26)/2</f>
        <v>#DIV/0!</v>
      </c>
      <c r="P25" s="16">
        <f>(A25-B25)/M25</f>
        <v>0</v>
      </c>
      <c r="Q25" s="75" t="e">
        <f>(P25*(O25-N25))/100</f>
        <v>#DIV/0!</v>
      </c>
      <c r="R25" s="441" t="e">
        <f>SUM(Q$13:Q25)</f>
        <v>#DIV/0!</v>
      </c>
      <c r="S25" s="254" t="e">
        <f>R25/O25*100</f>
        <v>#DIV/0!</v>
      </c>
      <c r="T25" s="254"/>
      <c r="U25" s="254"/>
      <c r="V25" s="254">
        <f>U25*    PI()* (L25/2)^2</f>
        <v>0</v>
      </c>
      <c r="W25" s="254">
        <f t="shared" si="6"/>
        <v>0</v>
      </c>
      <c r="X25" s="254"/>
      <c r="Y25" s="254"/>
      <c r="Z25" s="251"/>
      <c r="AA25" s="22" t="s">
        <v>41</v>
      </c>
      <c r="AB25" s="88"/>
      <c r="AC25" s="92"/>
    </row>
    <row r="26" spans="1:31" s="90" customFormat="1">
      <c r="A26" s="286"/>
      <c r="B26" s="91">
        <v>0</v>
      </c>
      <c r="C26" s="351">
        <v>140</v>
      </c>
      <c r="D26" s="497"/>
      <c r="E26" s="425"/>
      <c r="F26" s="498"/>
      <c r="G26" s="427" t="e">
        <f>AVERAGE(D26:F26)</f>
        <v>#DIV/0!</v>
      </c>
      <c r="H26" s="425"/>
      <c r="I26" s="425"/>
      <c r="J26" s="425"/>
      <c r="K26" s="425"/>
      <c r="L26" s="426" t="e">
        <f>AVERAGE(H26:K26)</f>
        <v>#DIV/0!</v>
      </c>
      <c r="M26" s="351" t="e">
        <f>G26*    PI()* (L26/2)^2</f>
        <v>#DIV/0!</v>
      </c>
      <c r="N26" s="481" t="e">
        <f>(C25+C26-G26)/2</f>
        <v>#DIV/0!</v>
      </c>
      <c r="O26" s="81" t="e">
        <f>(C26+C27-G27)/2</f>
        <v>#DIV/0!</v>
      </c>
      <c r="P26" s="16" t="e">
        <f>(A26-B26)/M26</f>
        <v>#DIV/0!</v>
      </c>
      <c r="Q26" s="75" t="e">
        <f>(P26*(O26-N26))/100</f>
        <v>#DIV/0!</v>
      </c>
      <c r="R26" s="441" t="e">
        <f>SUM(Q$13:Q26)</f>
        <v>#DIV/0!</v>
      </c>
      <c r="S26" s="254" t="e">
        <f>R26/O26*100</f>
        <v>#DIV/0!</v>
      </c>
      <c r="T26" s="254"/>
      <c r="U26" s="254"/>
      <c r="V26" s="254" t="e">
        <f t="shared" ref="V26:V80" si="7">U26*    PI()* (L26/2)^2</f>
        <v>#DIV/0!</v>
      </c>
      <c r="W26" s="254" t="e">
        <f t="shared" si="6"/>
        <v>#DIV/0!</v>
      </c>
      <c r="X26" s="254"/>
      <c r="Y26" s="254"/>
      <c r="Z26" s="251"/>
      <c r="AA26" s="22" t="s">
        <v>41</v>
      </c>
      <c r="AB26" s="84"/>
      <c r="AC26" s="92"/>
    </row>
    <row r="27" spans="1:31" s="90" customFormat="1">
      <c r="A27" s="286"/>
      <c r="B27" s="91">
        <v>0</v>
      </c>
      <c r="C27" s="351">
        <v>160</v>
      </c>
      <c r="D27" s="497"/>
      <c r="E27" s="425"/>
      <c r="F27" s="498"/>
      <c r="G27" s="427" t="e">
        <f>AVERAGE(D27:F27)</f>
        <v>#DIV/0!</v>
      </c>
      <c r="H27" s="425"/>
      <c r="I27" s="425"/>
      <c r="J27" s="425"/>
      <c r="K27" s="425"/>
      <c r="L27" s="426" t="e">
        <f>AVERAGE(H27:K27)</f>
        <v>#DIV/0!</v>
      </c>
      <c r="M27" s="351" t="e">
        <f>G27*    PI()* (L27/2)^2</f>
        <v>#DIV/0!</v>
      </c>
      <c r="N27" s="481" t="e">
        <f>(C26+C27-G27)/2</f>
        <v>#DIV/0!</v>
      </c>
      <c r="O27" s="81" t="e">
        <f>(C27+C54-G54)/2</f>
        <v>#DIV/0!</v>
      </c>
      <c r="P27" s="16" t="e">
        <f>(A27-B27)/M27</f>
        <v>#DIV/0!</v>
      </c>
      <c r="Q27" s="75" t="e">
        <f>(P27*(O27-N27))/100</f>
        <v>#DIV/0!</v>
      </c>
      <c r="R27" s="441" t="e">
        <f>SUM(Q$13:Q27)</f>
        <v>#DIV/0!</v>
      </c>
      <c r="S27" s="254" t="e">
        <f>R27/O27*100</f>
        <v>#DIV/0!</v>
      </c>
      <c r="T27" s="254"/>
      <c r="U27" s="254"/>
      <c r="V27" s="254" t="e">
        <f t="shared" si="7"/>
        <v>#DIV/0!</v>
      </c>
      <c r="W27" s="254" t="e">
        <f t="shared" si="6"/>
        <v>#DIV/0!</v>
      </c>
      <c r="X27" s="254"/>
      <c r="Y27" s="254"/>
      <c r="Z27" s="251"/>
      <c r="AA27" s="22" t="s">
        <v>41</v>
      </c>
      <c r="AB27" s="84"/>
      <c r="AC27" s="92"/>
    </row>
    <row r="28" spans="1:31" s="90" customFormat="1">
      <c r="A28" s="286"/>
      <c r="B28" s="91">
        <v>0</v>
      </c>
      <c r="C28" s="351">
        <v>180</v>
      </c>
      <c r="D28" s="497"/>
      <c r="E28" s="425"/>
      <c r="F28" s="498"/>
      <c r="G28" s="427" t="e">
        <f t="shared" ref="G28:G55" si="8">AVERAGE(D28:F28)</f>
        <v>#DIV/0!</v>
      </c>
      <c r="H28" s="425"/>
      <c r="I28" s="425"/>
      <c r="J28" s="425"/>
      <c r="K28" s="425"/>
      <c r="L28" s="426" t="e">
        <f t="shared" ref="L28:L55" si="9">AVERAGE(H28:K28)</f>
        <v>#DIV/0!</v>
      </c>
      <c r="M28" s="351" t="e">
        <f t="shared" ref="M28:M55" si="10">G28*    PI()* (L28/2)^2</f>
        <v>#DIV/0!</v>
      </c>
      <c r="N28" s="481" t="e">
        <f t="shared" ref="N28:N55" si="11">(C27+C28-G28)/2</f>
        <v>#DIV/0!</v>
      </c>
      <c r="O28" s="81" t="e">
        <f t="shared" ref="O28:O54" si="12">(C28+C55-G55)/2</f>
        <v>#DIV/0!</v>
      </c>
      <c r="P28" s="16" t="e">
        <f t="shared" ref="P28:P55" si="13">(A28-B28)/M28</f>
        <v>#DIV/0!</v>
      </c>
      <c r="Q28" s="75" t="e">
        <f t="shared" ref="Q28:Q55" si="14">(P28*(O28-N28))/100</f>
        <v>#DIV/0!</v>
      </c>
      <c r="R28" s="441" t="e">
        <f>SUM(Q$13:Q28)</f>
        <v>#DIV/0!</v>
      </c>
      <c r="S28" s="254" t="e">
        <f t="shared" ref="S28:S55" si="15">R28/O28*100</f>
        <v>#DIV/0!</v>
      </c>
      <c r="T28" s="254"/>
      <c r="U28" s="254"/>
      <c r="V28" s="254" t="e">
        <f t="shared" si="7"/>
        <v>#DIV/0!</v>
      </c>
      <c r="W28" s="254" t="e">
        <f t="shared" si="6"/>
        <v>#DIV/0!</v>
      </c>
      <c r="X28" s="254"/>
      <c r="Y28" s="254"/>
      <c r="Z28" s="251"/>
      <c r="AA28" s="22" t="s">
        <v>41</v>
      </c>
      <c r="AB28" s="84"/>
      <c r="AC28" s="92"/>
    </row>
    <row r="29" spans="1:31">
      <c r="A29" s="286"/>
      <c r="B29" s="91">
        <v>0</v>
      </c>
      <c r="C29" s="351">
        <v>200</v>
      </c>
      <c r="D29" s="497"/>
      <c r="E29" s="425"/>
      <c r="F29" s="498"/>
      <c r="G29" s="427" t="e">
        <f t="shared" si="8"/>
        <v>#DIV/0!</v>
      </c>
      <c r="H29" s="425"/>
      <c r="I29" s="425"/>
      <c r="J29" s="425"/>
      <c r="K29" s="425"/>
      <c r="L29" s="426" t="e">
        <f t="shared" si="9"/>
        <v>#DIV/0!</v>
      </c>
      <c r="M29" s="351" t="e">
        <f t="shared" si="10"/>
        <v>#DIV/0!</v>
      </c>
      <c r="N29" s="481" t="e">
        <f t="shared" si="11"/>
        <v>#DIV/0!</v>
      </c>
      <c r="O29" s="81" t="e">
        <f t="shared" si="12"/>
        <v>#DIV/0!</v>
      </c>
      <c r="P29" s="16" t="e">
        <f t="shared" si="13"/>
        <v>#DIV/0!</v>
      </c>
      <c r="Q29" s="75" t="e">
        <f t="shared" si="14"/>
        <v>#DIV/0!</v>
      </c>
      <c r="R29" s="441" t="e">
        <f>SUM(Q$13:Q29)</f>
        <v>#DIV/0!</v>
      </c>
      <c r="S29" s="254" t="e">
        <f t="shared" si="15"/>
        <v>#DIV/0!</v>
      </c>
      <c r="T29" s="254"/>
      <c r="U29" s="254"/>
      <c r="V29" s="254" t="e">
        <f t="shared" si="7"/>
        <v>#DIV/0!</v>
      </c>
      <c r="W29" s="254" t="e">
        <f t="shared" si="6"/>
        <v>#DIV/0!</v>
      </c>
      <c r="X29" s="254"/>
      <c r="Y29" s="254"/>
      <c r="Z29" s="251"/>
      <c r="AA29" s="22" t="s">
        <v>41</v>
      </c>
      <c r="AB29" s="84"/>
      <c r="AC29" s="92"/>
      <c r="AD29" s="90"/>
      <c r="AE29" s="90"/>
    </row>
    <row r="30" spans="1:31">
      <c r="A30" s="286"/>
      <c r="B30" s="91">
        <v>0</v>
      </c>
      <c r="C30" s="351">
        <v>220</v>
      </c>
      <c r="D30" s="497"/>
      <c r="E30" s="425"/>
      <c r="F30" s="498"/>
      <c r="G30" s="427" t="e">
        <f t="shared" si="8"/>
        <v>#DIV/0!</v>
      </c>
      <c r="H30" s="425"/>
      <c r="I30" s="425"/>
      <c r="J30" s="425"/>
      <c r="K30" s="425"/>
      <c r="L30" s="426" t="e">
        <f t="shared" si="9"/>
        <v>#DIV/0!</v>
      </c>
      <c r="M30" s="351" t="e">
        <f t="shared" si="10"/>
        <v>#DIV/0!</v>
      </c>
      <c r="N30" s="481" t="e">
        <f t="shared" si="11"/>
        <v>#DIV/0!</v>
      </c>
      <c r="O30" s="81" t="e">
        <f t="shared" si="12"/>
        <v>#DIV/0!</v>
      </c>
      <c r="P30" s="16" t="e">
        <f t="shared" si="13"/>
        <v>#DIV/0!</v>
      </c>
      <c r="Q30" s="75" t="e">
        <f t="shared" si="14"/>
        <v>#DIV/0!</v>
      </c>
      <c r="R30" s="441" t="e">
        <f>SUM(Q$13:Q30)</f>
        <v>#DIV/0!</v>
      </c>
      <c r="S30" s="254" t="e">
        <f t="shared" si="15"/>
        <v>#DIV/0!</v>
      </c>
      <c r="T30" s="254"/>
      <c r="U30" s="254"/>
      <c r="V30" s="254" t="e">
        <f t="shared" si="7"/>
        <v>#DIV/0!</v>
      </c>
      <c r="W30" s="254" t="e">
        <f t="shared" si="6"/>
        <v>#DIV/0!</v>
      </c>
      <c r="X30" s="254"/>
      <c r="Y30" s="254"/>
      <c r="Z30" s="251"/>
      <c r="AA30" s="22" t="s">
        <v>41</v>
      </c>
      <c r="AB30" s="84"/>
      <c r="AC30" s="92"/>
      <c r="AD30" s="90"/>
      <c r="AE30" s="90"/>
    </row>
    <row r="31" spans="1:31">
      <c r="A31" s="286"/>
      <c r="B31" s="91">
        <v>0</v>
      </c>
      <c r="C31" s="351">
        <v>240</v>
      </c>
      <c r="D31" s="497"/>
      <c r="E31" s="425"/>
      <c r="F31" s="498"/>
      <c r="G31" s="427" t="e">
        <f t="shared" si="8"/>
        <v>#DIV/0!</v>
      </c>
      <c r="H31" s="425"/>
      <c r="I31" s="425"/>
      <c r="J31" s="425"/>
      <c r="K31" s="425"/>
      <c r="L31" s="426" t="e">
        <f t="shared" si="9"/>
        <v>#DIV/0!</v>
      </c>
      <c r="M31" s="351" t="e">
        <f t="shared" si="10"/>
        <v>#DIV/0!</v>
      </c>
      <c r="N31" s="481" t="e">
        <f t="shared" si="11"/>
        <v>#DIV/0!</v>
      </c>
      <c r="O31" s="81" t="e">
        <f t="shared" si="12"/>
        <v>#DIV/0!</v>
      </c>
      <c r="P31" s="16" t="e">
        <f t="shared" si="13"/>
        <v>#DIV/0!</v>
      </c>
      <c r="Q31" s="75" t="e">
        <f t="shared" si="14"/>
        <v>#DIV/0!</v>
      </c>
      <c r="R31" s="441" t="e">
        <f>SUM(Q$13:Q31)</f>
        <v>#DIV/0!</v>
      </c>
      <c r="S31" s="254" t="e">
        <f t="shared" si="15"/>
        <v>#DIV/0!</v>
      </c>
      <c r="T31" s="254"/>
      <c r="U31" s="254"/>
      <c r="V31" s="254" t="e">
        <f t="shared" si="7"/>
        <v>#DIV/0!</v>
      </c>
      <c r="W31" s="254" t="e">
        <f t="shared" si="6"/>
        <v>#DIV/0!</v>
      </c>
      <c r="X31" s="254"/>
      <c r="Y31" s="254"/>
      <c r="Z31" s="251"/>
      <c r="AA31" s="22" t="s">
        <v>41</v>
      </c>
      <c r="AB31" s="84"/>
      <c r="AC31" s="92"/>
      <c r="AD31" s="90"/>
      <c r="AE31" s="90"/>
    </row>
    <row r="32" spans="1:31">
      <c r="A32" s="286"/>
      <c r="B32" s="91">
        <v>0</v>
      </c>
      <c r="C32" s="351">
        <v>260</v>
      </c>
      <c r="D32" s="497"/>
      <c r="E32" s="425"/>
      <c r="F32" s="498"/>
      <c r="G32" s="427" t="e">
        <f t="shared" si="8"/>
        <v>#DIV/0!</v>
      </c>
      <c r="H32" s="425"/>
      <c r="I32" s="425"/>
      <c r="J32" s="425"/>
      <c r="K32" s="425"/>
      <c r="L32" s="426" t="e">
        <f t="shared" si="9"/>
        <v>#DIV/0!</v>
      </c>
      <c r="M32" s="351" t="e">
        <f t="shared" si="10"/>
        <v>#DIV/0!</v>
      </c>
      <c r="N32" s="481" t="e">
        <f t="shared" si="11"/>
        <v>#DIV/0!</v>
      </c>
      <c r="O32" s="81" t="e">
        <f t="shared" si="12"/>
        <v>#DIV/0!</v>
      </c>
      <c r="P32" s="16" t="e">
        <f t="shared" si="13"/>
        <v>#DIV/0!</v>
      </c>
      <c r="Q32" s="75" t="e">
        <f t="shared" si="14"/>
        <v>#DIV/0!</v>
      </c>
      <c r="R32" s="441" t="e">
        <f>SUM(Q$13:Q32)</f>
        <v>#DIV/0!</v>
      </c>
      <c r="S32" s="254" t="e">
        <f t="shared" si="15"/>
        <v>#DIV/0!</v>
      </c>
      <c r="T32" s="254"/>
      <c r="U32" s="254"/>
      <c r="V32" s="254" t="e">
        <f t="shared" si="7"/>
        <v>#DIV/0!</v>
      </c>
      <c r="W32" s="254" t="e">
        <f t="shared" si="6"/>
        <v>#DIV/0!</v>
      </c>
      <c r="X32" s="254"/>
      <c r="Y32" s="254"/>
      <c r="Z32" s="251"/>
      <c r="AA32" s="22" t="s">
        <v>41</v>
      </c>
      <c r="AB32" s="84"/>
      <c r="AC32" s="92"/>
      <c r="AD32" s="90"/>
      <c r="AE32" s="90"/>
    </row>
    <row r="33" spans="1:32">
      <c r="A33" s="286"/>
      <c r="B33" s="91">
        <v>0</v>
      </c>
      <c r="C33" s="351">
        <v>280</v>
      </c>
      <c r="D33" s="497"/>
      <c r="E33" s="425"/>
      <c r="F33" s="498"/>
      <c r="G33" s="427" t="e">
        <f t="shared" si="8"/>
        <v>#DIV/0!</v>
      </c>
      <c r="H33" s="425"/>
      <c r="I33" s="425"/>
      <c r="J33" s="425"/>
      <c r="K33" s="425"/>
      <c r="L33" s="426" t="e">
        <f t="shared" si="9"/>
        <v>#DIV/0!</v>
      </c>
      <c r="M33" s="351" t="e">
        <f t="shared" si="10"/>
        <v>#DIV/0!</v>
      </c>
      <c r="N33" s="481" t="e">
        <f t="shared" si="11"/>
        <v>#DIV/0!</v>
      </c>
      <c r="O33" s="81" t="e">
        <f t="shared" si="12"/>
        <v>#DIV/0!</v>
      </c>
      <c r="P33" s="16" t="e">
        <f t="shared" si="13"/>
        <v>#DIV/0!</v>
      </c>
      <c r="Q33" s="75" t="e">
        <f t="shared" si="14"/>
        <v>#DIV/0!</v>
      </c>
      <c r="R33" s="441" t="e">
        <f>SUM(Q$13:Q33)</f>
        <v>#DIV/0!</v>
      </c>
      <c r="S33" s="254" t="e">
        <f t="shared" si="15"/>
        <v>#DIV/0!</v>
      </c>
      <c r="T33" s="254"/>
      <c r="U33" s="254"/>
      <c r="V33" s="254" t="e">
        <f t="shared" si="7"/>
        <v>#DIV/0!</v>
      </c>
      <c r="W33" s="254" t="e">
        <f t="shared" si="6"/>
        <v>#DIV/0!</v>
      </c>
      <c r="X33" s="254"/>
      <c r="Y33" s="254"/>
      <c r="Z33" s="251"/>
      <c r="AA33" s="22" t="s">
        <v>41</v>
      </c>
      <c r="AB33" s="84"/>
      <c r="AC33" s="92"/>
      <c r="AD33" s="90"/>
      <c r="AE33" s="90"/>
    </row>
    <row r="34" spans="1:32">
      <c r="A34" s="286"/>
      <c r="B34" s="91">
        <v>0</v>
      </c>
      <c r="C34" s="351">
        <v>300</v>
      </c>
      <c r="D34" s="497"/>
      <c r="E34" s="425"/>
      <c r="F34" s="498"/>
      <c r="G34" s="427" t="e">
        <f t="shared" si="8"/>
        <v>#DIV/0!</v>
      </c>
      <c r="H34" s="425"/>
      <c r="I34" s="425"/>
      <c r="J34" s="425"/>
      <c r="K34" s="425"/>
      <c r="L34" s="426" t="e">
        <f t="shared" si="9"/>
        <v>#DIV/0!</v>
      </c>
      <c r="M34" s="351" t="e">
        <f t="shared" si="10"/>
        <v>#DIV/0!</v>
      </c>
      <c r="N34" s="481" t="e">
        <f t="shared" si="11"/>
        <v>#DIV/0!</v>
      </c>
      <c r="O34" s="81" t="e">
        <f t="shared" si="12"/>
        <v>#DIV/0!</v>
      </c>
      <c r="P34" s="16" t="e">
        <f t="shared" si="13"/>
        <v>#DIV/0!</v>
      </c>
      <c r="Q34" s="75" t="e">
        <f t="shared" si="14"/>
        <v>#DIV/0!</v>
      </c>
      <c r="R34" s="441" t="e">
        <f>SUM(Q$13:Q34)</f>
        <v>#DIV/0!</v>
      </c>
      <c r="S34" s="254" t="e">
        <f t="shared" si="15"/>
        <v>#DIV/0!</v>
      </c>
      <c r="T34" s="254"/>
      <c r="U34" s="254"/>
      <c r="V34" s="254" t="e">
        <f t="shared" si="7"/>
        <v>#DIV/0!</v>
      </c>
      <c r="W34" s="254" t="e">
        <f t="shared" si="6"/>
        <v>#DIV/0!</v>
      </c>
      <c r="X34" s="254"/>
      <c r="Y34" s="254"/>
      <c r="Z34" s="251"/>
      <c r="AA34" s="22"/>
      <c r="AB34" s="84"/>
      <c r="AC34" s="94"/>
    </row>
    <row r="35" spans="1:32">
      <c r="A35" s="286"/>
      <c r="B35" s="91">
        <v>0</v>
      </c>
      <c r="C35" s="351">
        <v>320</v>
      </c>
      <c r="D35" s="497"/>
      <c r="E35" s="425"/>
      <c r="F35" s="498"/>
      <c r="G35" s="427" t="e">
        <f t="shared" si="8"/>
        <v>#DIV/0!</v>
      </c>
      <c r="H35" s="425"/>
      <c r="I35" s="425"/>
      <c r="J35" s="425"/>
      <c r="K35" s="425"/>
      <c r="L35" s="426" t="e">
        <f t="shared" si="9"/>
        <v>#DIV/0!</v>
      </c>
      <c r="M35" s="351" t="e">
        <f t="shared" si="10"/>
        <v>#DIV/0!</v>
      </c>
      <c r="N35" s="481" t="e">
        <f t="shared" si="11"/>
        <v>#DIV/0!</v>
      </c>
      <c r="O35" s="81" t="e">
        <f t="shared" si="12"/>
        <v>#DIV/0!</v>
      </c>
      <c r="P35" s="16" t="e">
        <f t="shared" si="13"/>
        <v>#DIV/0!</v>
      </c>
      <c r="Q35" s="75" t="e">
        <f t="shared" si="14"/>
        <v>#DIV/0!</v>
      </c>
      <c r="R35" s="441" t="e">
        <f>SUM(Q$13:Q35)</f>
        <v>#DIV/0!</v>
      </c>
      <c r="S35" s="254" t="e">
        <f t="shared" si="15"/>
        <v>#DIV/0!</v>
      </c>
      <c r="T35" s="254"/>
      <c r="U35" s="254"/>
      <c r="V35" s="254" t="e">
        <f t="shared" si="7"/>
        <v>#DIV/0!</v>
      </c>
      <c r="W35" s="254" t="e">
        <f t="shared" si="6"/>
        <v>#DIV/0!</v>
      </c>
      <c r="X35" s="254"/>
      <c r="Y35" s="254"/>
      <c r="Z35" s="251"/>
      <c r="AA35" s="22"/>
      <c r="AB35" s="84"/>
      <c r="AC35" s="238"/>
      <c r="AD35" s="97"/>
      <c r="AE35" s="239"/>
      <c r="AF35" s="97"/>
    </row>
    <row r="36" spans="1:32">
      <c r="A36" s="286"/>
      <c r="B36" s="91">
        <v>0</v>
      </c>
      <c r="C36" s="351">
        <v>340</v>
      </c>
      <c r="D36" s="497"/>
      <c r="E36" s="425"/>
      <c r="F36" s="498"/>
      <c r="G36" s="427" t="e">
        <f t="shared" si="8"/>
        <v>#DIV/0!</v>
      </c>
      <c r="H36" s="425"/>
      <c r="I36" s="425"/>
      <c r="J36" s="425"/>
      <c r="K36" s="425"/>
      <c r="L36" s="426" t="e">
        <f t="shared" si="9"/>
        <v>#DIV/0!</v>
      </c>
      <c r="M36" s="351" t="e">
        <f t="shared" si="10"/>
        <v>#DIV/0!</v>
      </c>
      <c r="N36" s="481" t="e">
        <f t="shared" si="11"/>
        <v>#DIV/0!</v>
      </c>
      <c r="O36" s="81" t="e">
        <f t="shared" si="12"/>
        <v>#DIV/0!</v>
      </c>
      <c r="P36" s="16" t="e">
        <f t="shared" si="13"/>
        <v>#DIV/0!</v>
      </c>
      <c r="Q36" s="75" t="e">
        <f t="shared" si="14"/>
        <v>#DIV/0!</v>
      </c>
      <c r="R36" s="441" t="e">
        <f>SUM(Q$13:Q36)</f>
        <v>#DIV/0!</v>
      </c>
      <c r="S36" s="254" t="e">
        <f t="shared" si="15"/>
        <v>#DIV/0!</v>
      </c>
      <c r="T36" s="254"/>
      <c r="U36" s="254"/>
      <c r="V36" s="254" t="e">
        <f t="shared" si="7"/>
        <v>#DIV/0!</v>
      </c>
      <c r="W36" s="254" t="e">
        <f t="shared" si="6"/>
        <v>#DIV/0!</v>
      </c>
      <c r="X36" s="254"/>
      <c r="Y36" s="254"/>
      <c r="Z36" s="251"/>
      <c r="AA36" s="22"/>
      <c r="AB36" s="84"/>
      <c r="AC36" s="238"/>
      <c r="AD36" s="97"/>
      <c r="AE36" s="240"/>
      <c r="AF36" s="97"/>
    </row>
    <row r="37" spans="1:32">
      <c r="A37" s="286"/>
      <c r="B37" s="91">
        <v>0</v>
      </c>
      <c r="C37" s="351">
        <v>360</v>
      </c>
      <c r="D37" s="497"/>
      <c r="E37" s="425"/>
      <c r="F37" s="498"/>
      <c r="G37" s="427" t="e">
        <f t="shared" si="8"/>
        <v>#DIV/0!</v>
      </c>
      <c r="H37" s="425"/>
      <c r="I37" s="425"/>
      <c r="J37" s="425"/>
      <c r="K37" s="425"/>
      <c r="L37" s="426" t="e">
        <f t="shared" si="9"/>
        <v>#DIV/0!</v>
      </c>
      <c r="M37" s="351" t="e">
        <f t="shared" si="10"/>
        <v>#DIV/0!</v>
      </c>
      <c r="N37" s="481" t="e">
        <f t="shared" si="11"/>
        <v>#DIV/0!</v>
      </c>
      <c r="O37" s="81" t="e">
        <f t="shared" si="12"/>
        <v>#DIV/0!</v>
      </c>
      <c r="P37" s="16" t="e">
        <f t="shared" si="13"/>
        <v>#DIV/0!</v>
      </c>
      <c r="Q37" s="75" t="e">
        <f t="shared" si="14"/>
        <v>#DIV/0!</v>
      </c>
      <c r="R37" s="441" t="e">
        <f>SUM(Q$13:Q37)</f>
        <v>#DIV/0!</v>
      </c>
      <c r="S37" s="254" t="e">
        <f t="shared" si="15"/>
        <v>#DIV/0!</v>
      </c>
      <c r="T37" s="254"/>
      <c r="U37" s="254"/>
      <c r="V37" s="254" t="e">
        <f t="shared" si="7"/>
        <v>#DIV/0!</v>
      </c>
      <c r="W37" s="254" t="e">
        <f t="shared" si="6"/>
        <v>#DIV/0!</v>
      </c>
      <c r="X37" s="254"/>
      <c r="Y37" s="254"/>
      <c r="Z37" s="251"/>
      <c r="AA37" s="22"/>
      <c r="AB37" s="84"/>
      <c r="AC37" s="241"/>
      <c r="AD37" s="97"/>
      <c r="AE37" s="97"/>
      <c r="AF37" s="97"/>
    </row>
    <row r="38" spans="1:32">
      <c r="A38" s="286"/>
      <c r="B38" s="91">
        <v>0</v>
      </c>
      <c r="C38" s="351">
        <v>380</v>
      </c>
      <c r="D38" s="497"/>
      <c r="E38" s="425"/>
      <c r="F38" s="498"/>
      <c r="G38" s="427" t="e">
        <f t="shared" si="8"/>
        <v>#DIV/0!</v>
      </c>
      <c r="H38" s="425"/>
      <c r="I38" s="425"/>
      <c r="J38" s="425"/>
      <c r="K38" s="425"/>
      <c r="L38" s="426" t="e">
        <f t="shared" si="9"/>
        <v>#DIV/0!</v>
      </c>
      <c r="M38" s="351" t="e">
        <f t="shared" si="10"/>
        <v>#DIV/0!</v>
      </c>
      <c r="N38" s="481" t="e">
        <f t="shared" si="11"/>
        <v>#DIV/0!</v>
      </c>
      <c r="O38" s="81" t="e">
        <f t="shared" si="12"/>
        <v>#DIV/0!</v>
      </c>
      <c r="P38" s="16" t="e">
        <f t="shared" si="13"/>
        <v>#DIV/0!</v>
      </c>
      <c r="Q38" s="75" t="e">
        <f t="shared" si="14"/>
        <v>#DIV/0!</v>
      </c>
      <c r="R38" s="441" t="e">
        <f>SUM(Q$13:Q38)</f>
        <v>#DIV/0!</v>
      </c>
      <c r="S38" s="254" t="e">
        <f t="shared" si="15"/>
        <v>#DIV/0!</v>
      </c>
      <c r="T38" s="254"/>
      <c r="U38" s="254"/>
      <c r="V38" s="254" t="e">
        <f t="shared" si="7"/>
        <v>#DIV/0!</v>
      </c>
      <c r="W38" s="254" t="e">
        <f t="shared" si="6"/>
        <v>#DIV/0!</v>
      </c>
      <c r="X38" s="254"/>
      <c r="Y38" s="254"/>
      <c r="Z38" s="251"/>
      <c r="AA38" s="22"/>
      <c r="AB38" s="84"/>
      <c r="AC38" s="98"/>
      <c r="AD38" s="99"/>
    </row>
    <row r="39" spans="1:32">
      <c r="A39" s="286"/>
      <c r="B39" s="91">
        <v>0</v>
      </c>
      <c r="C39" s="351">
        <v>400</v>
      </c>
      <c r="D39" s="497"/>
      <c r="E39" s="425"/>
      <c r="F39" s="498"/>
      <c r="G39" s="427" t="e">
        <f t="shared" si="8"/>
        <v>#DIV/0!</v>
      </c>
      <c r="H39" s="425"/>
      <c r="I39" s="425"/>
      <c r="J39" s="425"/>
      <c r="K39" s="425"/>
      <c r="L39" s="426" t="e">
        <f t="shared" si="9"/>
        <v>#DIV/0!</v>
      </c>
      <c r="M39" s="351" t="e">
        <f t="shared" si="10"/>
        <v>#DIV/0!</v>
      </c>
      <c r="N39" s="481" t="e">
        <f t="shared" si="11"/>
        <v>#DIV/0!</v>
      </c>
      <c r="O39" s="81" t="e">
        <f t="shared" si="12"/>
        <v>#DIV/0!</v>
      </c>
      <c r="P39" s="16" t="e">
        <f t="shared" si="13"/>
        <v>#DIV/0!</v>
      </c>
      <c r="Q39" s="75" t="e">
        <f t="shared" si="14"/>
        <v>#DIV/0!</v>
      </c>
      <c r="R39" s="441" t="e">
        <f>SUM(Q$13:Q39)</f>
        <v>#DIV/0!</v>
      </c>
      <c r="S39" s="254" t="e">
        <f t="shared" si="15"/>
        <v>#DIV/0!</v>
      </c>
      <c r="T39" s="254"/>
      <c r="U39" s="254"/>
      <c r="V39" s="254" t="e">
        <f t="shared" si="7"/>
        <v>#DIV/0!</v>
      </c>
      <c r="W39" s="254" t="e">
        <f t="shared" si="6"/>
        <v>#DIV/0!</v>
      </c>
      <c r="X39" s="254"/>
      <c r="Y39" s="254"/>
      <c r="Z39" s="251"/>
      <c r="AA39" s="22"/>
      <c r="AB39" s="84"/>
      <c r="AC39" s="99"/>
      <c r="AD39" s="99"/>
    </row>
    <row r="40" spans="1:32">
      <c r="A40" s="286"/>
      <c r="B40" s="91">
        <v>0</v>
      </c>
      <c r="C40" s="351">
        <v>420</v>
      </c>
      <c r="D40" s="497"/>
      <c r="E40" s="425"/>
      <c r="F40" s="498"/>
      <c r="G40" s="427" t="e">
        <f t="shared" si="8"/>
        <v>#DIV/0!</v>
      </c>
      <c r="H40" s="425"/>
      <c r="I40" s="425"/>
      <c r="J40" s="425"/>
      <c r="K40" s="425"/>
      <c r="L40" s="426" t="e">
        <f t="shared" si="9"/>
        <v>#DIV/0!</v>
      </c>
      <c r="M40" s="351" t="e">
        <f t="shared" si="10"/>
        <v>#DIV/0!</v>
      </c>
      <c r="N40" s="481" t="e">
        <f t="shared" si="11"/>
        <v>#DIV/0!</v>
      </c>
      <c r="O40" s="81" t="e">
        <f t="shared" si="12"/>
        <v>#DIV/0!</v>
      </c>
      <c r="P40" s="16" t="e">
        <f t="shared" si="13"/>
        <v>#DIV/0!</v>
      </c>
      <c r="Q40" s="75" t="e">
        <f t="shared" si="14"/>
        <v>#DIV/0!</v>
      </c>
      <c r="R40" s="441" t="e">
        <f>SUM(Q$13:Q40)</f>
        <v>#DIV/0!</v>
      </c>
      <c r="S40" s="254" t="e">
        <f t="shared" si="15"/>
        <v>#DIV/0!</v>
      </c>
      <c r="T40" s="254"/>
      <c r="U40" s="254"/>
      <c r="V40" s="254" t="e">
        <f t="shared" si="7"/>
        <v>#DIV/0!</v>
      </c>
      <c r="W40" s="254" t="e">
        <f t="shared" si="6"/>
        <v>#DIV/0!</v>
      </c>
      <c r="X40" s="254"/>
      <c r="Y40" s="254"/>
      <c r="Z40" s="251"/>
      <c r="AA40" s="22"/>
      <c r="AB40" s="84"/>
    </row>
    <row r="41" spans="1:32">
      <c r="A41" s="286"/>
      <c r="B41" s="91">
        <v>0</v>
      </c>
      <c r="C41" s="351">
        <v>440</v>
      </c>
      <c r="D41" s="497"/>
      <c r="E41" s="425"/>
      <c r="F41" s="498"/>
      <c r="G41" s="427" t="e">
        <f t="shared" si="8"/>
        <v>#DIV/0!</v>
      </c>
      <c r="H41" s="425"/>
      <c r="I41" s="425"/>
      <c r="J41" s="425"/>
      <c r="K41" s="425"/>
      <c r="L41" s="426" t="e">
        <f t="shared" si="9"/>
        <v>#DIV/0!</v>
      </c>
      <c r="M41" s="351" t="e">
        <f t="shared" si="10"/>
        <v>#DIV/0!</v>
      </c>
      <c r="N41" s="481" t="e">
        <f t="shared" si="11"/>
        <v>#DIV/0!</v>
      </c>
      <c r="O41" s="81" t="e">
        <f t="shared" si="12"/>
        <v>#DIV/0!</v>
      </c>
      <c r="P41" s="16" t="e">
        <f t="shared" si="13"/>
        <v>#DIV/0!</v>
      </c>
      <c r="Q41" s="75" t="e">
        <f t="shared" si="14"/>
        <v>#DIV/0!</v>
      </c>
      <c r="R41" s="441" t="e">
        <f>SUM(Q$13:Q41)</f>
        <v>#DIV/0!</v>
      </c>
      <c r="S41" s="254" t="e">
        <f t="shared" si="15"/>
        <v>#DIV/0!</v>
      </c>
      <c r="T41" s="254"/>
      <c r="U41" s="254"/>
      <c r="V41" s="254" t="e">
        <f t="shared" si="7"/>
        <v>#DIV/0!</v>
      </c>
      <c r="W41" s="254" t="e">
        <f t="shared" si="6"/>
        <v>#DIV/0!</v>
      </c>
      <c r="X41" s="254"/>
      <c r="Y41" s="254"/>
      <c r="Z41" s="251"/>
      <c r="AA41" s="22"/>
      <c r="AB41" s="84"/>
    </row>
    <row r="42" spans="1:32">
      <c r="A42" s="286"/>
      <c r="B42" s="91">
        <v>0</v>
      </c>
      <c r="C42" s="351">
        <v>460</v>
      </c>
      <c r="D42" s="497"/>
      <c r="E42" s="425"/>
      <c r="F42" s="498"/>
      <c r="G42" s="427" t="e">
        <f t="shared" si="8"/>
        <v>#DIV/0!</v>
      </c>
      <c r="H42" s="425"/>
      <c r="I42" s="425"/>
      <c r="J42" s="425"/>
      <c r="K42" s="425"/>
      <c r="L42" s="426" t="e">
        <f t="shared" si="9"/>
        <v>#DIV/0!</v>
      </c>
      <c r="M42" s="351" t="e">
        <f t="shared" si="10"/>
        <v>#DIV/0!</v>
      </c>
      <c r="N42" s="481" t="e">
        <f t="shared" si="11"/>
        <v>#DIV/0!</v>
      </c>
      <c r="O42" s="81" t="e">
        <f t="shared" si="12"/>
        <v>#DIV/0!</v>
      </c>
      <c r="P42" s="16" t="e">
        <f t="shared" si="13"/>
        <v>#DIV/0!</v>
      </c>
      <c r="Q42" s="75" t="e">
        <f t="shared" si="14"/>
        <v>#DIV/0!</v>
      </c>
      <c r="R42" s="441" t="e">
        <f>SUM(Q$13:Q42)</f>
        <v>#DIV/0!</v>
      </c>
      <c r="S42" s="254" t="e">
        <f t="shared" si="15"/>
        <v>#DIV/0!</v>
      </c>
      <c r="T42" s="254"/>
      <c r="U42" s="254"/>
      <c r="V42" s="254" t="e">
        <f t="shared" si="7"/>
        <v>#DIV/0!</v>
      </c>
      <c r="W42" s="254" t="e">
        <f t="shared" si="6"/>
        <v>#DIV/0!</v>
      </c>
      <c r="X42" s="254"/>
      <c r="Y42" s="254"/>
      <c r="Z42" s="251"/>
      <c r="AA42" s="22"/>
      <c r="AB42" s="84"/>
    </row>
    <row r="43" spans="1:32">
      <c r="A43" s="286"/>
      <c r="B43" s="91">
        <v>0</v>
      </c>
      <c r="C43" s="351">
        <v>480</v>
      </c>
      <c r="D43" s="497"/>
      <c r="E43" s="425"/>
      <c r="F43" s="498"/>
      <c r="G43" s="427" t="e">
        <f t="shared" si="8"/>
        <v>#DIV/0!</v>
      </c>
      <c r="H43" s="425"/>
      <c r="I43" s="425"/>
      <c r="J43" s="425"/>
      <c r="K43" s="425"/>
      <c r="L43" s="426" t="e">
        <f t="shared" si="9"/>
        <v>#DIV/0!</v>
      </c>
      <c r="M43" s="351" t="e">
        <f t="shared" si="10"/>
        <v>#DIV/0!</v>
      </c>
      <c r="N43" s="481" t="e">
        <f t="shared" si="11"/>
        <v>#DIV/0!</v>
      </c>
      <c r="O43" s="81" t="e">
        <f t="shared" si="12"/>
        <v>#DIV/0!</v>
      </c>
      <c r="P43" s="16" t="e">
        <f t="shared" si="13"/>
        <v>#DIV/0!</v>
      </c>
      <c r="Q43" s="75" t="e">
        <f t="shared" si="14"/>
        <v>#DIV/0!</v>
      </c>
      <c r="R43" s="441" t="e">
        <f>SUM(Q$13:Q43)</f>
        <v>#DIV/0!</v>
      </c>
      <c r="S43" s="254" t="e">
        <f t="shared" si="15"/>
        <v>#DIV/0!</v>
      </c>
      <c r="T43" s="254"/>
      <c r="U43" s="254"/>
      <c r="V43" s="254" t="e">
        <f t="shared" si="7"/>
        <v>#DIV/0!</v>
      </c>
      <c r="W43" s="254" t="e">
        <f t="shared" si="6"/>
        <v>#DIV/0!</v>
      </c>
      <c r="X43" s="254"/>
      <c r="Y43" s="254"/>
      <c r="Z43" s="251"/>
      <c r="AA43" s="22"/>
      <c r="AB43" s="84"/>
    </row>
    <row r="44" spans="1:32">
      <c r="A44" s="286"/>
      <c r="B44" s="91">
        <v>0</v>
      </c>
      <c r="C44" s="351">
        <v>500</v>
      </c>
      <c r="D44" s="497"/>
      <c r="E44" s="425"/>
      <c r="F44" s="498"/>
      <c r="G44" s="427" t="e">
        <f t="shared" si="8"/>
        <v>#DIV/0!</v>
      </c>
      <c r="H44" s="425"/>
      <c r="I44" s="425"/>
      <c r="J44" s="425"/>
      <c r="K44" s="425"/>
      <c r="L44" s="426" t="e">
        <f t="shared" si="9"/>
        <v>#DIV/0!</v>
      </c>
      <c r="M44" s="351" t="e">
        <f t="shared" si="10"/>
        <v>#DIV/0!</v>
      </c>
      <c r="N44" s="481" t="e">
        <f t="shared" si="11"/>
        <v>#DIV/0!</v>
      </c>
      <c r="O44" s="81" t="e">
        <f t="shared" si="12"/>
        <v>#DIV/0!</v>
      </c>
      <c r="P44" s="16" t="e">
        <f t="shared" si="13"/>
        <v>#DIV/0!</v>
      </c>
      <c r="Q44" s="75" t="e">
        <f t="shared" si="14"/>
        <v>#DIV/0!</v>
      </c>
      <c r="R44" s="441" t="e">
        <f>SUM(Q$13:Q44)</f>
        <v>#DIV/0!</v>
      </c>
      <c r="S44" s="254" t="e">
        <f t="shared" si="15"/>
        <v>#DIV/0!</v>
      </c>
      <c r="T44" s="254"/>
      <c r="U44" s="254"/>
      <c r="V44" s="254" t="e">
        <f t="shared" si="7"/>
        <v>#DIV/0!</v>
      </c>
      <c r="W44" s="254" t="e">
        <f t="shared" si="6"/>
        <v>#DIV/0!</v>
      </c>
      <c r="X44" s="254"/>
      <c r="Y44" s="254"/>
      <c r="Z44" s="251"/>
      <c r="AA44" s="22"/>
      <c r="AB44" s="84"/>
    </row>
    <row r="45" spans="1:32">
      <c r="A45" s="286"/>
      <c r="B45" s="91">
        <v>0</v>
      </c>
      <c r="C45" s="351">
        <v>520</v>
      </c>
      <c r="D45" s="497"/>
      <c r="E45" s="425"/>
      <c r="F45" s="498"/>
      <c r="G45" s="427" t="e">
        <f t="shared" si="8"/>
        <v>#DIV/0!</v>
      </c>
      <c r="H45" s="425"/>
      <c r="I45" s="425"/>
      <c r="J45" s="425"/>
      <c r="K45" s="425"/>
      <c r="L45" s="426" t="e">
        <f t="shared" si="9"/>
        <v>#DIV/0!</v>
      </c>
      <c r="M45" s="351" t="e">
        <f t="shared" si="10"/>
        <v>#DIV/0!</v>
      </c>
      <c r="N45" s="481" t="e">
        <f t="shared" si="11"/>
        <v>#DIV/0!</v>
      </c>
      <c r="O45" s="81" t="e">
        <f t="shared" si="12"/>
        <v>#DIV/0!</v>
      </c>
      <c r="P45" s="16" t="e">
        <f t="shared" si="13"/>
        <v>#DIV/0!</v>
      </c>
      <c r="Q45" s="75" t="e">
        <f t="shared" si="14"/>
        <v>#DIV/0!</v>
      </c>
      <c r="R45" s="441" t="e">
        <f>SUM(Q$13:Q45)</f>
        <v>#DIV/0!</v>
      </c>
      <c r="S45" s="254" t="e">
        <f t="shared" si="15"/>
        <v>#DIV/0!</v>
      </c>
      <c r="T45" s="254"/>
      <c r="U45" s="254"/>
      <c r="V45" s="254" t="e">
        <f t="shared" si="7"/>
        <v>#DIV/0!</v>
      </c>
      <c r="W45" s="254" t="e">
        <f t="shared" si="6"/>
        <v>#DIV/0!</v>
      </c>
      <c r="X45" s="254"/>
      <c r="Y45" s="254"/>
      <c r="Z45" s="251"/>
      <c r="AA45" s="22"/>
      <c r="AB45" s="84"/>
    </row>
    <row r="46" spans="1:32">
      <c r="A46" s="286"/>
      <c r="B46" s="91">
        <v>0</v>
      </c>
      <c r="C46" s="351">
        <v>540</v>
      </c>
      <c r="D46" s="497"/>
      <c r="E46" s="425"/>
      <c r="F46" s="498"/>
      <c r="G46" s="427" t="e">
        <f t="shared" si="8"/>
        <v>#DIV/0!</v>
      </c>
      <c r="H46" s="425"/>
      <c r="I46" s="425"/>
      <c r="J46" s="425"/>
      <c r="K46" s="425"/>
      <c r="L46" s="426" t="e">
        <f t="shared" si="9"/>
        <v>#DIV/0!</v>
      </c>
      <c r="M46" s="351" t="e">
        <f t="shared" si="10"/>
        <v>#DIV/0!</v>
      </c>
      <c r="N46" s="481" t="e">
        <f t="shared" si="11"/>
        <v>#DIV/0!</v>
      </c>
      <c r="O46" s="81" t="e">
        <f t="shared" si="12"/>
        <v>#DIV/0!</v>
      </c>
      <c r="P46" s="16" t="e">
        <f t="shared" si="13"/>
        <v>#DIV/0!</v>
      </c>
      <c r="Q46" s="75" t="e">
        <f t="shared" si="14"/>
        <v>#DIV/0!</v>
      </c>
      <c r="R46" s="441" t="e">
        <f>SUM(Q$13:Q46)</f>
        <v>#DIV/0!</v>
      </c>
      <c r="S46" s="254" t="e">
        <f t="shared" si="15"/>
        <v>#DIV/0!</v>
      </c>
      <c r="T46" s="254"/>
      <c r="U46" s="254"/>
      <c r="V46" s="254" t="e">
        <f t="shared" si="7"/>
        <v>#DIV/0!</v>
      </c>
      <c r="W46" s="254" t="e">
        <f t="shared" si="6"/>
        <v>#DIV/0!</v>
      </c>
      <c r="X46" s="254"/>
      <c r="Y46" s="254"/>
      <c r="Z46" s="251"/>
      <c r="AA46" s="22"/>
      <c r="AB46" s="84"/>
    </row>
    <row r="47" spans="1:32">
      <c r="A47" s="286"/>
      <c r="B47" s="91">
        <v>0</v>
      </c>
      <c r="C47" s="351">
        <v>560</v>
      </c>
      <c r="D47" s="497"/>
      <c r="E47" s="425"/>
      <c r="F47" s="498"/>
      <c r="G47" s="427" t="e">
        <f t="shared" si="8"/>
        <v>#DIV/0!</v>
      </c>
      <c r="H47" s="425"/>
      <c r="I47" s="425"/>
      <c r="J47" s="425"/>
      <c r="K47" s="425"/>
      <c r="L47" s="426" t="e">
        <f t="shared" si="9"/>
        <v>#DIV/0!</v>
      </c>
      <c r="M47" s="351" t="e">
        <f t="shared" si="10"/>
        <v>#DIV/0!</v>
      </c>
      <c r="N47" s="481" t="e">
        <f t="shared" si="11"/>
        <v>#DIV/0!</v>
      </c>
      <c r="O47" s="81" t="e">
        <f t="shared" si="12"/>
        <v>#DIV/0!</v>
      </c>
      <c r="P47" s="16" t="e">
        <f t="shared" si="13"/>
        <v>#DIV/0!</v>
      </c>
      <c r="Q47" s="75" t="e">
        <f t="shared" si="14"/>
        <v>#DIV/0!</v>
      </c>
      <c r="R47" s="441" t="e">
        <f>SUM(Q$13:Q47)</f>
        <v>#DIV/0!</v>
      </c>
      <c r="S47" s="254" t="e">
        <f t="shared" si="15"/>
        <v>#DIV/0!</v>
      </c>
      <c r="T47" s="254"/>
      <c r="U47" s="254"/>
      <c r="V47" s="254" t="e">
        <f t="shared" si="7"/>
        <v>#DIV/0!</v>
      </c>
      <c r="W47" s="254" t="e">
        <f t="shared" si="6"/>
        <v>#DIV/0!</v>
      </c>
      <c r="X47" s="254"/>
      <c r="Y47" s="254"/>
      <c r="Z47" s="251"/>
      <c r="AA47" s="22"/>
      <c r="AB47" s="84"/>
    </row>
    <row r="48" spans="1:32">
      <c r="A48" s="286"/>
      <c r="B48" s="91">
        <v>0</v>
      </c>
      <c r="C48" s="351">
        <v>580</v>
      </c>
      <c r="D48" s="497"/>
      <c r="E48" s="425"/>
      <c r="F48" s="498"/>
      <c r="G48" s="427" t="e">
        <f t="shared" si="8"/>
        <v>#DIV/0!</v>
      </c>
      <c r="H48" s="425"/>
      <c r="I48" s="425"/>
      <c r="J48" s="425"/>
      <c r="K48" s="425"/>
      <c r="L48" s="426" t="e">
        <f t="shared" si="9"/>
        <v>#DIV/0!</v>
      </c>
      <c r="M48" s="351" t="e">
        <f t="shared" si="10"/>
        <v>#DIV/0!</v>
      </c>
      <c r="N48" s="481" t="e">
        <f t="shared" si="11"/>
        <v>#DIV/0!</v>
      </c>
      <c r="O48" s="81" t="e">
        <f t="shared" si="12"/>
        <v>#DIV/0!</v>
      </c>
      <c r="P48" s="16" t="e">
        <f t="shared" si="13"/>
        <v>#DIV/0!</v>
      </c>
      <c r="Q48" s="75" t="e">
        <f t="shared" si="14"/>
        <v>#DIV/0!</v>
      </c>
      <c r="R48" s="441" t="e">
        <f>SUM(Q$13:Q48)</f>
        <v>#DIV/0!</v>
      </c>
      <c r="S48" s="254" t="e">
        <f t="shared" si="15"/>
        <v>#DIV/0!</v>
      </c>
      <c r="T48" s="254"/>
      <c r="U48" s="254"/>
      <c r="V48" s="254" t="e">
        <f t="shared" si="7"/>
        <v>#DIV/0!</v>
      </c>
      <c r="W48" s="254" t="e">
        <f t="shared" si="6"/>
        <v>#DIV/0!</v>
      </c>
      <c r="X48" s="254"/>
      <c r="Y48" s="254"/>
      <c r="Z48" s="251"/>
      <c r="AA48" s="22"/>
      <c r="AB48" s="84"/>
    </row>
    <row r="49" spans="1:32">
      <c r="A49" s="286"/>
      <c r="B49" s="91">
        <v>0</v>
      </c>
      <c r="C49" s="351">
        <v>600</v>
      </c>
      <c r="D49" s="497"/>
      <c r="E49" s="425"/>
      <c r="F49" s="498"/>
      <c r="G49" s="427" t="e">
        <f t="shared" si="8"/>
        <v>#DIV/0!</v>
      </c>
      <c r="H49" s="425"/>
      <c r="I49" s="425"/>
      <c r="J49" s="425"/>
      <c r="K49" s="425"/>
      <c r="L49" s="426" t="e">
        <f t="shared" si="9"/>
        <v>#DIV/0!</v>
      </c>
      <c r="M49" s="351" t="e">
        <f t="shared" si="10"/>
        <v>#DIV/0!</v>
      </c>
      <c r="N49" s="481" t="e">
        <f t="shared" si="11"/>
        <v>#DIV/0!</v>
      </c>
      <c r="O49" s="81" t="e">
        <f t="shared" si="12"/>
        <v>#DIV/0!</v>
      </c>
      <c r="P49" s="16" t="e">
        <f t="shared" si="13"/>
        <v>#DIV/0!</v>
      </c>
      <c r="Q49" s="75" t="e">
        <f t="shared" si="14"/>
        <v>#DIV/0!</v>
      </c>
      <c r="R49" s="441" t="e">
        <f>SUM(Q$13:Q49)</f>
        <v>#DIV/0!</v>
      </c>
      <c r="S49" s="254" t="e">
        <f t="shared" si="15"/>
        <v>#DIV/0!</v>
      </c>
      <c r="T49" s="254"/>
      <c r="U49" s="254"/>
      <c r="V49" s="254" t="e">
        <f t="shared" si="7"/>
        <v>#DIV/0!</v>
      </c>
      <c r="W49" s="254" t="e">
        <f t="shared" si="6"/>
        <v>#DIV/0!</v>
      </c>
      <c r="X49" s="254"/>
      <c r="Y49" s="254"/>
      <c r="Z49" s="251"/>
      <c r="AA49" s="22"/>
      <c r="AB49" s="84"/>
    </row>
    <row r="50" spans="1:32">
      <c r="A50" s="286"/>
      <c r="B50" s="91">
        <v>0</v>
      </c>
      <c r="C50" s="351">
        <v>620</v>
      </c>
      <c r="D50" s="497"/>
      <c r="E50" s="425"/>
      <c r="F50" s="498"/>
      <c r="G50" s="427" t="e">
        <f t="shared" si="8"/>
        <v>#DIV/0!</v>
      </c>
      <c r="H50" s="425"/>
      <c r="I50" s="425"/>
      <c r="J50" s="425"/>
      <c r="K50" s="425"/>
      <c r="L50" s="426" t="e">
        <f t="shared" si="9"/>
        <v>#DIV/0!</v>
      </c>
      <c r="M50" s="351" t="e">
        <f t="shared" si="10"/>
        <v>#DIV/0!</v>
      </c>
      <c r="N50" s="481" t="e">
        <f t="shared" si="11"/>
        <v>#DIV/0!</v>
      </c>
      <c r="O50" s="81" t="e">
        <f t="shared" si="12"/>
        <v>#DIV/0!</v>
      </c>
      <c r="P50" s="16" t="e">
        <f t="shared" si="13"/>
        <v>#DIV/0!</v>
      </c>
      <c r="Q50" s="75" t="e">
        <f t="shared" si="14"/>
        <v>#DIV/0!</v>
      </c>
      <c r="R50" s="441" t="e">
        <f>SUM(Q$13:Q50)</f>
        <v>#DIV/0!</v>
      </c>
      <c r="S50" s="254" t="e">
        <f t="shared" si="15"/>
        <v>#DIV/0!</v>
      </c>
      <c r="T50" s="254"/>
      <c r="U50" s="254"/>
      <c r="V50" s="254" t="e">
        <f t="shared" si="7"/>
        <v>#DIV/0!</v>
      </c>
      <c r="W50" s="254" t="e">
        <f t="shared" si="6"/>
        <v>#DIV/0!</v>
      </c>
      <c r="X50" s="254"/>
      <c r="Y50" s="254"/>
      <c r="Z50" s="251"/>
      <c r="AA50" s="22"/>
      <c r="AB50" s="84"/>
    </row>
    <row r="51" spans="1:32">
      <c r="A51" s="286"/>
      <c r="B51" s="91">
        <v>0</v>
      </c>
      <c r="C51" s="351">
        <v>640</v>
      </c>
      <c r="D51" s="497"/>
      <c r="E51" s="425"/>
      <c r="F51" s="498"/>
      <c r="G51" s="427" t="e">
        <f t="shared" si="8"/>
        <v>#DIV/0!</v>
      </c>
      <c r="H51" s="425"/>
      <c r="I51" s="425"/>
      <c r="J51" s="425"/>
      <c r="K51" s="425"/>
      <c r="L51" s="426" t="e">
        <f t="shared" si="9"/>
        <v>#DIV/0!</v>
      </c>
      <c r="M51" s="351" t="e">
        <f t="shared" si="10"/>
        <v>#DIV/0!</v>
      </c>
      <c r="N51" s="481" t="e">
        <f t="shared" si="11"/>
        <v>#DIV/0!</v>
      </c>
      <c r="O51" s="81" t="e">
        <f t="shared" si="12"/>
        <v>#DIV/0!</v>
      </c>
      <c r="P51" s="16" t="e">
        <f t="shared" si="13"/>
        <v>#DIV/0!</v>
      </c>
      <c r="Q51" s="75" t="e">
        <f t="shared" si="14"/>
        <v>#DIV/0!</v>
      </c>
      <c r="R51" s="441" t="e">
        <f>SUM(Q$13:Q51)</f>
        <v>#DIV/0!</v>
      </c>
      <c r="S51" s="254" t="e">
        <f t="shared" si="15"/>
        <v>#DIV/0!</v>
      </c>
      <c r="T51" s="254"/>
      <c r="U51" s="254"/>
      <c r="V51" s="254" t="e">
        <f t="shared" si="7"/>
        <v>#DIV/0!</v>
      </c>
      <c r="W51" s="254" t="e">
        <f t="shared" si="6"/>
        <v>#DIV/0!</v>
      </c>
      <c r="X51" s="254"/>
      <c r="Y51" s="254"/>
      <c r="Z51" s="251"/>
      <c r="AA51" s="22"/>
      <c r="AB51" s="84"/>
    </row>
    <row r="52" spans="1:32" ht="12" thickBot="1">
      <c r="A52" s="286"/>
      <c r="B52" s="91">
        <v>0</v>
      </c>
      <c r="C52" s="351">
        <v>660</v>
      </c>
      <c r="D52" s="497"/>
      <c r="E52" s="425"/>
      <c r="F52" s="498"/>
      <c r="G52" s="427" t="e">
        <f t="shared" si="8"/>
        <v>#DIV/0!</v>
      </c>
      <c r="H52" s="425"/>
      <c r="I52" s="425"/>
      <c r="J52" s="425"/>
      <c r="K52" s="425"/>
      <c r="L52" s="426" t="e">
        <f t="shared" si="9"/>
        <v>#DIV/0!</v>
      </c>
      <c r="M52" s="351" t="e">
        <f t="shared" si="10"/>
        <v>#DIV/0!</v>
      </c>
      <c r="N52" s="481" t="e">
        <f t="shared" si="11"/>
        <v>#DIV/0!</v>
      </c>
      <c r="O52" s="81" t="e">
        <f t="shared" si="12"/>
        <v>#DIV/0!</v>
      </c>
      <c r="P52" s="16" t="e">
        <f t="shared" si="13"/>
        <v>#DIV/0!</v>
      </c>
      <c r="Q52" s="75" t="e">
        <f t="shared" si="14"/>
        <v>#DIV/0!</v>
      </c>
      <c r="R52" s="441" t="e">
        <f>SUM(Q$13:Q52)</f>
        <v>#DIV/0!</v>
      </c>
      <c r="S52" s="254" t="e">
        <f t="shared" si="15"/>
        <v>#DIV/0!</v>
      </c>
      <c r="T52" s="254"/>
      <c r="U52" s="254"/>
      <c r="V52" s="254" t="e">
        <f t="shared" si="7"/>
        <v>#DIV/0!</v>
      </c>
      <c r="W52" s="254" t="e">
        <f t="shared" si="6"/>
        <v>#DIV/0!</v>
      </c>
      <c r="X52" s="254"/>
      <c r="Y52" s="254"/>
      <c r="Z52" s="251"/>
      <c r="AA52" s="22"/>
      <c r="AB52" s="95"/>
    </row>
    <row r="53" spans="1:32">
      <c r="A53" s="286"/>
      <c r="B53" s="91">
        <v>0</v>
      </c>
      <c r="C53" s="351">
        <v>680</v>
      </c>
      <c r="D53" s="497"/>
      <c r="E53" s="425"/>
      <c r="F53" s="498"/>
      <c r="G53" s="427" t="e">
        <f t="shared" si="8"/>
        <v>#DIV/0!</v>
      </c>
      <c r="H53" s="425"/>
      <c r="I53" s="425"/>
      <c r="J53" s="425"/>
      <c r="K53" s="425"/>
      <c r="L53" s="426" t="e">
        <f t="shared" si="9"/>
        <v>#DIV/0!</v>
      </c>
      <c r="M53" s="351" t="e">
        <f t="shared" si="10"/>
        <v>#DIV/0!</v>
      </c>
      <c r="N53" s="481" t="e">
        <f t="shared" si="11"/>
        <v>#DIV/0!</v>
      </c>
      <c r="O53" s="81" t="e">
        <f t="shared" si="12"/>
        <v>#DIV/0!</v>
      </c>
      <c r="P53" s="16" t="e">
        <f t="shared" si="13"/>
        <v>#DIV/0!</v>
      </c>
      <c r="Q53" s="75" t="e">
        <f t="shared" si="14"/>
        <v>#DIV/0!</v>
      </c>
      <c r="R53" s="441" t="e">
        <f>SUM(Q$13:Q53)</f>
        <v>#DIV/0!</v>
      </c>
      <c r="S53" s="254" t="e">
        <f t="shared" si="15"/>
        <v>#DIV/0!</v>
      </c>
      <c r="T53" s="254"/>
      <c r="U53" s="254"/>
      <c r="V53" s="254" t="e">
        <f t="shared" si="7"/>
        <v>#DIV/0!</v>
      </c>
      <c r="W53" s="254" t="e">
        <f t="shared" si="6"/>
        <v>#DIV/0!</v>
      </c>
      <c r="X53" s="254"/>
      <c r="Y53" s="254"/>
      <c r="Z53" s="251"/>
      <c r="AA53" s="242" t="s">
        <v>42</v>
      </c>
      <c r="AB53" s="96" t="e">
        <f>AVERAGE(AB12:AB52)</f>
        <v>#DIV/0!</v>
      </c>
    </row>
    <row r="54" spans="1:32">
      <c r="A54" s="286"/>
      <c r="B54" s="91">
        <v>0</v>
      </c>
      <c r="C54" s="351">
        <v>700</v>
      </c>
      <c r="D54" s="497"/>
      <c r="E54" s="425"/>
      <c r="F54" s="498"/>
      <c r="G54" s="427" t="e">
        <f t="shared" si="8"/>
        <v>#DIV/0!</v>
      </c>
      <c r="H54" s="425"/>
      <c r="I54" s="425"/>
      <c r="J54" s="425"/>
      <c r="K54" s="425"/>
      <c r="L54" s="426" t="e">
        <f t="shared" si="9"/>
        <v>#DIV/0!</v>
      </c>
      <c r="M54" s="351" t="e">
        <f t="shared" si="10"/>
        <v>#DIV/0!</v>
      </c>
      <c r="N54" s="481" t="e">
        <f t="shared" si="11"/>
        <v>#DIV/0!</v>
      </c>
      <c r="O54" s="81">
        <f t="shared" si="12"/>
        <v>350</v>
      </c>
      <c r="P54" s="16" t="e">
        <f t="shared" si="13"/>
        <v>#DIV/0!</v>
      </c>
      <c r="Q54" s="75" t="e">
        <f t="shared" si="14"/>
        <v>#DIV/0!</v>
      </c>
      <c r="R54" s="441" t="e">
        <f>SUM(Q$13:Q54)</f>
        <v>#DIV/0!</v>
      </c>
      <c r="S54" s="254" t="e">
        <f t="shared" si="15"/>
        <v>#DIV/0!</v>
      </c>
      <c r="T54" s="254"/>
      <c r="U54" s="254"/>
      <c r="V54" s="254" t="e">
        <f t="shared" si="7"/>
        <v>#DIV/0!</v>
      </c>
      <c r="W54" s="254" t="e">
        <f t="shared" si="6"/>
        <v>#DIV/0!</v>
      </c>
      <c r="X54" s="254"/>
      <c r="Y54" s="254"/>
      <c r="Z54" s="251"/>
      <c r="AA54" s="33" t="s">
        <v>43</v>
      </c>
      <c r="AB54" s="95" t="e">
        <f>STDEV(AB12:AB52)</f>
        <v>#DIV/0!</v>
      </c>
      <c r="AC54" s="56"/>
      <c r="AD54" s="56"/>
    </row>
    <row r="55" spans="1:32">
      <c r="A55" s="286"/>
      <c r="B55" s="91">
        <v>0</v>
      </c>
      <c r="C55" s="351">
        <v>720</v>
      </c>
      <c r="D55" s="497"/>
      <c r="E55" s="425"/>
      <c r="F55" s="498"/>
      <c r="G55" s="427" t="e">
        <f t="shared" si="8"/>
        <v>#DIV/0!</v>
      </c>
      <c r="H55" s="425"/>
      <c r="I55" s="425"/>
      <c r="J55" s="425"/>
      <c r="K55" s="425"/>
      <c r="L55" s="426" t="e">
        <f t="shared" si="9"/>
        <v>#DIV/0!</v>
      </c>
      <c r="M55" s="351" t="e">
        <f t="shared" si="10"/>
        <v>#DIV/0!</v>
      </c>
      <c r="N55" s="481" t="e">
        <f t="shared" si="11"/>
        <v>#DIV/0!</v>
      </c>
      <c r="O55" s="81">
        <f>(C55+C82-G82)/2</f>
        <v>360</v>
      </c>
      <c r="P55" s="16" t="e">
        <f t="shared" si="13"/>
        <v>#DIV/0!</v>
      </c>
      <c r="Q55" s="75" t="e">
        <f t="shared" si="14"/>
        <v>#DIV/0!</v>
      </c>
      <c r="R55" s="441" t="e">
        <f>SUM(Q$13:Q55)</f>
        <v>#DIV/0!</v>
      </c>
      <c r="S55" s="254" t="e">
        <f t="shared" si="15"/>
        <v>#DIV/0!</v>
      </c>
      <c r="T55" s="254"/>
      <c r="U55" s="254"/>
      <c r="V55" s="254" t="e">
        <f t="shared" si="7"/>
        <v>#DIV/0!</v>
      </c>
      <c r="W55" s="254" t="e">
        <f t="shared" si="6"/>
        <v>#DIV/0!</v>
      </c>
      <c r="X55" s="254"/>
      <c r="Y55" s="254"/>
      <c r="Z55" s="251"/>
      <c r="AA55" s="33" t="s">
        <v>44</v>
      </c>
      <c r="AB55" s="95" t="e">
        <f>AB54/SQRT(COUNT(AB12:AB52))</f>
        <v>#DIV/0!</v>
      </c>
      <c r="AC55" s="98"/>
      <c r="AD55" s="56"/>
      <c r="AE55" s="56"/>
      <c r="AF55" s="56"/>
    </row>
    <row r="56" spans="1:32">
      <c r="A56" s="286"/>
      <c r="B56" s="91">
        <v>0</v>
      </c>
      <c r="C56" s="351">
        <v>740</v>
      </c>
      <c r="D56" s="497"/>
      <c r="E56" s="425"/>
      <c r="F56" s="498"/>
      <c r="G56" s="427" t="e">
        <f t="shared" ref="G56:G80" si="16">AVERAGE(D56:F56)</f>
        <v>#DIV/0!</v>
      </c>
      <c r="H56" s="425"/>
      <c r="I56" s="425"/>
      <c r="J56" s="425"/>
      <c r="K56" s="425"/>
      <c r="L56" s="426" t="e">
        <f t="shared" ref="L56:L80" si="17">AVERAGE(H56:K56)</f>
        <v>#DIV/0!</v>
      </c>
      <c r="M56" s="351" t="e">
        <f t="shared" ref="M56:M80" si="18">G56*    PI()* (L56/2)^2</f>
        <v>#DIV/0!</v>
      </c>
      <c r="N56" s="481" t="e">
        <f t="shared" ref="N56:N80" si="19">(C55+C56-G56)/2</f>
        <v>#DIV/0!</v>
      </c>
      <c r="O56" s="81">
        <f t="shared" ref="O56:O80" si="20">(C56+C83-G83)/2</f>
        <v>370</v>
      </c>
      <c r="P56" s="16" t="e">
        <f t="shared" ref="P56:P80" si="21">(A56-B56)/M56</f>
        <v>#DIV/0!</v>
      </c>
      <c r="Q56" s="75" t="e">
        <f t="shared" ref="Q56:Q80" si="22">(P56*(O56-N56))/100</f>
        <v>#DIV/0!</v>
      </c>
      <c r="R56" s="441" t="e">
        <f>SUM(Q$13:Q56)</f>
        <v>#DIV/0!</v>
      </c>
      <c r="S56" s="254" t="e">
        <f t="shared" ref="S56:S80" si="23">R56/O56*100</f>
        <v>#DIV/0!</v>
      </c>
      <c r="T56" s="254"/>
      <c r="U56" s="254"/>
      <c r="V56" s="254" t="e">
        <f t="shared" si="7"/>
        <v>#DIV/0!</v>
      </c>
      <c r="W56" s="254" t="e">
        <f t="shared" si="6"/>
        <v>#DIV/0!</v>
      </c>
      <c r="X56" s="254"/>
      <c r="Y56" s="254"/>
      <c r="Z56" s="251"/>
      <c r="AA56" s="33" t="s">
        <v>45</v>
      </c>
      <c r="AB56" s="95">
        <f>MAX(AB12:AB52)</f>
        <v>0</v>
      </c>
      <c r="AC56" s="98"/>
    </row>
    <row r="57" spans="1:32" ht="12" thickBot="1">
      <c r="A57" s="286"/>
      <c r="B57" s="91">
        <v>0</v>
      </c>
      <c r="C57" s="351">
        <v>760</v>
      </c>
      <c r="D57" s="497"/>
      <c r="E57" s="425"/>
      <c r="F57" s="498"/>
      <c r="G57" s="427" t="e">
        <f t="shared" si="16"/>
        <v>#DIV/0!</v>
      </c>
      <c r="H57" s="425"/>
      <c r="I57" s="425"/>
      <c r="J57" s="425"/>
      <c r="K57" s="425"/>
      <c r="L57" s="426" t="e">
        <f t="shared" si="17"/>
        <v>#DIV/0!</v>
      </c>
      <c r="M57" s="351" t="e">
        <f t="shared" si="18"/>
        <v>#DIV/0!</v>
      </c>
      <c r="N57" s="481" t="e">
        <f t="shared" si="19"/>
        <v>#DIV/0!</v>
      </c>
      <c r="O57" s="81">
        <f t="shared" si="20"/>
        <v>380</v>
      </c>
      <c r="P57" s="16" t="e">
        <f t="shared" si="21"/>
        <v>#DIV/0!</v>
      </c>
      <c r="Q57" s="75" t="e">
        <f t="shared" si="22"/>
        <v>#DIV/0!</v>
      </c>
      <c r="R57" s="441" t="e">
        <f>SUM(Q$13:Q57)</f>
        <v>#DIV/0!</v>
      </c>
      <c r="S57" s="254" t="e">
        <f t="shared" si="23"/>
        <v>#DIV/0!</v>
      </c>
      <c r="T57" s="254"/>
      <c r="U57" s="254"/>
      <c r="V57" s="254" t="e">
        <f t="shared" si="7"/>
        <v>#DIV/0!</v>
      </c>
      <c r="W57" s="254" t="e">
        <f t="shared" si="6"/>
        <v>#DIV/0!</v>
      </c>
      <c r="X57" s="254"/>
      <c r="Y57" s="254"/>
      <c r="Z57" s="251"/>
      <c r="AA57" s="243" t="s">
        <v>46</v>
      </c>
      <c r="AB57" s="100">
        <f>MIN(AB12:AB52)</f>
        <v>0</v>
      </c>
      <c r="AC57" s="56"/>
    </row>
    <row r="58" spans="1:32">
      <c r="A58" s="286"/>
      <c r="B58" s="91">
        <v>0</v>
      </c>
      <c r="C58" s="351">
        <v>780</v>
      </c>
      <c r="D58" s="497"/>
      <c r="E58" s="425"/>
      <c r="F58" s="498"/>
      <c r="G58" s="427" t="e">
        <f t="shared" si="16"/>
        <v>#DIV/0!</v>
      </c>
      <c r="H58" s="425"/>
      <c r="I58" s="425"/>
      <c r="J58" s="425"/>
      <c r="K58" s="425"/>
      <c r="L58" s="426" t="e">
        <f t="shared" si="17"/>
        <v>#DIV/0!</v>
      </c>
      <c r="M58" s="351" t="e">
        <f t="shared" si="18"/>
        <v>#DIV/0!</v>
      </c>
      <c r="N58" s="481" t="e">
        <f t="shared" si="19"/>
        <v>#DIV/0!</v>
      </c>
      <c r="O58" s="81">
        <f t="shared" si="20"/>
        <v>390</v>
      </c>
      <c r="P58" s="16" t="e">
        <f t="shared" si="21"/>
        <v>#DIV/0!</v>
      </c>
      <c r="Q58" s="75" t="e">
        <f t="shared" si="22"/>
        <v>#DIV/0!</v>
      </c>
      <c r="R58" s="441" t="e">
        <f>SUM(Q$13:Q58)</f>
        <v>#DIV/0!</v>
      </c>
      <c r="S58" s="254" t="e">
        <f t="shared" si="23"/>
        <v>#DIV/0!</v>
      </c>
      <c r="T58" s="254"/>
      <c r="U58" s="254"/>
      <c r="V58" s="254" t="e">
        <f t="shared" si="7"/>
        <v>#DIV/0!</v>
      </c>
      <c r="W58" s="254" t="e">
        <f t="shared" si="6"/>
        <v>#DIV/0!</v>
      </c>
      <c r="X58" s="254"/>
      <c r="Y58" s="254"/>
      <c r="Z58" s="251"/>
    </row>
    <row r="59" spans="1:32">
      <c r="A59" s="286"/>
      <c r="B59" s="91">
        <v>0</v>
      </c>
      <c r="C59" s="351">
        <v>800</v>
      </c>
      <c r="D59" s="497"/>
      <c r="E59" s="425"/>
      <c r="F59" s="498"/>
      <c r="G59" s="427" t="e">
        <f t="shared" si="16"/>
        <v>#DIV/0!</v>
      </c>
      <c r="H59" s="425"/>
      <c r="I59" s="425"/>
      <c r="J59" s="425"/>
      <c r="K59" s="425"/>
      <c r="L59" s="426" t="e">
        <f t="shared" si="17"/>
        <v>#DIV/0!</v>
      </c>
      <c r="M59" s="351" t="e">
        <f t="shared" si="18"/>
        <v>#DIV/0!</v>
      </c>
      <c r="N59" s="481" t="e">
        <f t="shared" si="19"/>
        <v>#DIV/0!</v>
      </c>
      <c r="O59" s="81">
        <f t="shared" si="20"/>
        <v>400</v>
      </c>
      <c r="P59" s="16" t="e">
        <f t="shared" si="21"/>
        <v>#DIV/0!</v>
      </c>
      <c r="Q59" s="75" t="e">
        <f t="shared" si="22"/>
        <v>#DIV/0!</v>
      </c>
      <c r="R59" s="441" t="e">
        <f>SUM(Q$13:Q59)</f>
        <v>#DIV/0!</v>
      </c>
      <c r="S59" s="254" t="e">
        <f t="shared" si="23"/>
        <v>#DIV/0!</v>
      </c>
      <c r="T59" s="254"/>
      <c r="U59" s="254"/>
      <c r="V59" s="254" t="e">
        <f t="shared" si="7"/>
        <v>#DIV/0!</v>
      </c>
      <c r="W59" s="254" t="e">
        <f t="shared" si="6"/>
        <v>#DIV/0!</v>
      </c>
      <c r="X59" s="254"/>
      <c r="Y59" s="254"/>
      <c r="Z59" s="251"/>
    </row>
    <row r="60" spans="1:32">
      <c r="A60" s="286"/>
      <c r="B60" s="91">
        <v>0</v>
      </c>
      <c r="C60" s="351">
        <v>820</v>
      </c>
      <c r="D60" s="497"/>
      <c r="E60" s="425"/>
      <c r="F60" s="498"/>
      <c r="G60" s="427" t="e">
        <f t="shared" si="16"/>
        <v>#DIV/0!</v>
      </c>
      <c r="H60" s="425"/>
      <c r="I60" s="425"/>
      <c r="J60" s="425"/>
      <c r="K60" s="425"/>
      <c r="L60" s="426" t="e">
        <f t="shared" si="17"/>
        <v>#DIV/0!</v>
      </c>
      <c r="M60" s="351" t="e">
        <f t="shared" si="18"/>
        <v>#DIV/0!</v>
      </c>
      <c r="N60" s="481" t="e">
        <f t="shared" si="19"/>
        <v>#DIV/0!</v>
      </c>
      <c r="O60" s="81">
        <f t="shared" si="20"/>
        <v>410</v>
      </c>
      <c r="P60" s="16" t="e">
        <f t="shared" si="21"/>
        <v>#DIV/0!</v>
      </c>
      <c r="Q60" s="75" t="e">
        <f t="shared" si="22"/>
        <v>#DIV/0!</v>
      </c>
      <c r="R60" s="441" t="e">
        <f>SUM(Q$13:Q60)</f>
        <v>#DIV/0!</v>
      </c>
      <c r="S60" s="254" t="e">
        <f t="shared" si="23"/>
        <v>#DIV/0!</v>
      </c>
      <c r="T60" s="254"/>
      <c r="U60" s="254"/>
      <c r="V60" s="254" t="e">
        <f t="shared" si="7"/>
        <v>#DIV/0!</v>
      </c>
      <c r="W60" s="254" t="e">
        <f t="shared" si="6"/>
        <v>#DIV/0!</v>
      </c>
      <c r="X60" s="254"/>
      <c r="Y60" s="254"/>
      <c r="Z60" s="251"/>
    </row>
    <row r="61" spans="1:32">
      <c r="A61" s="286"/>
      <c r="B61" s="91">
        <v>0</v>
      </c>
      <c r="C61" s="351">
        <v>840</v>
      </c>
      <c r="D61" s="497"/>
      <c r="E61" s="425"/>
      <c r="F61" s="498"/>
      <c r="G61" s="427" t="e">
        <f t="shared" si="16"/>
        <v>#DIV/0!</v>
      </c>
      <c r="H61" s="425"/>
      <c r="I61" s="425"/>
      <c r="J61" s="425"/>
      <c r="K61" s="425"/>
      <c r="L61" s="426" t="e">
        <f t="shared" si="17"/>
        <v>#DIV/0!</v>
      </c>
      <c r="M61" s="351" t="e">
        <f t="shared" si="18"/>
        <v>#DIV/0!</v>
      </c>
      <c r="N61" s="481" t="e">
        <f t="shared" si="19"/>
        <v>#DIV/0!</v>
      </c>
      <c r="O61" s="81">
        <f t="shared" si="20"/>
        <v>420</v>
      </c>
      <c r="P61" s="16" t="e">
        <f t="shared" si="21"/>
        <v>#DIV/0!</v>
      </c>
      <c r="Q61" s="75" t="e">
        <f t="shared" si="22"/>
        <v>#DIV/0!</v>
      </c>
      <c r="R61" s="441" t="e">
        <f>SUM(Q$13:Q61)</f>
        <v>#DIV/0!</v>
      </c>
      <c r="S61" s="254" t="e">
        <f t="shared" si="23"/>
        <v>#DIV/0!</v>
      </c>
      <c r="T61" s="254"/>
      <c r="U61" s="254"/>
      <c r="V61" s="254" t="e">
        <f t="shared" si="7"/>
        <v>#DIV/0!</v>
      </c>
      <c r="W61" s="254" t="e">
        <f t="shared" si="6"/>
        <v>#DIV/0!</v>
      </c>
      <c r="X61" s="254"/>
      <c r="Y61" s="254"/>
      <c r="Z61" s="251"/>
    </row>
    <row r="62" spans="1:32">
      <c r="A62" s="286"/>
      <c r="B62" s="91">
        <v>0</v>
      </c>
      <c r="C62" s="351">
        <v>860</v>
      </c>
      <c r="D62" s="497"/>
      <c r="E62" s="425"/>
      <c r="F62" s="498"/>
      <c r="G62" s="427" t="e">
        <f t="shared" si="16"/>
        <v>#DIV/0!</v>
      </c>
      <c r="H62" s="425"/>
      <c r="I62" s="425"/>
      <c r="J62" s="425"/>
      <c r="K62" s="425"/>
      <c r="L62" s="426" t="e">
        <f t="shared" si="17"/>
        <v>#DIV/0!</v>
      </c>
      <c r="M62" s="351" t="e">
        <f t="shared" si="18"/>
        <v>#DIV/0!</v>
      </c>
      <c r="N62" s="481" t="e">
        <f t="shared" si="19"/>
        <v>#DIV/0!</v>
      </c>
      <c r="O62" s="81">
        <f t="shared" si="20"/>
        <v>430</v>
      </c>
      <c r="P62" s="16" t="e">
        <f t="shared" si="21"/>
        <v>#DIV/0!</v>
      </c>
      <c r="Q62" s="75" t="e">
        <f t="shared" si="22"/>
        <v>#DIV/0!</v>
      </c>
      <c r="R62" s="441" t="e">
        <f>SUM(Q$13:Q62)</f>
        <v>#DIV/0!</v>
      </c>
      <c r="S62" s="254" t="e">
        <f t="shared" si="23"/>
        <v>#DIV/0!</v>
      </c>
      <c r="T62" s="254"/>
      <c r="U62" s="254"/>
      <c r="V62" s="254" t="e">
        <f t="shared" si="7"/>
        <v>#DIV/0!</v>
      </c>
      <c r="W62" s="254" t="e">
        <f t="shared" si="6"/>
        <v>#DIV/0!</v>
      </c>
      <c r="X62" s="254"/>
      <c r="Y62" s="254"/>
      <c r="Z62" s="251"/>
    </row>
    <row r="63" spans="1:32">
      <c r="A63" s="286"/>
      <c r="B63" s="91">
        <v>0</v>
      </c>
      <c r="C63" s="351">
        <v>880</v>
      </c>
      <c r="D63" s="497"/>
      <c r="E63" s="425"/>
      <c r="F63" s="498"/>
      <c r="G63" s="427" t="e">
        <f t="shared" si="16"/>
        <v>#DIV/0!</v>
      </c>
      <c r="H63" s="425"/>
      <c r="I63" s="425"/>
      <c r="J63" s="425"/>
      <c r="K63" s="425"/>
      <c r="L63" s="426" t="e">
        <f t="shared" si="17"/>
        <v>#DIV/0!</v>
      </c>
      <c r="M63" s="351" t="e">
        <f t="shared" si="18"/>
        <v>#DIV/0!</v>
      </c>
      <c r="N63" s="481" t="e">
        <f t="shared" si="19"/>
        <v>#DIV/0!</v>
      </c>
      <c r="O63" s="81">
        <f t="shared" si="20"/>
        <v>440</v>
      </c>
      <c r="P63" s="16" t="e">
        <f t="shared" si="21"/>
        <v>#DIV/0!</v>
      </c>
      <c r="Q63" s="75" t="e">
        <f t="shared" si="22"/>
        <v>#DIV/0!</v>
      </c>
      <c r="R63" s="441" t="e">
        <f>SUM(Q$13:Q63)</f>
        <v>#DIV/0!</v>
      </c>
      <c r="S63" s="254" t="e">
        <f t="shared" si="23"/>
        <v>#DIV/0!</v>
      </c>
      <c r="T63" s="254"/>
      <c r="U63" s="254"/>
      <c r="V63" s="254" t="e">
        <f t="shared" si="7"/>
        <v>#DIV/0!</v>
      </c>
      <c r="W63" s="254" t="e">
        <f t="shared" si="6"/>
        <v>#DIV/0!</v>
      </c>
      <c r="X63" s="254"/>
      <c r="Y63" s="254"/>
      <c r="Z63" s="251"/>
    </row>
    <row r="64" spans="1:32">
      <c r="A64" s="286"/>
      <c r="B64" s="91">
        <v>0</v>
      </c>
      <c r="C64" s="351">
        <v>900</v>
      </c>
      <c r="D64" s="497"/>
      <c r="E64" s="425"/>
      <c r="F64" s="498"/>
      <c r="G64" s="427" t="e">
        <f t="shared" si="16"/>
        <v>#DIV/0!</v>
      </c>
      <c r="H64" s="425"/>
      <c r="I64" s="425"/>
      <c r="J64" s="425"/>
      <c r="K64" s="425"/>
      <c r="L64" s="426" t="e">
        <f t="shared" si="17"/>
        <v>#DIV/0!</v>
      </c>
      <c r="M64" s="351" t="e">
        <f t="shared" si="18"/>
        <v>#DIV/0!</v>
      </c>
      <c r="N64" s="481" t="e">
        <f t="shared" si="19"/>
        <v>#DIV/0!</v>
      </c>
      <c r="O64" s="81">
        <f t="shared" si="20"/>
        <v>450</v>
      </c>
      <c r="P64" s="16" t="e">
        <f t="shared" si="21"/>
        <v>#DIV/0!</v>
      </c>
      <c r="Q64" s="75" t="e">
        <f t="shared" si="22"/>
        <v>#DIV/0!</v>
      </c>
      <c r="R64" s="441" t="e">
        <f>SUM(Q$13:Q64)</f>
        <v>#DIV/0!</v>
      </c>
      <c r="S64" s="254" t="e">
        <f t="shared" si="23"/>
        <v>#DIV/0!</v>
      </c>
      <c r="T64" s="254"/>
      <c r="U64" s="254"/>
      <c r="V64" s="254" t="e">
        <f t="shared" si="7"/>
        <v>#DIV/0!</v>
      </c>
      <c r="W64" s="254" t="e">
        <f t="shared" si="6"/>
        <v>#DIV/0!</v>
      </c>
      <c r="X64" s="254"/>
      <c r="Y64" s="254"/>
      <c r="Z64" s="251"/>
    </row>
    <row r="65" spans="1:26">
      <c r="A65" s="286"/>
      <c r="B65" s="91">
        <v>0</v>
      </c>
      <c r="C65" s="351">
        <v>920</v>
      </c>
      <c r="D65" s="497"/>
      <c r="E65" s="425"/>
      <c r="F65" s="498"/>
      <c r="G65" s="427" t="e">
        <f t="shared" si="16"/>
        <v>#DIV/0!</v>
      </c>
      <c r="H65" s="425"/>
      <c r="I65" s="425"/>
      <c r="J65" s="425"/>
      <c r="K65" s="425"/>
      <c r="L65" s="426" t="e">
        <f t="shared" si="17"/>
        <v>#DIV/0!</v>
      </c>
      <c r="M65" s="351" t="e">
        <f t="shared" si="18"/>
        <v>#DIV/0!</v>
      </c>
      <c r="N65" s="481" t="e">
        <f t="shared" si="19"/>
        <v>#DIV/0!</v>
      </c>
      <c r="O65" s="81">
        <f t="shared" si="20"/>
        <v>460</v>
      </c>
      <c r="P65" s="16" t="e">
        <f t="shared" si="21"/>
        <v>#DIV/0!</v>
      </c>
      <c r="Q65" s="75" t="e">
        <f t="shared" si="22"/>
        <v>#DIV/0!</v>
      </c>
      <c r="R65" s="441" t="e">
        <f>SUM(Q$13:Q65)</f>
        <v>#DIV/0!</v>
      </c>
      <c r="S65" s="254" t="e">
        <f t="shared" si="23"/>
        <v>#DIV/0!</v>
      </c>
      <c r="T65" s="254"/>
      <c r="U65" s="254"/>
      <c r="V65" s="254" t="e">
        <f t="shared" si="7"/>
        <v>#DIV/0!</v>
      </c>
      <c r="W65" s="254" t="e">
        <f t="shared" si="6"/>
        <v>#DIV/0!</v>
      </c>
      <c r="X65" s="254"/>
      <c r="Y65" s="254"/>
      <c r="Z65" s="251"/>
    </row>
    <row r="66" spans="1:26">
      <c r="A66" s="286"/>
      <c r="B66" s="91">
        <v>0</v>
      </c>
      <c r="C66" s="351">
        <v>940</v>
      </c>
      <c r="D66" s="497"/>
      <c r="E66" s="425"/>
      <c r="F66" s="498"/>
      <c r="G66" s="427" t="e">
        <f t="shared" si="16"/>
        <v>#DIV/0!</v>
      </c>
      <c r="H66" s="425"/>
      <c r="I66" s="425"/>
      <c r="J66" s="425"/>
      <c r="K66" s="425"/>
      <c r="L66" s="426" t="e">
        <f t="shared" si="17"/>
        <v>#DIV/0!</v>
      </c>
      <c r="M66" s="351" t="e">
        <f t="shared" si="18"/>
        <v>#DIV/0!</v>
      </c>
      <c r="N66" s="481" t="e">
        <f t="shared" si="19"/>
        <v>#DIV/0!</v>
      </c>
      <c r="O66" s="81">
        <f t="shared" si="20"/>
        <v>470</v>
      </c>
      <c r="P66" s="16" t="e">
        <f t="shared" si="21"/>
        <v>#DIV/0!</v>
      </c>
      <c r="Q66" s="75" t="e">
        <f t="shared" si="22"/>
        <v>#DIV/0!</v>
      </c>
      <c r="R66" s="441" t="e">
        <f>SUM(Q$13:Q66)</f>
        <v>#DIV/0!</v>
      </c>
      <c r="S66" s="254" t="e">
        <f t="shared" si="23"/>
        <v>#DIV/0!</v>
      </c>
      <c r="T66" s="254"/>
      <c r="U66" s="254"/>
      <c r="V66" s="254" t="e">
        <f t="shared" si="7"/>
        <v>#DIV/0!</v>
      </c>
      <c r="W66" s="254" t="e">
        <f t="shared" si="6"/>
        <v>#DIV/0!</v>
      </c>
      <c r="X66" s="254"/>
      <c r="Y66" s="254"/>
      <c r="Z66" s="251"/>
    </row>
    <row r="67" spans="1:26">
      <c r="A67" s="286"/>
      <c r="B67" s="91">
        <v>0</v>
      </c>
      <c r="C67" s="351">
        <v>960</v>
      </c>
      <c r="D67" s="497"/>
      <c r="E67" s="425"/>
      <c r="F67" s="498"/>
      <c r="G67" s="427" t="e">
        <f t="shared" si="16"/>
        <v>#DIV/0!</v>
      </c>
      <c r="H67" s="425"/>
      <c r="I67" s="425"/>
      <c r="J67" s="425"/>
      <c r="K67" s="425"/>
      <c r="L67" s="426" t="e">
        <f t="shared" si="17"/>
        <v>#DIV/0!</v>
      </c>
      <c r="M67" s="351" t="e">
        <f t="shared" si="18"/>
        <v>#DIV/0!</v>
      </c>
      <c r="N67" s="481" t="e">
        <f t="shared" si="19"/>
        <v>#DIV/0!</v>
      </c>
      <c r="O67" s="81">
        <f t="shared" si="20"/>
        <v>480</v>
      </c>
      <c r="P67" s="16" t="e">
        <f t="shared" si="21"/>
        <v>#DIV/0!</v>
      </c>
      <c r="Q67" s="75" t="e">
        <f t="shared" si="22"/>
        <v>#DIV/0!</v>
      </c>
      <c r="R67" s="441" t="e">
        <f>SUM(Q$13:Q67)</f>
        <v>#DIV/0!</v>
      </c>
      <c r="S67" s="254" t="e">
        <f t="shared" si="23"/>
        <v>#DIV/0!</v>
      </c>
      <c r="T67" s="254"/>
      <c r="U67" s="254"/>
      <c r="V67" s="254" t="e">
        <f t="shared" si="7"/>
        <v>#DIV/0!</v>
      </c>
      <c r="W67" s="254" t="e">
        <f t="shared" si="6"/>
        <v>#DIV/0!</v>
      </c>
      <c r="X67" s="254"/>
      <c r="Y67" s="254"/>
      <c r="Z67" s="251"/>
    </row>
    <row r="68" spans="1:26">
      <c r="A68" s="286"/>
      <c r="B68" s="91">
        <v>0</v>
      </c>
      <c r="C68" s="351">
        <v>980</v>
      </c>
      <c r="D68" s="497"/>
      <c r="E68" s="425"/>
      <c r="F68" s="498"/>
      <c r="G68" s="427" t="e">
        <f t="shared" si="16"/>
        <v>#DIV/0!</v>
      </c>
      <c r="H68" s="425"/>
      <c r="I68" s="425"/>
      <c r="J68" s="425"/>
      <c r="K68" s="425"/>
      <c r="L68" s="426" t="e">
        <f t="shared" si="17"/>
        <v>#DIV/0!</v>
      </c>
      <c r="M68" s="351" t="e">
        <f t="shared" si="18"/>
        <v>#DIV/0!</v>
      </c>
      <c r="N68" s="481" t="e">
        <f t="shared" si="19"/>
        <v>#DIV/0!</v>
      </c>
      <c r="O68" s="81">
        <f t="shared" si="20"/>
        <v>490</v>
      </c>
      <c r="P68" s="16" t="e">
        <f t="shared" si="21"/>
        <v>#DIV/0!</v>
      </c>
      <c r="Q68" s="75" t="e">
        <f t="shared" si="22"/>
        <v>#DIV/0!</v>
      </c>
      <c r="R68" s="441" t="e">
        <f>SUM(Q$13:Q68)</f>
        <v>#DIV/0!</v>
      </c>
      <c r="S68" s="254" t="e">
        <f t="shared" si="23"/>
        <v>#DIV/0!</v>
      </c>
      <c r="T68" s="254"/>
      <c r="U68" s="254"/>
      <c r="V68" s="254" t="e">
        <f t="shared" si="7"/>
        <v>#DIV/0!</v>
      </c>
      <c r="W68" s="254" t="e">
        <f t="shared" si="6"/>
        <v>#DIV/0!</v>
      </c>
      <c r="X68" s="254"/>
      <c r="Y68" s="254"/>
      <c r="Z68" s="251"/>
    </row>
    <row r="69" spans="1:26">
      <c r="A69" s="286"/>
      <c r="B69" s="91">
        <v>0</v>
      </c>
      <c r="C69" s="351">
        <v>1000</v>
      </c>
      <c r="D69" s="497"/>
      <c r="E69" s="425"/>
      <c r="F69" s="498"/>
      <c r="G69" s="427" t="e">
        <f t="shared" si="16"/>
        <v>#DIV/0!</v>
      </c>
      <c r="H69" s="425"/>
      <c r="I69" s="425"/>
      <c r="J69" s="425"/>
      <c r="K69" s="425"/>
      <c r="L69" s="426" t="e">
        <f t="shared" si="17"/>
        <v>#DIV/0!</v>
      </c>
      <c r="M69" s="351" t="e">
        <f t="shared" si="18"/>
        <v>#DIV/0!</v>
      </c>
      <c r="N69" s="481" t="e">
        <f t="shared" si="19"/>
        <v>#DIV/0!</v>
      </c>
      <c r="O69" s="81">
        <f t="shared" si="20"/>
        <v>500</v>
      </c>
      <c r="P69" s="16" t="e">
        <f t="shared" si="21"/>
        <v>#DIV/0!</v>
      </c>
      <c r="Q69" s="75" t="e">
        <f t="shared" si="22"/>
        <v>#DIV/0!</v>
      </c>
      <c r="R69" s="441" t="e">
        <f>SUM(Q$13:Q69)</f>
        <v>#DIV/0!</v>
      </c>
      <c r="S69" s="254" t="e">
        <f t="shared" si="23"/>
        <v>#DIV/0!</v>
      </c>
      <c r="T69" s="254"/>
      <c r="U69" s="254"/>
      <c r="V69" s="254" t="e">
        <f t="shared" si="7"/>
        <v>#DIV/0!</v>
      </c>
      <c r="W69" s="254" t="e">
        <f t="shared" si="6"/>
        <v>#DIV/0!</v>
      </c>
      <c r="X69" s="254"/>
      <c r="Y69" s="254"/>
      <c r="Z69" s="251"/>
    </row>
    <row r="70" spans="1:26">
      <c r="A70" s="286"/>
      <c r="B70" s="91">
        <v>0</v>
      </c>
      <c r="C70" s="351">
        <v>1020</v>
      </c>
      <c r="D70" s="497"/>
      <c r="E70" s="425"/>
      <c r="F70" s="498"/>
      <c r="G70" s="427" t="e">
        <f t="shared" si="16"/>
        <v>#DIV/0!</v>
      </c>
      <c r="H70" s="425"/>
      <c r="I70" s="425"/>
      <c r="J70" s="425"/>
      <c r="K70" s="425"/>
      <c r="L70" s="426" t="e">
        <f t="shared" si="17"/>
        <v>#DIV/0!</v>
      </c>
      <c r="M70" s="351" t="e">
        <f t="shared" si="18"/>
        <v>#DIV/0!</v>
      </c>
      <c r="N70" s="481" t="e">
        <f t="shared" si="19"/>
        <v>#DIV/0!</v>
      </c>
      <c r="O70" s="81">
        <f t="shared" si="20"/>
        <v>510</v>
      </c>
      <c r="P70" s="16" t="e">
        <f t="shared" si="21"/>
        <v>#DIV/0!</v>
      </c>
      <c r="Q70" s="75" t="e">
        <f t="shared" si="22"/>
        <v>#DIV/0!</v>
      </c>
      <c r="R70" s="441" t="e">
        <f>SUM(Q$13:Q70)</f>
        <v>#DIV/0!</v>
      </c>
      <c r="S70" s="254" t="e">
        <f t="shared" si="23"/>
        <v>#DIV/0!</v>
      </c>
      <c r="T70" s="254"/>
      <c r="U70" s="254"/>
      <c r="V70" s="254" t="e">
        <f t="shared" si="7"/>
        <v>#DIV/0!</v>
      </c>
      <c r="W70" s="254" t="e">
        <f t="shared" si="6"/>
        <v>#DIV/0!</v>
      </c>
      <c r="X70" s="254"/>
      <c r="Y70" s="254"/>
      <c r="Z70" s="251"/>
    </row>
    <row r="71" spans="1:26">
      <c r="A71" s="286"/>
      <c r="B71" s="91">
        <v>0</v>
      </c>
      <c r="C71" s="351">
        <v>1040</v>
      </c>
      <c r="D71" s="497"/>
      <c r="E71" s="425"/>
      <c r="F71" s="498"/>
      <c r="G71" s="427" t="e">
        <f t="shared" si="16"/>
        <v>#DIV/0!</v>
      </c>
      <c r="H71" s="425"/>
      <c r="I71" s="425"/>
      <c r="J71" s="425"/>
      <c r="K71" s="425"/>
      <c r="L71" s="426" t="e">
        <f t="shared" si="17"/>
        <v>#DIV/0!</v>
      </c>
      <c r="M71" s="351" t="e">
        <f t="shared" si="18"/>
        <v>#DIV/0!</v>
      </c>
      <c r="N71" s="481" t="e">
        <f t="shared" si="19"/>
        <v>#DIV/0!</v>
      </c>
      <c r="O71" s="81">
        <f t="shared" si="20"/>
        <v>520</v>
      </c>
      <c r="P71" s="16" t="e">
        <f t="shared" si="21"/>
        <v>#DIV/0!</v>
      </c>
      <c r="Q71" s="75" t="e">
        <f t="shared" si="22"/>
        <v>#DIV/0!</v>
      </c>
      <c r="R71" s="441" t="e">
        <f>SUM(Q$13:Q71)</f>
        <v>#DIV/0!</v>
      </c>
      <c r="S71" s="254" t="e">
        <f t="shared" si="23"/>
        <v>#DIV/0!</v>
      </c>
      <c r="T71" s="254"/>
      <c r="U71" s="254"/>
      <c r="V71" s="254" t="e">
        <f t="shared" si="7"/>
        <v>#DIV/0!</v>
      </c>
      <c r="W71" s="254" t="e">
        <f t="shared" si="6"/>
        <v>#DIV/0!</v>
      </c>
      <c r="X71" s="254"/>
      <c r="Y71" s="254"/>
      <c r="Z71" s="251"/>
    </row>
    <row r="72" spans="1:26">
      <c r="A72" s="286"/>
      <c r="B72" s="91">
        <v>0</v>
      </c>
      <c r="C72" s="351">
        <v>1060</v>
      </c>
      <c r="D72" s="497"/>
      <c r="E72" s="425"/>
      <c r="F72" s="498"/>
      <c r="G72" s="427" t="e">
        <f t="shared" si="16"/>
        <v>#DIV/0!</v>
      </c>
      <c r="H72" s="425"/>
      <c r="I72" s="425"/>
      <c r="J72" s="425"/>
      <c r="K72" s="425"/>
      <c r="L72" s="426" t="e">
        <f t="shared" si="17"/>
        <v>#DIV/0!</v>
      </c>
      <c r="M72" s="351" t="e">
        <f t="shared" si="18"/>
        <v>#DIV/0!</v>
      </c>
      <c r="N72" s="481" t="e">
        <f t="shared" si="19"/>
        <v>#DIV/0!</v>
      </c>
      <c r="O72" s="81">
        <f t="shared" si="20"/>
        <v>530</v>
      </c>
      <c r="P72" s="16" t="e">
        <f t="shared" si="21"/>
        <v>#DIV/0!</v>
      </c>
      <c r="Q72" s="75" t="e">
        <f t="shared" si="22"/>
        <v>#DIV/0!</v>
      </c>
      <c r="R72" s="441" t="e">
        <f>SUM(Q$13:Q72)</f>
        <v>#DIV/0!</v>
      </c>
      <c r="S72" s="254" t="e">
        <f t="shared" si="23"/>
        <v>#DIV/0!</v>
      </c>
      <c r="T72" s="254"/>
      <c r="U72" s="254"/>
      <c r="V72" s="254" t="e">
        <f t="shared" si="7"/>
        <v>#DIV/0!</v>
      </c>
      <c r="W72" s="254" t="e">
        <f t="shared" si="6"/>
        <v>#DIV/0!</v>
      </c>
      <c r="X72" s="254"/>
      <c r="Y72" s="254"/>
      <c r="Z72" s="251"/>
    </row>
    <row r="73" spans="1:26">
      <c r="A73" s="286"/>
      <c r="B73" s="91">
        <v>0</v>
      </c>
      <c r="C73" s="351">
        <v>1080</v>
      </c>
      <c r="D73" s="497"/>
      <c r="E73" s="425"/>
      <c r="F73" s="498"/>
      <c r="G73" s="427" t="e">
        <f t="shared" si="16"/>
        <v>#DIV/0!</v>
      </c>
      <c r="H73" s="425"/>
      <c r="I73" s="425"/>
      <c r="J73" s="425"/>
      <c r="K73" s="425"/>
      <c r="L73" s="426" t="e">
        <f t="shared" si="17"/>
        <v>#DIV/0!</v>
      </c>
      <c r="M73" s="351" t="e">
        <f t="shared" si="18"/>
        <v>#DIV/0!</v>
      </c>
      <c r="N73" s="481" t="e">
        <f t="shared" si="19"/>
        <v>#DIV/0!</v>
      </c>
      <c r="O73" s="81">
        <f t="shared" si="20"/>
        <v>540</v>
      </c>
      <c r="P73" s="16" t="e">
        <f t="shared" si="21"/>
        <v>#DIV/0!</v>
      </c>
      <c r="Q73" s="75" t="e">
        <f t="shared" si="22"/>
        <v>#DIV/0!</v>
      </c>
      <c r="R73" s="441" t="e">
        <f>SUM(Q$13:Q73)</f>
        <v>#DIV/0!</v>
      </c>
      <c r="S73" s="254" t="e">
        <f t="shared" si="23"/>
        <v>#DIV/0!</v>
      </c>
      <c r="T73" s="254"/>
      <c r="U73" s="254"/>
      <c r="V73" s="254" t="e">
        <f t="shared" si="7"/>
        <v>#DIV/0!</v>
      </c>
      <c r="W73" s="254" t="e">
        <f t="shared" si="6"/>
        <v>#DIV/0!</v>
      </c>
      <c r="X73" s="254"/>
      <c r="Y73" s="254"/>
      <c r="Z73" s="251"/>
    </row>
    <row r="74" spans="1:26">
      <c r="A74" s="286"/>
      <c r="B74" s="91">
        <v>0</v>
      </c>
      <c r="C74" s="351">
        <v>1100</v>
      </c>
      <c r="D74" s="497"/>
      <c r="E74" s="425"/>
      <c r="F74" s="498"/>
      <c r="G74" s="427" t="e">
        <f t="shared" si="16"/>
        <v>#DIV/0!</v>
      </c>
      <c r="H74" s="425"/>
      <c r="I74" s="425"/>
      <c r="J74" s="425"/>
      <c r="K74" s="425"/>
      <c r="L74" s="426" t="e">
        <f t="shared" si="17"/>
        <v>#DIV/0!</v>
      </c>
      <c r="M74" s="351" t="e">
        <f t="shared" si="18"/>
        <v>#DIV/0!</v>
      </c>
      <c r="N74" s="481" t="e">
        <f t="shared" si="19"/>
        <v>#DIV/0!</v>
      </c>
      <c r="O74" s="81">
        <f t="shared" si="20"/>
        <v>550</v>
      </c>
      <c r="P74" s="16" t="e">
        <f t="shared" si="21"/>
        <v>#DIV/0!</v>
      </c>
      <c r="Q74" s="75" t="e">
        <f t="shared" si="22"/>
        <v>#DIV/0!</v>
      </c>
      <c r="R74" s="441" t="e">
        <f>SUM(Q$13:Q74)</f>
        <v>#DIV/0!</v>
      </c>
      <c r="S74" s="254" t="e">
        <f t="shared" si="23"/>
        <v>#DIV/0!</v>
      </c>
      <c r="T74" s="254"/>
      <c r="U74" s="254"/>
      <c r="V74" s="254" t="e">
        <f t="shared" si="7"/>
        <v>#DIV/0!</v>
      </c>
      <c r="W74" s="254" t="e">
        <f t="shared" si="6"/>
        <v>#DIV/0!</v>
      </c>
      <c r="X74" s="254"/>
      <c r="Y74" s="254"/>
      <c r="Z74" s="251"/>
    </row>
    <row r="75" spans="1:26">
      <c r="A75" s="286"/>
      <c r="B75" s="91">
        <v>0</v>
      </c>
      <c r="C75" s="351">
        <v>1120</v>
      </c>
      <c r="D75" s="497"/>
      <c r="E75" s="425"/>
      <c r="F75" s="498"/>
      <c r="G75" s="427" t="e">
        <f t="shared" si="16"/>
        <v>#DIV/0!</v>
      </c>
      <c r="H75" s="425"/>
      <c r="I75" s="425"/>
      <c r="J75" s="425"/>
      <c r="K75" s="425"/>
      <c r="L75" s="426" t="e">
        <f t="shared" si="17"/>
        <v>#DIV/0!</v>
      </c>
      <c r="M75" s="351" t="e">
        <f t="shared" si="18"/>
        <v>#DIV/0!</v>
      </c>
      <c r="N75" s="481" t="e">
        <f t="shared" si="19"/>
        <v>#DIV/0!</v>
      </c>
      <c r="O75" s="81">
        <f t="shared" si="20"/>
        <v>560</v>
      </c>
      <c r="P75" s="16" t="e">
        <f t="shared" si="21"/>
        <v>#DIV/0!</v>
      </c>
      <c r="Q75" s="75" t="e">
        <f t="shared" si="22"/>
        <v>#DIV/0!</v>
      </c>
      <c r="R75" s="441" t="e">
        <f>SUM(Q$13:Q75)</f>
        <v>#DIV/0!</v>
      </c>
      <c r="S75" s="254" t="e">
        <f t="shared" si="23"/>
        <v>#DIV/0!</v>
      </c>
      <c r="T75" s="254"/>
      <c r="U75" s="254"/>
      <c r="V75" s="254" t="e">
        <f t="shared" si="7"/>
        <v>#DIV/0!</v>
      </c>
      <c r="W75" s="254" t="e">
        <f t="shared" si="6"/>
        <v>#DIV/0!</v>
      </c>
      <c r="X75" s="254"/>
      <c r="Y75" s="254"/>
      <c r="Z75" s="251"/>
    </row>
    <row r="76" spans="1:26">
      <c r="A76" s="286"/>
      <c r="B76" s="91">
        <v>0</v>
      </c>
      <c r="C76" s="351">
        <v>1140</v>
      </c>
      <c r="D76" s="497"/>
      <c r="E76" s="425"/>
      <c r="F76" s="498"/>
      <c r="G76" s="427" t="e">
        <f t="shared" si="16"/>
        <v>#DIV/0!</v>
      </c>
      <c r="H76" s="425"/>
      <c r="I76" s="425"/>
      <c r="J76" s="425"/>
      <c r="K76" s="425"/>
      <c r="L76" s="426" t="e">
        <f t="shared" si="17"/>
        <v>#DIV/0!</v>
      </c>
      <c r="M76" s="351" t="e">
        <f t="shared" si="18"/>
        <v>#DIV/0!</v>
      </c>
      <c r="N76" s="481" t="e">
        <f t="shared" si="19"/>
        <v>#DIV/0!</v>
      </c>
      <c r="O76" s="81">
        <f t="shared" si="20"/>
        <v>570</v>
      </c>
      <c r="P76" s="16" t="e">
        <f t="shared" si="21"/>
        <v>#DIV/0!</v>
      </c>
      <c r="Q76" s="75" t="e">
        <f t="shared" si="22"/>
        <v>#DIV/0!</v>
      </c>
      <c r="R76" s="441" t="e">
        <f>SUM(Q$13:Q76)</f>
        <v>#DIV/0!</v>
      </c>
      <c r="S76" s="254" t="e">
        <f t="shared" si="23"/>
        <v>#DIV/0!</v>
      </c>
      <c r="T76" s="254"/>
      <c r="U76" s="254"/>
      <c r="V76" s="254" t="e">
        <f t="shared" si="7"/>
        <v>#DIV/0!</v>
      </c>
      <c r="W76" s="254" t="e">
        <f t="shared" si="6"/>
        <v>#DIV/0!</v>
      </c>
      <c r="X76" s="254"/>
      <c r="Y76" s="254"/>
      <c r="Z76" s="251"/>
    </row>
    <row r="77" spans="1:26">
      <c r="A77" s="286"/>
      <c r="B77" s="91">
        <v>0</v>
      </c>
      <c r="C77" s="351">
        <v>1160</v>
      </c>
      <c r="D77" s="497"/>
      <c r="E77" s="425"/>
      <c r="F77" s="498"/>
      <c r="G77" s="427" t="e">
        <f t="shared" si="16"/>
        <v>#DIV/0!</v>
      </c>
      <c r="H77" s="425"/>
      <c r="I77" s="425"/>
      <c r="J77" s="425"/>
      <c r="K77" s="425"/>
      <c r="L77" s="426" t="e">
        <f t="shared" si="17"/>
        <v>#DIV/0!</v>
      </c>
      <c r="M77" s="351" t="e">
        <f t="shared" si="18"/>
        <v>#DIV/0!</v>
      </c>
      <c r="N77" s="481" t="e">
        <f t="shared" si="19"/>
        <v>#DIV/0!</v>
      </c>
      <c r="O77" s="81">
        <f t="shared" si="20"/>
        <v>580</v>
      </c>
      <c r="P77" s="16" t="e">
        <f t="shared" si="21"/>
        <v>#DIV/0!</v>
      </c>
      <c r="Q77" s="75" t="e">
        <f t="shared" si="22"/>
        <v>#DIV/0!</v>
      </c>
      <c r="R77" s="441" t="e">
        <f>SUM(Q$13:Q77)</f>
        <v>#DIV/0!</v>
      </c>
      <c r="S77" s="254" t="e">
        <f t="shared" si="23"/>
        <v>#DIV/0!</v>
      </c>
      <c r="T77" s="254"/>
      <c r="U77" s="254"/>
      <c r="V77" s="254" t="e">
        <f t="shared" si="7"/>
        <v>#DIV/0!</v>
      </c>
      <c r="W77" s="254" t="e">
        <f t="shared" si="6"/>
        <v>#DIV/0!</v>
      </c>
      <c r="X77" s="254"/>
      <c r="Y77" s="254"/>
      <c r="Z77" s="251"/>
    </row>
    <row r="78" spans="1:26">
      <c r="A78" s="286"/>
      <c r="B78" s="91">
        <v>0</v>
      </c>
      <c r="C78" s="351">
        <v>1180</v>
      </c>
      <c r="D78" s="497"/>
      <c r="E78" s="425"/>
      <c r="F78" s="498"/>
      <c r="G78" s="427" t="e">
        <f t="shared" si="16"/>
        <v>#DIV/0!</v>
      </c>
      <c r="H78" s="425"/>
      <c r="I78" s="425"/>
      <c r="J78" s="425"/>
      <c r="K78" s="425"/>
      <c r="L78" s="426" t="e">
        <f t="shared" si="17"/>
        <v>#DIV/0!</v>
      </c>
      <c r="M78" s="351" t="e">
        <f t="shared" si="18"/>
        <v>#DIV/0!</v>
      </c>
      <c r="N78" s="481" t="e">
        <f t="shared" si="19"/>
        <v>#DIV/0!</v>
      </c>
      <c r="O78" s="81">
        <f t="shared" si="20"/>
        <v>590</v>
      </c>
      <c r="P78" s="16" t="e">
        <f t="shared" si="21"/>
        <v>#DIV/0!</v>
      </c>
      <c r="Q78" s="75" t="e">
        <f t="shared" si="22"/>
        <v>#DIV/0!</v>
      </c>
      <c r="R78" s="441" t="e">
        <f>SUM(Q$13:Q78)</f>
        <v>#DIV/0!</v>
      </c>
      <c r="S78" s="254" t="e">
        <f t="shared" si="23"/>
        <v>#DIV/0!</v>
      </c>
      <c r="T78" s="254"/>
      <c r="U78" s="254"/>
      <c r="V78" s="254" t="e">
        <f t="shared" si="7"/>
        <v>#DIV/0!</v>
      </c>
      <c r="W78" s="254" t="e">
        <f>(A79-(V78/0.9))/M78</f>
        <v>#DIV/0!</v>
      </c>
      <c r="X78" s="254"/>
      <c r="Y78" s="254"/>
      <c r="Z78" s="251"/>
    </row>
    <row r="79" spans="1:26">
      <c r="A79" s="286"/>
      <c r="B79" s="91">
        <v>0</v>
      </c>
      <c r="C79" s="351">
        <v>1200</v>
      </c>
      <c r="D79" s="497"/>
      <c r="E79" s="425"/>
      <c r="F79" s="498"/>
      <c r="G79" s="427" t="e">
        <f t="shared" si="16"/>
        <v>#DIV/0!</v>
      </c>
      <c r="H79" s="425"/>
      <c r="I79" s="425"/>
      <c r="J79" s="425"/>
      <c r="K79" s="425"/>
      <c r="L79" s="426" t="e">
        <f t="shared" si="17"/>
        <v>#DIV/0!</v>
      </c>
      <c r="M79" s="351" t="e">
        <f t="shared" si="18"/>
        <v>#DIV/0!</v>
      </c>
      <c r="N79" s="481" t="e">
        <f t="shared" si="19"/>
        <v>#DIV/0!</v>
      </c>
      <c r="O79" s="81">
        <f t="shared" si="20"/>
        <v>600</v>
      </c>
      <c r="P79" s="16" t="e">
        <f t="shared" si="21"/>
        <v>#DIV/0!</v>
      </c>
      <c r="Q79" s="75" t="e">
        <f t="shared" si="22"/>
        <v>#DIV/0!</v>
      </c>
      <c r="R79" s="441" t="e">
        <f>SUM(Q$13:Q79)</f>
        <v>#DIV/0!</v>
      </c>
      <c r="S79" s="254" t="e">
        <f t="shared" si="23"/>
        <v>#DIV/0!</v>
      </c>
      <c r="T79" s="254"/>
      <c r="U79" s="254"/>
      <c r="V79" s="254" t="e">
        <f t="shared" si="7"/>
        <v>#DIV/0!</v>
      </c>
      <c r="W79" s="254" t="e">
        <f>(A80-(V79/0.9))/M79</f>
        <v>#DIV/0!</v>
      </c>
      <c r="X79" s="254"/>
      <c r="Y79" s="254"/>
      <c r="Z79" s="251"/>
    </row>
    <row r="80" spans="1:26">
      <c r="A80" s="286"/>
      <c r="B80" s="91">
        <v>0</v>
      </c>
      <c r="C80" s="351">
        <v>1220</v>
      </c>
      <c r="D80" s="497"/>
      <c r="E80" s="425"/>
      <c r="F80" s="498"/>
      <c r="G80" s="427" t="e">
        <f t="shared" si="16"/>
        <v>#DIV/0!</v>
      </c>
      <c r="H80" s="425"/>
      <c r="I80" s="425"/>
      <c r="J80" s="425"/>
      <c r="K80" s="425"/>
      <c r="L80" s="426" t="e">
        <f t="shared" si="17"/>
        <v>#DIV/0!</v>
      </c>
      <c r="M80" s="351" t="e">
        <f t="shared" si="18"/>
        <v>#DIV/0!</v>
      </c>
      <c r="N80" s="481" t="e">
        <f t="shared" si="19"/>
        <v>#DIV/0!</v>
      </c>
      <c r="O80" s="81">
        <f t="shared" si="20"/>
        <v>610</v>
      </c>
      <c r="P80" s="16" t="e">
        <f t="shared" si="21"/>
        <v>#DIV/0!</v>
      </c>
      <c r="Q80" s="75" t="e">
        <f t="shared" si="22"/>
        <v>#DIV/0!</v>
      </c>
      <c r="R80" s="441" t="e">
        <f>SUM(Q$13:Q80)</f>
        <v>#DIV/0!</v>
      </c>
      <c r="S80" s="254" t="e">
        <f t="shared" si="23"/>
        <v>#DIV/0!</v>
      </c>
      <c r="T80" s="254"/>
      <c r="U80" s="254"/>
      <c r="V80" s="254" t="e">
        <f t="shared" si="7"/>
        <v>#DIV/0!</v>
      </c>
      <c r="W80" s="254" t="e">
        <f>(A81-(V80/0.9))/M80</f>
        <v>#VALUE!</v>
      </c>
      <c r="X80" s="254"/>
      <c r="Y80" s="254"/>
      <c r="Z80" s="251"/>
    </row>
    <row r="81" spans="1:26">
      <c r="A81" s="287" t="s">
        <v>73</v>
      </c>
      <c r="B81" s="258"/>
      <c r="C81" s="352"/>
      <c r="D81" s="352"/>
      <c r="E81" s="352"/>
      <c r="F81" s="352"/>
      <c r="G81" s="398"/>
      <c r="H81" s="352"/>
      <c r="I81" s="352"/>
      <c r="J81" s="352"/>
      <c r="K81" s="352"/>
      <c r="L81" s="403"/>
      <c r="M81" s="352"/>
      <c r="N81" s="483"/>
      <c r="O81" s="260"/>
      <c r="P81" s="261"/>
      <c r="Q81" s="444"/>
      <c r="R81" s="445"/>
      <c r="S81" s="264"/>
      <c r="T81" s="264"/>
      <c r="U81" s="264"/>
      <c r="V81" s="264"/>
      <c r="W81" s="264"/>
      <c r="X81" s="264"/>
      <c r="Y81" s="264"/>
      <c r="Z81" s="265"/>
    </row>
    <row r="82" spans="1:26">
      <c r="A82" s="266"/>
      <c r="B82" s="267"/>
      <c r="C82" s="353"/>
      <c r="D82" s="353"/>
      <c r="E82" s="353"/>
      <c r="F82" s="353"/>
      <c r="G82" s="399"/>
      <c r="H82" s="353"/>
      <c r="I82" s="353"/>
      <c r="J82" s="353"/>
      <c r="K82" s="353"/>
      <c r="L82" s="404"/>
      <c r="M82" s="353"/>
      <c r="N82" s="484"/>
      <c r="O82" s="269"/>
      <c r="P82" s="446"/>
      <c r="Q82" s="271"/>
      <c r="R82" s="447"/>
      <c r="S82" s="448"/>
      <c r="T82" s="448"/>
      <c r="U82" s="448"/>
      <c r="V82" s="448"/>
      <c r="W82" s="448"/>
      <c r="X82" s="448"/>
      <c r="Y82" s="448"/>
      <c r="Z82" s="274"/>
    </row>
    <row r="83" spans="1:26" ht="12" thickBot="1">
      <c r="A83" s="275"/>
      <c r="B83" s="276"/>
      <c r="C83" s="354"/>
      <c r="D83" s="354"/>
      <c r="E83" s="354"/>
      <c r="F83" s="354"/>
      <c r="G83" s="400"/>
      <c r="H83" s="354"/>
      <c r="I83" s="354"/>
      <c r="J83" s="354"/>
      <c r="K83" s="354"/>
      <c r="L83" s="405"/>
      <c r="M83" s="354"/>
      <c r="N83" s="485"/>
      <c r="O83" s="278"/>
      <c r="P83" s="449"/>
      <c r="Q83" s="280"/>
      <c r="R83" s="450"/>
      <c r="S83" s="451"/>
      <c r="T83" s="451"/>
      <c r="U83" s="451"/>
      <c r="V83" s="451"/>
      <c r="W83" s="451"/>
      <c r="X83" s="451"/>
      <c r="Y83" s="451"/>
      <c r="Z83" s="283"/>
    </row>
    <row r="84" spans="1:26">
      <c r="A84" s="15"/>
      <c r="B84" s="15"/>
      <c r="C84" s="14"/>
      <c r="D84" s="105"/>
      <c r="E84" s="105"/>
      <c r="F84" s="105"/>
      <c r="G84" s="13"/>
      <c r="H84" s="106"/>
      <c r="I84" s="107"/>
      <c r="J84" s="104"/>
      <c r="K84" s="101"/>
      <c r="L84" s="102"/>
      <c r="M84" s="56"/>
      <c r="O84" s="93"/>
      <c r="P84" s="112"/>
    </row>
    <row r="85" spans="1:26">
      <c r="A85" s="56"/>
      <c r="B85" s="56"/>
      <c r="C85" s="108"/>
      <c r="D85" s="108"/>
      <c r="E85" s="108"/>
      <c r="F85" s="108"/>
      <c r="G85" s="107"/>
      <c r="H85" s="106"/>
      <c r="I85" s="107"/>
      <c r="J85" s="104"/>
      <c r="K85" s="103"/>
      <c r="L85" s="102"/>
      <c r="M85" s="56"/>
      <c r="O85" s="93"/>
      <c r="P85" s="112"/>
    </row>
    <row r="86" spans="1:26">
      <c r="A86" s="109"/>
      <c r="B86" s="109"/>
      <c r="C86" s="109"/>
      <c r="D86" s="109"/>
      <c r="E86" s="104"/>
      <c r="F86" s="110"/>
      <c r="G86" s="56"/>
      <c r="H86" s="93"/>
      <c r="I86" s="56"/>
      <c r="J86" s="93"/>
      <c r="K86" s="93"/>
      <c r="L86" s="56"/>
      <c r="M86" s="56"/>
      <c r="O86" s="93"/>
      <c r="P86" s="112"/>
    </row>
    <row r="87" spans="1:26">
      <c r="A87" s="111"/>
      <c r="B87" s="111"/>
      <c r="C87" s="109"/>
      <c r="D87" s="109"/>
      <c r="E87" s="104"/>
      <c r="F87" s="110"/>
      <c r="G87" s="93"/>
      <c r="H87" s="93"/>
      <c r="I87" s="56"/>
      <c r="J87" s="93"/>
      <c r="K87" s="93"/>
      <c r="L87" s="56"/>
      <c r="M87" s="56"/>
      <c r="O87" s="93"/>
      <c r="P87" s="112"/>
    </row>
    <row r="88" spans="1:26">
      <c r="A88" s="50"/>
      <c r="B88" s="50"/>
      <c r="C88" s="109"/>
      <c r="D88" s="109"/>
      <c r="E88" s="104"/>
      <c r="F88" s="110"/>
      <c r="G88" s="93"/>
      <c r="H88" s="93"/>
      <c r="I88" s="56"/>
      <c r="J88" s="93"/>
      <c r="K88" s="93"/>
      <c r="L88" s="56"/>
      <c r="M88" s="56"/>
      <c r="O88" s="93"/>
      <c r="P88" s="112"/>
    </row>
    <row r="89" spans="1:26">
      <c r="A89" s="109"/>
      <c r="B89" s="109"/>
      <c r="C89" s="109"/>
      <c r="D89" s="109"/>
      <c r="E89" s="104"/>
      <c r="F89" s="110"/>
      <c r="G89" s="93"/>
      <c r="H89" s="93"/>
      <c r="I89" s="56"/>
      <c r="J89" s="93"/>
      <c r="K89" s="93"/>
      <c r="L89" s="56"/>
      <c r="M89" s="56"/>
      <c r="O89" s="93"/>
      <c r="P89" s="112"/>
    </row>
    <row r="90" spans="1:26" s="109" customFormat="1">
      <c r="E90" s="104"/>
      <c r="F90" s="110"/>
      <c r="G90" s="93"/>
      <c r="H90" s="93"/>
      <c r="I90" s="56"/>
      <c r="J90" s="107"/>
      <c r="K90" s="93"/>
      <c r="L90" s="56"/>
      <c r="M90" s="56"/>
      <c r="N90" s="93"/>
      <c r="O90" s="93"/>
      <c r="P90" s="112"/>
      <c r="Q90" s="112"/>
      <c r="R90" s="112"/>
      <c r="S90" s="112"/>
      <c r="T90" s="112"/>
      <c r="U90" s="112"/>
      <c r="V90" s="112"/>
      <c r="W90" s="112"/>
      <c r="X90" s="112"/>
      <c r="Y90" s="112"/>
      <c r="Z90" s="93"/>
    </row>
    <row r="91" spans="1:26" s="109" customFormat="1">
      <c r="E91" s="104"/>
      <c r="F91" s="110"/>
      <c r="G91" s="93"/>
      <c r="H91" s="93"/>
      <c r="I91" s="56"/>
      <c r="J91" s="107"/>
      <c r="K91" s="93"/>
      <c r="L91" s="56"/>
      <c r="M91" s="56"/>
      <c r="N91" s="93"/>
      <c r="O91" s="93"/>
      <c r="P91" s="112"/>
      <c r="Q91" s="112"/>
      <c r="R91" s="112"/>
      <c r="S91" s="112"/>
      <c r="T91" s="112"/>
      <c r="U91" s="112"/>
      <c r="V91" s="112"/>
      <c r="W91" s="112"/>
      <c r="X91" s="112"/>
      <c r="Y91" s="112"/>
      <c r="Z91" s="93"/>
    </row>
    <row r="92" spans="1:26" s="109" customFormat="1">
      <c r="E92" s="104"/>
      <c r="F92" s="110"/>
      <c r="G92" s="93"/>
      <c r="H92" s="93"/>
      <c r="I92" s="56"/>
      <c r="J92" s="93"/>
      <c r="K92" s="93"/>
      <c r="L92" s="56"/>
      <c r="M92" s="56"/>
      <c r="N92" s="93"/>
      <c r="O92" s="93"/>
      <c r="P92" s="112"/>
      <c r="Q92" s="112"/>
      <c r="R92" s="112"/>
      <c r="S92" s="112"/>
      <c r="T92" s="112"/>
      <c r="U92" s="112"/>
      <c r="V92" s="112"/>
      <c r="W92" s="112"/>
      <c r="X92" s="112"/>
      <c r="Y92" s="112"/>
      <c r="Z92" s="93"/>
    </row>
    <row r="93" spans="1:26" s="109" customFormat="1">
      <c r="E93" s="104"/>
      <c r="F93" s="110"/>
      <c r="G93" s="93"/>
      <c r="H93" s="93"/>
      <c r="I93" s="56"/>
      <c r="J93" s="93"/>
      <c r="K93" s="93"/>
      <c r="L93" s="56"/>
      <c r="M93" s="56"/>
      <c r="N93" s="93"/>
      <c r="O93" s="93"/>
      <c r="P93" s="112"/>
      <c r="Q93" s="112"/>
      <c r="R93" s="112"/>
      <c r="S93" s="112"/>
      <c r="T93" s="112"/>
      <c r="U93" s="112"/>
      <c r="V93" s="112"/>
      <c r="W93" s="112"/>
      <c r="X93" s="112"/>
      <c r="Y93" s="112"/>
      <c r="Z93" s="93"/>
    </row>
    <row r="94" spans="1:26" s="109" customFormat="1">
      <c r="E94" s="104"/>
      <c r="F94" s="110"/>
      <c r="G94" s="93"/>
      <c r="H94" s="93"/>
      <c r="I94" s="56"/>
      <c r="J94" s="93"/>
      <c r="K94" s="93"/>
      <c r="L94" s="56"/>
      <c r="M94" s="56"/>
      <c r="N94" s="93"/>
      <c r="O94" s="93"/>
      <c r="P94" s="112"/>
      <c r="Q94" s="112"/>
      <c r="R94" s="112"/>
      <c r="S94" s="112"/>
      <c r="T94" s="112"/>
      <c r="U94" s="112"/>
      <c r="V94" s="112"/>
      <c r="W94" s="112"/>
      <c r="X94" s="112"/>
      <c r="Y94" s="112"/>
      <c r="Z94" s="93"/>
    </row>
    <row r="95" spans="1:26" s="109" customFormat="1">
      <c r="E95" s="104"/>
      <c r="F95" s="110"/>
      <c r="G95" s="93"/>
      <c r="H95" s="93"/>
      <c r="I95" s="56"/>
      <c r="J95" s="93"/>
      <c r="K95" s="93"/>
      <c r="L95" s="56"/>
      <c r="M95" s="56"/>
      <c r="N95" s="93"/>
      <c r="O95" s="93"/>
      <c r="P95" s="112"/>
      <c r="Q95" s="112"/>
      <c r="R95" s="112"/>
      <c r="S95" s="112"/>
      <c r="T95" s="112"/>
      <c r="U95" s="112"/>
      <c r="V95" s="112"/>
      <c r="W95" s="112"/>
      <c r="X95" s="112"/>
      <c r="Y95" s="112"/>
      <c r="Z95" s="93"/>
    </row>
    <row r="96" spans="1:26" s="109" customFormat="1">
      <c r="E96" s="104"/>
      <c r="F96" s="110"/>
      <c r="G96" s="93"/>
      <c r="H96" s="93"/>
      <c r="I96" s="56"/>
      <c r="J96" s="93"/>
      <c r="K96" s="93"/>
      <c r="L96" s="56"/>
      <c r="M96" s="56"/>
      <c r="N96" s="93"/>
      <c r="O96" s="93"/>
      <c r="P96" s="112"/>
      <c r="Q96" s="112"/>
      <c r="R96" s="112"/>
      <c r="S96" s="112"/>
      <c r="T96" s="112"/>
      <c r="U96" s="112"/>
      <c r="V96" s="112"/>
      <c r="W96" s="112"/>
      <c r="X96" s="112"/>
      <c r="Y96" s="112"/>
      <c r="Z96" s="93"/>
    </row>
    <row r="97" spans="5:26" s="109" customFormat="1">
      <c r="E97" s="104"/>
      <c r="F97" s="110"/>
      <c r="G97" s="93"/>
      <c r="H97" s="93"/>
      <c r="I97" s="56"/>
      <c r="J97" s="93"/>
      <c r="K97" s="93"/>
      <c r="L97" s="56"/>
      <c r="M97" s="93"/>
      <c r="N97" s="93"/>
      <c r="O97" s="93"/>
      <c r="P97" s="112"/>
      <c r="Q97" s="112"/>
      <c r="R97" s="112"/>
      <c r="S97" s="112"/>
      <c r="T97" s="112"/>
      <c r="U97" s="112"/>
      <c r="V97" s="112"/>
      <c r="W97" s="112"/>
      <c r="X97" s="112"/>
      <c r="Y97" s="112"/>
      <c r="Z97" s="93"/>
    </row>
    <row r="98" spans="5:26" s="109" customFormat="1">
      <c r="E98" s="104"/>
      <c r="F98" s="110"/>
      <c r="G98" s="93"/>
      <c r="H98" s="93"/>
      <c r="I98" s="56"/>
      <c r="J98" s="93"/>
      <c r="K98" s="93"/>
      <c r="L98" s="56"/>
      <c r="M98" s="93"/>
      <c r="N98" s="93"/>
      <c r="O98" s="93"/>
      <c r="P98" s="112"/>
      <c r="Q98" s="112"/>
      <c r="R98" s="112"/>
      <c r="S98" s="112"/>
      <c r="T98" s="112"/>
      <c r="U98" s="112"/>
      <c r="V98" s="112"/>
      <c r="W98" s="112"/>
      <c r="X98" s="112"/>
      <c r="Y98" s="112"/>
      <c r="Z98" s="93"/>
    </row>
    <row r="99" spans="5:26" s="109" customFormat="1">
      <c r="E99" s="104"/>
      <c r="F99" s="110"/>
      <c r="G99" s="93"/>
      <c r="H99" s="93"/>
      <c r="I99" s="56"/>
      <c r="J99" s="93"/>
      <c r="K99" s="93"/>
      <c r="L99" s="93"/>
      <c r="M99" s="93"/>
      <c r="N99" s="93"/>
      <c r="O99" s="93"/>
      <c r="P99" s="112"/>
      <c r="Q99" s="112"/>
      <c r="R99" s="112"/>
      <c r="S99" s="112"/>
      <c r="T99" s="112"/>
      <c r="U99" s="112"/>
      <c r="V99" s="112"/>
      <c r="W99" s="112"/>
      <c r="X99" s="112"/>
      <c r="Y99" s="112"/>
      <c r="Z99" s="93"/>
    </row>
    <row r="100" spans="5:26" s="109" customFormat="1">
      <c r="E100" s="104"/>
      <c r="F100" s="110"/>
      <c r="G100" s="93"/>
      <c r="H100" s="93"/>
      <c r="I100" s="56"/>
      <c r="J100" s="93"/>
      <c r="K100" s="93"/>
      <c r="L100" s="93"/>
      <c r="M100" s="93"/>
      <c r="N100" s="93"/>
      <c r="O100" s="93"/>
      <c r="P100" s="112"/>
      <c r="Q100" s="112"/>
      <c r="R100" s="112"/>
      <c r="S100" s="112"/>
      <c r="T100" s="112"/>
      <c r="U100" s="112"/>
      <c r="V100" s="112"/>
      <c r="W100" s="112"/>
      <c r="X100" s="112"/>
      <c r="Y100" s="112"/>
      <c r="Z100" s="93"/>
    </row>
    <row r="101" spans="5:26" s="109" customFormat="1">
      <c r="E101" s="104"/>
      <c r="F101" s="110"/>
      <c r="G101" s="93"/>
      <c r="H101" s="93"/>
      <c r="I101" s="56"/>
      <c r="J101" s="93"/>
      <c r="K101" s="93"/>
      <c r="L101" s="93"/>
      <c r="M101" s="93"/>
      <c r="N101" s="93"/>
      <c r="O101" s="93"/>
      <c r="P101" s="112"/>
      <c r="Q101" s="112"/>
      <c r="R101" s="112"/>
      <c r="S101" s="112"/>
      <c r="T101" s="112"/>
      <c r="U101" s="112"/>
      <c r="V101" s="112"/>
      <c r="W101" s="112"/>
      <c r="X101" s="112"/>
      <c r="Y101" s="112"/>
      <c r="Z101" s="93"/>
    </row>
    <row r="102" spans="5:26" s="109" customFormat="1">
      <c r="E102" s="104"/>
      <c r="F102" s="110"/>
      <c r="G102" s="93"/>
      <c r="H102" s="93"/>
      <c r="I102" s="56"/>
      <c r="J102" s="93"/>
      <c r="K102" s="93"/>
      <c r="L102" s="93"/>
      <c r="M102" s="93"/>
      <c r="N102" s="93"/>
      <c r="O102" s="93"/>
      <c r="P102" s="112"/>
      <c r="Q102" s="112"/>
      <c r="R102" s="112"/>
      <c r="S102" s="112"/>
      <c r="T102" s="112"/>
      <c r="U102" s="112"/>
      <c r="V102" s="112"/>
      <c r="W102" s="112"/>
      <c r="X102" s="112"/>
      <c r="Y102" s="112"/>
      <c r="Z102" s="93"/>
    </row>
    <row r="103" spans="5:26" s="109" customFormat="1">
      <c r="E103" s="104"/>
      <c r="F103" s="110"/>
      <c r="G103" s="93"/>
      <c r="H103" s="93"/>
      <c r="I103" s="56"/>
      <c r="J103" s="93"/>
      <c r="K103" s="93"/>
      <c r="L103" s="93"/>
      <c r="M103" s="93"/>
      <c r="N103" s="93"/>
      <c r="O103" s="93"/>
      <c r="P103" s="112"/>
      <c r="Q103" s="112"/>
      <c r="R103" s="112"/>
      <c r="S103" s="112"/>
      <c r="T103" s="112"/>
      <c r="U103" s="112"/>
      <c r="V103" s="112"/>
      <c r="W103" s="112"/>
      <c r="X103" s="112"/>
      <c r="Y103" s="112"/>
      <c r="Z103" s="93"/>
    </row>
    <row r="104" spans="5:26" s="109" customFormat="1">
      <c r="E104" s="104"/>
      <c r="F104" s="110"/>
      <c r="G104" s="93"/>
      <c r="H104" s="93"/>
      <c r="I104" s="56"/>
      <c r="J104" s="93"/>
      <c r="K104" s="93"/>
      <c r="L104" s="93"/>
      <c r="M104" s="93"/>
      <c r="N104" s="93"/>
      <c r="O104" s="93"/>
      <c r="P104" s="112"/>
      <c r="Q104" s="112"/>
      <c r="R104" s="112"/>
      <c r="S104" s="112"/>
      <c r="T104" s="112"/>
      <c r="U104" s="112"/>
      <c r="V104" s="112"/>
      <c r="W104" s="112"/>
      <c r="X104" s="112"/>
      <c r="Y104" s="112"/>
      <c r="Z104" s="93"/>
    </row>
    <row r="105" spans="5:26" s="109" customFormat="1">
      <c r="E105" s="104"/>
      <c r="F105" s="110"/>
      <c r="G105" s="93"/>
      <c r="H105" s="93"/>
      <c r="I105" s="56"/>
      <c r="J105" s="93"/>
      <c r="K105" s="93"/>
      <c r="L105" s="93"/>
      <c r="M105" s="93"/>
      <c r="N105" s="93"/>
      <c r="O105" s="93"/>
      <c r="P105" s="112"/>
      <c r="Q105" s="112"/>
      <c r="R105" s="112"/>
      <c r="S105" s="112"/>
      <c r="T105" s="112"/>
      <c r="U105" s="112"/>
      <c r="V105" s="112"/>
      <c r="W105" s="112"/>
      <c r="X105" s="112"/>
      <c r="Y105" s="112"/>
      <c r="Z105" s="93"/>
    </row>
    <row r="106" spans="5:26" s="109" customFormat="1">
      <c r="E106" s="104"/>
      <c r="F106" s="110"/>
      <c r="G106" s="93"/>
      <c r="H106" s="93"/>
      <c r="I106" s="56"/>
      <c r="J106" s="93"/>
      <c r="K106" s="93"/>
      <c r="L106" s="93"/>
      <c r="M106" s="93"/>
      <c r="N106" s="93"/>
      <c r="O106" s="93"/>
      <c r="P106" s="112"/>
      <c r="Q106" s="112"/>
      <c r="R106" s="112"/>
      <c r="S106" s="112"/>
      <c r="T106" s="112"/>
      <c r="U106" s="112"/>
      <c r="V106" s="112"/>
      <c r="W106" s="112"/>
      <c r="X106" s="112"/>
      <c r="Y106" s="112"/>
      <c r="Z106" s="93"/>
    </row>
    <row r="107" spans="5:26" s="109" customFormat="1">
      <c r="E107" s="104"/>
      <c r="F107" s="110"/>
      <c r="G107" s="93"/>
      <c r="H107" s="93"/>
      <c r="I107" s="56"/>
      <c r="J107" s="93"/>
      <c r="K107" s="93"/>
      <c r="L107" s="93"/>
      <c r="M107" s="93"/>
      <c r="N107" s="93"/>
      <c r="O107" s="93"/>
      <c r="P107" s="112"/>
      <c r="Q107" s="112"/>
      <c r="R107" s="112"/>
      <c r="S107" s="112"/>
      <c r="T107" s="112"/>
      <c r="U107" s="112"/>
      <c r="V107" s="112"/>
      <c r="W107" s="112"/>
      <c r="X107" s="112"/>
      <c r="Y107" s="112"/>
      <c r="Z107" s="93"/>
    </row>
    <row r="108" spans="5:26" s="109" customFormat="1">
      <c r="E108" s="104"/>
      <c r="F108" s="110"/>
      <c r="G108" s="93"/>
      <c r="H108" s="93"/>
      <c r="I108" s="56"/>
      <c r="J108" s="93"/>
      <c r="K108" s="93"/>
      <c r="L108" s="93"/>
      <c r="M108" s="93"/>
      <c r="N108" s="93"/>
      <c r="O108" s="93"/>
      <c r="P108" s="112"/>
      <c r="Q108" s="112"/>
      <c r="R108" s="112"/>
      <c r="S108" s="112"/>
      <c r="T108" s="112"/>
      <c r="U108" s="112"/>
      <c r="V108" s="112"/>
      <c r="W108" s="112"/>
      <c r="X108" s="112"/>
      <c r="Y108" s="112"/>
      <c r="Z108" s="93"/>
    </row>
    <row r="109" spans="5:26" s="109" customFormat="1">
      <c r="E109" s="104"/>
      <c r="F109" s="110"/>
      <c r="G109" s="93"/>
      <c r="H109" s="93"/>
      <c r="I109" s="56"/>
      <c r="J109" s="93"/>
      <c r="K109" s="93"/>
      <c r="L109" s="93"/>
      <c r="M109" s="93"/>
      <c r="N109" s="93"/>
      <c r="O109" s="93"/>
      <c r="P109" s="112"/>
      <c r="Q109" s="112"/>
      <c r="R109" s="112"/>
      <c r="S109" s="112"/>
      <c r="T109" s="112"/>
      <c r="U109" s="112"/>
      <c r="V109" s="112"/>
      <c r="W109" s="112"/>
      <c r="X109" s="112"/>
      <c r="Y109" s="112"/>
      <c r="Z109" s="93"/>
    </row>
    <row r="110" spans="5:26" s="109" customFormat="1">
      <c r="E110" s="104"/>
      <c r="F110" s="110"/>
      <c r="G110" s="112"/>
      <c r="H110" s="93"/>
      <c r="I110" s="56"/>
      <c r="J110" s="93"/>
      <c r="K110" s="93"/>
      <c r="L110" s="93"/>
      <c r="M110" s="93"/>
      <c r="N110" s="93"/>
      <c r="O110" s="93"/>
      <c r="P110" s="112"/>
      <c r="Q110" s="112"/>
      <c r="R110" s="112"/>
      <c r="S110" s="112"/>
      <c r="T110" s="112"/>
      <c r="U110" s="112"/>
      <c r="V110" s="112"/>
      <c r="W110" s="112"/>
      <c r="X110" s="112"/>
      <c r="Y110" s="112"/>
      <c r="Z110" s="93"/>
    </row>
    <row r="111" spans="5:26" s="109" customFormat="1">
      <c r="E111" s="104"/>
      <c r="F111" s="110"/>
      <c r="G111" s="112"/>
      <c r="H111" s="93"/>
      <c r="I111" s="56"/>
      <c r="J111" s="93"/>
      <c r="K111" s="93"/>
      <c r="L111" s="93"/>
      <c r="M111" s="93"/>
      <c r="N111" s="93"/>
      <c r="O111" s="93"/>
      <c r="P111" s="112"/>
      <c r="Q111" s="112"/>
      <c r="R111" s="112"/>
      <c r="S111" s="112"/>
      <c r="T111" s="112"/>
      <c r="U111" s="112"/>
      <c r="V111" s="112"/>
      <c r="W111" s="112"/>
      <c r="X111" s="112"/>
      <c r="Y111" s="112"/>
      <c r="Z111" s="93"/>
    </row>
    <row r="112" spans="5:26" s="109" customFormat="1">
      <c r="E112" s="104"/>
      <c r="F112" s="110"/>
      <c r="G112" s="112"/>
      <c r="H112" s="93"/>
      <c r="I112" s="56"/>
      <c r="J112" s="93"/>
      <c r="K112" s="93"/>
      <c r="L112" s="93"/>
      <c r="M112" s="93"/>
      <c r="N112" s="93"/>
      <c r="O112" s="93"/>
      <c r="P112" s="112"/>
      <c r="Q112" s="112"/>
      <c r="R112" s="112"/>
      <c r="S112" s="112"/>
      <c r="T112" s="112"/>
      <c r="U112" s="112"/>
      <c r="V112" s="112"/>
      <c r="W112" s="112"/>
      <c r="X112" s="112"/>
      <c r="Y112" s="112"/>
      <c r="Z112" s="93"/>
    </row>
    <row r="113" spans="5:26" s="109" customFormat="1">
      <c r="E113" s="104"/>
      <c r="F113" s="110"/>
      <c r="G113" s="112"/>
      <c r="H113" s="93"/>
      <c r="I113" s="56"/>
      <c r="J113" s="93"/>
      <c r="K113" s="93"/>
      <c r="L113" s="93"/>
      <c r="M113" s="93"/>
      <c r="N113" s="93"/>
      <c r="O113" s="93"/>
      <c r="P113" s="112"/>
      <c r="Q113" s="112"/>
      <c r="R113" s="112"/>
      <c r="S113" s="112"/>
      <c r="T113" s="112"/>
      <c r="U113" s="112"/>
      <c r="V113" s="112"/>
      <c r="W113" s="112"/>
      <c r="X113" s="112"/>
      <c r="Y113" s="112"/>
      <c r="Z113" s="93"/>
    </row>
    <row r="114" spans="5:26" s="109" customFormat="1">
      <c r="E114" s="104"/>
      <c r="F114" s="110"/>
      <c r="G114" s="93"/>
      <c r="H114" s="93"/>
      <c r="I114" s="56"/>
      <c r="J114" s="93"/>
      <c r="K114" s="93"/>
      <c r="L114" s="93"/>
      <c r="M114" s="93"/>
      <c r="N114" s="93"/>
      <c r="O114" s="93"/>
      <c r="P114" s="112"/>
      <c r="Q114" s="112"/>
      <c r="R114" s="112"/>
      <c r="S114" s="112"/>
      <c r="T114" s="112"/>
      <c r="U114" s="112"/>
      <c r="V114" s="112"/>
      <c r="W114" s="112"/>
      <c r="X114" s="112"/>
      <c r="Y114" s="112"/>
      <c r="Z114" s="93"/>
    </row>
    <row r="115" spans="5:26" s="109" customFormat="1">
      <c r="E115" s="104"/>
      <c r="F115" s="110"/>
      <c r="G115" s="93"/>
      <c r="H115" s="93"/>
      <c r="I115" s="56"/>
      <c r="J115" s="93"/>
      <c r="K115" s="93"/>
      <c r="L115" s="93"/>
      <c r="M115" s="93"/>
      <c r="N115" s="93"/>
      <c r="O115" s="93"/>
      <c r="P115" s="112"/>
      <c r="Q115" s="112"/>
      <c r="R115" s="112"/>
      <c r="S115" s="112"/>
      <c r="T115" s="112"/>
      <c r="U115" s="112"/>
      <c r="V115" s="112"/>
      <c r="W115" s="112"/>
      <c r="X115" s="112"/>
      <c r="Y115" s="112"/>
      <c r="Z115" s="93"/>
    </row>
    <row r="116" spans="5:26" s="109" customFormat="1">
      <c r="E116" s="104"/>
      <c r="F116" s="110"/>
      <c r="G116" s="93"/>
      <c r="H116" s="93"/>
      <c r="I116" s="56"/>
      <c r="J116" s="93"/>
      <c r="K116" s="93"/>
      <c r="L116" s="93"/>
      <c r="M116" s="93"/>
      <c r="N116" s="93"/>
      <c r="O116" s="93"/>
      <c r="P116" s="112"/>
      <c r="Q116" s="112"/>
      <c r="R116" s="114"/>
      <c r="S116" s="114"/>
      <c r="T116" s="114"/>
      <c r="U116" s="114"/>
      <c r="V116" s="114"/>
      <c r="W116" s="114"/>
      <c r="X116" s="114"/>
      <c r="Y116" s="114"/>
    </row>
    <row r="117" spans="5:26" s="109" customFormat="1">
      <c r="E117" s="104"/>
      <c r="F117" s="110"/>
      <c r="G117" s="93"/>
      <c r="H117" s="93"/>
      <c r="I117" s="56"/>
      <c r="J117" s="93"/>
      <c r="K117" s="93"/>
      <c r="L117" s="93"/>
      <c r="M117" s="93"/>
      <c r="N117" s="93"/>
      <c r="O117" s="93"/>
      <c r="P117" s="112"/>
      <c r="Q117" s="112"/>
      <c r="R117" s="114"/>
      <c r="S117" s="114"/>
      <c r="T117" s="114"/>
      <c r="U117" s="114"/>
      <c r="V117" s="114"/>
      <c r="W117" s="114"/>
      <c r="X117" s="114"/>
      <c r="Y117" s="114"/>
    </row>
    <row r="118" spans="5:26" s="109" customFormat="1">
      <c r="E118" s="104"/>
      <c r="F118" s="110"/>
      <c r="G118" s="93"/>
      <c r="H118" s="93"/>
      <c r="I118" s="56"/>
      <c r="J118" s="93"/>
      <c r="K118" s="93"/>
      <c r="L118" s="93"/>
      <c r="M118" s="93"/>
      <c r="N118" s="93"/>
      <c r="O118" s="93"/>
      <c r="P118" s="112"/>
      <c r="Q118" s="112"/>
      <c r="R118" s="114"/>
      <c r="S118" s="114"/>
      <c r="T118" s="114"/>
      <c r="U118" s="114"/>
      <c r="V118" s="114"/>
      <c r="W118" s="114"/>
      <c r="X118" s="114"/>
      <c r="Y118" s="114"/>
    </row>
    <row r="119" spans="5:26" s="109" customFormat="1">
      <c r="E119" s="104"/>
      <c r="F119" s="110"/>
      <c r="G119" s="93"/>
      <c r="H119" s="93"/>
      <c r="I119" s="56"/>
      <c r="J119" s="93"/>
      <c r="K119" s="93"/>
      <c r="L119" s="93"/>
      <c r="M119" s="93"/>
      <c r="N119" s="93"/>
      <c r="O119" s="93"/>
      <c r="P119" s="112"/>
      <c r="Q119" s="112"/>
      <c r="R119" s="114"/>
      <c r="S119" s="114"/>
      <c r="T119" s="114"/>
      <c r="U119" s="114"/>
      <c r="V119" s="114"/>
      <c r="W119" s="114"/>
      <c r="X119" s="114"/>
      <c r="Y119" s="114"/>
    </row>
    <row r="120" spans="5:26" s="109" customFormat="1">
      <c r="E120" s="104"/>
      <c r="F120" s="110"/>
      <c r="G120" s="93"/>
      <c r="H120" s="93"/>
      <c r="I120" s="56"/>
      <c r="J120" s="93"/>
      <c r="K120" s="93"/>
      <c r="L120" s="93"/>
      <c r="M120" s="93"/>
      <c r="N120" s="93"/>
      <c r="O120" s="93"/>
      <c r="P120" s="112"/>
      <c r="Q120" s="112"/>
      <c r="R120" s="114"/>
      <c r="S120" s="114"/>
      <c r="T120" s="114"/>
      <c r="U120" s="114"/>
      <c r="V120" s="114"/>
      <c r="W120" s="114"/>
      <c r="X120" s="114"/>
      <c r="Y120" s="114"/>
    </row>
    <row r="121" spans="5:26" s="109" customFormat="1">
      <c r="E121" s="104"/>
      <c r="F121" s="110"/>
      <c r="G121" s="93"/>
      <c r="H121" s="93"/>
      <c r="I121" s="56"/>
      <c r="J121" s="93"/>
      <c r="K121" s="93"/>
      <c r="L121" s="93"/>
      <c r="M121" s="93"/>
      <c r="P121" s="114"/>
      <c r="Q121" s="114"/>
      <c r="R121" s="114"/>
      <c r="S121" s="114"/>
      <c r="T121" s="114"/>
      <c r="U121" s="114"/>
      <c r="V121" s="114"/>
      <c r="W121" s="114"/>
      <c r="X121" s="114"/>
      <c r="Y121" s="114"/>
    </row>
    <row r="122" spans="5:26" s="109" customFormat="1">
      <c r="E122" s="104"/>
      <c r="F122" s="110"/>
      <c r="G122" s="93"/>
      <c r="H122" s="93"/>
      <c r="I122" s="56"/>
      <c r="J122" s="93"/>
      <c r="K122" s="93"/>
      <c r="L122" s="93"/>
      <c r="M122" s="93"/>
      <c r="P122" s="114"/>
      <c r="Q122" s="114"/>
      <c r="R122" s="114"/>
      <c r="S122" s="114"/>
      <c r="T122" s="114"/>
      <c r="U122" s="114"/>
      <c r="V122" s="114"/>
      <c r="W122" s="114"/>
      <c r="X122" s="114"/>
      <c r="Y122" s="114"/>
    </row>
    <row r="123" spans="5:26" s="109" customFormat="1">
      <c r="E123" s="104"/>
      <c r="F123" s="110"/>
      <c r="G123" s="93"/>
      <c r="H123" s="93"/>
      <c r="I123" s="56"/>
      <c r="J123" s="93"/>
      <c r="K123" s="93"/>
      <c r="L123" s="93"/>
      <c r="M123" s="93"/>
      <c r="P123" s="114"/>
      <c r="Q123" s="114"/>
      <c r="R123" s="114"/>
      <c r="S123" s="114"/>
      <c r="T123" s="114"/>
      <c r="U123" s="114"/>
      <c r="V123" s="114"/>
      <c r="W123" s="114"/>
      <c r="X123" s="114"/>
      <c r="Y123" s="114"/>
    </row>
    <row r="124" spans="5:26" s="109" customFormat="1">
      <c r="E124" s="104"/>
      <c r="F124" s="110"/>
      <c r="G124" s="93"/>
      <c r="H124" s="93"/>
      <c r="I124" s="56"/>
      <c r="J124" s="93"/>
      <c r="K124" s="93"/>
      <c r="L124" s="93"/>
      <c r="M124" s="93"/>
      <c r="P124" s="114"/>
      <c r="Q124" s="114"/>
      <c r="R124" s="114"/>
      <c r="S124" s="114"/>
      <c r="T124" s="114"/>
      <c r="U124" s="114"/>
      <c r="V124" s="114"/>
      <c r="W124" s="114"/>
      <c r="X124" s="114"/>
      <c r="Y124" s="114"/>
    </row>
    <row r="125" spans="5:26" s="109" customFormat="1">
      <c r="E125" s="104"/>
      <c r="F125" s="110"/>
      <c r="G125" s="93"/>
      <c r="H125" s="93"/>
      <c r="I125" s="56"/>
      <c r="J125" s="93"/>
      <c r="K125" s="93"/>
      <c r="L125" s="93"/>
      <c r="M125" s="93"/>
      <c r="P125" s="114"/>
      <c r="Q125" s="114"/>
      <c r="R125" s="114"/>
      <c r="S125" s="114"/>
      <c r="T125" s="114"/>
      <c r="U125" s="114"/>
      <c r="V125" s="114"/>
      <c r="W125" s="114"/>
      <c r="X125" s="114"/>
      <c r="Y125" s="114"/>
    </row>
    <row r="126" spans="5:26" s="109" customFormat="1">
      <c r="E126" s="104"/>
      <c r="F126" s="110"/>
      <c r="G126" s="93"/>
      <c r="H126" s="93"/>
      <c r="I126" s="56"/>
      <c r="J126" s="93"/>
      <c r="K126" s="93"/>
      <c r="L126" s="93"/>
      <c r="M126" s="93"/>
      <c r="P126" s="114"/>
      <c r="Q126" s="114"/>
      <c r="R126" s="114"/>
      <c r="S126" s="114"/>
      <c r="T126" s="114"/>
      <c r="U126" s="114"/>
      <c r="V126" s="114"/>
      <c r="W126" s="114"/>
      <c r="X126" s="114"/>
      <c r="Y126" s="114"/>
    </row>
    <row r="127" spans="5:26" s="109" customFormat="1">
      <c r="E127" s="104"/>
      <c r="F127" s="110"/>
      <c r="G127" s="93"/>
      <c r="H127" s="93"/>
      <c r="I127" s="56"/>
      <c r="J127" s="93"/>
      <c r="K127" s="93"/>
      <c r="L127" s="93"/>
      <c r="M127" s="93"/>
      <c r="P127" s="114"/>
      <c r="Q127" s="114"/>
      <c r="R127" s="114"/>
      <c r="S127" s="114"/>
      <c r="T127" s="114"/>
      <c r="U127" s="114"/>
      <c r="V127" s="114"/>
      <c r="W127" s="114"/>
      <c r="X127" s="114"/>
      <c r="Y127" s="114"/>
    </row>
    <row r="128" spans="5:26" s="109" customFormat="1">
      <c r="E128" s="104"/>
      <c r="F128" s="110"/>
      <c r="G128" s="93"/>
      <c r="H128" s="93"/>
      <c r="I128" s="56"/>
      <c r="J128" s="93"/>
      <c r="K128" s="93"/>
      <c r="L128" s="93"/>
      <c r="M128" s="93"/>
      <c r="P128" s="114"/>
      <c r="Q128" s="114"/>
      <c r="R128" s="114"/>
      <c r="S128" s="114"/>
      <c r="T128" s="114"/>
      <c r="U128" s="114"/>
      <c r="V128" s="114"/>
      <c r="W128" s="114"/>
      <c r="X128" s="114"/>
      <c r="Y128" s="114"/>
    </row>
    <row r="129" spans="5:25" s="109" customFormat="1">
      <c r="E129" s="104"/>
      <c r="F129" s="110"/>
      <c r="G129" s="93"/>
      <c r="H129" s="93"/>
      <c r="I129" s="56"/>
      <c r="J129" s="93"/>
      <c r="K129" s="93"/>
      <c r="L129" s="93"/>
      <c r="M129" s="93"/>
      <c r="P129" s="114"/>
      <c r="Q129" s="114"/>
      <c r="R129" s="114"/>
      <c r="S129" s="114"/>
      <c r="T129" s="114"/>
      <c r="U129" s="114"/>
      <c r="V129" s="114"/>
      <c r="W129" s="114"/>
      <c r="X129" s="114"/>
      <c r="Y129" s="114"/>
    </row>
    <row r="130" spans="5:25" s="109" customFormat="1">
      <c r="E130" s="104"/>
      <c r="F130" s="110"/>
      <c r="G130" s="93"/>
      <c r="H130" s="93"/>
      <c r="I130" s="56"/>
      <c r="J130" s="93"/>
      <c r="K130" s="93"/>
      <c r="L130" s="93"/>
      <c r="M130" s="93"/>
      <c r="P130" s="114"/>
      <c r="Q130" s="114"/>
      <c r="R130" s="114"/>
      <c r="S130" s="114"/>
      <c r="T130" s="114"/>
      <c r="U130" s="114"/>
      <c r="V130" s="114"/>
      <c r="W130" s="114"/>
      <c r="X130" s="114"/>
      <c r="Y130" s="114"/>
    </row>
    <row r="131" spans="5:25" s="109" customFormat="1">
      <c r="E131" s="104"/>
      <c r="F131" s="110"/>
      <c r="G131" s="93"/>
      <c r="H131" s="93"/>
      <c r="I131" s="56"/>
      <c r="J131" s="93"/>
      <c r="K131" s="93"/>
      <c r="L131" s="93"/>
      <c r="M131" s="93"/>
      <c r="P131" s="114"/>
      <c r="Q131" s="114"/>
      <c r="R131" s="114"/>
      <c r="S131" s="114"/>
      <c r="T131" s="114"/>
      <c r="U131" s="114"/>
      <c r="V131" s="114"/>
      <c r="W131" s="114"/>
      <c r="X131" s="114"/>
      <c r="Y131" s="114"/>
    </row>
    <row r="132" spans="5:25" s="109" customFormat="1">
      <c r="E132" s="104"/>
      <c r="F132" s="110"/>
      <c r="G132" s="93"/>
      <c r="H132" s="93"/>
      <c r="I132" s="56"/>
      <c r="J132" s="93"/>
      <c r="K132" s="93"/>
      <c r="L132" s="93"/>
      <c r="M132" s="93"/>
      <c r="P132" s="114"/>
      <c r="Q132" s="114"/>
      <c r="R132" s="114"/>
      <c r="S132" s="114"/>
      <c r="T132" s="114"/>
      <c r="U132" s="114"/>
      <c r="V132" s="114"/>
      <c r="W132" s="114"/>
      <c r="X132" s="114"/>
      <c r="Y132" s="114"/>
    </row>
    <row r="133" spans="5:25" s="109" customFormat="1">
      <c r="E133" s="104"/>
      <c r="F133" s="110"/>
      <c r="G133" s="93"/>
      <c r="H133" s="93"/>
      <c r="I133" s="56"/>
      <c r="J133" s="93"/>
      <c r="K133" s="93"/>
      <c r="L133" s="93"/>
      <c r="M133" s="93"/>
      <c r="P133" s="114"/>
      <c r="Q133" s="114"/>
      <c r="R133" s="114"/>
      <c r="S133" s="114"/>
      <c r="T133" s="114"/>
      <c r="U133" s="114"/>
      <c r="V133" s="114"/>
      <c r="W133" s="114"/>
      <c r="X133" s="114"/>
      <c r="Y133" s="114"/>
    </row>
    <row r="134" spans="5:25" s="109" customFormat="1">
      <c r="E134" s="104"/>
      <c r="F134" s="110"/>
      <c r="G134" s="93"/>
      <c r="H134" s="93"/>
      <c r="I134" s="56"/>
      <c r="J134" s="93"/>
      <c r="K134" s="93"/>
      <c r="L134" s="93"/>
      <c r="M134" s="93"/>
      <c r="P134" s="114"/>
      <c r="Q134" s="114"/>
      <c r="R134" s="114"/>
      <c r="S134" s="114"/>
      <c r="T134" s="114"/>
      <c r="U134" s="114"/>
      <c r="V134" s="114"/>
      <c r="W134" s="114"/>
      <c r="X134" s="114"/>
      <c r="Y134" s="114"/>
    </row>
    <row r="135" spans="5:25" s="109" customFormat="1">
      <c r="E135" s="104"/>
      <c r="F135" s="110"/>
      <c r="G135" s="93"/>
      <c r="H135" s="93"/>
      <c r="I135" s="56"/>
      <c r="J135" s="93"/>
      <c r="K135" s="93"/>
      <c r="L135" s="93"/>
      <c r="M135" s="93"/>
      <c r="P135" s="114"/>
      <c r="Q135" s="114"/>
      <c r="R135" s="114"/>
      <c r="S135" s="114"/>
      <c r="T135" s="114"/>
      <c r="U135" s="114"/>
      <c r="V135" s="114"/>
      <c r="W135" s="114"/>
      <c r="X135" s="114"/>
      <c r="Y135" s="114"/>
    </row>
    <row r="136" spans="5:25" s="109" customFormat="1">
      <c r="E136" s="104"/>
      <c r="F136" s="110"/>
      <c r="G136" s="93"/>
      <c r="H136" s="93"/>
      <c r="I136" s="56"/>
      <c r="J136" s="93"/>
      <c r="K136" s="93"/>
      <c r="L136" s="93"/>
      <c r="P136" s="114"/>
      <c r="Q136" s="114"/>
      <c r="R136" s="114"/>
      <c r="S136" s="114"/>
      <c r="T136" s="114"/>
      <c r="U136" s="114"/>
      <c r="V136" s="114"/>
      <c r="W136" s="114"/>
      <c r="X136" s="114"/>
      <c r="Y136" s="114"/>
    </row>
    <row r="137" spans="5:25" s="109" customFormat="1">
      <c r="E137" s="104"/>
      <c r="F137" s="110"/>
      <c r="G137" s="93"/>
      <c r="H137" s="93"/>
      <c r="I137" s="56"/>
      <c r="J137" s="93"/>
      <c r="K137" s="93"/>
      <c r="L137" s="93"/>
      <c r="P137" s="114"/>
      <c r="Q137" s="114"/>
      <c r="R137" s="114"/>
      <c r="S137" s="114"/>
      <c r="T137" s="114"/>
      <c r="U137" s="114"/>
      <c r="V137" s="114"/>
      <c r="W137" s="114"/>
      <c r="X137" s="114"/>
      <c r="Y137" s="114"/>
    </row>
    <row r="138" spans="5:25" s="109" customFormat="1">
      <c r="E138" s="104"/>
      <c r="F138" s="110"/>
      <c r="G138" s="93"/>
      <c r="H138" s="93"/>
      <c r="I138" s="56"/>
      <c r="J138" s="93"/>
      <c r="K138" s="93"/>
      <c r="L138" s="93"/>
      <c r="P138" s="114"/>
      <c r="Q138" s="114"/>
      <c r="R138" s="114"/>
      <c r="S138" s="114"/>
      <c r="T138" s="114"/>
      <c r="U138" s="114"/>
      <c r="V138" s="114"/>
      <c r="W138" s="114"/>
      <c r="X138" s="114"/>
      <c r="Y138" s="114"/>
    </row>
    <row r="139" spans="5:25" s="109" customFormat="1">
      <c r="E139" s="104"/>
      <c r="F139" s="110"/>
      <c r="G139" s="93"/>
      <c r="H139" s="93"/>
      <c r="I139" s="56"/>
      <c r="J139" s="93"/>
      <c r="K139" s="93"/>
      <c r="L139" s="93"/>
      <c r="P139" s="114"/>
      <c r="Q139" s="114"/>
      <c r="R139" s="114"/>
      <c r="S139" s="114"/>
      <c r="T139" s="114"/>
      <c r="U139" s="114"/>
      <c r="V139" s="114"/>
      <c r="W139" s="114"/>
      <c r="X139" s="114"/>
      <c r="Y139" s="114"/>
    </row>
    <row r="140" spans="5:25" s="109" customFormat="1">
      <c r="E140" s="104"/>
      <c r="F140" s="110"/>
      <c r="G140" s="93"/>
      <c r="H140" s="93"/>
      <c r="I140" s="56"/>
      <c r="J140" s="93"/>
      <c r="K140" s="93"/>
      <c r="L140" s="93"/>
      <c r="P140" s="114"/>
      <c r="Q140" s="114"/>
      <c r="R140" s="114"/>
      <c r="S140" s="114"/>
      <c r="T140" s="114"/>
      <c r="U140" s="114"/>
      <c r="V140" s="114"/>
      <c r="W140" s="114"/>
      <c r="X140" s="114"/>
      <c r="Y140" s="114"/>
    </row>
    <row r="141" spans="5:25" s="109" customFormat="1">
      <c r="E141" s="104"/>
      <c r="F141" s="110"/>
      <c r="G141" s="93"/>
      <c r="H141" s="93"/>
      <c r="I141" s="56"/>
      <c r="J141" s="93"/>
      <c r="K141" s="93"/>
      <c r="L141" s="93"/>
      <c r="P141" s="114"/>
      <c r="Q141" s="114"/>
      <c r="R141" s="114"/>
      <c r="S141" s="114"/>
      <c r="T141" s="114"/>
      <c r="U141" s="114"/>
      <c r="V141" s="114"/>
      <c r="W141" s="114"/>
      <c r="X141" s="114"/>
      <c r="Y141" s="114"/>
    </row>
    <row r="142" spans="5:25" s="109" customFormat="1">
      <c r="E142" s="104"/>
      <c r="F142" s="110"/>
      <c r="G142" s="93"/>
      <c r="H142" s="93"/>
      <c r="I142" s="56"/>
      <c r="J142" s="93"/>
      <c r="K142" s="93"/>
      <c r="L142" s="93"/>
      <c r="P142" s="114"/>
      <c r="Q142" s="114"/>
      <c r="R142" s="114"/>
      <c r="S142" s="114"/>
      <c r="T142" s="114"/>
      <c r="U142" s="114"/>
      <c r="V142" s="114"/>
      <c r="W142" s="114"/>
      <c r="X142" s="114"/>
      <c r="Y142" s="114"/>
    </row>
    <row r="143" spans="5:25" s="109" customFormat="1">
      <c r="E143" s="104"/>
      <c r="F143" s="110"/>
      <c r="G143" s="93"/>
      <c r="H143" s="93"/>
      <c r="I143" s="56"/>
      <c r="J143" s="93"/>
      <c r="K143" s="93"/>
      <c r="L143" s="93"/>
      <c r="P143" s="114"/>
      <c r="Q143" s="114"/>
      <c r="R143" s="114"/>
      <c r="S143" s="114"/>
      <c r="T143" s="114"/>
      <c r="U143" s="114"/>
      <c r="V143" s="114"/>
      <c r="W143" s="114"/>
      <c r="X143" s="114"/>
      <c r="Y143" s="114"/>
    </row>
    <row r="144" spans="5:25" s="109" customFormat="1">
      <c r="E144" s="104"/>
      <c r="F144" s="110"/>
      <c r="G144" s="93"/>
      <c r="H144" s="93"/>
      <c r="I144" s="56"/>
      <c r="J144" s="93"/>
      <c r="K144" s="93"/>
      <c r="L144" s="93"/>
      <c r="P144" s="114"/>
      <c r="Q144" s="114"/>
      <c r="R144" s="114"/>
      <c r="S144" s="114"/>
      <c r="T144" s="114"/>
      <c r="U144" s="114"/>
      <c r="V144" s="114"/>
      <c r="W144" s="114"/>
      <c r="X144" s="114"/>
      <c r="Y144" s="114"/>
    </row>
    <row r="145" spans="1:26" s="109" customFormat="1">
      <c r="E145" s="104"/>
      <c r="F145" s="110"/>
      <c r="G145" s="93"/>
      <c r="H145" s="93"/>
      <c r="I145" s="56"/>
      <c r="J145" s="93"/>
      <c r="K145" s="93"/>
      <c r="L145" s="93"/>
      <c r="P145" s="114"/>
      <c r="Q145" s="114"/>
      <c r="R145" s="114"/>
      <c r="S145" s="114"/>
      <c r="T145" s="114"/>
      <c r="U145" s="114"/>
      <c r="V145" s="114"/>
      <c r="W145" s="114"/>
      <c r="X145" s="114"/>
      <c r="Y145" s="114"/>
    </row>
    <row r="146" spans="1:26" s="109" customFormat="1">
      <c r="E146" s="104"/>
      <c r="F146" s="110"/>
      <c r="G146" s="93"/>
      <c r="H146" s="93"/>
      <c r="I146" s="56"/>
      <c r="J146" s="93"/>
      <c r="K146" s="93"/>
      <c r="L146" s="93"/>
      <c r="P146" s="114"/>
      <c r="Q146" s="114"/>
      <c r="R146" s="114"/>
      <c r="S146" s="114"/>
      <c r="T146" s="114"/>
      <c r="U146" s="114"/>
      <c r="V146" s="114"/>
      <c r="W146" s="114"/>
      <c r="X146" s="114"/>
      <c r="Y146" s="114"/>
    </row>
    <row r="147" spans="1:26">
      <c r="A147" s="109"/>
      <c r="B147" s="109"/>
      <c r="C147" s="109"/>
      <c r="D147" s="109"/>
      <c r="E147" s="104"/>
      <c r="F147" s="110"/>
      <c r="G147" s="93"/>
      <c r="H147" s="93"/>
      <c r="I147" s="56"/>
      <c r="J147" s="93"/>
      <c r="K147" s="93"/>
      <c r="L147" s="93"/>
      <c r="M147" s="109"/>
      <c r="N147" s="109"/>
      <c r="O147" s="109"/>
      <c r="P147" s="114"/>
      <c r="Q147" s="114"/>
      <c r="R147" s="114"/>
      <c r="S147" s="114"/>
      <c r="T147" s="114"/>
      <c r="U147" s="114"/>
      <c r="V147" s="114"/>
      <c r="W147" s="114"/>
      <c r="X147" s="114"/>
      <c r="Y147" s="114"/>
      <c r="Z147" s="109"/>
    </row>
    <row r="148" spans="1:26">
      <c r="A148" s="109"/>
      <c r="B148" s="109"/>
      <c r="C148" s="109"/>
      <c r="D148" s="109"/>
      <c r="E148" s="104"/>
      <c r="F148" s="110"/>
      <c r="G148" s="93"/>
      <c r="H148" s="93"/>
      <c r="I148" s="56"/>
      <c r="J148" s="93"/>
      <c r="K148" s="93"/>
      <c r="L148" s="93"/>
      <c r="M148" s="109"/>
      <c r="N148" s="109"/>
      <c r="O148" s="109"/>
      <c r="P148" s="114"/>
      <c r="Q148" s="114"/>
      <c r="R148" s="114"/>
      <c r="S148" s="114"/>
      <c r="T148" s="114"/>
      <c r="U148" s="114"/>
      <c r="V148" s="114"/>
      <c r="W148" s="114"/>
      <c r="X148" s="114"/>
      <c r="Y148" s="114"/>
      <c r="Z148" s="109"/>
    </row>
    <row r="149" spans="1:26">
      <c r="A149" s="109"/>
      <c r="B149" s="109"/>
      <c r="C149" s="109"/>
      <c r="D149" s="109"/>
      <c r="E149" s="104"/>
      <c r="F149" s="110"/>
      <c r="G149" s="93"/>
      <c r="H149" s="93"/>
      <c r="I149" s="56"/>
      <c r="J149" s="93"/>
      <c r="K149" s="93"/>
      <c r="L149" s="93"/>
      <c r="M149" s="109"/>
      <c r="N149" s="109"/>
      <c r="O149" s="109"/>
      <c r="P149" s="114"/>
      <c r="Q149" s="114"/>
      <c r="R149" s="114"/>
      <c r="S149" s="114"/>
      <c r="T149" s="114"/>
      <c r="U149" s="114"/>
      <c r="V149" s="114"/>
      <c r="W149" s="114"/>
      <c r="X149" s="114"/>
      <c r="Y149" s="114"/>
      <c r="Z149" s="109"/>
    </row>
    <row r="150" spans="1:26">
      <c r="A150" s="109"/>
      <c r="B150" s="109"/>
      <c r="C150" s="109"/>
      <c r="D150" s="109"/>
      <c r="E150" s="104"/>
      <c r="F150" s="110"/>
      <c r="G150" s="93"/>
      <c r="H150" s="93"/>
      <c r="I150" s="56"/>
      <c r="J150" s="93"/>
      <c r="K150" s="93"/>
      <c r="L150" s="93"/>
      <c r="M150" s="109"/>
      <c r="N150" s="109"/>
      <c r="O150" s="109"/>
      <c r="P150" s="114"/>
      <c r="Q150" s="114"/>
      <c r="R150" s="114"/>
      <c r="S150" s="114"/>
      <c r="T150" s="114"/>
      <c r="U150" s="114"/>
      <c r="V150" s="114"/>
      <c r="W150" s="114"/>
      <c r="X150" s="114"/>
      <c r="Y150" s="114"/>
      <c r="Z150" s="109"/>
    </row>
    <row r="151" spans="1:26">
      <c r="A151" s="109"/>
      <c r="B151" s="109"/>
      <c r="C151" s="109"/>
      <c r="D151" s="109"/>
      <c r="E151" s="104"/>
      <c r="F151" s="110"/>
      <c r="G151" s="93"/>
      <c r="H151" s="93"/>
      <c r="I151" s="56"/>
      <c r="J151" s="93"/>
      <c r="K151" s="93"/>
      <c r="L151" s="93"/>
      <c r="M151" s="109"/>
      <c r="N151" s="109"/>
      <c r="O151" s="109"/>
      <c r="P151" s="114"/>
      <c r="Q151" s="114"/>
      <c r="R151" s="114"/>
      <c r="S151" s="114"/>
      <c r="T151" s="114"/>
      <c r="U151" s="114"/>
      <c r="V151" s="114"/>
      <c r="W151" s="114"/>
      <c r="X151" s="114"/>
      <c r="Y151" s="114"/>
      <c r="Z151" s="109"/>
    </row>
    <row r="152" spans="1:26">
      <c r="A152" s="109"/>
      <c r="B152" s="109"/>
      <c r="C152" s="109"/>
      <c r="D152" s="109"/>
      <c r="E152" s="104"/>
      <c r="F152" s="110"/>
      <c r="G152" s="93"/>
      <c r="H152" s="93"/>
      <c r="I152" s="56"/>
      <c r="J152" s="93"/>
      <c r="K152" s="93"/>
      <c r="L152" s="93"/>
      <c r="M152" s="109"/>
      <c r="N152" s="109"/>
      <c r="O152" s="109"/>
      <c r="P152" s="114"/>
      <c r="Q152" s="114"/>
      <c r="R152" s="114"/>
      <c r="S152" s="114"/>
      <c r="T152" s="114"/>
      <c r="U152" s="114"/>
      <c r="V152" s="114"/>
      <c r="W152" s="114"/>
      <c r="X152" s="114"/>
      <c r="Y152" s="114"/>
      <c r="Z152" s="109"/>
    </row>
    <row r="153" spans="1:26">
      <c r="A153" s="109"/>
      <c r="B153" s="109"/>
      <c r="C153" s="109"/>
      <c r="D153" s="109"/>
      <c r="E153" s="104"/>
      <c r="F153" s="110"/>
      <c r="G153" s="93"/>
      <c r="H153" s="93"/>
      <c r="I153" s="56"/>
      <c r="J153" s="93"/>
      <c r="K153" s="93"/>
      <c r="L153" s="93"/>
      <c r="M153" s="109"/>
      <c r="N153" s="109"/>
      <c r="O153" s="109"/>
      <c r="P153" s="114"/>
      <c r="Q153" s="114"/>
      <c r="R153" s="114"/>
      <c r="S153" s="114"/>
      <c r="T153" s="114"/>
      <c r="U153" s="114"/>
      <c r="V153" s="114"/>
      <c r="W153" s="114"/>
      <c r="X153" s="114"/>
      <c r="Y153" s="114"/>
      <c r="Z153" s="109"/>
    </row>
    <row r="154" spans="1:26">
      <c r="A154" s="109"/>
      <c r="B154" s="109"/>
      <c r="C154" s="109"/>
      <c r="D154" s="109"/>
      <c r="E154" s="104"/>
      <c r="F154" s="110"/>
      <c r="G154" s="93"/>
      <c r="H154" s="93"/>
      <c r="I154" s="56"/>
      <c r="J154" s="93"/>
      <c r="K154" s="93"/>
      <c r="L154" s="93"/>
      <c r="M154" s="109"/>
      <c r="N154" s="109"/>
      <c r="O154" s="109"/>
      <c r="P154" s="114"/>
      <c r="Q154" s="114"/>
      <c r="R154" s="114"/>
      <c r="S154" s="114"/>
      <c r="T154" s="114"/>
      <c r="U154" s="114"/>
      <c r="V154" s="114"/>
      <c r="W154" s="114"/>
      <c r="X154" s="114"/>
      <c r="Y154" s="114"/>
      <c r="Z154" s="109"/>
    </row>
    <row r="155" spans="1:26">
      <c r="A155" s="109"/>
      <c r="B155" s="109"/>
      <c r="C155" s="109"/>
      <c r="D155" s="109"/>
      <c r="E155" s="104"/>
      <c r="F155" s="110"/>
      <c r="G155" s="93"/>
      <c r="H155" s="93"/>
      <c r="I155" s="56"/>
      <c r="J155" s="93"/>
      <c r="K155" s="93"/>
      <c r="L155" s="93"/>
      <c r="M155" s="109"/>
      <c r="N155" s="109"/>
      <c r="O155" s="109"/>
      <c r="P155" s="114"/>
      <c r="Q155" s="114"/>
      <c r="R155" s="114"/>
      <c r="S155" s="114"/>
      <c r="T155" s="114"/>
      <c r="U155" s="114"/>
      <c r="V155" s="114"/>
      <c r="W155" s="114"/>
      <c r="X155" s="114"/>
      <c r="Y155" s="114"/>
      <c r="Z155" s="109"/>
    </row>
    <row r="156" spans="1:26">
      <c r="A156" s="109"/>
      <c r="B156" s="109"/>
      <c r="C156" s="109"/>
      <c r="D156" s="109"/>
      <c r="E156" s="104"/>
      <c r="F156" s="110"/>
      <c r="G156" s="93"/>
      <c r="H156" s="93"/>
      <c r="I156" s="56"/>
      <c r="J156" s="93"/>
      <c r="K156" s="93"/>
      <c r="L156" s="93"/>
      <c r="M156" s="109"/>
      <c r="N156" s="109"/>
      <c r="O156" s="109"/>
      <c r="P156" s="114"/>
      <c r="Q156" s="114"/>
      <c r="R156" s="114"/>
      <c r="S156" s="114"/>
      <c r="T156" s="114"/>
      <c r="U156" s="114"/>
      <c r="V156" s="114"/>
      <c r="W156" s="114"/>
      <c r="X156" s="114"/>
      <c r="Y156" s="114"/>
      <c r="Z156" s="109"/>
    </row>
    <row r="157" spans="1:26">
      <c r="A157" s="109"/>
      <c r="B157" s="109"/>
      <c r="C157" s="109"/>
      <c r="D157" s="109"/>
      <c r="E157" s="104"/>
      <c r="F157" s="110"/>
      <c r="G157" s="93"/>
      <c r="H157" s="93"/>
      <c r="I157" s="56"/>
      <c r="J157" s="93"/>
      <c r="K157" s="93"/>
      <c r="L157" s="93"/>
      <c r="M157" s="109"/>
      <c r="N157" s="109"/>
      <c r="O157" s="109"/>
      <c r="P157" s="114"/>
      <c r="Q157" s="114"/>
      <c r="R157" s="114"/>
      <c r="S157" s="114"/>
      <c r="T157" s="114"/>
      <c r="U157" s="114"/>
      <c r="V157" s="114"/>
      <c r="W157" s="114"/>
      <c r="X157" s="114"/>
      <c r="Y157" s="114"/>
      <c r="Z157" s="109"/>
    </row>
    <row r="158" spans="1:26">
      <c r="A158" s="109"/>
      <c r="B158" s="109"/>
      <c r="C158" s="109"/>
      <c r="D158" s="109"/>
      <c r="E158" s="104"/>
      <c r="F158" s="110"/>
      <c r="G158" s="93"/>
      <c r="H158" s="93"/>
      <c r="I158" s="56"/>
      <c r="J158" s="93"/>
      <c r="K158" s="93"/>
      <c r="L158" s="93"/>
      <c r="M158" s="109"/>
      <c r="N158" s="109"/>
      <c r="O158" s="109"/>
      <c r="P158" s="114"/>
      <c r="Q158" s="114"/>
      <c r="R158" s="114"/>
      <c r="S158" s="114"/>
      <c r="T158" s="114"/>
      <c r="U158" s="114"/>
      <c r="V158" s="114"/>
      <c r="W158" s="114"/>
      <c r="X158" s="114"/>
      <c r="Y158" s="114"/>
      <c r="Z158" s="109"/>
    </row>
    <row r="159" spans="1:26">
      <c r="A159" s="109"/>
      <c r="B159" s="109"/>
      <c r="C159" s="109"/>
      <c r="D159" s="109"/>
      <c r="E159" s="104"/>
      <c r="F159" s="110"/>
      <c r="G159" s="93"/>
      <c r="H159" s="93"/>
      <c r="I159" s="56"/>
      <c r="J159" s="93"/>
      <c r="K159" s="93"/>
      <c r="L159" s="93"/>
      <c r="M159" s="109"/>
      <c r="N159" s="109"/>
      <c r="O159" s="109"/>
      <c r="P159" s="114"/>
      <c r="Q159" s="114"/>
      <c r="R159" s="114"/>
      <c r="S159" s="114"/>
      <c r="T159" s="114"/>
      <c r="U159" s="114"/>
      <c r="V159" s="114"/>
      <c r="W159" s="114"/>
      <c r="X159" s="114"/>
      <c r="Y159" s="114"/>
      <c r="Z159" s="109"/>
    </row>
    <row r="160" spans="1:26">
      <c r="A160" s="109"/>
      <c r="B160" s="109"/>
      <c r="C160" s="109"/>
      <c r="D160" s="109"/>
      <c r="E160" s="104"/>
      <c r="F160" s="110"/>
      <c r="G160" s="93"/>
      <c r="H160" s="93"/>
      <c r="I160" s="56"/>
      <c r="J160" s="93"/>
      <c r="K160" s="93"/>
      <c r="L160" s="93"/>
      <c r="M160" s="109"/>
      <c r="N160" s="109"/>
      <c r="O160" s="109"/>
      <c r="P160" s="114"/>
      <c r="Q160" s="114"/>
      <c r="R160" s="114"/>
      <c r="S160" s="114"/>
      <c r="T160" s="114"/>
      <c r="U160" s="114"/>
      <c r="V160" s="114"/>
      <c r="W160" s="114"/>
      <c r="X160" s="114"/>
      <c r="Y160" s="114"/>
      <c r="Z160" s="109"/>
    </row>
    <row r="161" spans="1:26">
      <c r="A161" s="109"/>
      <c r="B161" s="109"/>
      <c r="C161" s="109"/>
      <c r="D161" s="109"/>
      <c r="E161" s="104"/>
      <c r="F161" s="110"/>
      <c r="G161" s="93"/>
      <c r="H161" s="93"/>
      <c r="I161" s="56"/>
      <c r="J161" s="93"/>
      <c r="K161" s="93"/>
      <c r="L161" s="93"/>
      <c r="M161" s="109"/>
      <c r="N161" s="109"/>
      <c r="O161" s="109"/>
      <c r="P161" s="114"/>
      <c r="Q161" s="114"/>
      <c r="R161" s="114"/>
      <c r="S161" s="114"/>
      <c r="T161" s="114"/>
      <c r="U161" s="114"/>
      <c r="V161" s="114"/>
      <c r="W161" s="114"/>
      <c r="X161" s="114"/>
      <c r="Y161" s="114"/>
      <c r="Z161" s="109"/>
    </row>
    <row r="162" spans="1:26">
      <c r="A162" s="109"/>
      <c r="B162" s="109"/>
      <c r="C162" s="109"/>
      <c r="D162" s="109"/>
      <c r="E162" s="104"/>
      <c r="F162" s="110"/>
      <c r="G162" s="93"/>
      <c r="H162" s="93"/>
      <c r="I162" s="56"/>
      <c r="J162" s="93"/>
      <c r="K162" s="93"/>
      <c r="L162" s="93"/>
      <c r="M162" s="109"/>
      <c r="N162" s="109"/>
      <c r="O162" s="109"/>
      <c r="P162" s="114"/>
      <c r="Q162" s="114"/>
      <c r="R162" s="114"/>
      <c r="S162" s="114"/>
      <c r="T162" s="114"/>
      <c r="U162" s="114"/>
      <c r="V162" s="114"/>
      <c r="W162" s="114"/>
      <c r="X162" s="114"/>
      <c r="Y162" s="114"/>
      <c r="Z162" s="109"/>
    </row>
    <row r="163" spans="1:26">
      <c r="A163" s="109"/>
      <c r="B163" s="109"/>
      <c r="C163" s="109"/>
      <c r="D163" s="109"/>
      <c r="E163" s="104"/>
      <c r="F163" s="110"/>
      <c r="G163" s="93"/>
      <c r="H163" s="93"/>
      <c r="I163" s="56"/>
      <c r="J163" s="93"/>
      <c r="K163" s="93"/>
      <c r="L163" s="93"/>
      <c r="M163" s="109"/>
      <c r="N163" s="109"/>
      <c r="O163" s="109"/>
      <c r="P163" s="114"/>
      <c r="Q163" s="114"/>
      <c r="R163" s="114"/>
      <c r="S163" s="114"/>
      <c r="T163" s="114"/>
      <c r="U163" s="114"/>
      <c r="V163" s="114"/>
      <c r="W163" s="114"/>
      <c r="X163" s="114"/>
      <c r="Y163" s="114"/>
      <c r="Z163" s="109"/>
    </row>
    <row r="164" spans="1:26">
      <c r="A164" s="109"/>
      <c r="B164" s="109"/>
      <c r="C164" s="109"/>
      <c r="D164" s="109"/>
      <c r="E164" s="104"/>
      <c r="F164" s="110"/>
      <c r="G164" s="93"/>
      <c r="H164" s="93"/>
      <c r="I164" s="56"/>
      <c r="J164" s="93"/>
      <c r="K164" s="93"/>
      <c r="L164" s="93"/>
      <c r="M164" s="109"/>
      <c r="N164" s="109"/>
      <c r="O164" s="109"/>
      <c r="P164" s="114"/>
      <c r="Q164" s="114"/>
      <c r="R164" s="114"/>
      <c r="S164" s="114"/>
      <c r="T164" s="114"/>
      <c r="U164" s="114"/>
      <c r="V164" s="114"/>
      <c r="W164" s="114"/>
      <c r="X164" s="114"/>
      <c r="Y164" s="114"/>
      <c r="Z164" s="109"/>
    </row>
    <row r="165" spans="1:26">
      <c r="A165" s="109"/>
      <c r="B165" s="109"/>
      <c r="C165" s="109"/>
      <c r="D165" s="109"/>
      <c r="E165" s="104"/>
      <c r="F165" s="110"/>
      <c r="G165" s="93"/>
      <c r="H165" s="93"/>
      <c r="I165" s="56"/>
      <c r="J165" s="93"/>
      <c r="K165" s="93"/>
      <c r="L165" s="93"/>
      <c r="M165" s="109"/>
      <c r="N165" s="109"/>
      <c r="O165" s="109"/>
      <c r="P165" s="114"/>
      <c r="Q165" s="114"/>
      <c r="R165" s="114"/>
      <c r="S165" s="114"/>
      <c r="T165" s="114"/>
      <c r="U165" s="114"/>
      <c r="V165" s="114"/>
      <c r="W165" s="114"/>
      <c r="X165" s="114"/>
      <c r="Y165" s="114"/>
      <c r="Z165" s="109"/>
    </row>
    <row r="166" spans="1:26">
      <c r="A166" s="109"/>
      <c r="B166" s="109"/>
      <c r="C166" s="109"/>
      <c r="D166" s="109"/>
      <c r="E166" s="104"/>
      <c r="F166" s="110"/>
      <c r="G166" s="93"/>
      <c r="H166" s="93"/>
      <c r="I166" s="56"/>
      <c r="J166" s="93"/>
      <c r="K166" s="93"/>
      <c r="L166" s="93"/>
      <c r="M166" s="109"/>
      <c r="N166" s="109"/>
      <c r="O166" s="109"/>
      <c r="P166" s="114"/>
      <c r="Q166" s="114"/>
      <c r="R166" s="114"/>
      <c r="S166" s="114"/>
      <c r="T166" s="114"/>
      <c r="U166" s="114"/>
      <c r="V166" s="114"/>
      <c r="W166" s="114"/>
      <c r="X166" s="114"/>
      <c r="Y166" s="114"/>
      <c r="Z166" s="109"/>
    </row>
    <row r="167" spans="1:26">
      <c r="A167" s="109"/>
      <c r="B167" s="109"/>
      <c r="C167" s="109"/>
      <c r="D167" s="109"/>
      <c r="E167" s="104"/>
      <c r="F167" s="110"/>
      <c r="G167" s="93"/>
      <c r="H167" s="93"/>
      <c r="I167" s="56"/>
      <c r="J167" s="93"/>
      <c r="K167" s="93"/>
      <c r="L167" s="93"/>
      <c r="M167" s="109"/>
      <c r="N167" s="109"/>
      <c r="O167" s="109"/>
      <c r="P167" s="114"/>
      <c r="Q167" s="114"/>
      <c r="R167" s="114"/>
      <c r="S167" s="114"/>
      <c r="T167" s="114"/>
      <c r="U167" s="114"/>
      <c r="V167" s="114"/>
      <c r="W167" s="114"/>
      <c r="X167" s="114"/>
      <c r="Y167" s="114"/>
      <c r="Z167" s="109"/>
    </row>
    <row r="168" spans="1:26">
      <c r="A168" s="109"/>
      <c r="B168" s="109"/>
      <c r="C168" s="109"/>
      <c r="D168" s="109"/>
      <c r="E168" s="104"/>
      <c r="F168" s="110"/>
      <c r="G168" s="93"/>
      <c r="H168" s="93"/>
      <c r="I168" s="56"/>
      <c r="J168" s="93"/>
      <c r="K168" s="93"/>
      <c r="L168" s="93"/>
      <c r="M168" s="109"/>
      <c r="N168" s="109"/>
      <c r="O168" s="109"/>
      <c r="P168" s="114"/>
      <c r="Q168" s="114"/>
      <c r="R168" s="114"/>
      <c r="S168" s="114"/>
      <c r="T168" s="114"/>
      <c r="U168" s="114"/>
      <c r="V168" s="114"/>
      <c r="W168" s="114"/>
      <c r="X168" s="114"/>
      <c r="Y168" s="114"/>
      <c r="Z168" s="109"/>
    </row>
    <row r="169" spans="1:26">
      <c r="A169" s="109"/>
      <c r="B169" s="109"/>
      <c r="C169" s="109"/>
      <c r="D169" s="109"/>
      <c r="E169" s="104"/>
      <c r="F169" s="110"/>
      <c r="G169" s="93"/>
      <c r="H169" s="93"/>
      <c r="I169" s="56"/>
      <c r="J169" s="93"/>
      <c r="K169" s="93"/>
      <c r="L169" s="93"/>
      <c r="M169" s="109"/>
      <c r="N169" s="109"/>
      <c r="O169" s="109"/>
      <c r="P169" s="114"/>
      <c r="Q169" s="114"/>
      <c r="R169" s="114"/>
      <c r="S169" s="114"/>
      <c r="T169" s="114"/>
      <c r="U169" s="114"/>
      <c r="V169" s="114"/>
      <c r="W169" s="114"/>
      <c r="X169" s="114"/>
      <c r="Y169" s="114"/>
      <c r="Z169" s="109"/>
    </row>
    <row r="170" spans="1:26">
      <c r="A170" s="109"/>
      <c r="B170" s="109"/>
      <c r="C170" s="109"/>
      <c r="D170" s="109"/>
      <c r="E170" s="104"/>
      <c r="F170" s="110"/>
      <c r="G170" s="93"/>
      <c r="H170" s="93"/>
      <c r="I170" s="56"/>
      <c r="J170" s="93"/>
      <c r="K170" s="93"/>
      <c r="L170" s="93"/>
      <c r="M170" s="109"/>
      <c r="N170" s="109"/>
      <c r="O170" s="109"/>
      <c r="P170" s="114"/>
      <c r="Q170" s="114"/>
      <c r="R170" s="114"/>
      <c r="S170" s="114"/>
      <c r="T170" s="114"/>
      <c r="U170" s="114"/>
      <c r="V170" s="114"/>
      <c r="W170" s="114"/>
      <c r="X170" s="114"/>
      <c r="Y170" s="114"/>
      <c r="Z170" s="109"/>
    </row>
    <row r="171" spans="1:26">
      <c r="A171" s="109"/>
      <c r="B171" s="109"/>
      <c r="C171" s="109"/>
      <c r="D171" s="109"/>
      <c r="E171" s="104"/>
      <c r="F171" s="110"/>
      <c r="G171" s="93"/>
      <c r="H171" s="93"/>
      <c r="I171" s="56"/>
      <c r="J171" s="93"/>
      <c r="K171" s="93"/>
      <c r="L171" s="93"/>
      <c r="M171" s="109"/>
      <c r="N171" s="109"/>
      <c r="O171" s="109"/>
      <c r="P171" s="114"/>
      <c r="Q171" s="114"/>
      <c r="R171" s="114"/>
      <c r="S171" s="114"/>
      <c r="T171" s="114"/>
      <c r="U171" s="114"/>
      <c r="V171" s="114"/>
      <c r="W171" s="114"/>
      <c r="X171" s="114"/>
      <c r="Y171" s="114"/>
      <c r="Z171" s="109"/>
    </row>
    <row r="172" spans="1:26">
      <c r="A172" s="109"/>
      <c r="B172" s="109"/>
      <c r="C172" s="109"/>
      <c r="D172" s="109"/>
      <c r="E172" s="104"/>
      <c r="F172" s="110"/>
      <c r="G172" s="93"/>
      <c r="H172" s="93"/>
      <c r="I172" s="56"/>
      <c r="J172" s="93"/>
      <c r="K172" s="93"/>
      <c r="L172" s="93"/>
      <c r="M172" s="109"/>
      <c r="N172" s="109"/>
      <c r="O172" s="109"/>
      <c r="P172" s="114"/>
      <c r="Q172" s="114"/>
      <c r="R172" s="114"/>
      <c r="S172" s="114"/>
      <c r="T172" s="114"/>
      <c r="U172" s="114"/>
      <c r="V172" s="114"/>
      <c r="W172" s="114"/>
      <c r="X172" s="114"/>
      <c r="Y172" s="114"/>
      <c r="Z172" s="109"/>
    </row>
    <row r="173" spans="1:26">
      <c r="A173" s="109"/>
      <c r="B173" s="109"/>
      <c r="C173" s="109"/>
      <c r="D173" s="109"/>
      <c r="E173" s="104"/>
      <c r="F173" s="110"/>
      <c r="G173" s="93"/>
      <c r="H173" s="93"/>
      <c r="I173" s="56"/>
      <c r="J173" s="93"/>
      <c r="K173" s="93"/>
      <c r="L173" s="93"/>
      <c r="M173" s="109"/>
      <c r="N173" s="109"/>
      <c r="O173" s="109"/>
      <c r="P173" s="114"/>
      <c r="Q173" s="114"/>
    </row>
    <row r="174" spans="1:26">
      <c r="A174" s="109"/>
      <c r="B174" s="109"/>
      <c r="C174" s="109"/>
      <c r="D174" s="109"/>
      <c r="E174" s="104"/>
      <c r="F174" s="110"/>
      <c r="G174" s="93"/>
      <c r="H174" s="93"/>
      <c r="I174" s="56"/>
      <c r="J174" s="93"/>
      <c r="K174" s="93"/>
      <c r="L174" s="93"/>
      <c r="M174" s="109"/>
      <c r="N174" s="109"/>
      <c r="O174" s="109"/>
      <c r="P174" s="114"/>
      <c r="Q174" s="114"/>
    </row>
    <row r="175" spans="1:26">
      <c r="A175" s="109"/>
      <c r="B175" s="109"/>
      <c r="C175" s="109"/>
      <c r="D175" s="109"/>
      <c r="E175" s="104"/>
      <c r="F175" s="110"/>
      <c r="G175" s="93"/>
      <c r="H175" s="93"/>
      <c r="I175" s="56"/>
      <c r="J175" s="93"/>
      <c r="K175" s="93"/>
      <c r="L175" s="93"/>
      <c r="M175" s="109"/>
      <c r="N175" s="109"/>
      <c r="O175" s="109"/>
      <c r="P175" s="114"/>
      <c r="Q175" s="114"/>
    </row>
    <row r="176" spans="1:26">
      <c r="A176" s="109"/>
      <c r="B176" s="109"/>
      <c r="C176" s="109"/>
      <c r="D176" s="109"/>
      <c r="E176" s="104"/>
      <c r="F176" s="110"/>
      <c r="G176" s="93"/>
      <c r="H176" s="93"/>
      <c r="I176" s="56"/>
      <c r="J176" s="93"/>
      <c r="K176" s="93"/>
      <c r="L176" s="93"/>
      <c r="M176" s="109"/>
      <c r="N176" s="109"/>
      <c r="O176" s="109"/>
      <c r="P176" s="114"/>
      <c r="Q176" s="114"/>
    </row>
    <row r="177" spans="1:17">
      <c r="A177" s="109"/>
      <c r="B177" s="109"/>
      <c r="C177" s="109"/>
      <c r="D177" s="109"/>
      <c r="E177" s="104"/>
      <c r="F177" s="110"/>
      <c r="G177" s="93"/>
      <c r="H177" s="93"/>
      <c r="I177" s="56"/>
      <c r="J177" s="93"/>
      <c r="K177" s="93"/>
      <c r="L177" s="93"/>
      <c r="M177" s="109"/>
      <c r="N177" s="109"/>
      <c r="O177" s="109"/>
      <c r="P177" s="114"/>
      <c r="Q177" s="114"/>
    </row>
    <row r="178" spans="1:17">
      <c r="A178" s="109"/>
      <c r="B178" s="109"/>
      <c r="C178" s="109"/>
      <c r="D178" s="109"/>
      <c r="E178" s="104"/>
      <c r="F178" s="110"/>
      <c r="G178" s="93"/>
      <c r="H178" s="93"/>
      <c r="I178" s="56"/>
      <c r="J178" s="93"/>
      <c r="K178" s="93"/>
      <c r="L178" s="93"/>
      <c r="M178" s="109"/>
    </row>
    <row r="179" spans="1:17">
      <c r="A179" s="109"/>
      <c r="B179" s="109"/>
      <c r="C179" s="109"/>
      <c r="D179" s="109"/>
      <c r="E179" s="104"/>
      <c r="F179" s="110"/>
      <c r="G179" s="93"/>
      <c r="H179" s="93"/>
      <c r="I179" s="56"/>
      <c r="J179" s="93"/>
      <c r="K179" s="93"/>
      <c r="L179" s="93"/>
      <c r="M179" s="109"/>
    </row>
    <row r="180" spans="1:17">
      <c r="A180" s="109"/>
      <c r="B180" s="109"/>
      <c r="C180" s="109"/>
      <c r="D180" s="109"/>
      <c r="E180" s="104"/>
      <c r="F180" s="110"/>
      <c r="G180" s="93"/>
      <c r="H180" s="93"/>
      <c r="I180" s="56"/>
      <c r="J180" s="93"/>
      <c r="K180" s="93"/>
      <c r="L180" s="93"/>
      <c r="M180" s="109"/>
    </row>
    <row r="181" spans="1:17">
      <c r="A181" s="109"/>
      <c r="B181" s="109"/>
      <c r="C181" s="109"/>
      <c r="D181" s="109"/>
      <c r="E181" s="104"/>
      <c r="F181" s="110"/>
      <c r="G181" s="93"/>
      <c r="H181" s="93"/>
      <c r="I181" s="56"/>
      <c r="J181" s="93"/>
      <c r="K181" s="93"/>
      <c r="L181" s="93"/>
      <c r="M181" s="109"/>
    </row>
    <row r="182" spans="1:17">
      <c r="J182" s="93"/>
      <c r="K182" s="93"/>
      <c r="L182" s="93"/>
      <c r="M182" s="109"/>
    </row>
    <row r="183" spans="1:17">
      <c r="J183" s="93"/>
      <c r="K183" s="93"/>
      <c r="L183" s="93"/>
      <c r="M183" s="109"/>
    </row>
    <row r="184" spans="1:17">
      <c r="J184" s="93"/>
      <c r="K184" s="93"/>
      <c r="L184" s="93"/>
      <c r="M184" s="109"/>
    </row>
    <row r="185" spans="1:17">
      <c r="J185" s="93"/>
      <c r="K185" s="93"/>
      <c r="L185" s="93"/>
      <c r="M185" s="109"/>
    </row>
    <row r="186" spans="1:17">
      <c r="J186" s="93"/>
      <c r="K186" s="93"/>
      <c r="L186" s="93"/>
      <c r="M186" s="109"/>
    </row>
    <row r="187" spans="1:17">
      <c r="J187" s="93"/>
      <c r="K187" s="93"/>
      <c r="L187" s="93"/>
      <c r="M187" s="109"/>
    </row>
    <row r="188" spans="1:17">
      <c r="K188" s="93"/>
      <c r="L188" s="93"/>
      <c r="M188" s="109"/>
    </row>
    <row r="189" spans="1:17">
      <c r="K189" s="93"/>
      <c r="L189" s="93"/>
      <c r="M189" s="109"/>
    </row>
    <row r="190" spans="1:17">
      <c r="K190" s="93"/>
      <c r="L190" s="93"/>
      <c r="M190" s="109"/>
    </row>
    <row r="191" spans="1:17">
      <c r="L191" s="93"/>
      <c r="M191" s="109"/>
    </row>
    <row r="192" spans="1:17">
      <c r="L192" s="93"/>
      <c r="M192" s="109"/>
    </row>
    <row r="193" spans="12:12">
      <c r="L193" s="93"/>
    </row>
    <row r="194" spans="12:12">
      <c r="L194" s="93"/>
    </row>
    <row r="195" spans="12:12">
      <c r="L195" s="93"/>
    </row>
  </sheetData>
  <mergeCells count="7">
    <mergeCell ref="D9:F9"/>
    <mergeCell ref="H9:K9"/>
    <mergeCell ref="A7:L7"/>
    <mergeCell ref="AA7:AB7"/>
    <mergeCell ref="R7:S7"/>
    <mergeCell ref="T7:W7"/>
    <mergeCell ref="X7:Y7"/>
  </mergeCells>
  <conditionalFormatting sqref="P84:P100 AF9:AF57">
    <cfRule type="aboveAverage" dxfId="1" priority="1" aboveAverage="0" stdDev="1"/>
    <cfRule type="aboveAverage" dxfId="0" priority="2" stdDev="1"/>
  </conditionalFormatting>
  <dataValidations count="1">
    <dataValidation type="list" allowBlank="1" showInputMessage="1" showErrorMessage="1" sqref="B5" xr:uid="{00000000-0002-0000-0400-000000000000}">
      <formula1>$AH$5:$AH$8</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E4EB9-F0F2-40C3-96F7-70DB05158F5F}">
  <dimension ref="A1:W33"/>
  <sheetViews>
    <sheetView workbookViewId="0">
      <selection activeCell="C8" sqref="C8"/>
    </sheetView>
  </sheetViews>
  <sheetFormatPr defaultColWidth="17.28515625" defaultRowHeight="15.75" customHeight="1"/>
  <cols>
    <col min="1" max="1" width="12.42578125" style="139" customWidth="1"/>
    <col min="2" max="2" width="27.28515625" style="139" customWidth="1"/>
    <col min="3" max="3" width="11.28515625" style="139" bestFit="1" customWidth="1"/>
    <col min="4" max="4" width="20" style="139" bestFit="1" customWidth="1"/>
    <col min="5" max="5" width="10.5703125" style="139" bestFit="1" customWidth="1"/>
    <col min="6" max="7" width="13.7109375" style="139" bestFit="1" customWidth="1"/>
    <col min="8" max="8" width="14.42578125" style="139" bestFit="1" customWidth="1"/>
    <col min="9" max="9" width="17.28515625" style="139" bestFit="1" customWidth="1"/>
    <col min="10" max="10" width="19.5703125" style="139" bestFit="1" customWidth="1"/>
    <col min="11" max="11" width="16.42578125" style="139" bestFit="1" customWidth="1"/>
    <col min="12" max="12" width="18" style="139" customWidth="1"/>
    <col min="13" max="13" width="22.140625" style="139" customWidth="1"/>
    <col min="14" max="14" width="11.5703125" style="139" bestFit="1" customWidth="1"/>
    <col min="15" max="15" width="11.28515625" style="139" bestFit="1" customWidth="1"/>
    <col min="16" max="17" width="7.85546875" style="139" bestFit="1" customWidth="1"/>
    <col min="18" max="18" width="14.7109375" style="139" bestFit="1" customWidth="1"/>
    <col min="19" max="19" width="20.7109375" style="139" bestFit="1" customWidth="1"/>
    <col min="20" max="20" width="21" style="139" bestFit="1" customWidth="1"/>
    <col min="21" max="21" width="13.7109375" style="139" customWidth="1"/>
    <col min="22" max="22" width="13" style="139" customWidth="1"/>
    <col min="23" max="16384" width="17.28515625" style="139"/>
  </cols>
  <sheetData>
    <row r="1" spans="1:23" ht="15" customHeight="1">
      <c r="A1" s="162"/>
      <c r="B1" s="163"/>
      <c r="C1" s="185"/>
      <c r="D1" s="164"/>
      <c r="E1" s="165"/>
      <c r="F1" s="166"/>
      <c r="G1" s="167"/>
      <c r="H1" s="211"/>
      <c r="I1" s="167"/>
      <c r="J1" s="190"/>
      <c r="K1" s="166"/>
      <c r="L1" s="315"/>
      <c r="M1" s="328"/>
      <c r="N1" s="167"/>
      <c r="O1" s="329"/>
      <c r="P1" s="168"/>
      <c r="Q1" s="168"/>
      <c r="R1" s="168"/>
      <c r="S1" s="500"/>
      <c r="T1" s="955" t="s">
        <v>7</v>
      </c>
      <c r="U1" s="955"/>
      <c r="V1" s="956"/>
      <c r="W1" s="220"/>
    </row>
    <row r="2" spans="1:23" ht="15" customHeight="1">
      <c r="A2" s="169"/>
      <c r="B2" s="4"/>
      <c r="C2" s="146"/>
      <c r="D2" s="29"/>
      <c r="E2" s="512"/>
      <c r="F2" s="513"/>
      <c r="G2" s="3"/>
      <c r="H2" s="212"/>
      <c r="I2" s="3"/>
      <c r="J2" s="6"/>
      <c r="K2" s="1"/>
      <c r="L2" s="316"/>
      <c r="M2" s="327"/>
      <c r="N2" s="6"/>
      <c r="O2" s="232"/>
      <c r="S2" s="234"/>
      <c r="T2" s="957" t="s">
        <v>79</v>
      </c>
      <c r="U2" s="957"/>
      <c r="V2" s="514"/>
      <c r="W2" s="12"/>
    </row>
    <row r="3" spans="1:23" ht="15" customHeight="1">
      <c r="A3" s="169"/>
      <c r="B3" s="4"/>
      <c r="C3" s="146"/>
      <c r="D3" s="137"/>
      <c r="E3" s="958" t="s">
        <v>117</v>
      </c>
      <c r="F3" s="959"/>
      <c r="G3" s="960"/>
      <c r="H3" s="213"/>
      <c r="I3" s="513"/>
      <c r="J3" s="6"/>
      <c r="K3" s="513"/>
      <c r="L3" s="221"/>
      <c r="M3" s="2"/>
      <c r="N3" s="6"/>
      <c r="O3" s="330"/>
      <c r="P3" s="6"/>
      <c r="Q3" s="6"/>
      <c r="R3" s="124"/>
      <c r="S3" s="501"/>
      <c r="T3" s="961" t="s">
        <v>80</v>
      </c>
      <c r="U3" s="962"/>
      <c r="V3" s="514"/>
      <c r="W3" s="134"/>
    </row>
    <row r="4" spans="1:23" s="511" customFormat="1" ht="38.25">
      <c r="A4" s="171" t="s">
        <v>9</v>
      </c>
      <c r="B4" s="7" t="s">
        <v>10</v>
      </c>
      <c r="C4" s="147" t="s">
        <v>113</v>
      </c>
      <c r="D4" s="503" t="s">
        <v>114</v>
      </c>
      <c r="E4" s="504" t="s">
        <v>8</v>
      </c>
      <c r="F4" s="7" t="s">
        <v>115</v>
      </c>
      <c r="G4" s="11" t="s">
        <v>116</v>
      </c>
      <c r="H4" s="214" t="s">
        <v>118</v>
      </c>
      <c r="I4" s="11" t="s">
        <v>119</v>
      </c>
      <c r="J4" s="11" t="s">
        <v>120</v>
      </c>
      <c r="K4" s="7" t="s">
        <v>121</v>
      </c>
      <c r="L4" s="505" t="s">
        <v>122</v>
      </c>
      <c r="M4" s="505" t="s">
        <v>123</v>
      </c>
      <c r="N4" s="11" t="s">
        <v>124</v>
      </c>
      <c r="O4" s="506" t="s">
        <v>125</v>
      </c>
      <c r="P4" s="11" t="s">
        <v>126</v>
      </c>
      <c r="Q4" s="11" t="s">
        <v>127</v>
      </c>
      <c r="R4" s="507" t="s">
        <v>67</v>
      </c>
      <c r="S4" s="508" t="s">
        <v>68</v>
      </c>
      <c r="T4" s="509" t="s">
        <v>11</v>
      </c>
      <c r="U4" s="509" t="s">
        <v>12</v>
      </c>
      <c r="V4" s="510" t="s">
        <v>56</v>
      </c>
      <c r="W4" s="147" t="s">
        <v>0</v>
      </c>
    </row>
    <row r="5" spans="1:23" ht="15.75" customHeight="1" thickBot="1">
      <c r="A5" s="172" t="s">
        <v>13</v>
      </c>
      <c r="B5" s="173"/>
      <c r="C5" s="186"/>
      <c r="D5" s="174"/>
      <c r="E5" s="176" t="s">
        <v>3</v>
      </c>
      <c r="F5" s="176" t="s">
        <v>3</v>
      </c>
      <c r="G5" s="176" t="s">
        <v>3</v>
      </c>
      <c r="H5" s="176" t="s">
        <v>3</v>
      </c>
      <c r="I5" s="176" t="s">
        <v>3</v>
      </c>
      <c r="J5" s="176" t="s">
        <v>3</v>
      </c>
      <c r="K5" s="175" t="s">
        <v>74</v>
      </c>
      <c r="L5" s="187" t="s">
        <v>3</v>
      </c>
      <c r="M5" s="177" t="s">
        <v>3</v>
      </c>
      <c r="N5" s="177" t="s">
        <v>74</v>
      </c>
      <c r="O5" s="331" t="s">
        <v>4</v>
      </c>
      <c r="P5" s="178" t="s">
        <v>4</v>
      </c>
      <c r="Q5" s="178" t="s">
        <v>4</v>
      </c>
      <c r="R5" s="181" t="s">
        <v>4</v>
      </c>
      <c r="S5" s="502" t="s">
        <v>4</v>
      </c>
      <c r="T5" s="179" t="s">
        <v>3</v>
      </c>
      <c r="U5" s="179" t="s">
        <v>3</v>
      </c>
      <c r="V5" s="180" t="s">
        <v>3</v>
      </c>
      <c r="W5" s="182"/>
    </row>
    <row r="6" spans="1:23" s="558" customFormat="1" ht="15" customHeight="1">
      <c r="A6" s="546">
        <v>45194</v>
      </c>
      <c r="B6" s="547" t="s">
        <v>129</v>
      </c>
      <c r="C6" s="548" t="s">
        <v>131</v>
      </c>
      <c r="D6" s="549" t="s">
        <v>137</v>
      </c>
      <c r="E6" s="550">
        <v>8</v>
      </c>
      <c r="F6" s="551">
        <f>E6-G6</f>
        <v>4.1999999999999993</v>
      </c>
      <c r="G6" s="551">
        <f>G7-I6</f>
        <v>3.8000000000000003</v>
      </c>
      <c r="H6" s="552"/>
      <c r="I6" s="551">
        <v>0.14000000000000001</v>
      </c>
      <c r="J6" s="551"/>
      <c r="K6" s="551">
        <v>0.27</v>
      </c>
      <c r="L6" s="553">
        <f>G6-I6</f>
        <v>3.66</v>
      </c>
      <c r="M6" s="551">
        <f>AVERAGE(L6:L11)</f>
        <v>4.123333333333334</v>
      </c>
      <c r="N6" s="551"/>
      <c r="O6" s="554">
        <f>Q6-P6</f>
        <v>0</v>
      </c>
      <c r="P6" s="551">
        <f>J6*K6</f>
        <v>0</v>
      </c>
      <c r="Q6" s="551"/>
      <c r="R6" s="551"/>
      <c r="S6" s="631">
        <f>I6*K6</f>
        <v>3.7800000000000007E-2</v>
      </c>
      <c r="T6" s="554"/>
      <c r="U6" s="551"/>
      <c r="V6" s="556"/>
      <c r="W6" s="557"/>
    </row>
    <row r="7" spans="1:23" s="558" customFormat="1" ht="15" customHeight="1">
      <c r="A7" s="546">
        <v>45194</v>
      </c>
      <c r="B7" s="547" t="s">
        <v>129</v>
      </c>
      <c r="C7" s="548" t="s">
        <v>131</v>
      </c>
      <c r="D7" s="549" t="s">
        <v>130</v>
      </c>
      <c r="E7" s="550">
        <v>8</v>
      </c>
      <c r="F7" s="551">
        <v>4.0599999999999996</v>
      </c>
      <c r="G7" s="551">
        <f>E7-F7</f>
        <v>3.9400000000000004</v>
      </c>
      <c r="H7" s="552">
        <f>G7-G6</f>
        <v>0.14000000000000012</v>
      </c>
      <c r="I7" s="551">
        <v>0</v>
      </c>
      <c r="J7" s="551"/>
      <c r="K7" s="551"/>
      <c r="L7" s="553">
        <f>G7-I7</f>
        <v>3.9400000000000004</v>
      </c>
      <c r="M7" s="551"/>
      <c r="N7" s="551"/>
      <c r="O7" s="554">
        <f>Q7-P7</f>
        <v>0</v>
      </c>
      <c r="P7" s="551">
        <f t="shared" ref="P7:P18" si="0">J7*K7</f>
        <v>0</v>
      </c>
      <c r="Q7" s="551"/>
      <c r="R7" s="551"/>
      <c r="S7" s="555"/>
      <c r="T7" s="554"/>
      <c r="U7" s="551"/>
      <c r="V7" s="556"/>
      <c r="W7" s="557"/>
    </row>
    <row r="8" spans="1:23" s="558" customFormat="1" ht="15" customHeight="1">
      <c r="A8" s="559">
        <v>45437</v>
      </c>
      <c r="B8" s="560" t="s">
        <v>140</v>
      </c>
      <c r="C8" s="561" t="s">
        <v>131</v>
      </c>
      <c r="D8" s="562" t="s">
        <v>143</v>
      </c>
      <c r="E8" s="563">
        <v>8</v>
      </c>
      <c r="F8" s="564">
        <v>1.21</v>
      </c>
      <c r="G8" s="551">
        <f t="shared" ref="G8:G18" si="1">E8-F8</f>
        <v>6.79</v>
      </c>
      <c r="H8" s="552">
        <f t="shared" ref="H8:H16" si="2">G8-G7</f>
        <v>2.8499999999999996</v>
      </c>
      <c r="I8" s="560">
        <v>2.02</v>
      </c>
      <c r="J8" s="565">
        <v>1.88</v>
      </c>
      <c r="K8" s="564">
        <v>0.52</v>
      </c>
      <c r="L8" s="563">
        <f>G8-I8</f>
        <v>4.7699999999999996</v>
      </c>
      <c r="M8" s="564"/>
      <c r="N8" s="560"/>
      <c r="O8" s="566"/>
      <c r="P8" s="551">
        <f>I8*K8</f>
        <v>1.0504</v>
      </c>
      <c r="Q8" s="560"/>
      <c r="R8" s="564"/>
      <c r="S8" s="560"/>
      <c r="T8" s="706">
        <v>585347.11</v>
      </c>
      <c r="U8" s="707">
        <v>6956395.9299999997</v>
      </c>
      <c r="V8" s="708">
        <v>1118.3699999999999</v>
      </c>
      <c r="W8" s="567"/>
    </row>
    <row r="9" spans="1:23" s="558" customFormat="1" ht="15" customHeight="1">
      <c r="A9" s="559">
        <v>45534</v>
      </c>
      <c r="B9" s="560" t="s">
        <v>140</v>
      </c>
      <c r="C9" s="561" t="s">
        <v>175</v>
      </c>
      <c r="D9" s="562" t="s">
        <v>130</v>
      </c>
      <c r="E9" s="563">
        <v>6</v>
      </c>
      <c r="F9" s="564">
        <v>3.32</v>
      </c>
      <c r="G9" s="551">
        <f>E9-F9</f>
        <v>2.68</v>
      </c>
      <c r="H9" s="552">
        <f>G9-G8</f>
        <v>-4.1099999999999994</v>
      </c>
      <c r="I9" s="560"/>
      <c r="J9" s="565"/>
      <c r="K9" s="564"/>
      <c r="L9" s="563"/>
      <c r="M9" s="564"/>
      <c r="N9" s="560"/>
      <c r="O9" s="832">
        <f>Q9-P8</f>
        <v>-2.1844000000000001</v>
      </c>
      <c r="P9" s="551"/>
      <c r="Q9" s="564">
        <f>0.9*(G9-G7)</f>
        <v>-1.1340000000000003</v>
      </c>
      <c r="R9" s="564"/>
      <c r="S9" s="560"/>
      <c r="T9" s="706"/>
      <c r="U9" s="707"/>
      <c r="V9" s="708"/>
      <c r="W9" s="567"/>
    </row>
    <row r="10" spans="1:23" s="558" customFormat="1" ht="15" customHeight="1">
      <c r="A10" s="559">
        <v>45534</v>
      </c>
      <c r="B10" s="560" t="s">
        <v>140</v>
      </c>
      <c r="C10" s="561" t="s">
        <v>131</v>
      </c>
      <c r="D10" s="562" t="s">
        <v>130</v>
      </c>
      <c r="E10" s="563">
        <v>4</v>
      </c>
      <c r="F10" s="564">
        <v>1.32</v>
      </c>
      <c r="G10" s="551">
        <f>E10-F10</f>
        <v>2.6799999999999997</v>
      </c>
      <c r="H10" s="552"/>
      <c r="I10" s="560"/>
      <c r="J10" s="565"/>
      <c r="K10" s="564"/>
      <c r="L10" s="563"/>
      <c r="M10" s="564"/>
      <c r="N10" s="560"/>
      <c r="O10" s="832"/>
      <c r="P10" s="551"/>
      <c r="Q10" s="560"/>
      <c r="R10" s="564"/>
      <c r="S10" s="560"/>
      <c r="T10" s="706"/>
      <c r="U10" s="707"/>
      <c r="V10" s="708"/>
      <c r="W10" s="567"/>
    </row>
    <row r="11" spans="1:23" s="558" customFormat="1" ht="15.75" customHeight="1">
      <c r="A11" s="568"/>
      <c r="B11" s="555"/>
      <c r="C11" s="569"/>
      <c r="D11" s="570"/>
      <c r="E11" s="571"/>
      <c r="F11" s="555"/>
      <c r="G11" s="551">
        <f t="shared" si="1"/>
        <v>0</v>
      </c>
      <c r="H11" s="552">
        <f>G11-G8</f>
        <v>-6.79</v>
      </c>
      <c r="I11" s="560"/>
      <c r="J11" s="560"/>
      <c r="K11" s="560"/>
      <c r="L11" s="563"/>
      <c r="M11" s="564"/>
      <c r="N11" s="560"/>
      <c r="O11" s="566">
        <f t="shared" ref="O11:O18" si="3">Q11-P11</f>
        <v>0</v>
      </c>
      <c r="P11" s="551">
        <f t="shared" si="0"/>
        <v>0</v>
      </c>
      <c r="Q11" s="560"/>
      <c r="R11" s="564"/>
      <c r="S11" s="560"/>
      <c r="T11" s="706"/>
      <c r="U11" s="707"/>
      <c r="V11" s="708"/>
      <c r="W11" s="567"/>
    </row>
    <row r="12" spans="1:23" s="188" customFormat="1" ht="15" customHeight="1">
      <c r="A12" s="184"/>
      <c r="B12" s="128"/>
      <c r="C12" s="150"/>
      <c r="D12" s="153"/>
      <c r="E12" s="149"/>
      <c r="F12" s="128"/>
      <c r="G12" s="128"/>
      <c r="H12" s="216"/>
      <c r="I12" s="116"/>
      <c r="J12" s="115"/>
      <c r="K12" s="115"/>
      <c r="L12" s="140"/>
      <c r="M12" s="115"/>
      <c r="N12" s="115"/>
      <c r="O12" s="334"/>
      <c r="P12" s="115"/>
      <c r="Q12" s="116"/>
      <c r="R12" s="115"/>
      <c r="S12" s="116"/>
      <c r="T12" s="792"/>
      <c r="U12" s="793"/>
      <c r="V12" s="794"/>
      <c r="W12" s="136"/>
    </row>
    <row r="13" spans="1:23" s="941" customFormat="1" ht="15" customHeight="1">
      <c r="A13" s="927">
        <v>45437</v>
      </c>
      <c r="B13" s="928" t="s">
        <v>140</v>
      </c>
      <c r="C13" s="929" t="s">
        <v>147</v>
      </c>
      <c r="D13" s="930" t="s">
        <v>148</v>
      </c>
      <c r="E13" s="931">
        <v>10</v>
      </c>
      <c r="F13" s="932">
        <v>0.87</v>
      </c>
      <c r="G13" s="932">
        <f t="shared" si="1"/>
        <v>9.1300000000000008</v>
      </c>
      <c r="H13" s="933"/>
      <c r="I13" s="932">
        <v>1.75</v>
      </c>
      <c r="J13" s="932">
        <v>1.88</v>
      </c>
      <c r="K13" s="932">
        <v>0.52</v>
      </c>
      <c r="L13" s="934">
        <f>G13-I13</f>
        <v>7.3800000000000008</v>
      </c>
      <c r="M13" s="932"/>
      <c r="N13" s="932"/>
      <c r="O13" s="935"/>
      <c r="P13" s="932">
        <f>I13*K13</f>
        <v>0.91</v>
      </c>
      <c r="Q13" s="932"/>
      <c r="R13" s="932"/>
      <c r="S13" s="936"/>
      <c r="T13" s="937">
        <v>585404.85</v>
      </c>
      <c r="U13" s="938">
        <v>6956517.1200000001</v>
      </c>
      <c r="V13" s="939">
        <v>1122.1600000000001</v>
      </c>
      <c r="W13" s="940"/>
    </row>
    <row r="14" spans="1:23" s="941" customFormat="1" ht="15" customHeight="1">
      <c r="A14" s="927"/>
      <c r="B14" s="928"/>
      <c r="C14" s="929"/>
      <c r="D14" s="930"/>
      <c r="E14" s="931">
        <v>8</v>
      </c>
      <c r="F14" s="932">
        <f>E14-G14</f>
        <v>-1.1300000000000008</v>
      </c>
      <c r="G14" s="932">
        <f>G13</f>
        <v>9.1300000000000008</v>
      </c>
      <c r="H14" s="933">
        <f t="shared" si="2"/>
        <v>0</v>
      </c>
      <c r="I14" s="932"/>
      <c r="J14" s="932"/>
      <c r="K14" s="932"/>
      <c r="L14" s="934"/>
      <c r="M14" s="932"/>
      <c r="N14" s="932"/>
      <c r="O14" s="935">
        <f t="shared" si="3"/>
        <v>0</v>
      </c>
      <c r="P14" s="932">
        <f t="shared" si="0"/>
        <v>0</v>
      </c>
      <c r="Q14" s="932"/>
      <c r="R14" s="932"/>
      <c r="S14" s="936"/>
      <c r="T14" s="942"/>
      <c r="U14" s="942"/>
      <c r="V14" s="943"/>
      <c r="W14" s="940"/>
    </row>
    <row r="15" spans="1:23" s="941" customFormat="1" ht="15" customHeight="1">
      <c r="A15" s="927">
        <v>45534</v>
      </c>
      <c r="B15" s="928" t="s">
        <v>140</v>
      </c>
      <c r="C15" s="929" t="s">
        <v>147</v>
      </c>
      <c r="D15" s="930" t="s">
        <v>130</v>
      </c>
      <c r="E15" s="931">
        <v>8</v>
      </c>
      <c r="F15" s="932">
        <f>E15-G15</f>
        <v>2.16</v>
      </c>
      <c r="G15" s="932">
        <v>5.84</v>
      </c>
      <c r="H15" s="933">
        <f t="shared" si="2"/>
        <v>-3.2900000000000009</v>
      </c>
      <c r="I15" s="932"/>
      <c r="J15" s="932"/>
      <c r="K15" s="932"/>
      <c r="L15" s="934"/>
      <c r="M15" s="932"/>
      <c r="N15" s="932"/>
      <c r="O15" s="935">
        <f>Q15-P13</f>
        <v>-2.2960000000000007</v>
      </c>
      <c r="P15" s="932">
        <f t="shared" si="0"/>
        <v>0</v>
      </c>
      <c r="Q15" s="932">
        <f>0.9*(G15-L13)</f>
        <v>-1.3860000000000008</v>
      </c>
      <c r="R15" s="932"/>
      <c r="S15" s="944"/>
      <c r="T15" s="945">
        <v>585375.81999999995</v>
      </c>
      <c r="U15" s="946">
        <v>6956460.3700000001</v>
      </c>
      <c r="V15" s="947">
        <v>1116.92</v>
      </c>
      <c r="W15" s="940"/>
    </row>
    <row r="16" spans="1:23" s="941" customFormat="1" ht="15" customHeight="1">
      <c r="A16" s="948">
        <v>45534</v>
      </c>
      <c r="B16" s="949" t="s">
        <v>140</v>
      </c>
      <c r="C16" s="950" t="s">
        <v>147</v>
      </c>
      <c r="D16" s="951" t="s">
        <v>130</v>
      </c>
      <c r="E16" s="952">
        <v>9</v>
      </c>
      <c r="F16" s="953">
        <v>3.16</v>
      </c>
      <c r="G16" s="953">
        <f t="shared" si="1"/>
        <v>5.84</v>
      </c>
      <c r="H16" s="933">
        <f t="shared" si="2"/>
        <v>0</v>
      </c>
      <c r="I16" s="932"/>
      <c r="J16" s="932"/>
      <c r="K16" s="932"/>
      <c r="L16" s="934"/>
      <c r="M16" s="932"/>
      <c r="N16" s="932"/>
      <c r="O16" s="935">
        <f t="shared" si="3"/>
        <v>0</v>
      </c>
      <c r="P16" s="932">
        <f t="shared" si="0"/>
        <v>0</v>
      </c>
      <c r="Q16" s="932"/>
      <c r="R16" s="932"/>
      <c r="S16" s="944"/>
      <c r="T16" s="954"/>
      <c r="U16" s="942"/>
      <c r="V16" s="943"/>
      <c r="W16" s="940"/>
    </row>
    <row r="17" spans="1:23" s="188" customFormat="1" ht="15" customHeight="1">
      <c r="A17" s="199"/>
      <c r="B17" s="131"/>
      <c r="C17" s="210"/>
      <c r="D17" s="156"/>
      <c r="E17" s="161"/>
      <c r="F17" s="132"/>
      <c r="G17" s="132"/>
      <c r="H17" s="218"/>
      <c r="I17" s="132"/>
      <c r="J17" s="132"/>
      <c r="K17" s="132"/>
      <c r="L17" s="118"/>
      <c r="M17" s="132"/>
      <c r="N17" s="132"/>
      <c r="O17" s="336"/>
      <c r="P17" s="132"/>
      <c r="Q17" s="132"/>
      <c r="R17" s="132"/>
      <c r="S17" s="133"/>
      <c r="T17" s="790"/>
      <c r="U17" s="791"/>
      <c r="V17" s="794"/>
      <c r="W17" s="142"/>
    </row>
    <row r="18" spans="1:23" ht="15" customHeight="1" thickBot="1">
      <c r="A18" s="200"/>
      <c r="B18" s="201"/>
      <c r="C18" s="223"/>
      <c r="D18" s="224"/>
      <c r="E18" s="225"/>
      <c r="F18" s="202"/>
      <c r="G18" s="202">
        <f t="shared" si="1"/>
        <v>0</v>
      </c>
      <c r="H18" s="219"/>
      <c r="I18" s="229"/>
      <c r="J18" s="203"/>
      <c r="K18" s="203"/>
      <c r="L18" s="226"/>
      <c r="M18" s="203"/>
      <c r="N18" s="204"/>
      <c r="O18" s="337">
        <f t="shared" si="3"/>
        <v>0</v>
      </c>
      <c r="P18" s="203">
        <f t="shared" si="0"/>
        <v>0</v>
      </c>
      <c r="Q18" s="204"/>
      <c r="R18" s="204"/>
      <c r="S18" s="204"/>
      <c r="T18" s="795"/>
      <c r="U18" s="796"/>
      <c r="V18" s="797"/>
      <c r="W18" s="227"/>
    </row>
    <row r="19" spans="1:23" ht="15" customHeight="1"/>
    <row r="20" spans="1:23" ht="15" customHeight="1">
      <c r="F20" s="233"/>
    </row>
    <row r="21" spans="1:23" ht="15" customHeight="1"/>
    <row r="22" spans="1:23" ht="15" customHeight="1"/>
    <row r="23" spans="1:23" ht="15" customHeight="1"/>
    <row r="24" spans="1:23" ht="15.75" customHeight="1" thickBot="1">
      <c r="A24" s="26"/>
      <c r="B24" s="26"/>
      <c r="C24" s="26"/>
      <c r="D24" s="26"/>
      <c r="E24" s="27"/>
      <c r="F24" s="27"/>
      <c r="G24" s="26"/>
      <c r="H24" s="26"/>
      <c r="I24" s="26"/>
      <c r="J24" s="26"/>
      <c r="K24" s="26"/>
      <c r="L24" s="26"/>
      <c r="M24" s="26"/>
      <c r="N24" s="26"/>
      <c r="O24" s="26"/>
      <c r="P24" s="26"/>
      <c r="Q24" s="26"/>
      <c r="R24" s="8"/>
      <c r="S24" s="8"/>
      <c r="T24" s="8"/>
      <c r="U24" s="8"/>
    </row>
    <row r="25" spans="1:23" ht="15.75" customHeight="1">
      <c r="A25" s="963" t="s">
        <v>5</v>
      </c>
      <c r="B25" s="964"/>
      <c r="C25" s="967" t="s">
        <v>78</v>
      </c>
      <c r="D25" s="967"/>
      <c r="E25" s="317" t="s">
        <v>75</v>
      </c>
      <c r="F25" s="318"/>
      <c r="G25" s="317" t="s">
        <v>76</v>
      </c>
      <c r="H25" s="318"/>
      <c r="I25" s="319" t="s">
        <v>77</v>
      </c>
      <c r="Q25" s="188"/>
      <c r="R25" s="117"/>
      <c r="S25" s="117"/>
      <c r="T25" s="117"/>
      <c r="U25" s="8"/>
    </row>
    <row r="26" spans="1:23" ht="15.75" customHeight="1">
      <c r="A26" s="965"/>
      <c r="B26" s="966"/>
      <c r="C26" s="346" t="s">
        <v>6</v>
      </c>
      <c r="D26" s="346" t="s">
        <v>64</v>
      </c>
      <c r="E26" s="347">
        <f>A6</f>
        <v>45194</v>
      </c>
      <c r="F26" s="348" t="s">
        <v>65</v>
      </c>
      <c r="G26" s="349">
        <f>A13</f>
        <v>45437</v>
      </c>
      <c r="H26" s="348" t="s">
        <v>65</v>
      </c>
      <c r="I26" s="350">
        <f>A16</f>
        <v>45534</v>
      </c>
      <c r="Q26" s="188"/>
      <c r="R26" s="143"/>
      <c r="S26" s="143"/>
      <c r="T26" s="117"/>
      <c r="U26" s="8"/>
    </row>
    <row r="27" spans="1:23" ht="15.75" customHeight="1">
      <c r="A27" s="320"/>
      <c r="B27" s="342" t="s">
        <v>21</v>
      </c>
      <c r="C27" s="10">
        <f>P13</f>
        <v>0.91</v>
      </c>
      <c r="D27" s="10">
        <f>C27+C31-C30</f>
        <v>0.87219999999999998</v>
      </c>
      <c r="E27" s="9"/>
      <c r="F27" s="9"/>
      <c r="G27" s="189"/>
      <c r="H27" s="10"/>
      <c r="I27" s="321"/>
      <c r="Q27" s="188"/>
      <c r="R27" s="143"/>
      <c r="S27" s="143"/>
      <c r="T27" s="117"/>
      <c r="U27" s="8"/>
    </row>
    <row r="28" spans="1:23" ht="15.75" customHeight="1">
      <c r="A28" s="320"/>
      <c r="B28" s="342" t="s">
        <v>22</v>
      </c>
      <c r="C28" s="10">
        <f>C29-C27</f>
        <v>-2.1700000000000008</v>
      </c>
      <c r="D28" s="10"/>
      <c r="E28" s="9"/>
      <c r="F28" s="9"/>
      <c r="G28" s="189"/>
      <c r="H28" s="10"/>
      <c r="I28" s="321"/>
      <c r="Q28" s="188"/>
      <c r="R28" s="143"/>
      <c r="S28" s="143"/>
      <c r="T28" s="117"/>
      <c r="U28" s="8"/>
    </row>
    <row r="29" spans="1:23" ht="15.75" customHeight="1">
      <c r="A29" s="320"/>
      <c r="B29" s="342" t="s">
        <v>23</v>
      </c>
      <c r="C29" s="10">
        <f>AVERAGE(Q15,Q9)</f>
        <v>-1.2600000000000007</v>
      </c>
      <c r="D29" s="10"/>
      <c r="E29" s="9"/>
      <c r="F29" s="9"/>
      <c r="G29" s="189"/>
      <c r="H29" s="10"/>
      <c r="I29" s="321"/>
      <c r="Q29" s="188"/>
      <c r="R29" s="143"/>
      <c r="S29" s="143"/>
      <c r="T29" s="117"/>
      <c r="U29" s="8"/>
    </row>
    <row r="30" spans="1:23" ht="15.75" customHeight="1">
      <c r="A30" s="320"/>
      <c r="B30" s="343" t="s">
        <v>59</v>
      </c>
      <c r="C30" s="10">
        <f>AVERAGE(S6)</f>
        <v>3.7800000000000007E-2</v>
      </c>
      <c r="D30" s="10"/>
      <c r="E30" s="9"/>
      <c r="F30" s="9"/>
      <c r="G30" s="10"/>
      <c r="H30" s="10"/>
      <c r="I30" s="321"/>
      <c r="Q30" s="188"/>
      <c r="R30" s="143"/>
      <c r="S30" s="143"/>
      <c r="T30" s="117"/>
      <c r="U30" s="8"/>
    </row>
    <row r="31" spans="1:23" ht="15.75" customHeight="1">
      <c r="A31" s="320"/>
      <c r="B31" s="344" t="s">
        <v>60</v>
      </c>
      <c r="C31" s="10">
        <v>0</v>
      </c>
      <c r="D31" s="10"/>
      <c r="E31" s="9"/>
      <c r="F31" s="9"/>
      <c r="G31" s="10"/>
      <c r="H31" s="10"/>
      <c r="I31" s="321"/>
      <c r="Q31" s="188"/>
      <c r="R31" s="143"/>
      <c r="S31" s="143"/>
      <c r="T31" s="117"/>
      <c r="U31" s="8"/>
    </row>
    <row r="32" spans="1:23" ht="15.75" customHeight="1" thickBot="1">
      <c r="A32" s="322"/>
      <c r="B32" s="345" t="s">
        <v>61</v>
      </c>
      <c r="C32" s="323">
        <v>0</v>
      </c>
      <c r="D32" s="323"/>
      <c r="E32" s="324"/>
      <c r="F32" s="324"/>
      <c r="G32" s="325"/>
      <c r="H32" s="325"/>
      <c r="I32" s="326"/>
      <c r="Q32" s="188"/>
      <c r="R32" s="143"/>
      <c r="S32" s="143"/>
      <c r="T32" s="117"/>
      <c r="U32" s="8"/>
    </row>
    <row r="33" spans="1:21" ht="15.75" customHeight="1">
      <c r="A33" s="8"/>
      <c r="B33" s="8"/>
      <c r="C33" s="8"/>
      <c r="D33" s="8"/>
      <c r="E33" s="8"/>
      <c r="F33" s="8"/>
      <c r="G33" s="8"/>
      <c r="H33" s="8"/>
      <c r="I33" s="8"/>
      <c r="J33" s="8"/>
      <c r="K33" s="8"/>
      <c r="L33" s="8"/>
      <c r="M33" s="8"/>
      <c r="N33" s="8"/>
      <c r="O33" s="8"/>
      <c r="P33" s="8"/>
      <c r="Q33" s="117"/>
      <c r="R33" s="117"/>
      <c r="S33" s="117"/>
      <c r="T33" s="117"/>
      <c r="U33" s="8"/>
    </row>
  </sheetData>
  <mergeCells count="6">
    <mergeCell ref="T1:V1"/>
    <mergeCell ref="T2:U2"/>
    <mergeCell ref="E3:G3"/>
    <mergeCell ref="T3:U3"/>
    <mergeCell ref="A25:B26"/>
    <mergeCell ref="C25:D25"/>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1D78-FCFF-4474-89E8-5D399ED53D83}">
  <dimension ref="A1:W34"/>
  <sheetViews>
    <sheetView workbookViewId="0">
      <selection activeCell="D16" sqref="D16"/>
    </sheetView>
  </sheetViews>
  <sheetFormatPr defaultColWidth="17.28515625" defaultRowHeight="12.75"/>
  <cols>
    <col min="1" max="1" width="12.42578125" style="139" customWidth="1"/>
    <col min="2" max="2" width="27.28515625" style="139" customWidth="1"/>
    <col min="3" max="3" width="11.28515625" style="139" bestFit="1" customWidth="1"/>
    <col min="4" max="4" width="20" style="139" bestFit="1" customWidth="1"/>
    <col min="5" max="5" width="10.5703125" style="139" bestFit="1" customWidth="1"/>
    <col min="6" max="7" width="13.7109375" style="139" bestFit="1" customWidth="1"/>
    <col min="8" max="8" width="14.42578125" style="139" bestFit="1" customWidth="1"/>
    <col min="9" max="9" width="17.28515625" style="139" bestFit="1" customWidth="1"/>
    <col min="10" max="10" width="19.5703125" style="139" bestFit="1" customWidth="1"/>
    <col min="11" max="11" width="16.42578125" style="139" bestFit="1" customWidth="1"/>
    <col min="12" max="12" width="18" style="139" customWidth="1"/>
    <col min="13" max="13" width="22.140625" style="139" customWidth="1"/>
    <col min="14" max="14" width="11.5703125" style="139" bestFit="1" customWidth="1"/>
    <col min="15" max="15" width="11.28515625" style="139" bestFit="1" customWidth="1"/>
    <col min="16" max="17" width="7.85546875" style="139" bestFit="1" customWidth="1"/>
    <col min="18" max="18" width="14.7109375" style="139" bestFit="1" customWidth="1"/>
    <col min="19" max="19" width="20.7109375" style="139" bestFit="1" customWidth="1"/>
    <col min="20" max="20" width="17.42578125" style="139" customWidth="1"/>
    <col min="21" max="21" width="13.5703125" style="139" customWidth="1"/>
    <col min="22" max="16384" width="17.28515625" style="139"/>
  </cols>
  <sheetData>
    <row r="1" spans="1:23">
      <c r="A1" s="162"/>
      <c r="B1" s="163"/>
      <c r="C1" s="185"/>
      <c r="D1" s="164"/>
      <c r="E1" s="165"/>
      <c r="F1" s="166"/>
      <c r="G1" s="167"/>
      <c r="H1" s="211"/>
      <c r="I1" s="167"/>
      <c r="J1" s="190"/>
      <c r="K1" s="166"/>
      <c r="L1" s="315"/>
      <c r="M1" s="328"/>
      <c r="N1" s="167"/>
      <c r="O1" s="329"/>
      <c r="P1" s="168"/>
      <c r="Q1" s="168"/>
      <c r="R1" s="168"/>
      <c r="S1" s="500"/>
      <c r="T1" s="955" t="s">
        <v>7</v>
      </c>
      <c r="U1" s="955"/>
      <c r="V1" s="956"/>
      <c r="W1" s="220"/>
    </row>
    <row r="2" spans="1:23">
      <c r="A2" s="169"/>
      <c r="B2" s="4"/>
      <c r="C2" s="146"/>
      <c r="D2" s="29"/>
      <c r="E2" s="512"/>
      <c r="F2" s="513"/>
      <c r="G2" s="3"/>
      <c r="H2" s="212"/>
      <c r="I2" s="3"/>
      <c r="J2" s="6"/>
      <c r="K2" s="1"/>
      <c r="L2" s="316"/>
      <c r="M2" s="327"/>
      <c r="N2" s="6"/>
      <c r="O2" s="232"/>
      <c r="S2" s="234"/>
      <c r="T2" s="957" t="s">
        <v>79</v>
      </c>
      <c r="U2" s="957"/>
      <c r="V2" s="514"/>
      <c r="W2" s="12"/>
    </row>
    <row r="3" spans="1:23">
      <c r="A3" s="169"/>
      <c r="B3" s="4"/>
      <c r="C3" s="146"/>
      <c r="D3" s="137"/>
      <c r="E3" s="958" t="s">
        <v>117</v>
      </c>
      <c r="F3" s="959"/>
      <c r="G3" s="960"/>
      <c r="H3" s="213"/>
      <c r="I3" s="513"/>
      <c r="J3" s="6"/>
      <c r="K3" s="513"/>
      <c r="L3" s="221"/>
      <c r="M3" s="2"/>
      <c r="N3" s="6"/>
      <c r="O3" s="330"/>
      <c r="P3" s="6"/>
      <c r="Q3" s="6"/>
      <c r="R3" s="124"/>
      <c r="S3" s="501"/>
      <c r="T3" s="961" t="s">
        <v>80</v>
      </c>
      <c r="U3" s="962"/>
      <c r="V3" s="514"/>
      <c r="W3" s="134"/>
    </row>
    <row r="4" spans="1:23" s="511" customFormat="1" ht="38.25">
      <c r="A4" s="171" t="s">
        <v>9</v>
      </c>
      <c r="B4" s="7" t="s">
        <v>10</v>
      </c>
      <c r="C4" s="147" t="s">
        <v>113</v>
      </c>
      <c r="D4" s="503" t="s">
        <v>114</v>
      </c>
      <c r="E4" s="504" t="s">
        <v>8</v>
      </c>
      <c r="F4" s="7" t="s">
        <v>115</v>
      </c>
      <c r="G4" s="11" t="s">
        <v>116</v>
      </c>
      <c r="H4" s="214" t="s">
        <v>118</v>
      </c>
      <c r="I4" s="11" t="s">
        <v>119</v>
      </c>
      <c r="J4" s="11" t="s">
        <v>120</v>
      </c>
      <c r="K4" s="7" t="s">
        <v>121</v>
      </c>
      <c r="L4" s="505" t="s">
        <v>122</v>
      </c>
      <c r="M4" s="505" t="s">
        <v>123</v>
      </c>
      <c r="N4" s="11" t="s">
        <v>124</v>
      </c>
      <c r="O4" s="506" t="s">
        <v>125</v>
      </c>
      <c r="P4" s="11" t="s">
        <v>126</v>
      </c>
      <c r="Q4" s="11" t="s">
        <v>127</v>
      </c>
      <c r="R4" s="507" t="s">
        <v>67</v>
      </c>
      <c r="S4" s="508" t="s">
        <v>68</v>
      </c>
      <c r="T4" s="509" t="s">
        <v>11</v>
      </c>
      <c r="U4" s="509" t="s">
        <v>12</v>
      </c>
      <c r="V4" s="510" t="s">
        <v>56</v>
      </c>
      <c r="W4" s="147" t="s">
        <v>0</v>
      </c>
    </row>
    <row r="5" spans="1:23" ht="13.5" thickBot="1">
      <c r="A5" s="172" t="s">
        <v>13</v>
      </c>
      <c r="B5" s="173"/>
      <c r="C5" s="186"/>
      <c r="D5" s="174"/>
      <c r="E5" s="176" t="s">
        <v>3</v>
      </c>
      <c r="F5" s="176" t="s">
        <v>3</v>
      </c>
      <c r="G5" s="176" t="s">
        <v>3</v>
      </c>
      <c r="H5" s="176" t="s">
        <v>3</v>
      </c>
      <c r="I5" s="176" t="s">
        <v>3</v>
      </c>
      <c r="J5" s="176" t="s">
        <v>3</v>
      </c>
      <c r="K5" s="175" t="s">
        <v>74</v>
      </c>
      <c r="L5" s="187" t="s">
        <v>3</v>
      </c>
      <c r="M5" s="177" t="s">
        <v>3</v>
      </c>
      <c r="N5" s="177" t="s">
        <v>74</v>
      </c>
      <c r="O5" s="331" t="s">
        <v>4</v>
      </c>
      <c r="P5" s="178" t="s">
        <v>4</v>
      </c>
      <c r="Q5" s="178" t="s">
        <v>4</v>
      </c>
      <c r="R5" s="181" t="s">
        <v>4</v>
      </c>
      <c r="S5" s="502" t="s">
        <v>4</v>
      </c>
      <c r="T5" s="179" t="s">
        <v>3</v>
      </c>
      <c r="U5" s="179" t="s">
        <v>3</v>
      </c>
      <c r="V5" s="180" t="s">
        <v>3</v>
      </c>
      <c r="W5" s="182"/>
    </row>
    <row r="6" spans="1:23" s="525" customFormat="1">
      <c r="A6" s="515">
        <v>45194</v>
      </c>
      <c r="B6" s="516" t="s">
        <v>129</v>
      </c>
      <c r="C6" s="517" t="s">
        <v>132</v>
      </c>
      <c r="D6" s="518" t="s">
        <v>133</v>
      </c>
      <c r="E6" s="519">
        <v>10</v>
      </c>
      <c r="F6" s="520">
        <f>E6-G6</f>
        <v>3.8100000000000005</v>
      </c>
      <c r="G6" s="520">
        <f>L7</f>
        <v>6.1899999999999995</v>
      </c>
      <c r="H6" s="521"/>
      <c r="I6" s="520">
        <v>0.6</v>
      </c>
      <c r="J6" s="520"/>
      <c r="K6" s="520">
        <f>0.29/I6</f>
        <v>0.48333333333333334</v>
      </c>
      <c r="L6" s="522">
        <f>G6-I6</f>
        <v>5.59</v>
      </c>
      <c r="M6" s="520">
        <f>AVERAGE(L6:L9)</f>
        <v>5.9899999999999993</v>
      </c>
      <c r="N6" s="520"/>
      <c r="O6" s="523">
        <f>Q6-P6</f>
        <v>0</v>
      </c>
      <c r="P6" s="520">
        <f>J6*K6</f>
        <v>0</v>
      </c>
      <c r="Q6" s="520"/>
      <c r="R6" s="520"/>
      <c r="S6" s="728"/>
      <c r="T6" s="523"/>
      <c r="U6" s="520"/>
      <c r="V6" s="642"/>
      <c r="W6" s="524"/>
    </row>
    <row r="7" spans="1:23" s="525" customFormat="1">
      <c r="A7" s="515">
        <v>45194</v>
      </c>
      <c r="B7" s="516" t="s">
        <v>129</v>
      </c>
      <c r="C7" s="517" t="s">
        <v>132</v>
      </c>
      <c r="D7" s="518" t="s">
        <v>137</v>
      </c>
      <c r="E7" s="519">
        <v>12</v>
      </c>
      <c r="F7" s="520">
        <v>4.99</v>
      </c>
      <c r="G7" s="520">
        <f t="shared" ref="G7:G19" si="0">E7-F7</f>
        <v>7.01</v>
      </c>
      <c r="H7" s="521">
        <f>G7-G6</f>
        <v>0.82000000000000028</v>
      </c>
      <c r="I7" s="520">
        <v>0.82</v>
      </c>
      <c r="J7" s="520"/>
      <c r="K7" s="520">
        <f>0.2/(0.82*0.9)</f>
        <v>0.2710027100271003</v>
      </c>
      <c r="L7" s="522">
        <f>G7-I7</f>
        <v>6.1899999999999995</v>
      </c>
      <c r="M7" s="520"/>
      <c r="N7" s="520"/>
      <c r="O7" s="523">
        <f>Q7-P7</f>
        <v>0</v>
      </c>
      <c r="P7" s="520">
        <f t="shared" ref="P7:P19" si="1">J7*K7</f>
        <v>0</v>
      </c>
      <c r="Q7" s="520"/>
      <c r="R7" s="520"/>
      <c r="S7" s="728">
        <f>K7*I7</f>
        <v>0.22222222222222224</v>
      </c>
      <c r="T7" s="523"/>
      <c r="U7" s="520"/>
      <c r="V7" s="642"/>
      <c r="W7" s="524"/>
    </row>
    <row r="8" spans="1:23" s="525" customFormat="1" ht="16.5">
      <c r="A8" s="526">
        <v>45437</v>
      </c>
      <c r="B8" s="527" t="s">
        <v>155</v>
      </c>
      <c r="C8" s="528" t="s">
        <v>132</v>
      </c>
      <c r="D8" s="529" t="s">
        <v>143</v>
      </c>
      <c r="E8" s="530">
        <v>12</v>
      </c>
      <c r="F8" s="531">
        <v>3.63</v>
      </c>
      <c r="G8" s="520">
        <f t="shared" si="0"/>
        <v>8.370000000000001</v>
      </c>
      <c r="H8" s="521">
        <f t="shared" ref="H8:H17" si="2">G8-G7</f>
        <v>1.3600000000000012</v>
      </c>
      <c r="I8" s="532">
        <f>G8-G6</f>
        <v>2.1800000000000015</v>
      </c>
      <c r="J8" s="532">
        <v>2.73</v>
      </c>
      <c r="K8" s="531">
        <v>0.45</v>
      </c>
      <c r="L8" s="530">
        <f>G8-I8</f>
        <v>6.1899999999999995</v>
      </c>
      <c r="M8" s="531"/>
      <c r="N8" s="527"/>
      <c r="O8" s="833"/>
      <c r="P8" s="520">
        <f>I8*K8</f>
        <v>0.98100000000000065</v>
      </c>
      <c r="Q8" s="532"/>
      <c r="R8" s="531">
        <v>0</v>
      </c>
      <c r="S8" s="729"/>
      <c r="T8" s="798">
        <v>589244.44999999995</v>
      </c>
      <c r="U8" s="799">
        <v>6982063.1299999999</v>
      </c>
      <c r="V8" s="800">
        <v>1948.23</v>
      </c>
      <c r="W8" s="533"/>
    </row>
    <row r="9" spans="1:23" s="644" customFormat="1" ht="16.5">
      <c r="A9" s="515">
        <v>45437</v>
      </c>
      <c r="B9" s="516" t="s">
        <v>155</v>
      </c>
      <c r="C9" s="517" t="s">
        <v>132</v>
      </c>
      <c r="D9" s="518" t="s">
        <v>143</v>
      </c>
      <c r="E9" s="519">
        <v>10</v>
      </c>
      <c r="F9" s="516">
        <v>1.63</v>
      </c>
      <c r="G9" s="520">
        <f t="shared" si="0"/>
        <v>8.370000000000001</v>
      </c>
      <c r="H9" s="521">
        <f t="shared" si="2"/>
        <v>0</v>
      </c>
      <c r="I9" s="527" t="s">
        <v>199</v>
      </c>
      <c r="J9" s="527"/>
      <c r="K9" s="527"/>
      <c r="L9" s="530"/>
      <c r="M9" s="531"/>
      <c r="N9" s="527"/>
      <c r="O9" s="833">
        <f>Q11-P9</f>
        <v>-0.90474999999999994</v>
      </c>
      <c r="P9" s="520">
        <f>J8*K8</f>
        <v>1.2284999999999999</v>
      </c>
      <c r="Q9" s="532"/>
      <c r="R9" s="531"/>
      <c r="S9" s="729"/>
      <c r="T9" s="801"/>
      <c r="U9" s="802"/>
      <c r="V9" s="803"/>
      <c r="W9" s="643"/>
    </row>
    <row r="10" spans="1:23" s="644" customFormat="1" ht="16.5">
      <c r="A10" s="515">
        <v>45565</v>
      </c>
      <c r="B10" s="516" t="s">
        <v>182</v>
      </c>
      <c r="C10" s="517" t="s">
        <v>132</v>
      </c>
      <c r="D10" s="518" t="s">
        <v>178</v>
      </c>
      <c r="E10" s="519">
        <v>10</v>
      </c>
      <c r="F10" s="516">
        <v>2.48</v>
      </c>
      <c r="G10" s="520">
        <f>E10-F10</f>
        <v>7.52</v>
      </c>
      <c r="H10" s="521"/>
      <c r="I10" s="531">
        <f>AVERAGE(65, 70, 69, 69)/100</f>
        <v>0.6825</v>
      </c>
      <c r="J10" s="531">
        <f>AVERAGE(65, 70, 69, 69)/100</f>
        <v>0.6825</v>
      </c>
      <c r="K10" s="527">
        <v>0.32</v>
      </c>
      <c r="L10" s="530">
        <f>G10-I10</f>
        <v>6.8374999999999995</v>
      </c>
      <c r="M10" s="531"/>
      <c r="N10" s="527"/>
      <c r="O10" s="833"/>
      <c r="P10" s="520"/>
      <c r="Q10" s="532"/>
      <c r="R10" s="531"/>
      <c r="S10" s="531">
        <f>K10*I10</f>
        <v>0.21840000000000001</v>
      </c>
      <c r="T10" s="801"/>
      <c r="U10" s="802"/>
      <c r="V10" s="803"/>
      <c r="W10" s="643"/>
    </row>
    <row r="11" spans="1:23" s="644" customFormat="1" ht="16.5">
      <c r="A11" s="515">
        <v>45565</v>
      </c>
      <c r="B11" s="516" t="s">
        <v>182</v>
      </c>
      <c r="C11" s="517" t="s">
        <v>132</v>
      </c>
      <c r="D11" s="518" t="s">
        <v>179</v>
      </c>
      <c r="E11" s="519">
        <v>10</v>
      </c>
      <c r="F11" s="516">
        <f>2.48+0.68</f>
        <v>3.16</v>
      </c>
      <c r="G11" s="520">
        <f>E11-F11</f>
        <v>6.84</v>
      </c>
      <c r="H11" s="521">
        <f>G11-L11</f>
        <v>0.65000000000000036</v>
      </c>
      <c r="I11" s="531">
        <f>L10-L8</f>
        <v>0.64749999999999996</v>
      </c>
      <c r="J11" s="527">
        <v>1.67</v>
      </c>
      <c r="K11" s="532">
        <f>K16</f>
        <v>0.5</v>
      </c>
      <c r="L11" s="530">
        <f>G6</f>
        <v>6.1899999999999995</v>
      </c>
      <c r="M11" s="531"/>
      <c r="N11" s="527"/>
      <c r="O11" s="833"/>
      <c r="P11" s="520"/>
      <c r="Q11" s="532">
        <f>K11*I11</f>
        <v>0.32374999999999998</v>
      </c>
      <c r="R11" s="531"/>
      <c r="S11" s="531"/>
      <c r="T11" s="801"/>
      <c r="U11" s="802"/>
      <c r="V11" s="803"/>
      <c r="W11" s="643"/>
    </row>
    <row r="12" spans="1:23" s="644" customFormat="1" ht="16.5">
      <c r="A12" s="515"/>
      <c r="B12" s="516"/>
      <c r="C12" s="517"/>
      <c r="D12" s="518"/>
      <c r="E12" s="519"/>
      <c r="F12" s="516"/>
      <c r="G12" s="520"/>
      <c r="H12" s="521"/>
      <c r="I12" s="531"/>
      <c r="J12" s="527"/>
      <c r="K12" s="532"/>
      <c r="L12" s="530"/>
      <c r="M12" s="531"/>
      <c r="N12" s="527"/>
      <c r="O12" s="833"/>
      <c r="P12" s="520"/>
      <c r="Q12" s="532"/>
      <c r="R12" s="531"/>
      <c r="S12" s="531"/>
      <c r="T12" s="801"/>
      <c r="U12" s="802"/>
      <c r="V12" s="803"/>
      <c r="W12" s="643"/>
    </row>
    <row r="13" spans="1:23" s="188" customFormat="1" ht="16.5">
      <c r="A13" s="184"/>
      <c r="B13" s="128"/>
      <c r="C13" s="150"/>
      <c r="D13" s="153"/>
      <c r="E13" s="149"/>
      <c r="F13" s="128"/>
      <c r="G13" s="128"/>
      <c r="H13" s="216"/>
      <c r="I13" s="116"/>
      <c r="J13" s="115"/>
      <c r="K13" s="115"/>
      <c r="L13" s="140"/>
      <c r="M13" s="115"/>
      <c r="N13" s="115"/>
      <c r="O13" s="834"/>
      <c r="P13" s="835"/>
      <c r="Q13" s="835"/>
      <c r="R13" s="115"/>
      <c r="S13" s="116"/>
      <c r="T13" s="804"/>
      <c r="U13" s="805"/>
      <c r="V13" s="806"/>
      <c r="W13" s="136"/>
    </row>
    <row r="14" spans="1:23" s="892" customFormat="1" ht="16.5">
      <c r="A14" s="878">
        <v>45437</v>
      </c>
      <c r="B14" s="879" t="s">
        <v>141</v>
      </c>
      <c r="C14" s="880" t="s">
        <v>146</v>
      </c>
      <c r="D14" s="881" t="s">
        <v>143</v>
      </c>
      <c r="E14" s="882">
        <v>8</v>
      </c>
      <c r="F14" s="883">
        <v>2.0099999999999998</v>
      </c>
      <c r="G14" s="883">
        <f t="shared" si="0"/>
        <v>5.99</v>
      </c>
      <c r="H14" s="884"/>
      <c r="I14" s="883">
        <f>G14-L16</f>
        <v>2.8200000000000003</v>
      </c>
      <c r="J14" s="883">
        <v>2.73</v>
      </c>
      <c r="K14" s="883">
        <v>0.45</v>
      </c>
      <c r="L14" s="885">
        <f>G14-J14</f>
        <v>3.2600000000000002</v>
      </c>
      <c r="M14" s="883"/>
      <c r="N14" s="883"/>
      <c r="O14" s="886"/>
      <c r="P14" s="883">
        <f>I14*K14</f>
        <v>1.2690000000000001</v>
      </c>
      <c r="Q14" s="883"/>
      <c r="R14" s="883"/>
      <c r="S14" s="887"/>
      <c r="T14" s="888">
        <v>589283.98</v>
      </c>
      <c r="U14" s="889">
        <v>6982183.2400000002</v>
      </c>
      <c r="V14" s="890">
        <v>1948.31</v>
      </c>
      <c r="W14" s="891"/>
    </row>
    <row r="15" spans="1:23" s="892" customFormat="1" ht="16.5">
      <c r="A15" s="878">
        <v>45565</v>
      </c>
      <c r="B15" s="879" t="s">
        <v>140</v>
      </c>
      <c r="C15" s="880" t="s">
        <v>146</v>
      </c>
      <c r="D15" s="881" t="s">
        <v>178</v>
      </c>
      <c r="E15" s="882">
        <v>8</v>
      </c>
      <c r="F15" s="883">
        <f>E15-G15</f>
        <v>3.1100000000000003</v>
      </c>
      <c r="G15" s="883">
        <v>4.8899999999999997</v>
      </c>
      <c r="H15" s="884">
        <f t="shared" si="2"/>
        <v>-1.1000000000000005</v>
      </c>
      <c r="I15" s="883">
        <f>AVERAGE(65,65, 69, 69)/100</f>
        <v>0.67</v>
      </c>
      <c r="J15" s="883">
        <v>0.62</v>
      </c>
      <c r="K15" s="883">
        <v>0.32</v>
      </c>
      <c r="L15" s="885">
        <f>G15-I15</f>
        <v>4.22</v>
      </c>
      <c r="M15" s="883"/>
      <c r="N15" s="883"/>
      <c r="O15" s="886"/>
      <c r="P15" s="883"/>
      <c r="Q15" s="883"/>
      <c r="R15" s="883"/>
      <c r="S15" s="887">
        <f>J15*K15</f>
        <v>0.19839999999999999</v>
      </c>
      <c r="T15" s="893">
        <v>589266.79</v>
      </c>
      <c r="U15" s="889">
        <v>6982129.9199999999</v>
      </c>
      <c r="V15" s="890">
        <v>1946.81</v>
      </c>
      <c r="W15" s="891"/>
    </row>
    <row r="16" spans="1:23" s="892" customFormat="1">
      <c r="A16" s="878">
        <v>45565</v>
      </c>
      <c r="B16" s="879" t="s">
        <v>140</v>
      </c>
      <c r="C16" s="880" t="s">
        <v>146</v>
      </c>
      <c r="D16" s="881" t="s">
        <v>179</v>
      </c>
      <c r="E16" s="882">
        <v>10</v>
      </c>
      <c r="F16" s="883">
        <f>E16-G16</f>
        <v>5.78</v>
      </c>
      <c r="G16" s="883">
        <f>L15</f>
        <v>4.22</v>
      </c>
      <c r="H16" s="884">
        <f t="shared" si="2"/>
        <v>-0.66999999999999993</v>
      </c>
      <c r="I16" s="883">
        <f>L15-L14</f>
        <v>0.95999999999999952</v>
      </c>
      <c r="J16" s="883">
        <v>1.05</v>
      </c>
      <c r="K16" s="883">
        <v>0.5</v>
      </c>
      <c r="L16" s="885">
        <f>G16-J16</f>
        <v>3.17</v>
      </c>
      <c r="M16" s="883"/>
      <c r="N16" s="883"/>
      <c r="O16" s="886">
        <f>Q16-P14</f>
        <v>-0.78900000000000037</v>
      </c>
      <c r="P16" s="883"/>
      <c r="Q16" s="883">
        <f>I16*K16</f>
        <v>0.47999999999999976</v>
      </c>
      <c r="R16" s="883"/>
      <c r="S16" s="894"/>
      <c r="T16" s="886"/>
      <c r="U16" s="883"/>
      <c r="V16" s="895"/>
      <c r="W16" s="891"/>
    </row>
    <row r="17" spans="1:23" s="892" customFormat="1">
      <c r="A17" s="896"/>
      <c r="B17" s="897"/>
      <c r="C17" s="898"/>
      <c r="D17" s="899"/>
      <c r="E17" s="900"/>
      <c r="F17" s="901"/>
      <c r="G17" s="901">
        <f t="shared" si="0"/>
        <v>0</v>
      </c>
      <c r="H17" s="884">
        <f t="shared" si="2"/>
        <v>-4.22</v>
      </c>
      <c r="I17" s="883"/>
      <c r="J17" s="883"/>
      <c r="K17" s="883"/>
      <c r="L17" s="885"/>
      <c r="M17" s="883"/>
      <c r="N17" s="883"/>
      <c r="O17" s="886"/>
      <c r="P17" s="883"/>
      <c r="Q17" s="883"/>
      <c r="R17" s="883"/>
      <c r="S17" s="894"/>
      <c r="T17" s="886"/>
      <c r="U17" s="883"/>
      <c r="V17" s="895"/>
      <c r="W17" s="891"/>
    </row>
    <row r="18" spans="1:23" s="188" customFormat="1">
      <c r="A18" s="199"/>
      <c r="B18" s="131"/>
      <c r="C18" s="210"/>
      <c r="D18" s="156"/>
      <c r="E18" s="161"/>
      <c r="F18" s="132"/>
      <c r="G18" s="132"/>
      <c r="H18" s="218"/>
      <c r="I18" s="132"/>
      <c r="J18" s="132"/>
      <c r="K18" s="132"/>
      <c r="L18" s="118"/>
      <c r="M18" s="132"/>
      <c r="N18" s="132"/>
      <c r="O18" s="336"/>
      <c r="P18" s="132"/>
      <c r="Q18" s="132"/>
      <c r="R18" s="132"/>
      <c r="S18" s="730"/>
      <c r="T18" s="336"/>
      <c r="U18" s="132"/>
      <c r="V18" s="710"/>
      <c r="W18" s="142"/>
    </row>
    <row r="19" spans="1:23" s="545" customFormat="1" ht="13.5" thickBot="1">
      <c r="A19" s="534"/>
      <c r="B19" s="535"/>
      <c r="C19" s="536"/>
      <c r="D19" s="537"/>
      <c r="E19" s="538"/>
      <c r="F19" s="539"/>
      <c r="G19" s="539">
        <f t="shared" si="0"/>
        <v>0</v>
      </c>
      <c r="H19" s="540"/>
      <c r="I19" s="541"/>
      <c r="J19" s="542"/>
      <c r="K19" s="542"/>
      <c r="L19" s="543"/>
      <c r="M19" s="542"/>
      <c r="N19" s="541"/>
      <c r="O19" s="836">
        <f t="shared" ref="O19" si="3">Q19-P19</f>
        <v>0</v>
      </c>
      <c r="P19" s="837">
        <f t="shared" si="1"/>
        <v>0</v>
      </c>
      <c r="Q19" s="837"/>
      <c r="R19" s="541"/>
      <c r="S19" s="542"/>
      <c r="T19" s="711"/>
      <c r="U19" s="712"/>
      <c r="V19" s="713"/>
      <c r="W19" s="544"/>
    </row>
    <row r="20" spans="1:23">
      <c r="T20" s="714"/>
      <c r="U20" s="714"/>
    </row>
    <row r="21" spans="1:23">
      <c r="V21" s="714"/>
    </row>
    <row r="25" spans="1:23" ht="13.5" thickBot="1">
      <c r="A25" s="26"/>
      <c r="B25" s="26"/>
      <c r="C25" s="26"/>
      <c r="D25" s="26"/>
      <c r="E25" s="27"/>
      <c r="F25" s="27"/>
      <c r="G25" s="26"/>
      <c r="H25" s="26"/>
      <c r="I25" s="26"/>
      <c r="J25" s="26"/>
      <c r="K25" s="26"/>
      <c r="L25" s="26"/>
      <c r="M25" s="26"/>
      <c r="N25" s="26"/>
      <c r="O25" s="26"/>
      <c r="P25" s="26"/>
      <c r="Q25" s="26"/>
      <c r="R25" s="8"/>
      <c r="S25" s="8"/>
      <c r="T25" s="8"/>
      <c r="U25" s="8"/>
    </row>
    <row r="26" spans="1:23">
      <c r="A26" s="963" t="s">
        <v>5</v>
      </c>
      <c r="B26" s="964"/>
      <c r="C26" s="967" t="s">
        <v>78</v>
      </c>
      <c r="D26" s="967"/>
      <c r="E26" s="317" t="s">
        <v>75</v>
      </c>
      <c r="F26" s="318"/>
      <c r="G26" s="317" t="s">
        <v>76</v>
      </c>
      <c r="H26" s="318"/>
      <c r="I26" s="319" t="s">
        <v>77</v>
      </c>
      <c r="Q26" s="188"/>
      <c r="R26" s="117"/>
      <c r="S26" s="117"/>
      <c r="T26" s="117"/>
      <c r="U26" s="8"/>
    </row>
    <row r="27" spans="1:23">
      <c r="A27" s="965"/>
      <c r="B27" s="966"/>
      <c r="C27" s="346" t="s">
        <v>6</v>
      </c>
      <c r="D27" s="346" t="s">
        <v>64</v>
      </c>
      <c r="E27" s="347">
        <f>A7</f>
        <v>45194</v>
      </c>
      <c r="F27" s="348" t="s">
        <v>65</v>
      </c>
      <c r="G27" s="349">
        <f>A14</f>
        <v>45437</v>
      </c>
      <c r="H27" s="348" t="s">
        <v>65</v>
      </c>
      <c r="I27" s="350">
        <f>A16</f>
        <v>45565</v>
      </c>
      <c r="Q27" s="188"/>
      <c r="R27" s="143"/>
      <c r="S27" s="143"/>
      <c r="T27" s="117"/>
      <c r="U27" s="8"/>
    </row>
    <row r="28" spans="1:23">
      <c r="A28" s="320"/>
      <c r="B28" s="342" t="s">
        <v>21</v>
      </c>
      <c r="C28" s="10">
        <f>AVERAGE(P8,P9,P14)</f>
        <v>1.1595000000000002</v>
      </c>
      <c r="D28" s="10">
        <f>C28+C32-C31</f>
        <v>0.93727777777777799</v>
      </c>
      <c r="E28" s="9"/>
      <c r="F28" s="9"/>
      <c r="G28" s="189"/>
      <c r="H28" s="10"/>
      <c r="I28" s="321"/>
      <c r="Q28" s="188"/>
      <c r="R28" s="143"/>
      <c r="S28" s="143"/>
      <c r="T28" s="117"/>
      <c r="U28" s="8"/>
    </row>
    <row r="29" spans="1:23">
      <c r="A29" s="320"/>
      <c r="B29" s="342" t="s">
        <v>22</v>
      </c>
      <c r="C29" s="10">
        <f>C30-C28</f>
        <v>-0.71658333333333357</v>
      </c>
      <c r="D29" s="10">
        <f>C29+C33</f>
        <v>-0.50818333333333354</v>
      </c>
      <c r="E29" s="9"/>
      <c r="F29" s="9"/>
      <c r="G29" s="189"/>
      <c r="H29" s="10"/>
      <c r="I29" s="321"/>
      <c r="Q29" s="188"/>
      <c r="R29" s="143"/>
      <c r="S29" s="143"/>
      <c r="T29" s="117"/>
      <c r="U29" s="8"/>
    </row>
    <row r="30" spans="1:23">
      <c r="A30" s="320"/>
      <c r="B30" s="342" t="s">
        <v>23</v>
      </c>
      <c r="C30" s="10">
        <f>AVERAGE(Q11,(J16*K16),Q16)</f>
        <v>0.44291666666666663</v>
      </c>
      <c r="D30" s="10">
        <f>C30-C31+C32+C33</f>
        <v>0.42909444444444439</v>
      </c>
      <c r="E30" s="9"/>
      <c r="F30" s="9"/>
      <c r="G30" s="189"/>
      <c r="H30" s="10"/>
      <c r="I30" s="321"/>
      <c r="Q30" s="188"/>
      <c r="R30" s="143"/>
      <c r="S30" s="143"/>
      <c r="T30" s="117"/>
      <c r="U30" s="8"/>
    </row>
    <row r="31" spans="1:23">
      <c r="A31" s="320"/>
      <c r="B31" s="343" t="s">
        <v>59</v>
      </c>
      <c r="C31" s="10">
        <f>S7</f>
        <v>0.22222222222222224</v>
      </c>
      <c r="D31" s="10"/>
      <c r="E31" s="9"/>
      <c r="F31" s="9"/>
      <c r="G31" s="10"/>
      <c r="H31" s="10"/>
      <c r="I31" s="321"/>
      <c r="Q31" s="188"/>
      <c r="R31" s="143"/>
      <c r="S31" s="143"/>
      <c r="T31" s="117"/>
      <c r="U31" s="8"/>
    </row>
    <row r="32" spans="1:23">
      <c r="A32" s="320"/>
      <c r="B32" s="344" t="s">
        <v>60</v>
      </c>
      <c r="C32" s="10">
        <f>R8</f>
        <v>0</v>
      </c>
      <c r="D32" s="10"/>
      <c r="E32" s="9"/>
      <c r="F32" s="9"/>
      <c r="G32" s="10"/>
      <c r="H32" s="10"/>
      <c r="I32" s="321"/>
      <c r="Q32" s="188"/>
      <c r="R32" s="143"/>
      <c r="S32" s="143"/>
      <c r="T32" s="117"/>
      <c r="U32" s="8"/>
    </row>
    <row r="33" spans="1:21" ht="13.5" thickBot="1">
      <c r="A33" s="322"/>
      <c r="B33" s="345" t="s">
        <v>61</v>
      </c>
      <c r="C33" s="323">
        <f>AVERAGE(S15,S10)</f>
        <v>0.2084</v>
      </c>
      <c r="D33" s="323"/>
      <c r="E33" s="324"/>
      <c r="F33" s="324"/>
      <c r="G33" s="325"/>
      <c r="H33" s="325"/>
      <c r="I33" s="326"/>
      <c r="Q33" s="188"/>
      <c r="R33" s="143"/>
      <c r="S33" s="143"/>
      <c r="T33" s="117"/>
      <c r="U33" s="8"/>
    </row>
    <row r="34" spans="1:21">
      <c r="A34" s="8"/>
      <c r="B34" s="8"/>
      <c r="C34" s="8"/>
      <c r="D34" s="8"/>
      <c r="E34" s="8"/>
      <c r="F34" s="8"/>
      <c r="G34" s="8"/>
      <c r="H34" s="8"/>
      <c r="I34" s="8"/>
      <c r="J34" s="8"/>
      <c r="K34" s="8"/>
      <c r="L34" s="8"/>
      <c r="M34" s="8"/>
      <c r="N34" s="8"/>
      <c r="O34" s="8"/>
      <c r="P34" s="8"/>
      <c r="Q34" s="117"/>
      <c r="R34" s="117"/>
      <c r="S34" s="117"/>
      <c r="T34" s="117"/>
      <c r="U34" s="8"/>
    </row>
  </sheetData>
  <mergeCells count="6">
    <mergeCell ref="T1:V1"/>
    <mergeCell ref="T2:U2"/>
    <mergeCell ref="E3:G3"/>
    <mergeCell ref="T3:U3"/>
    <mergeCell ref="A26:B27"/>
    <mergeCell ref="C26:D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AB0D5-70E3-48FB-BA70-614A789C2A4E}">
  <dimension ref="A1:W34"/>
  <sheetViews>
    <sheetView topLeftCell="B8" workbookViewId="0">
      <selection activeCell="P8" sqref="P8"/>
    </sheetView>
  </sheetViews>
  <sheetFormatPr defaultColWidth="17.28515625" defaultRowHeight="15.75" customHeight="1"/>
  <cols>
    <col min="1" max="1" width="12.42578125" style="139" customWidth="1"/>
    <col min="2" max="2" width="27.28515625" style="139" customWidth="1"/>
    <col min="3" max="3" width="11.28515625" style="139" bestFit="1" customWidth="1"/>
    <col min="4" max="4" width="20" style="139" bestFit="1" customWidth="1"/>
    <col min="5" max="5" width="10.5703125" style="139" bestFit="1" customWidth="1"/>
    <col min="6" max="7" width="13.7109375" style="139" bestFit="1" customWidth="1"/>
    <col min="8" max="8" width="14.42578125" style="139" bestFit="1" customWidth="1"/>
    <col min="9" max="9" width="17.28515625" style="139" bestFit="1" customWidth="1"/>
    <col min="10" max="10" width="19.5703125" style="139" bestFit="1" customWidth="1"/>
    <col min="11" max="11" width="16.42578125" style="139" bestFit="1" customWidth="1"/>
    <col min="12" max="12" width="18" style="139" customWidth="1"/>
    <col min="13" max="13" width="22.140625" style="139" customWidth="1"/>
    <col min="14" max="14" width="11.5703125" style="139" bestFit="1" customWidth="1"/>
    <col min="15" max="15" width="11.28515625" style="139" bestFit="1" customWidth="1"/>
    <col min="16" max="17" width="7.85546875" style="139" bestFit="1" customWidth="1"/>
    <col min="18" max="18" width="14.7109375" style="139" bestFit="1" customWidth="1"/>
    <col min="19" max="19" width="20.7109375" style="139" bestFit="1" customWidth="1"/>
    <col min="20" max="20" width="21" style="139" bestFit="1" customWidth="1"/>
    <col min="21" max="21" width="8.7109375" style="139" bestFit="1" customWidth="1"/>
    <col min="22" max="16384" width="17.28515625" style="139"/>
  </cols>
  <sheetData>
    <row r="1" spans="1:23" ht="15" customHeight="1">
      <c r="A1" s="162"/>
      <c r="B1" s="163"/>
      <c r="C1" s="185"/>
      <c r="D1" s="164"/>
      <c r="E1" s="165"/>
      <c r="F1" s="166"/>
      <c r="G1" s="167"/>
      <c r="H1" s="211"/>
      <c r="I1" s="167"/>
      <c r="J1" s="190"/>
      <c r="K1" s="166"/>
      <c r="L1" s="315"/>
      <c r="M1" s="328"/>
      <c r="N1" s="167"/>
      <c r="O1" s="329"/>
      <c r="P1" s="168"/>
      <c r="Q1" s="168"/>
      <c r="R1" s="168"/>
      <c r="S1" s="500"/>
      <c r="T1" s="955" t="s">
        <v>7</v>
      </c>
      <c r="U1" s="955"/>
      <c r="V1" s="956"/>
      <c r="W1" s="220"/>
    </row>
    <row r="2" spans="1:23" ht="15" customHeight="1">
      <c r="A2" s="169"/>
      <c r="B2" s="4"/>
      <c r="C2" s="146"/>
      <c r="D2" s="29"/>
      <c r="E2" s="512"/>
      <c r="F2" s="513"/>
      <c r="G2" s="3"/>
      <c r="H2" s="212"/>
      <c r="I2" s="3"/>
      <c r="J2" s="6"/>
      <c r="K2" s="1"/>
      <c r="L2" s="316"/>
      <c r="M2" s="327"/>
      <c r="N2" s="6"/>
      <c r="O2" s="232"/>
      <c r="S2" s="234"/>
      <c r="T2" s="957" t="s">
        <v>79</v>
      </c>
      <c r="U2" s="957"/>
      <c r="V2" s="514"/>
      <c r="W2" s="12"/>
    </row>
    <row r="3" spans="1:23" ht="15" customHeight="1">
      <c r="A3" s="169"/>
      <c r="B3" s="4"/>
      <c r="C3" s="146"/>
      <c r="D3" s="137"/>
      <c r="E3" s="958" t="s">
        <v>117</v>
      </c>
      <c r="F3" s="959"/>
      <c r="G3" s="960"/>
      <c r="H3" s="213"/>
      <c r="I3" s="513"/>
      <c r="J3" s="6"/>
      <c r="K3" s="513"/>
      <c r="L3" s="221"/>
      <c r="M3" s="2"/>
      <c r="N3" s="6"/>
      <c r="O3" s="330"/>
      <c r="P3" s="6"/>
      <c r="Q3" s="6"/>
      <c r="R3" s="124"/>
      <c r="S3" s="501"/>
      <c r="T3" s="961" t="s">
        <v>80</v>
      </c>
      <c r="U3" s="962"/>
      <c r="V3" s="514"/>
      <c r="W3" s="134"/>
    </row>
    <row r="4" spans="1:23" s="511" customFormat="1" ht="38.25">
      <c r="A4" s="171" t="s">
        <v>9</v>
      </c>
      <c r="B4" s="7" t="s">
        <v>10</v>
      </c>
      <c r="C4" s="147" t="s">
        <v>113</v>
      </c>
      <c r="D4" s="503" t="s">
        <v>114</v>
      </c>
      <c r="E4" s="504" t="s">
        <v>8</v>
      </c>
      <c r="F4" s="7" t="s">
        <v>115</v>
      </c>
      <c r="G4" s="11" t="s">
        <v>116</v>
      </c>
      <c r="H4" s="214" t="s">
        <v>118</v>
      </c>
      <c r="I4" s="11" t="s">
        <v>119</v>
      </c>
      <c r="J4" s="11" t="s">
        <v>120</v>
      </c>
      <c r="K4" s="7" t="s">
        <v>121</v>
      </c>
      <c r="L4" s="505" t="s">
        <v>122</v>
      </c>
      <c r="M4" s="505" t="s">
        <v>123</v>
      </c>
      <c r="N4" s="11" t="s">
        <v>124</v>
      </c>
      <c r="O4" s="506" t="s">
        <v>125</v>
      </c>
      <c r="P4" s="11" t="s">
        <v>126</v>
      </c>
      <c r="Q4" s="11" t="s">
        <v>127</v>
      </c>
      <c r="R4" s="507" t="s">
        <v>67</v>
      </c>
      <c r="S4" s="508" t="s">
        <v>68</v>
      </c>
      <c r="T4" s="509" t="s">
        <v>11</v>
      </c>
      <c r="U4" s="509" t="s">
        <v>12</v>
      </c>
      <c r="V4" s="510" t="s">
        <v>56</v>
      </c>
      <c r="W4" s="147" t="s">
        <v>0</v>
      </c>
    </row>
    <row r="5" spans="1:23" ht="15.75" customHeight="1" thickBot="1">
      <c r="A5" s="172" t="s">
        <v>13</v>
      </c>
      <c r="B5" s="173"/>
      <c r="C5" s="186"/>
      <c r="D5" s="174"/>
      <c r="E5" s="176" t="s">
        <v>3</v>
      </c>
      <c r="F5" s="176" t="s">
        <v>3</v>
      </c>
      <c r="G5" s="176" t="s">
        <v>3</v>
      </c>
      <c r="H5" s="176" t="s">
        <v>3</v>
      </c>
      <c r="I5" s="176" t="s">
        <v>3</v>
      </c>
      <c r="J5" s="176" t="s">
        <v>3</v>
      </c>
      <c r="K5" s="175" t="s">
        <v>74</v>
      </c>
      <c r="L5" s="187" t="s">
        <v>3</v>
      </c>
      <c r="M5" s="177" t="s">
        <v>3</v>
      </c>
      <c r="N5" s="177" t="s">
        <v>74</v>
      </c>
      <c r="O5" s="331" t="s">
        <v>4</v>
      </c>
      <c r="P5" s="178" t="s">
        <v>4</v>
      </c>
      <c r="Q5" s="178" t="s">
        <v>4</v>
      </c>
      <c r="R5" s="181" t="s">
        <v>4</v>
      </c>
      <c r="S5" s="502" t="s">
        <v>4</v>
      </c>
      <c r="T5" s="179" t="s">
        <v>3</v>
      </c>
      <c r="U5" s="179" t="s">
        <v>3</v>
      </c>
      <c r="V5" s="180" t="s">
        <v>3</v>
      </c>
      <c r="W5" s="182"/>
    </row>
    <row r="6" spans="1:23" s="584" customFormat="1" ht="15" customHeight="1">
      <c r="A6" s="572">
        <v>45194</v>
      </c>
      <c r="B6" s="573" t="s">
        <v>129</v>
      </c>
      <c r="C6" s="574" t="s">
        <v>134</v>
      </c>
      <c r="D6" s="575" t="s">
        <v>136</v>
      </c>
      <c r="E6" s="576">
        <v>10</v>
      </c>
      <c r="F6" s="577">
        <f>E6-G6</f>
        <v>2.8499999999999996</v>
      </c>
      <c r="G6" s="577">
        <f>L7</f>
        <v>7.15</v>
      </c>
      <c r="H6" s="578"/>
      <c r="I6" s="577">
        <v>1.1200000000000001</v>
      </c>
      <c r="J6" s="577"/>
      <c r="K6" s="577"/>
      <c r="L6" s="579">
        <f>G6-I6</f>
        <v>6.03</v>
      </c>
      <c r="M6" s="577">
        <f>AVERAGE(L6:L9)</f>
        <v>6.59</v>
      </c>
      <c r="N6" s="577"/>
      <c r="O6" s="580">
        <f>Q6-P6</f>
        <v>0</v>
      </c>
      <c r="P6" s="577">
        <f>J6*K6</f>
        <v>0</v>
      </c>
      <c r="Q6" s="577"/>
      <c r="R6" s="577"/>
      <c r="S6" s="581"/>
      <c r="T6" s="580"/>
      <c r="U6" s="577"/>
      <c r="V6" s="582"/>
      <c r="W6" s="583"/>
    </row>
    <row r="7" spans="1:23" s="584" customFormat="1" ht="15" customHeight="1">
      <c r="A7" s="572">
        <v>45194</v>
      </c>
      <c r="B7" s="573" t="s">
        <v>129</v>
      </c>
      <c r="C7" s="574" t="s">
        <v>134</v>
      </c>
      <c r="D7" s="575" t="s">
        <v>137</v>
      </c>
      <c r="E7" s="576">
        <v>14</v>
      </c>
      <c r="F7" s="577">
        <v>5.84</v>
      </c>
      <c r="G7" s="577">
        <f t="shared" ref="G7:G14" si="0">E7-F7</f>
        <v>8.16</v>
      </c>
      <c r="H7" s="578">
        <f>G7-G6</f>
        <v>1.0099999999999998</v>
      </c>
      <c r="I7" s="577">
        <v>1.01</v>
      </c>
      <c r="J7" s="577"/>
      <c r="K7" s="577">
        <f>0.26/1.01</f>
        <v>0.25742574257425743</v>
      </c>
      <c r="L7" s="579">
        <f>G7-I7</f>
        <v>7.15</v>
      </c>
      <c r="M7" s="577"/>
      <c r="N7" s="577"/>
      <c r="O7" s="580">
        <f>Q7-P7</f>
        <v>0</v>
      </c>
      <c r="P7" s="577">
        <f t="shared" ref="P7:P19" si="1">J7*K7</f>
        <v>0</v>
      </c>
      <c r="Q7" s="577"/>
      <c r="R7" s="577"/>
      <c r="S7" s="581">
        <f>K7*I7</f>
        <v>0.26</v>
      </c>
      <c r="T7" s="580"/>
      <c r="U7" s="577"/>
      <c r="V7" s="582"/>
      <c r="W7" s="583"/>
    </row>
    <row r="8" spans="1:23" s="584" customFormat="1" ht="15" customHeight="1">
      <c r="A8" s="585">
        <v>45437</v>
      </c>
      <c r="B8" s="586" t="s">
        <v>157</v>
      </c>
      <c r="C8" s="587" t="s">
        <v>134</v>
      </c>
      <c r="D8" s="588" t="s">
        <v>143</v>
      </c>
      <c r="E8" s="589">
        <v>12</v>
      </c>
      <c r="F8" s="590">
        <v>2.34</v>
      </c>
      <c r="G8" s="577">
        <f t="shared" si="0"/>
        <v>9.66</v>
      </c>
      <c r="H8" s="578">
        <f t="shared" ref="H8:H14" si="2">G8-G7</f>
        <v>1.5</v>
      </c>
      <c r="I8" s="586"/>
      <c r="J8" s="591">
        <v>2.74</v>
      </c>
      <c r="K8" s="590">
        <v>0.41</v>
      </c>
      <c r="L8" s="589"/>
      <c r="M8" s="590"/>
      <c r="N8" s="586"/>
      <c r="O8" s="592"/>
      <c r="P8" s="577">
        <f>J8*K8</f>
        <v>1.1234</v>
      </c>
      <c r="Q8" s="586"/>
      <c r="R8" s="590">
        <v>0</v>
      </c>
      <c r="S8" s="586"/>
      <c r="T8" s="593"/>
      <c r="U8" s="594"/>
      <c r="V8" s="582"/>
      <c r="W8" s="595"/>
    </row>
    <row r="9" spans="1:23" s="649" customFormat="1" ht="15.75" customHeight="1">
      <c r="A9" s="572">
        <v>45437</v>
      </c>
      <c r="B9" s="573" t="s">
        <v>157</v>
      </c>
      <c r="C9" s="574" t="s">
        <v>134</v>
      </c>
      <c r="D9" s="575" t="s">
        <v>143</v>
      </c>
      <c r="E9" s="576">
        <v>12</v>
      </c>
      <c r="F9" s="875">
        <v>2.34</v>
      </c>
      <c r="G9" s="577">
        <f>E9-F9</f>
        <v>9.66</v>
      </c>
      <c r="H9" s="578">
        <f>G9-G7</f>
        <v>1.5</v>
      </c>
      <c r="I9" s="591">
        <f>G9-L7</f>
        <v>2.5099999999999998</v>
      </c>
      <c r="J9" s="586"/>
      <c r="K9" s="586"/>
      <c r="L9" s="589"/>
      <c r="M9" s="590"/>
      <c r="N9" s="586"/>
      <c r="O9" s="592">
        <f t="shared" ref="O9:O19" si="3">Q9-P9</f>
        <v>0</v>
      </c>
      <c r="P9" s="577">
        <f t="shared" si="1"/>
        <v>0</v>
      </c>
      <c r="Q9" s="586"/>
      <c r="R9" s="590"/>
      <c r="S9" s="586"/>
      <c r="T9" s="645">
        <v>592875.81000000006</v>
      </c>
      <c r="U9" s="646">
        <v>6983421.2000000002</v>
      </c>
      <c r="V9" s="647">
        <v>2173.9699999999998</v>
      </c>
      <c r="W9" s="648"/>
    </row>
    <row r="10" spans="1:23" s="188" customFormat="1" ht="15" customHeight="1">
      <c r="A10" s="184"/>
      <c r="B10" s="128"/>
      <c r="C10" s="150"/>
      <c r="D10" s="153"/>
      <c r="E10" s="149"/>
      <c r="F10" s="128"/>
      <c r="G10" s="128"/>
      <c r="H10" s="216"/>
      <c r="I10" s="116"/>
      <c r="J10" s="115"/>
      <c r="K10" s="115"/>
      <c r="L10" s="140"/>
      <c r="M10" s="115"/>
      <c r="N10" s="115"/>
      <c r="O10" s="334"/>
      <c r="P10" s="115"/>
      <c r="Q10" s="116"/>
      <c r="R10" s="115"/>
      <c r="S10" s="116"/>
      <c r="T10" s="340"/>
      <c r="U10" s="117"/>
      <c r="V10" s="195"/>
      <c r="W10" s="136"/>
    </row>
    <row r="11" spans="1:23" s="608" customFormat="1" ht="15" customHeight="1">
      <c r="A11" s="596">
        <v>45194</v>
      </c>
      <c r="B11" s="597" t="s">
        <v>129</v>
      </c>
      <c r="C11" s="598" t="s">
        <v>135</v>
      </c>
      <c r="D11" s="599" t="s">
        <v>136</v>
      </c>
      <c r="E11" s="600"/>
      <c r="F11" s="601"/>
      <c r="G11" s="601">
        <f t="shared" si="0"/>
        <v>0</v>
      </c>
      <c r="H11" s="602"/>
      <c r="I11" s="601"/>
      <c r="J11" s="601"/>
      <c r="K11" s="601"/>
      <c r="L11" s="603"/>
      <c r="M11" s="601"/>
      <c r="N11" s="601"/>
      <c r="O11" s="604">
        <f t="shared" si="3"/>
        <v>0</v>
      </c>
      <c r="P11" s="601">
        <f t="shared" si="1"/>
        <v>0</v>
      </c>
      <c r="Q11" s="601"/>
      <c r="R11" s="601"/>
      <c r="S11" s="605"/>
      <c r="T11" s="604"/>
      <c r="U11" s="601"/>
      <c r="V11" s="606"/>
      <c r="W11" s="607"/>
    </row>
    <row r="12" spans="1:23" s="608" customFormat="1" ht="15" customHeight="1">
      <c r="A12" s="596">
        <v>45194</v>
      </c>
      <c r="B12" s="597" t="s">
        <v>129</v>
      </c>
      <c r="C12" s="598" t="s">
        <v>135</v>
      </c>
      <c r="D12" s="599" t="s">
        <v>137</v>
      </c>
      <c r="E12" s="600"/>
      <c r="F12" s="601"/>
      <c r="G12" s="601">
        <f t="shared" si="0"/>
        <v>0</v>
      </c>
      <c r="H12" s="602">
        <f t="shared" si="2"/>
        <v>0</v>
      </c>
      <c r="I12" s="601"/>
      <c r="J12" s="601"/>
      <c r="K12" s="601"/>
      <c r="L12" s="603"/>
      <c r="M12" s="601"/>
      <c r="N12" s="601"/>
      <c r="O12" s="604">
        <f t="shared" si="3"/>
        <v>0</v>
      </c>
      <c r="P12" s="601">
        <f t="shared" si="1"/>
        <v>0</v>
      </c>
      <c r="Q12" s="601"/>
      <c r="R12" s="601"/>
      <c r="S12" s="605"/>
      <c r="T12" s="604"/>
      <c r="U12" s="601"/>
      <c r="V12" s="606"/>
      <c r="W12" s="607"/>
    </row>
    <row r="13" spans="1:23" s="584" customFormat="1" ht="15" customHeight="1">
      <c r="A13" s="821">
        <v>45437</v>
      </c>
      <c r="B13" s="822" t="s">
        <v>158</v>
      </c>
      <c r="C13" s="823" t="s">
        <v>135</v>
      </c>
      <c r="D13" s="824" t="s">
        <v>143</v>
      </c>
      <c r="E13" s="825">
        <v>6.2</v>
      </c>
      <c r="F13" s="826">
        <v>2.1800000000000002</v>
      </c>
      <c r="G13" s="826">
        <f t="shared" si="0"/>
        <v>4.0199999999999996</v>
      </c>
      <c r="H13" s="827">
        <f t="shared" si="2"/>
        <v>4.0199999999999996</v>
      </c>
      <c r="I13" s="826"/>
      <c r="J13" s="826">
        <v>2.74</v>
      </c>
      <c r="K13" s="826">
        <v>0.41</v>
      </c>
      <c r="L13" s="828">
        <f>G13-J13</f>
        <v>1.2799999999999994</v>
      </c>
      <c r="M13" s="826"/>
      <c r="N13" s="826"/>
      <c r="O13" s="829"/>
      <c r="P13" s="826">
        <f t="shared" si="1"/>
        <v>1.1234</v>
      </c>
      <c r="Q13" s="826"/>
      <c r="R13" s="826"/>
      <c r="S13" s="830"/>
      <c r="T13" s="829"/>
      <c r="U13" s="826"/>
      <c r="V13" s="582"/>
      <c r="W13" s="831"/>
    </row>
    <row r="14" spans="1:23" s="584" customFormat="1" ht="15" customHeight="1">
      <c r="A14" s="585">
        <v>45437</v>
      </c>
      <c r="B14" s="586" t="s">
        <v>158</v>
      </c>
      <c r="C14" s="587" t="s">
        <v>135</v>
      </c>
      <c r="D14" s="588" t="s">
        <v>143</v>
      </c>
      <c r="E14" s="589">
        <v>9.15</v>
      </c>
      <c r="F14" s="590">
        <v>5.13</v>
      </c>
      <c r="G14" s="590">
        <f t="shared" si="0"/>
        <v>4.0200000000000005</v>
      </c>
      <c r="H14" s="827">
        <f t="shared" si="2"/>
        <v>0</v>
      </c>
      <c r="I14" s="826"/>
      <c r="J14" s="826"/>
      <c r="K14" s="826"/>
      <c r="L14" s="828"/>
      <c r="M14" s="826"/>
      <c r="N14" s="826"/>
      <c r="O14" s="829">
        <f t="shared" si="3"/>
        <v>0</v>
      </c>
      <c r="P14" s="826">
        <f t="shared" si="1"/>
        <v>0</v>
      </c>
      <c r="Q14" s="826"/>
      <c r="R14" s="826"/>
      <c r="S14" s="830"/>
      <c r="T14" s="829"/>
      <c r="U14" s="826"/>
      <c r="V14" s="582"/>
      <c r="W14" s="831"/>
    </row>
    <row r="15" spans="1:23" s="814" customFormat="1" ht="15" customHeight="1">
      <c r="A15" s="815">
        <v>45565</v>
      </c>
      <c r="B15" s="816" t="s">
        <v>158</v>
      </c>
      <c r="C15" s="817" t="s">
        <v>135</v>
      </c>
      <c r="D15" s="818" t="s">
        <v>180</v>
      </c>
      <c r="E15" s="819">
        <v>6.2</v>
      </c>
      <c r="F15" s="820">
        <v>2.4</v>
      </c>
      <c r="G15" s="820">
        <f>E15-F15</f>
        <v>3.8000000000000003</v>
      </c>
      <c r="H15" s="808"/>
      <c r="I15" s="807">
        <v>0.78</v>
      </c>
      <c r="J15" s="807"/>
      <c r="K15" s="807">
        <v>0.32</v>
      </c>
      <c r="L15" s="809">
        <f>G15-I15</f>
        <v>3.0200000000000005</v>
      </c>
      <c r="M15" s="807"/>
      <c r="N15" s="807"/>
      <c r="O15" s="810"/>
      <c r="P15" s="807"/>
      <c r="Q15" s="807"/>
      <c r="R15" s="807"/>
      <c r="S15" s="811">
        <f>K15*I15</f>
        <v>0.24960000000000002</v>
      </c>
      <c r="T15" s="810"/>
      <c r="U15" s="807"/>
      <c r="V15" s="812"/>
      <c r="W15" s="813"/>
    </row>
    <row r="16" spans="1:23" s="814" customFormat="1" ht="15" customHeight="1">
      <c r="A16" s="815">
        <v>45565</v>
      </c>
      <c r="B16" s="816" t="s">
        <v>158</v>
      </c>
      <c r="C16" s="817" t="s">
        <v>135</v>
      </c>
      <c r="D16" s="818" t="s">
        <v>181</v>
      </c>
      <c r="E16" s="819">
        <v>9.15</v>
      </c>
      <c r="F16" s="820">
        <f>E16-G16</f>
        <v>6.13</v>
      </c>
      <c r="G16" s="820">
        <f>G15-I15</f>
        <v>3.0200000000000005</v>
      </c>
      <c r="H16" s="808"/>
      <c r="I16" s="807">
        <f>L15-L13</f>
        <v>1.7400000000000011</v>
      </c>
      <c r="J16" s="807"/>
      <c r="K16" s="807">
        <v>0.5</v>
      </c>
      <c r="L16" s="809"/>
      <c r="M16" s="807"/>
      <c r="N16" s="807"/>
      <c r="O16" s="810">
        <f>Q16-P13</f>
        <v>-0.2533999999999994</v>
      </c>
      <c r="P16" s="807"/>
      <c r="Q16" s="807">
        <f>I16*K16</f>
        <v>0.87000000000000055</v>
      </c>
      <c r="R16" s="807"/>
      <c r="S16" s="811"/>
      <c r="T16" s="810"/>
      <c r="U16" s="807"/>
      <c r="V16" s="812"/>
      <c r="W16" s="813"/>
    </row>
    <row r="17" spans="1:23" s="608" customFormat="1" ht="15" customHeight="1">
      <c r="A17" s="609"/>
      <c r="B17" s="610"/>
      <c r="C17" s="611"/>
      <c r="D17" s="612"/>
      <c r="E17" s="613"/>
      <c r="F17" s="614"/>
      <c r="G17" s="614"/>
      <c r="H17" s="602"/>
      <c r="I17" s="601"/>
      <c r="J17" s="601"/>
      <c r="K17" s="601"/>
      <c r="L17" s="603"/>
      <c r="M17" s="601"/>
      <c r="N17" s="601"/>
      <c r="O17" s="604"/>
      <c r="P17" s="601"/>
      <c r="Q17" s="601"/>
      <c r="R17" s="601"/>
      <c r="S17" s="605"/>
      <c r="T17" s="604"/>
      <c r="U17" s="601"/>
      <c r="V17" s="606"/>
      <c r="W17" s="607"/>
    </row>
    <row r="18" spans="1:23" s="188" customFormat="1" ht="15" customHeight="1">
      <c r="A18" s="199"/>
      <c r="B18" s="131"/>
      <c r="C18" s="210"/>
      <c r="D18" s="156"/>
      <c r="E18" s="161"/>
      <c r="F18" s="132"/>
      <c r="G18" s="132"/>
      <c r="H18" s="218"/>
      <c r="I18" s="132"/>
      <c r="J18" s="132"/>
      <c r="K18" s="132"/>
      <c r="L18" s="118"/>
      <c r="M18" s="132"/>
      <c r="N18" s="132"/>
      <c r="O18" s="336"/>
      <c r="P18" s="132"/>
      <c r="Q18" s="132"/>
      <c r="R18" s="132"/>
      <c r="S18" s="133"/>
      <c r="T18" s="336"/>
      <c r="U18" s="132"/>
      <c r="V18" s="195"/>
      <c r="W18" s="142"/>
    </row>
    <row r="19" spans="1:23" s="630" customFormat="1" ht="15" customHeight="1" thickBot="1">
      <c r="A19" s="615"/>
      <c r="B19" s="616"/>
      <c r="C19" s="617"/>
      <c r="D19" s="618"/>
      <c r="E19" s="619"/>
      <c r="F19" s="620"/>
      <c r="G19" s="620"/>
      <c r="H19" s="621"/>
      <c r="I19" s="622"/>
      <c r="J19" s="623"/>
      <c r="K19" s="623"/>
      <c r="L19" s="624"/>
      <c r="M19" s="623"/>
      <c r="N19" s="622"/>
      <c r="O19" s="625">
        <f t="shared" si="3"/>
        <v>0</v>
      </c>
      <c r="P19" s="623">
        <f t="shared" si="1"/>
        <v>0</v>
      </c>
      <c r="Q19" s="622"/>
      <c r="R19" s="622"/>
      <c r="S19" s="622"/>
      <c r="T19" s="626"/>
      <c r="U19" s="627"/>
      <c r="V19" s="628"/>
      <c r="W19" s="629"/>
    </row>
    <row r="20" spans="1:23" ht="15" customHeight="1"/>
    <row r="21" spans="1:23" ht="15" customHeight="1"/>
    <row r="22" spans="1:23" ht="15" customHeight="1"/>
    <row r="23" spans="1:23" ht="15" customHeight="1">
      <c r="K23" s="139">
        <f>1.74+0.78</f>
        <v>2.52</v>
      </c>
    </row>
    <row r="24" spans="1:23" ht="15" customHeight="1"/>
    <row r="25" spans="1:23" ht="15.75" customHeight="1" thickBot="1">
      <c r="A25" s="26"/>
      <c r="B25" s="26"/>
      <c r="C25" s="26"/>
      <c r="D25" s="26"/>
      <c r="E25" s="27"/>
      <c r="F25" s="27"/>
      <c r="G25" s="26"/>
      <c r="H25" s="26"/>
      <c r="I25" s="26"/>
      <c r="J25" s="26"/>
      <c r="K25" s="26"/>
      <c r="L25" s="26"/>
      <c r="M25" s="26"/>
      <c r="N25" s="26"/>
      <c r="O25" s="26"/>
      <c r="P25" s="26"/>
      <c r="Q25" s="26"/>
      <c r="R25" s="8"/>
      <c r="S25" s="8"/>
      <c r="T25" s="8"/>
      <c r="U25" s="8"/>
    </row>
    <row r="26" spans="1:23" ht="15.75" customHeight="1">
      <c r="A26" s="963" t="s">
        <v>5</v>
      </c>
      <c r="B26" s="964"/>
      <c r="C26" s="967" t="s">
        <v>78</v>
      </c>
      <c r="D26" s="967"/>
      <c r="E26" s="317" t="s">
        <v>75</v>
      </c>
      <c r="F26" s="318"/>
      <c r="G26" s="317" t="s">
        <v>76</v>
      </c>
      <c r="H26" s="318"/>
      <c r="I26" s="319" t="s">
        <v>77</v>
      </c>
      <c r="Q26" s="188"/>
      <c r="R26" s="117"/>
      <c r="S26" s="117"/>
      <c r="T26" s="117"/>
      <c r="U26" s="8"/>
    </row>
    <row r="27" spans="1:23" ht="15.75" customHeight="1">
      <c r="A27" s="965"/>
      <c r="B27" s="966"/>
      <c r="C27" s="346" t="s">
        <v>6</v>
      </c>
      <c r="D27" s="346" t="s">
        <v>64</v>
      </c>
      <c r="E27" s="347">
        <f>A11</f>
        <v>45194</v>
      </c>
      <c r="F27" s="348" t="s">
        <v>65</v>
      </c>
      <c r="G27" s="349">
        <f>A13</f>
        <v>45437</v>
      </c>
      <c r="H27" s="348" t="s">
        <v>65</v>
      </c>
      <c r="I27" s="350">
        <f>A16</f>
        <v>45565</v>
      </c>
      <c r="Q27" s="188"/>
      <c r="R27" s="143"/>
      <c r="S27" s="143"/>
      <c r="T27" s="117"/>
      <c r="U27" s="8"/>
    </row>
    <row r="28" spans="1:23" ht="15.75" customHeight="1">
      <c r="A28" s="320"/>
      <c r="B28" s="342" t="s">
        <v>21</v>
      </c>
      <c r="C28" s="10">
        <f>P8</f>
        <v>1.1234</v>
      </c>
      <c r="D28" s="10">
        <f>C28+C32-C31</f>
        <v>0.86339999999999995</v>
      </c>
      <c r="E28" s="9"/>
      <c r="F28" s="9"/>
      <c r="G28" s="189"/>
      <c r="H28" s="10"/>
      <c r="I28" s="321"/>
      <c r="Q28" s="188"/>
      <c r="R28" s="143"/>
      <c r="S28" s="143"/>
      <c r="T28" s="117"/>
      <c r="U28" s="8"/>
    </row>
    <row r="29" spans="1:23" ht="15.75" customHeight="1">
      <c r="A29" s="320"/>
      <c r="B29" s="342" t="s">
        <v>22</v>
      </c>
      <c r="C29" s="10">
        <f>C30-C28</f>
        <v>-0.2533999999999994</v>
      </c>
      <c r="D29" s="10"/>
      <c r="E29" s="9"/>
      <c r="F29" s="9"/>
      <c r="G29" s="189"/>
      <c r="H29" s="10"/>
      <c r="I29" s="321"/>
      <c r="Q29" s="188"/>
      <c r="R29" s="143"/>
      <c r="S29" s="143"/>
      <c r="T29" s="117"/>
      <c r="U29" s="8"/>
    </row>
    <row r="30" spans="1:23" ht="15.75" customHeight="1">
      <c r="A30" s="320"/>
      <c r="B30" s="342" t="s">
        <v>23</v>
      </c>
      <c r="C30" s="10">
        <f>Q16</f>
        <v>0.87000000000000055</v>
      </c>
      <c r="D30" s="10"/>
      <c r="E30" s="9"/>
      <c r="F30" s="9"/>
      <c r="G30" s="189"/>
      <c r="H30" s="10"/>
      <c r="I30" s="321"/>
      <c r="Q30" s="188"/>
      <c r="R30" s="143"/>
      <c r="S30" s="143"/>
      <c r="T30" s="117"/>
      <c r="U30" s="8"/>
    </row>
    <row r="31" spans="1:23" ht="15.75" customHeight="1">
      <c r="A31" s="320"/>
      <c r="B31" s="343" t="s">
        <v>59</v>
      </c>
      <c r="C31" s="10">
        <f>S7</f>
        <v>0.26</v>
      </c>
      <c r="D31" s="10"/>
      <c r="E31" s="9"/>
      <c r="F31" s="9"/>
      <c r="G31" s="10"/>
      <c r="H31" s="10"/>
      <c r="I31" s="321"/>
      <c r="Q31" s="188"/>
      <c r="R31" s="143"/>
      <c r="S31" s="143"/>
      <c r="T31" s="117"/>
      <c r="U31" s="8"/>
    </row>
    <row r="32" spans="1:23" ht="15.75" customHeight="1">
      <c r="A32" s="320"/>
      <c r="B32" s="344" t="s">
        <v>60</v>
      </c>
      <c r="C32" s="10">
        <f>R8</f>
        <v>0</v>
      </c>
      <c r="D32" s="10"/>
      <c r="E32" s="9"/>
      <c r="F32" s="9"/>
      <c r="G32" s="10"/>
      <c r="H32" s="10"/>
      <c r="I32" s="321"/>
      <c r="Q32" s="188"/>
      <c r="R32" s="143"/>
      <c r="S32" s="143"/>
      <c r="T32" s="117"/>
      <c r="U32" s="8"/>
    </row>
    <row r="33" spans="1:21" ht="15.75" customHeight="1" thickBot="1">
      <c r="A33" s="322"/>
      <c r="B33" s="345" t="s">
        <v>61</v>
      </c>
      <c r="C33" s="323">
        <f>S15</f>
        <v>0.24960000000000002</v>
      </c>
      <c r="D33" s="323"/>
      <c r="E33" s="324"/>
      <c r="F33" s="324"/>
      <c r="G33" s="325"/>
      <c r="H33" s="325"/>
      <c r="I33" s="326"/>
      <c r="Q33" s="188"/>
      <c r="R33" s="143"/>
      <c r="S33" s="143"/>
      <c r="T33" s="117"/>
      <c r="U33" s="8"/>
    </row>
    <row r="34" spans="1:21" ht="15.75" customHeight="1">
      <c r="A34" s="8"/>
      <c r="B34" s="8"/>
      <c r="C34" s="8"/>
      <c r="D34" s="8"/>
      <c r="E34" s="8"/>
      <c r="F34" s="8"/>
      <c r="G34" s="8"/>
      <c r="H34" s="8"/>
      <c r="I34" s="8"/>
      <c r="J34" s="8"/>
      <c r="K34" s="8"/>
      <c r="L34" s="8"/>
      <c r="M34" s="8"/>
      <c r="N34" s="8"/>
      <c r="O34" s="8"/>
      <c r="P34" s="8"/>
      <c r="Q34" s="117"/>
      <c r="R34" s="117"/>
      <c r="S34" s="117"/>
      <c r="T34" s="117"/>
      <c r="U34" s="8"/>
    </row>
  </sheetData>
  <mergeCells count="6">
    <mergeCell ref="T1:V1"/>
    <mergeCell ref="T2:U2"/>
    <mergeCell ref="E3:G3"/>
    <mergeCell ref="T3:U3"/>
    <mergeCell ref="A26:B27"/>
    <mergeCell ref="C26:D26"/>
  </mergeCells>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1"/>
  <sheetViews>
    <sheetView topLeftCell="B1" workbookViewId="0">
      <selection activeCell="L8" sqref="L8"/>
    </sheetView>
  </sheetViews>
  <sheetFormatPr defaultColWidth="17.28515625" defaultRowHeight="15.75" customHeight="1"/>
  <cols>
    <col min="1" max="1" width="12.42578125" style="139" customWidth="1"/>
    <col min="2" max="2" width="27.28515625" style="139" customWidth="1"/>
    <col min="3" max="3" width="11.28515625" style="139" bestFit="1" customWidth="1"/>
    <col min="4" max="4" width="20" style="139" bestFit="1" customWidth="1"/>
    <col min="5" max="5" width="10.5703125" style="139" bestFit="1" customWidth="1"/>
    <col min="6" max="7" width="13.7109375" style="139" bestFit="1" customWidth="1"/>
    <col min="8" max="8" width="14.42578125" style="139" bestFit="1" customWidth="1"/>
    <col min="9" max="9" width="15.140625" style="139" customWidth="1"/>
    <col min="10" max="10" width="13.140625" style="139" customWidth="1"/>
    <col min="11" max="11" width="12.140625" style="139" customWidth="1"/>
    <col min="12" max="12" width="18" style="139" customWidth="1"/>
    <col min="13" max="13" width="22.140625" style="139" customWidth="1"/>
    <col min="14" max="14" width="11.5703125" style="139" bestFit="1" customWidth="1"/>
    <col min="15" max="15" width="11.28515625" style="139" bestFit="1" customWidth="1"/>
    <col min="16" max="17" width="7.85546875" style="139" bestFit="1" customWidth="1"/>
    <col min="18" max="18" width="14.7109375" style="139" bestFit="1" customWidth="1"/>
    <col min="19" max="19" width="20.7109375" style="139" bestFit="1" customWidth="1"/>
    <col min="20" max="20" width="21" style="139" bestFit="1" customWidth="1"/>
    <col min="21" max="21" width="15.140625" style="139" customWidth="1"/>
    <col min="22" max="16384" width="17.28515625" style="139"/>
  </cols>
  <sheetData>
    <row r="1" spans="1:23" ht="15" customHeight="1">
      <c r="A1" s="162"/>
      <c r="B1" s="163"/>
      <c r="C1" s="185"/>
      <c r="D1" s="164"/>
      <c r="E1" s="165"/>
      <c r="F1" s="166"/>
      <c r="G1" s="167"/>
      <c r="H1" s="211"/>
      <c r="I1" s="167"/>
      <c r="J1" s="190"/>
      <c r="K1" s="166"/>
      <c r="L1" s="315"/>
      <c r="M1" s="328"/>
      <c r="N1" s="167"/>
      <c r="O1" s="329"/>
      <c r="P1" s="168"/>
      <c r="Q1" s="168"/>
      <c r="R1" s="168"/>
      <c r="S1" s="500"/>
      <c r="T1" s="955" t="s">
        <v>7</v>
      </c>
      <c r="U1" s="955"/>
      <c r="V1" s="956"/>
      <c r="W1" s="220"/>
    </row>
    <row r="2" spans="1:23" ht="15" customHeight="1">
      <c r="A2" s="169"/>
      <c r="B2" s="4"/>
      <c r="C2" s="146"/>
      <c r="D2" s="29"/>
      <c r="E2" s="138"/>
      <c r="F2" s="5"/>
      <c r="G2" s="3"/>
      <c r="H2" s="212"/>
      <c r="I2" s="3"/>
      <c r="J2" s="6"/>
      <c r="K2" s="1"/>
      <c r="L2" s="316"/>
      <c r="M2" s="327"/>
      <c r="N2" s="6"/>
      <c r="O2" s="232"/>
      <c r="S2" s="234"/>
      <c r="T2" s="957" t="s">
        <v>79</v>
      </c>
      <c r="U2" s="957"/>
      <c r="V2" s="170"/>
      <c r="W2" s="12"/>
    </row>
    <row r="3" spans="1:23" ht="15" customHeight="1">
      <c r="A3" s="169"/>
      <c r="B3" s="4"/>
      <c r="C3" s="146"/>
      <c r="D3" s="137"/>
      <c r="E3" s="958" t="s">
        <v>117</v>
      </c>
      <c r="F3" s="959"/>
      <c r="G3" s="960"/>
      <c r="H3" s="213"/>
      <c r="I3" s="5"/>
      <c r="J3" s="6"/>
      <c r="K3" s="5"/>
      <c r="L3" s="221"/>
      <c r="M3" s="2"/>
      <c r="N3" s="6"/>
      <c r="O3" s="330"/>
      <c r="P3" s="6"/>
      <c r="Q3" s="6"/>
      <c r="R3" s="124"/>
      <c r="S3" s="501"/>
      <c r="T3" s="961" t="s">
        <v>198</v>
      </c>
      <c r="U3" s="962"/>
      <c r="V3" s="170"/>
      <c r="W3" s="134"/>
    </row>
    <row r="4" spans="1:23" s="511" customFormat="1" ht="38.25">
      <c r="A4" s="171" t="s">
        <v>9</v>
      </c>
      <c r="B4" s="7" t="s">
        <v>10</v>
      </c>
      <c r="C4" s="147" t="s">
        <v>113</v>
      </c>
      <c r="D4" s="503" t="s">
        <v>114</v>
      </c>
      <c r="E4" s="504" t="s">
        <v>8</v>
      </c>
      <c r="F4" s="7" t="s">
        <v>115</v>
      </c>
      <c r="G4" s="11" t="s">
        <v>116</v>
      </c>
      <c r="H4" s="214" t="s">
        <v>118</v>
      </c>
      <c r="I4" s="11" t="s">
        <v>119</v>
      </c>
      <c r="J4" s="11" t="s">
        <v>120</v>
      </c>
      <c r="K4" s="7" t="s">
        <v>121</v>
      </c>
      <c r="L4" s="505" t="s">
        <v>122</v>
      </c>
      <c r="M4" s="505" t="s">
        <v>123</v>
      </c>
      <c r="N4" s="11" t="s">
        <v>124</v>
      </c>
      <c r="O4" s="506" t="s">
        <v>125</v>
      </c>
      <c r="P4" s="11" t="s">
        <v>126</v>
      </c>
      <c r="Q4" s="11" t="s">
        <v>127</v>
      </c>
      <c r="R4" s="507" t="s">
        <v>67</v>
      </c>
      <c r="S4" s="508" t="s">
        <v>68</v>
      </c>
      <c r="T4" s="509" t="s">
        <v>11</v>
      </c>
      <c r="U4" s="509" t="s">
        <v>12</v>
      </c>
      <c r="V4" s="510" t="s">
        <v>56</v>
      </c>
      <c r="W4" s="147" t="s">
        <v>0</v>
      </c>
    </row>
    <row r="5" spans="1:23" ht="15.75" customHeight="1" thickBot="1">
      <c r="A5" s="172" t="s">
        <v>13</v>
      </c>
      <c r="B5" s="173"/>
      <c r="C5" s="186"/>
      <c r="D5" s="174"/>
      <c r="E5" s="176" t="s">
        <v>3</v>
      </c>
      <c r="F5" s="176" t="s">
        <v>3</v>
      </c>
      <c r="G5" s="740" t="s">
        <v>3</v>
      </c>
      <c r="H5" s="176" t="s">
        <v>3</v>
      </c>
      <c r="I5" s="741" t="s">
        <v>3</v>
      </c>
      <c r="J5" s="176" t="s">
        <v>14</v>
      </c>
      <c r="K5" s="175" t="s">
        <v>74</v>
      </c>
      <c r="L5" s="187" t="s">
        <v>15</v>
      </c>
      <c r="M5" s="177" t="s">
        <v>3</v>
      </c>
      <c r="N5" s="177" t="s">
        <v>74</v>
      </c>
      <c r="O5" s="331" t="s">
        <v>4</v>
      </c>
      <c r="P5" s="178" t="s">
        <v>16</v>
      </c>
      <c r="Q5" s="178" t="s">
        <v>17</v>
      </c>
      <c r="R5" s="181" t="s">
        <v>4</v>
      </c>
      <c r="S5" s="502" t="s">
        <v>4</v>
      </c>
      <c r="T5" s="179" t="s">
        <v>18</v>
      </c>
      <c r="U5" s="179" t="s">
        <v>19</v>
      </c>
      <c r="V5" s="180" t="s">
        <v>20</v>
      </c>
      <c r="W5" s="182"/>
    </row>
    <row r="6" spans="1:23" s="814" customFormat="1" ht="15" customHeight="1">
      <c r="A6" s="902">
        <v>45437</v>
      </c>
      <c r="B6" s="903" t="s">
        <v>141</v>
      </c>
      <c r="C6" s="904" t="s">
        <v>142</v>
      </c>
      <c r="D6" s="905" t="s">
        <v>143</v>
      </c>
      <c r="E6" s="906">
        <v>10</v>
      </c>
      <c r="F6" s="907">
        <v>3.39</v>
      </c>
      <c r="G6" s="907">
        <f>E6-F6</f>
        <v>6.6099999999999994</v>
      </c>
      <c r="H6" s="908">
        <v>10</v>
      </c>
      <c r="I6" s="907"/>
      <c r="J6" s="907">
        <v>2.61</v>
      </c>
      <c r="K6" s="907">
        <v>0.4</v>
      </c>
      <c r="L6" s="909">
        <f>G6-J6</f>
        <v>3.9999999999999996</v>
      </c>
      <c r="M6" s="907">
        <f>AVERAGE(L6:L9)</f>
        <v>4.9349999999999996</v>
      </c>
      <c r="N6" s="907"/>
      <c r="O6" s="910"/>
      <c r="P6" s="911">
        <f>J6*K6</f>
        <v>1.044</v>
      </c>
      <c r="Q6" s="911"/>
      <c r="R6" s="911"/>
      <c r="S6" s="911"/>
      <c r="T6" s="912">
        <v>597808.19999999995</v>
      </c>
      <c r="U6" s="913">
        <v>6984468.54</v>
      </c>
      <c r="V6" s="914">
        <v>2657.26</v>
      </c>
      <c r="W6" s="915"/>
    </row>
    <row r="7" spans="1:23" s="814" customFormat="1" ht="15" customHeight="1">
      <c r="A7" s="902">
        <v>45565</v>
      </c>
      <c r="B7" s="903" t="s">
        <v>183</v>
      </c>
      <c r="C7" s="904" t="s">
        <v>142</v>
      </c>
      <c r="D7" s="905" t="s">
        <v>178</v>
      </c>
      <c r="E7" s="906">
        <v>10</v>
      </c>
      <c r="F7" s="907">
        <v>3.1</v>
      </c>
      <c r="G7" s="907">
        <f t="shared" ref="G7:G16" si="0">E7-F7</f>
        <v>6.9</v>
      </c>
      <c r="H7" s="908">
        <f>G7-G6</f>
        <v>0.29000000000000092</v>
      </c>
      <c r="I7" s="907">
        <v>1.35</v>
      </c>
      <c r="J7" s="907">
        <v>1.03</v>
      </c>
      <c r="K7" s="907">
        <v>0.32</v>
      </c>
      <c r="L7" s="909">
        <f>G7-J7</f>
        <v>5.87</v>
      </c>
      <c r="M7" s="907"/>
      <c r="N7" s="907"/>
      <c r="O7" s="910">
        <f>Q7-P7</f>
        <v>0</v>
      </c>
      <c r="P7" s="911"/>
      <c r="Q7" s="911"/>
      <c r="R7" s="911"/>
      <c r="S7" s="911">
        <f>K7*I7</f>
        <v>0.43200000000000005</v>
      </c>
      <c r="T7" s="912"/>
      <c r="U7" s="913"/>
      <c r="V7" s="914"/>
      <c r="W7" s="915"/>
    </row>
    <row r="8" spans="1:23" s="814" customFormat="1" ht="15" customHeight="1">
      <c r="A8" s="815">
        <v>45565</v>
      </c>
      <c r="B8" s="816" t="s">
        <v>183</v>
      </c>
      <c r="C8" s="817" t="s">
        <v>142</v>
      </c>
      <c r="D8" s="818" t="s">
        <v>179</v>
      </c>
      <c r="E8" s="819">
        <v>11</v>
      </c>
      <c r="F8" s="820">
        <f>E8-G8</f>
        <v>5.13</v>
      </c>
      <c r="G8" s="907">
        <f>L7</f>
        <v>5.87</v>
      </c>
      <c r="H8" s="908">
        <f t="shared" ref="H8:H14" si="1">G8-G7</f>
        <v>-1.0300000000000002</v>
      </c>
      <c r="I8" s="916">
        <f>L7-L6</f>
        <v>1.8700000000000006</v>
      </c>
      <c r="J8" s="916">
        <v>2.1</v>
      </c>
      <c r="K8" s="820">
        <f>0.5</f>
        <v>0.5</v>
      </c>
      <c r="L8" s="819"/>
      <c r="M8" s="820"/>
      <c r="N8" s="816"/>
      <c r="O8" s="917">
        <f>Q8-P6</f>
        <v>-0.10899999999999976</v>
      </c>
      <c r="P8" s="911"/>
      <c r="Q8" s="820">
        <f>K8*I8</f>
        <v>0.93500000000000028</v>
      </c>
      <c r="R8" s="820"/>
      <c r="S8" s="918"/>
      <c r="T8" s="919">
        <v>597801.47</v>
      </c>
      <c r="U8" s="919">
        <v>6984464.2699999996</v>
      </c>
      <c r="V8" s="914">
        <v>2655.92</v>
      </c>
      <c r="W8" s="920"/>
    </row>
    <row r="9" spans="1:23" s="814" customFormat="1" ht="15.75" customHeight="1">
      <c r="A9" s="921"/>
      <c r="B9" s="922"/>
      <c r="C9" s="923"/>
      <c r="D9" s="924"/>
      <c r="E9" s="925"/>
      <c r="F9" s="922"/>
      <c r="G9" s="907">
        <f t="shared" si="0"/>
        <v>0</v>
      </c>
      <c r="H9" s="908">
        <f t="shared" si="1"/>
        <v>-5.87</v>
      </c>
      <c r="I9" s="816"/>
      <c r="J9" s="816"/>
      <c r="K9" s="816"/>
      <c r="L9" s="819"/>
      <c r="M9" s="820"/>
      <c r="N9" s="816"/>
      <c r="O9" s="917">
        <f t="shared" ref="O9:O16" si="2">Q9-P9</f>
        <v>0</v>
      </c>
      <c r="P9" s="911">
        <f t="shared" ref="P9:P16" si="3">J9*K9</f>
        <v>0</v>
      </c>
      <c r="Q9" s="820"/>
      <c r="R9" s="820"/>
      <c r="S9" s="918"/>
      <c r="T9" s="926">
        <f>T8-T6</f>
        <v>-6.7299999999813735</v>
      </c>
      <c r="U9" s="919">
        <f>U8-U6</f>
        <v>-4.2700000004842877</v>
      </c>
      <c r="V9" s="914">
        <f>V8-V6</f>
        <v>-1.3400000000001455</v>
      </c>
      <c r="W9" s="920"/>
    </row>
    <row r="10" spans="1:23" s="188" customFormat="1" ht="15" customHeight="1">
      <c r="A10" s="184"/>
      <c r="B10" s="128"/>
      <c r="C10" s="150"/>
      <c r="D10" s="153"/>
      <c r="E10" s="149"/>
      <c r="F10" s="128"/>
      <c r="G10" s="128"/>
      <c r="H10" s="216"/>
      <c r="I10" s="116"/>
      <c r="J10" s="115"/>
      <c r="K10" s="115"/>
      <c r="L10" s="140"/>
      <c r="M10" s="115"/>
      <c r="N10" s="115"/>
      <c r="O10" s="334"/>
      <c r="P10" s="116"/>
      <c r="Q10" s="116"/>
      <c r="R10" s="116"/>
      <c r="S10" s="739"/>
      <c r="T10" s="117"/>
      <c r="U10" s="117"/>
      <c r="V10" s="195"/>
      <c r="W10" s="136"/>
    </row>
    <row r="11" spans="1:23" ht="15" customHeight="1">
      <c r="A11" s="196"/>
      <c r="B11" s="129"/>
      <c r="C11" s="208"/>
      <c r="D11" s="154"/>
      <c r="E11" s="159"/>
      <c r="F11" s="130"/>
      <c r="G11" s="130">
        <f t="shared" si="0"/>
        <v>0</v>
      </c>
      <c r="H11" s="217"/>
      <c r="I11" s="130"/>
      <c r="J11" s="130"/>
      <c r="K11" s="130"/>
      <c r="L11" s="121"/>
      <c r="M11" s="130"/>
      <c r="N11" s="130"/>
      <c r="O11" s="732">
        <f t="shared" si="2"/>
        <v>0</v>
      </c>
      <c r="P11" s="733">
        <f t="shared" si="3"/>
        <v>0</v>
      </c>
      <c r="Q11" s="733"/>
      <c r="R11" s="733"/>
      <c r="S11" s="733"/>
      <c r="T11" s="335"/>
      <c r="U11" s="130"/>
      <c r="V11" s="197"/>
      <c r="W11" s="141"/>
    </row>
    <row r="12" spans="1:23" ht="15" customHeight="1">
      <c r="A12" s="196"/>
      <c r="B12" s="129"/>
      <c r="C12" s="208"/>
      <c r="D12" s="154"/>
      <c r="E12" s="159"/>
      <c r="F12" s="130"/>
      <c r="G12" s="130">
        <f t="shared" si="0"/>
        <v>0</v>
      </c>
      <c r="H12" s="217">
        <f t="shared" si="1"/>
        <v>0</v>
      </c>
      <c r="I12" s="130"/>
      <c r="J12" s="130"/>
      <c r="K12" s="130"/>
      <c r="L12" s="121"/>
      <c r="M12" s="130"/>
      <c r="N12" s="130"/>
      <c r="O12" s="732">
        <f t="shared" si="2"/>
        <v>0</v>
      </c>
      <c r="P12" s="733">
        <f t="shared" si="3"/>
        <v>0</v>
      </c>
      <c r="Q12" s="733"/>
      <c r="R12" s="733"/>
      <c r="S12" s="733"/>
      <c r="T12" s="335"/>
      <c r="U12" s="130"/>
      <c r="V12" s="197"/>
      <c r="W12" s="141"/>
    </row>
    <row r="13" spans="1:23" ht="15" customHeight="1">
      <c r="A13" s="196"/>
      <c r="B13" s="129"/>
      <c r="C13" s="208"/>
      <c r="D13" s="154"/>
      <c r="E13" s="159"/>
      <c r="F13" s="130"/>
      <c r="G13" s="130">
        <f t="shared" si="0"/>
        <v>0</v>
      </c>
      <c r="H13" s="217">
        <f t="shared" si="1"/>
        <v>0</v>
      </c>
      <c r="I13" s="130"/>
      <c r="J13" s="130"/>
      <c r="K13" s="130"/>
      <c r="L13" s="121"/>
      <c r="M13" s="130"/>
      <c r="N13" s="130"/>
      <c r="O13" s="732">
        <f t="shared" si="2"/>
        <v>0</v>
      </c>
      <c r="P13" s="733">
        <f t="shared" si="3"/>
        <v>0</v>
      </c>
      <c r="Q13" s="733"/>
      <c r="R13" s="733"/>
      <c r="S13" s="733"/>
      <c r="T13" s="335"/>
      <c r="U13" s="130"/>
      <c r="V13" s="197"/>
      <c r="W13" s="141"/>
    </row>
    <row r="14" spans="1:23" ht="15" customHeight="1">
      <c r="A14" s="198"/>
      <c r="B14" s="122"/>
      <c r="C14" s="209"/>
      <c r="D14" s="155"/>
      <c r="E14" s="160"/>
      <c r="F14" s="123"/>
      <c r="G14" s="123">
        <f t="shared" si="0"/>
        <v>0</v>
      </c>
      <c r="H14" s="217">
        <f t="shared" si="1"/>
        <v>0</v>
      </c>
      <c r="I14" s="130"/>
      <c r="J14" s="130"/>
      <c r="K14" s="130"/>
      <c r="L14" s="121"/>
      <c r="M14" s="130"/>
      <c r="N14" s="130"/>
      <c r="O14" s="732">
        <f t="shared" si="2"/>
        <v>0</v>
      </c>
      <c r="P14" s="733">
        <f t="shared" si="3"/>
        <v>0</v>
      </c>
      <c r="Q14" s="733"/>
      <c r="R14" s="733"/>
      <c r="S14" s="733"/>
      <c r="T14" s="335"/>
      <c r="U14" s="130"/>
      <c r="V14" s="197"/>
      <c r="W14" s="141"/>
    </row>
    <row r="15" spans="1:23" s="188" customFormat="1" ht="15" customHeight="1">
      <c r="A15" s="199"/>
      <c r="B15" s="131"/>
      <c r="C15" s="210"/>
      <c r="D15" s="156"/>
      <c r="E15" s="161"/>
      <c r="F15" s="132"/>
      <c r="G15" s="132"/>
      <c r="H15" s="218"/>
      <c r="I15" s="132"/>
      <c r="J15" s="132"/>
      <c r="K15" s="132"/>
      <c r="L15" s="118"/>
      <c r="M15" s="132"/>
      <c r="N15" s="132"/>
      <c r="O15" s="734"/>
      <c r="P15" s="730"/>
      <c r="Q15" s="730"/>
      <c r="R15" s="730"/>
      <c r="S15" s="730"/>
      <c r="T15" s="336"/>
      <c r="U15" s="132"/>
      <c r="V15" s="195"/>
      <c r="W15" s="142"/>
    </row>
    <row r="16" spans="1:23" ht="15" customHeight="1" thickBot="1">
      <c r="A16" s="200"/>
      <c r="B16" s="201"/>
      <c r="C16" s="223"/>
      <c r="D16" s="224"/>
      <c r="E16" s="225"/>
      <c r="F16" s="202"/>
      <c r="G16" s="202">
        <f t="shared" si="0"/>
        <v>0</v>
      </c>
      <c r="H16" s="219"/>
      <c r="I16" s="229"/>
      <c r="J16" s="203"/>
      <c r="K16" s="203"/>
      <c r="L16" s="226"/>
      <c r="M16" s="203"/>
      <c r="N16" s="204"/>
      <c r="O16" s="735">
        <f t="shared" si="2"/>
        <v>0</v>
      </c>
      <c r="P16" s="203">
        <f t="shared" si="3"/>
        <v>0</v>
      </c>
      <c r="Q16" s="203"/>
      <c r="R16" s="203"/>
      <c r="S16" s="203"/>
      <c r="T16" s="341"/>
      <c r="U16" s="205"/>
      <c r="V16" s="222"/>
      <c r="W16" s="227"/>
    </row>
    <row r="17" spans="1:21" ht="15" customHeight="1"/>
    <row r="18" spans="1:21" ht="15" customHeight="1"/>
    <row r="19" spans="1:21" ht="15" customHeight="1"/>
    <row r="20" spans="1:21" ht="15" customHeight="1"/>
    <row r="21" spans="1:21" ht="15" customHeight="1"/>
    <row r="22" spans="1:21" ht="15.75" customHeight="1" thickBot="1">
      <c r="A22" s="26"/>
      <c r="B22" s="26"/>
      <c r="C22" s="26"/>
      <c r="D22" s="26"/>
      <c r="E22" s="27"/>
      <c r="F22" s="27"/>
      <c r="G22" s="26"/>
      <c r="H22" s="26"/>
      <c r="I22" s="26"/>
      <c r="J22" s="26"/>
      <c r="K22" s="26"/>
      <c r="L22" s="26"/>
      <c r="M22" s="26"/>
      <c r="N22" s="26"/>
      <c r="O22" s="26"/>
      <c r="P22" s="26"/>
      <c r="Q22" s="26"/>
      <c r="R22" s="8"/>
      <c r="S22" s="8"/>
      <c r="T22" s="8"/>
      <c r="U22" s="8"/>
    </row>
    <row r="23" spans="1:21" ht="15.75" customHeight="1">
      <c r="A23" s="963" t="s">
        <v>5</v>
      </c>
      <c r="B23" s="964"/>
      <c r="C23" s="967" t="s">
        <v>78</v>
      </c>
      <c r="D23" s="967"/>
      <c r="E23" s="317" t="s">
        <v>75</v>
      </c>
      <c r="F23" s="318"/>
      <c r="G23" s="317" t="s">
        <v>76</v>
      </c>
      <c r="H23" s="318"/>
      <c r="I23" s="319" t="s">
        <v>77</v>
      </c>
      <c r="Q23" s="188"/>
      <c r="R23" s="117"/>
      <c r="S23" s="117"/>
      <c r="T23" s="117"/>
      <c r="U23" s="8"/>
    </row>
    <row r="24" spans="1:21" ht="15.75" customHeight="1">
      <c r="A24" s="965"/>
      <c r="B24" s="966"/>
      <c r="C24" s="346" t="s">
        <v>6</v>
      </c>
      <c r="D24" s="346" t="s">
        <v>64</v>
      </c>
      <c r="E24" s="347" t="s">
        <v>154</v>
      </c>
      <c r="F24" s="348" t="s">
        <v>65</v>
      </c>
      <c r="G24" s="349">
        <f>A6</f>
        <v>45437</v>
      </c>
      <c r="H24" s="348" t="s">
        <v>65</v>
      </c>
      <c r="I24" s="350">
        <f>A8</f>
        <v>45565</v>
      </c>
      <c r="Q24" s="188"/>
      <c r="R24" s="143"/>
      <c r="S24" s="143"/>
      <c r="T24" s="117"/>
      <c r="U24" s="8"/>
    </row>
    <row r="25" spans="1:21" ht="15.75" customHeight="1">
      <c r="A25" s="320"/>
      <c r="B25" s="342" t="s">
        <v>21</v>
      </c>
      <c r="C25" s="10">
        <f>P6</f>
        <v>1.044</v>
      </c>
      <c r="D25" s="10" t="e">
        <f>C25+C29-C28</f>
        <v>#VALUE!</v>
      </c>
      <c r="E25" s="9"/>
      <c r="F25" s="9"/>
      <c r="G25" s="189"/>
      <c r="H25" s="10"/>
      <c r="I25" s="321"/>
      <c r="Q25" s="188"/>
      <c r="R25" s="143"/>
      <c r="S25" s="143"/>
      <c r="T25" s="117"/>
      <c r="U25" s="8"/>
    </row>
    <row r="26" spans="1:21" ht="15.75" customHeight="1">
      <c r="A26" s="320"/>
      <c r="B26" s="342" t="s">
        <v>22</v>
      </c>
      <c r="C26" s="10">
        <f>C27-C25</f>
        <v>-5.1499999999999879E-2</v>
      </c>
      <c r="D26" s="10"/>
      <c r="E26" s="9"/>
      <c r="F26" s="9"/>
      <c r="G26" s="189"/>
      <c r="H26" s="10"/>
      <c r="I26" s="321"/>
      <c r="Q26" s="188"/>
      <c r="R26" s="143"/>
      <c r="S26" s="143"/>
      <c r="T26" s="117"/>
      <c r="U26" s="8"/>
    </row>
    <row r="27" spans="1:21" ht="15.75" customHeight="1">
      <c r="A27" s="320"/>
      <c r="B27" s="342" t="s">
        <v>23</v>
      </c>
      <c r="C27" s="10">
        <f>AVERAGE(J8*K8,Q8)</f>
        <v>0.99250000000000016</v>
      </c>
      <c r="D27" s="10"/>
      <c r="E27" s="9"/>
      <c r="F27" s="9"/>
      <c r="G27" s="189"/>
      <c r="H27" s="10"/>
      <c r="I27" s="321"/>
      <c r="Q27" s="188"/>
      <c r="R27" s="143"/>
      <c r="S27" s="143"/>
      <c r="T27" s="117"/>
      <c r="U27" s="8"/>
    </row>
    <row r="28" spans="1:21" ht="15.75" customHeight="1">
      <c r="A28" s="320"/>
      <c r="B28" s="343" t="s">
        <v>59</v>
      </c>
      <c r="C28" s="10" t="s">
        <v>154</v>
      </c>
      <c r="D28" s="10"/>
      <c r="E28" s="9"/>
      <c r="F28" s="9"/>
      <c r="G28" s="10"/>
      <c r="H28" s="10"/>
      <c r="I28" s="321"/>
      <c r="Q28" s="188"/>
      <c r="R28" s="143"/>
      <c r="S28" s="143"/>
      <c r="T28" s="117"/>
      <c r="U28" s="8"/>
    </row>
    <row r="29" spans="1:21" ht="15.75" customHeight="1">
      <c r="A29" s="320"/>
      <c r="B29" s="344" t="s">
        <v>60</v>
      </c>
      <c r="C29" s="10">
        <v>0</v>
      </c>
      <c r="D29" s="10"/>
      <c r="E29" s="9"/>
      <c r="F29" s="9"/>
      <c r="G29" s="10"/>
      <c r="H29" s="10"/>
      <c r="I29" s="321"/>
      <c r="Q29" s="188"/>
      <c r="R29" s="143"/>
      <c r="S29" s="143"/>
      <c r="T29" s="117"/>
      <c r="U29" s="8"/>
    </row>
    <row r="30" spans="1:21" ht="15.75" customHeight="1" thickBot="1">
      <c r="A30" s="322"/>
      <c r="B30" s="345" t="s">
        <v>61</v>
      </c>
      <c r="C30" s="323">
        <f>AVERAGE(J7*K7,S7)</f>
        <v>0.38080000000000003</v>
      </c>
      <c r="D30" s="323"/>
      <c r="E30" s="324"/>
      <c r="F30" s="324"/>
      <c r="G30" s="325"/>
      <c r="H30" s="325"/>
      <c r="I30" s="326"/>
      <c r="Q30" s="188"/>
      <c r="R30" s="143"/>
      <c r="S30" s="143"/>
      <c r="T30" s="117"/>
      <c r="U30" s="8"/>
    </row>
    <row r="31" spans="1:21" ht="15.75" customHeight="1">
      <c r="A31" s="8"/>
      <c r="B31" s="8"/>
      <c r="C31" s="8"/>
      <c r="D31" s="8"/>
      <c r="E31" s="8"/>
      <c r="F31" s="8"/>
      <c r="G31" s="8"/>
      <c r="H31" s="8"/>
      <c r="I31" s="8"/>
      <c r="J31" s="8"/>
      <c r="K31" s="8"/>
      <c r="L31" s="8"/>
      <c r="M31" s="8"/>
      <c r="N31" s="8"/>
      <c r="O31" s="8"/>
      <c r="P31" s="8"/>
      <c r="Q31" s="117"/>
      <c r="R31" s="117"/>
      <c r="S31" s="117"/>
      <c r="T31" s="117"/>
      <c r="U31" s="8"/>
    </row>
  </sheetData>
  <mergeCells count="6">
    <mergeCell ref="T1:V1"/>
    <mergeCell ref="A23:B24"/>
    <mergeCell ref="C23:D23"/>
    <mergeCell ref="T3:U3"/>
    <mergeCell ref="T2:U2"/>
    <mergeCell ref="E3:G3"/>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648B4-B4B8-4BBC-8842-A567D2E651A2}">
  <dimension ref="A1:W31"/>
  <sheetViews>
    <sheetView topLeftCell="I2" workbookViewId="0">
      <selection activeCell="M13" sqref="M13"/>
    </sheetView>
  </sheetViews>
  <sheetFormatPr defaultColWidth="17.28515625" defaultRowHeight="15.75" customHeight="1"/>
  <cols>
    <col min="1" max="1" width="12.42578125" style="139" customWidth="1"/>
    <col min="2" max="2" width="27.28515625" style="139" customWidth="1"/>
    <col min="3" max="3" width="11.28515625" style="139" bestFit="1" customWidth="1"/>
    <col min="4" max="4" width="20" style="139" bestFit="1" customWidth="1"/>
    <col min="5" max="5" width="10.5703125" style="139" bestFit="1" customWidth="1"/>
    <col min="6" max="7" width="13.7109375" style="139" bestFit="1" customWidth="1"/>
    <col min="8" max="8" width="14.42578125" style="139" bestFit="1" customWidth="1"/>
    <col min="9" max="9" width="17.28515625" style="139" bestFit="1" customWidth="1"/>
    <col min="10" max="10" width="19.5703125" style="139" bestFit="1" customWidth="1"/>
    <col min="11" max="11" width="16.42578125" style="139" bestFit="1" customWidth="1"/>
    <col min="12" max="12" width="18" style="139" customWidth="1"/>
    <col min="13" max="13" width="22.140625" style="139" customWidth="1"/>
    <col min="14" max="14" width="11.5703125" style="139" bestFit="1" customWidth="1"/>
    <col min="15" max="15" width="11.28515625" style="139" bestFit="1" customWidth="1"/>
    <col min="16" max="17" width="7.85546875" style="139" bestFit="1" customWidth="1"/>
    <col min="18" max="18" width="14.7109375" style="139" bestFit="1" customWidth="1"/>
    <col min="19" max="19" width="20.7109375" style="139" bestFit="1" customWidth="1"/>
    <col min="20" max="20" width="21" style="139" bestFit="1" customWidth="1"/>
    <col min="21" max="21" width="8.7109375" style="139" bestFit="1" customWidth="1"/>
    <col min="22" max="16384" width="17.28515625" style="139"/>
  </cols>
  <sheetData>
    <row r="1" spans="1:23" ht="15" customHeight="1">
      <c r="A1" s="162"/>
      <c r="B1" s="163"/>
      <c r="C1" s="185"/>
      <c r="D1" s="164"/>
      <c r="E1" s="165"/>
      <c r="F1" s="166"/>
      <c r="G1" s="167"/>
      <c r="H1" s="211"/>
      <c r="I1" s="167"/>
      <c r="J1" s="190"/>
      <c r="K1" s="166"/>
      <c r="L1" s="315"/>
      <c r="M1" s="328"/>
      <c r="N1" s="167"/>
      <c r="O1" s="329"/>
      <c r="P1" s="168"/>
      <c r="Q1" s="168"/>
      <c r="R1" s="168"/>
      <c r="S1" s="500"/>
      <c r="T1" s="955" t="s">
        <v>7</v>
      </c>
      <c r="U1" s="955"/>
      <c r="V1" s="956"/>
      <c r="W1" s="220"/>
    </row>
    <row r="2" spans="1:23" ht="15" customHeight="1">
      <c r="A2" s="169"/>
      <c r="B2" s="4"/>
      <c r="C2" s="146"/>
      <c r="D2" s="29"/>
      <c r="E2" s="512"/>
      <c r="F2" s="513"/>
      <c r="G2" s="3"/>
      <c r="H2" s="212"/>
      <c r="I2" s="3"/>
      <c r="J2" s="6"/>
      <c r="K2" s="1"/>
      <c r="L2" s="316"/>
      <c r="M2" s="327"/>
      <c r="N2" s="6"/>
      <c r="O2" s="232"/>
      <c r="S2" s="234"/>
      <c r="T2" s="957" t="s">
        <v>79</v>
      </c>
      <c r="U2" s="957"/>
      <c r="V2" s="514"/>
      <c r="W2" s="12"/>
    </row>
    <row r="3" spans="1:23" ht="15" customHeight="1">
      <c r="A3" s="169"/>
      <c r="B3" s="4"/>
      <c r="C3" s="146"/>
      <c r="D3" s="137"/>
      <c r="E3" s="958" t="s">
        <v>117</v>
      </c>
      <c r="F3" s="959"/>
      <c r="G3" s="960"/>
      <c r="H3" s="213"/>
      <c r="I3" s="513"/>
      <c r="J3" s="6"/>
      <c r="K3" s="513"/>
      <c r="L3" s="221"/>
      <c r="M3" s="2"/>
      <c r="N3" s="6"/>
      <c r="O3" s="330"/>
      <c r="P3" s="6"/>
      <c r="Q3" s="6"/>
      <c r="R3" s="124"/>
      <c r="S3" s="501"/>
      <c r="T3" s="961" t="s">
        <v>80</v>
      </c>
      <c r="U3" s="962"/>
      <c r="V3" s="514"/>
      <c r="W3" s="134"/>
    </row>
    <row r="4" spans="1:23" s="511" customFormat="1" ht="38.25">
      <c r="A4" s="171" t="s">
        <v>9</v>
      </c>
      <c r="B4" s="7" t="s">
        <v>10</v>
      </c>
      <c r="C4" s="147" t="s">
        <v>113</v>
      </c>
      <c r="D4" s="503" t="s">
        <v>114</v>
      </c>
      <c r="E4" s="504" t="s">
        <v>8</v>
      </c>
      <c r="F4" s="7" t="s">
        <v>115</v>
      </c>
      <c r="G4" s="11" t="s">
        <v>116</v>
      </c>
      <c r="H4" s="214" t="s">
        <v>118</v>
      </c>
      <c r="I4" s="11" t="s">
        <v>119</v>
      </c>
      <c r="J4" s="11" t="s">
        <v>120</v>
      </c>
      <c r="K4" s="7" t="s">
        <v>121</v>
      </c>
      <c r="L4" s="505" t="s">
        <v>122</v>
      </c>
      <c r="M4" s="505" t="s">
        <v>123</v>
      </c>
      <c r="N4" s="11" t="s">
        <v>124</v>
      </c>
      <c r="O4" s="506" t="s">
        <v>125</v>
      </c>
      <c r="P4" s="11" t="s">
        <v>126</v>
      </c>
      <c r="Q4" s="11" t="s">
        <v>127</v>
      </c>
      <c r="R4" s="507" t="s">
        <v>67</v>
      </c>
      <c r="S4" s="508" t="s">
        <v>68</v>
      </c>
      <c r="T4" s="509" t="s">
        <v>11</v>
      </c>
      <c r="U4" s="509" t="s">
        <v>12</v>
      </c>
      <c r="V4" s="510" t="s">
        <v>56</v>
      </c>
      <c r="W4" s="147" t="s">
        <v>0</v>
      </c>
    </row>
    <row r="5" spans="1:23" ht="15.75" customHeight="1" thickBot="1">
      <c r="A5" s="172" t="s">
        <v>13</v>
      </c>
      <c r="B5" s="173"/>
      <c r="C5" s="186"/>
      <c r="D5" s="174"/>
      <c r="E5" s="176" t="s">
        <v>3</v>
      </c>
      <c r="F5" s="176" t="s">
        <v>3</v>
      </c>
      <c r="G5" s="176" t="s">
        <v>3</v>
      </c>
      <c r="H5" s="176" t="s">
        <v>3</v>
      </c>
      <c r="I5" s="176" t="s">
        <v>3</v>
      </c>
      <c r="J5" s="176" t="s">
        <v>3</v>
      </c>
      <c r="K5" s="175" t="s">
        <v>74</v>
      </c>
      <c r="L5" s="187" t="s">
        <v>3</v>
      </c>
      <c r="M5" s="177" t="s">
        <v>3</v>
      </c>
      <c r="N5" s="177" t="s">
        <v>74</v>
      </c>
      <c r="O5" s="331" t="s">
        <v>4</v>
      </c>
      <c r="P5" s="178" t="s">
        <v>4</v>
      </c>
      <c r="Q5" s="178" t="s">
        <v>4</v>
      </c>
      <c r="R5" s="181" t="s">
        <v>4</v>
      </c>
      <c r="S5" s="502" t="s">
        <v>4</v>
      </c>
      <c r="T5" s="179" t="s">
        <v>3</v>
      </c>
      <c r="U5" s="179" t="s">
        <v>3</v>
      </c>
      <c r="V5" s="180" t="s">
        <v>3</v>
      </c>
      <c r="W5" s="182"/>
    </row>
    <row r="6" spans="1:23" ht="15" customHeight="1">
      <c r="A6" s="191">
        <v>45438</v>
      </c>
      <c r="B6" s="125" t="s">
        <v>159</v>
      </c>
      <c r="C6" s="682" t="s">
        <v>95</v>
      </c>
      <c r="D6" s="151" t="s">
        <v>143</v>
      </c>
      <c r="E6" s="682" t="s">
        <v>95</v>
      </c>
      <c r="F6" s="682" t="s">
        <v>95</v>
      </c>
      <c r="G6" s="682" t="s">
        <v>95</v>
      </c>
      <c r="H6" s="682" t="s">
        <v>95</v>
      </c>
      <c r="I6" s="126"/>
      <c r="J6" s="126">
        <v>7.2</v>
      </c>
      <c r="K6" s="126">
        <v>0.47</v>
      </c>
      <c r="L6" s="119" t="e">
        <f>G6-I6</f>
        <v>#VALUE!</v>
      </c>
      <c r="M6" s="126" t="e">
        <f>AVERAGE(L6:L9)</f>
        <v>#VALUE!</v>
      </c>
      <c r="N6" s="126"/>
      <c r="O6" s="332"/>
      <c r="P6" s="126">
        <f>J6*K6</f>
        <v>3.3839999999999999</v>
      </c>
      <c r="Q6" s="126"/>
      <c r="R6" s="126">
        <v>0</v>
      </c>
      <c r="S6" s="127"/>
      <c r="T6" s="332"/>
      <c r="U6" s="126"/>
      <c r="V6" s="192"/>
      <c r="W6" s="144"/>
    </row>
    <row r="7" spans="1:23" ht="15" customHeight="1">
      <c r="A7" s="191"/>
      <c r="B7" s="125"/>
      <c r="C7" s="206"/>
      <c r="D7" s="151"/>
      <c r="E7" s="157"/>
      <c r="F7" s="126"/>
      <c r="G7" s="126">
        <f t="shared" ref="G7:G16" si="0">E7-F7</f>
        <v>0</v>
      </c>
      <c r="H7" s="215" t="e">
        <f>G7-G6</f>
        <v>#VALUE!</v>
      </c>
      <c r="I7" s="126"/>
      <c r="J7" s="126"/>
      <c r="K7" s="126"/>
      <c r="L7" s="119"/>
      <c r="M7" s="126"/>
      <c r="N7" s="126"/>
      <c r="O7" s="332">
        <f>Q7-P7</f>
        <v>0</v>
      </c>
      <c r="P7" s="126">
        <f t="shared" ref="P7:P16" si="1">J7*K7</f>
        <v>0</v>
      </c>
      <c r="Q7" s="126"/>
      <c r="R7" s="126"/>
      <c r="S7" s="127"/>
      <c r="T7" s="332"/>
      <c r="U7" s="126"/>
      <c r="V7" s="192"/>
      <c r="W7" s="144"/>
    </row>
    <row r="8" spans="1:23" ht="15" customHeight="1">
      <c r="A8" s="193"/>
      <c r="B8" s="30"/>
      <c r="C8" s="145"/>
      <c r="D8" s="152"/>
      <c r="E8" s="158"/>
      <c r="F8" s="31"/>
      <c r="G8" s="126">
        <f t="shared" si="0"/>
        <v>0</v>
      </c>
      <c r="H8" s="215">
        <f t="shared" ref="H8:H14" si="2">G8-G7</f>
        <v>0</v>
      </c>
      <c r="I8" s="30"/>
      <c r="J8" s="228"/>
      <c r="K8" s="31"/>
      <c r="L8" s="158"/>
      <c r="M8" s="31"/>
      <c r="N8" s="30"/>
      <c r="O8" s="333">
        <f t="shared" ref="O8:O16" si="3">Q8-P8</f>
        <v>0</v>
      </c>
      <c r="P8" s="126">
        <f t="shared" si="1"/>
        <v>0</v>
      </c>
      <c r="Q8" s="30"/>
      <c r="R8" s="31"/>
      <c r="S8" s="30"/>
      <c r="T8" s="339"/>
      <c r="U8" s="28"/>
      <c r="V8" s="192"/>
      <c r="W8" s="135"/>
    </row>
    <row r="9" spans="1:23" ht="15.75" customHeight="1">
      <c r="A9" s="194"/>
      <c r="B9" s="127"/>
      <c r="C9" s="207"/>
      <c r="D9" s="120"/>
      <c r="E9" s="148"/>
      <c r="F9" s="127"/>
      <c r="G9" s="126">
        <f t="shared" si="0"/>
        <v>0</v>
      </c>
      <c r="H9" s="215">
        <f t="shared" si="2"/>
        <v>0</v>
      </c>
      <c r="I9" s="30"/>
      <c r="J9" s="30"/>
      <c r="K9" s="30"/>
      <c r="L9" s="158"/>
      <c r="M9" s="31"/>
      <c r="N9" s="30"/>
      <c r="O9" s="333">
        <f t="shared" si="3"/>
        <v>0</v>
      </c>
      <c r="P9" s="126">
        <f t="shared" si="1"/>
        <v>0</v>
      </c>
      <c r="Q9" s="30"/>
      <c r="R9" s="31"/>
      <c r="S9" s="30"/>
      <c r="T9" s="339"/>
      <c r="U9" s="28"/>
      <c r="V9" s="192"/>
      <c r="W9" s="135"/>
    </row>
    <row r="10" spans="1:23" s="188" customFormat="1" ht="15" customHeight="1">
      <c r="A10" s="184"/>
      <c r="B10" s="128"/>
      <c r="C10" s="150"/>
      <c r="D10" s="153"/>
      <c r="E10" s="149"/>
      <c r="F10" s="128"/>
      <c r="G10" s="128"/>
      <c r="H10" s="216"/>
      <c r="I10" s="116"/>
      <c r="J10" s="115"/>
      <c r="K10" s="115"/>
      <c r="L10" s="140"/>
      <c r="M10" s="115"/>
      <c r="N10" s="115"/>
      <c r="O10" s="334"/>
      <c r="P10" s="115"/>
      <c r="Q10" s="116"/>
      <c r="R10" s="115"/>
      <c r="S10" s="116"/>
      <c r="T10" s="340"/>
      <c r="U10" s="117"/>
      <c r="V10" s="195"/>
      <c r="W10" s="136"/>
    </row>
    <row r="11" spans="1:23" ht="15" customHeight="1">
      <c r="A11" s="196"/>
      <c r="B11" s="129"/>
      <c r="C11" s="208"/>
      <c r="D11" s="154"/>
      <c r="E11" s="159"/>
      <c r="F11" s="130"/>
      <c r="G11" s="130">
        <f t="shared" si="0"/>
        <v>0</v>
      </c>
      <c r="H11" s="217"/>
      <c r="I11" s="130"/>
      <c r="J11" s="130"/>
      <c r="K11" s="130"/>
      <c r="L11" s="121"/>
      <c r="M11" s="130"/>
      <c r="N11" s="130"/>
      <c r="O11" s="335">
        <f t="shared" si="3"/>
        <v>0</v>
      </c>
      <c r="P11" s="130">
        <f t="shared" si="1"/>
        <v>0</v>
      </c>
      <c r="Q11" s="130"/>
      <c r="R11" s="130"/>
      <c r="S11" s="338"/>
      <c r="T11" s="335"/>
      <c r="U11" s="130"/>
      <c r="V11" s="197"/>
      <c r="W11" s="141"/>
    </row>
    <row r="12" spans="1:23" ht="15" customHeight="1">
      <c r="A12" s="196"/>
      <c r="B12" s="129"/>
      <c r="C12" s="208"/>
      <c r="D12" s="154"/>
      <c r="E12" s="159"/>
      <c r="F12" s="130"/>
      <c r="G12" s="130">
        <f t="shared" si="0"/>
        <v>0</v>
      </c>
      <c r="H12" s="217">
        <f t="shared" si="2"/>
        <v>0</v>
      </c>
      <c r="I12" s="130"/>
      <c r="J12" s="130"/>
      <c r="K12" s="130"/>
      <c r="L12" s="121"/>
      <c r="M12" s="130"/>
      <c r="N12" s="130"/>
      <c r="O12" s="335">
        <f t="shared" si="3"/>
        <v>0</v>
      </c>
      <c r="P12" s="130">
        <f t="shared" si="1"/>
        <v>0</v>
      </c>
      <c r="Q12" s="130"/>
      <c r="R12" s="130"/>
      <c r="S12" s="338"/>
      <c r="T12" s="335"/>
      <c r="U12" s="130"/>
      <c r="V12" s="197"/>
      <c r="W12" s="141"/>
    </row>
    <row r="13" spans="1:23" ht="15" customHeight="1">
      <c r="A13" s="196"/>
      <c r="B13" s="129"/>
      <c r="C13" s="208"/>
      <c r="D13" s="154"/>
      <c r="E13" s="159"/>
      <c r="F13" s="130"/>
      <c r="G13" s="130">
        <f t="shared" si="0"/>
        <v>0</v>
      </c>
      <c r="H13" s="217">
        <f t="shared" si="2"/>
        <v>0</v>
      </c>
      <c r="I13" s="130"/>
      <c r="J13" s="130"/>
      <c r="K13" s="130"/>
      <c r="L13" s="121"/>
      <c r="M13" s="130"/>
      <c r="N13" s="130"/>
      <c r="O13" s="335">
        <f t="shared" si="3"/>
        <v>0</v>
      </c>
      <c r="P13" s="130">
        <f t="shared" si="1"/>
        <v>0</v>
      </c>
      <c r="Q13" s="130"/>
      <c r="R13" s="130"/>
      <c r="S13" s="338"/>
      <c r="T13" s="335"/>
      <c r="U13" s="130"/>
      <c r="V13" s="197"/>
      <c r="W13" s="141"/>
    </row>
    <row r="14" spans="1:23" ht="15" customHeight="1">
      <c r="A14" s="198"/>
      <c r="B14" s="122"/>
      <c r="C14" s="209"/>
      <c r="D14" s="155"/>
      <c r="E14" s="160"/>
      <c r="F14" s="123"/>
      <c r="G14" s="123">
        <f t="shared" si="0"/>
        <v>0</v>
      </c>
      <c r="H14" s="217">
        <f t="shared" si="2"/>
        <v>0</v>
      </c>
      <c r="I14" s="130"/>
      <c r="J14" s="130"/>
      <c r="K14" s="130"/>
      <c r="L14" s="121"/>
      <c r="M14" s="130"/>
      <c r="N14" s="130"/>
      <c r="O14" s="335">
        <f t="shared" si="3"/>
        <v>0</v>
      </c>
      <c r="P14" s="130">
        <f t="shared" si="1"/>
        <v>0</v>
      </c>
      <c r="Q14" s="130"/>
      <c r="R14" s="130"/>
      <c r="S14" s="338"/>
      <c r="T14" s="335"/>
      <c r="U14" s="130"/>
      <c r="V14" s="197"/>
      <c r="W14" s="141"/>
    </row>
    <row r="15" spans="1:23" s="188" customFormat="1" ht="15" customHeight="1">
      <c r="A15" s="199"/>
      <c r="B15" s="131"/>
      <c r="C15" s="210"/>
      <c r="D15" s="156"/>
      <c r="E15" s="161"/>
      <c r="F15" s="132"/>
      <c r="G15" s="132"/>
      <c r="H15" s="218"/>
      <c r="I15" s="132"/>
      <c r="J15" s="132"/>
      <c r="K15" s="132"/>
      <c r="L15" s="118"/>
      <c r="M15" s="132"/>
      <c r="N15" s="132"/>
      <c r="O15" s="336"/>
      <c r="P15" s="132"/>
      <c r="Q15" s="132"/>
      <c r="R15" s="132"/>
      <c r="S15" s="133"/>
      <c r="T15" s="336"/>
      <c r="U15" s="132"/>
      <c r="V15" s="195"/>
      <c r="W15" s="142"/>
    </row>
    <row r="16" spans="1:23" ht="15" customHeight="1" thickBot="1">
      <c r="A16" s="200"/>
      <c r="B16" s="201"/>
      <c r="C16" s="223"/>
      <c r="D16" s="224"/>
      <c r="E16" s="225"/>
      <c r="F16" s="202"/>
      <c r="G16" s="202">
        <f t="shared" si="0"/>
        <v>0</v>
      </c>
      <c r="H16" s="219"/>
      <c r="I16" s="229"/>
      <c r="J16" s="203"/>
      <c r="K16" s="203"/>
      <c r="L16" s="226"/>
      <c r="M16" s="203"/>
      <c r="N16" s="204"/>
      <c r="O16" s="337">
        <f t="shared" si="3"/>
        <v>0</v>
      </c>
      <c r="P16" s="203">
        <f t="shared" si="1"/>
        <v>0</v>
      </c>
      <c r="Q16" s="204"/>
      <c r="R16" s="204"/>
      <c r="S16" s="204"/>
      <c r="T16" s="341"/>
      <c r="U16" s="205"/>
      <c r="V16" s="222"/>
      <c r="W16" s="227"/>
    </row>
    <row r="17" spans="1:21" ht="15" customHeight="1"/>
    <row r="18" spans="1:21" ht="15" customHeight="1"/>
    <row r="19" spans="1:21" ht="15" customHeight="1"/>
    <row r="20" spans="1:21" ht="30" customHeight="1">
      <c r="D20" s="681" t="s">
        <v>161</v>
      </c>
    </row>
    <row r="21" spans="1:21" ht="15" customHeight="1"/>
    <row r="22" spans="1:21" ht="15.75" customHeight="1" thickBot="1">
      <c r="A22" s="26"/>
      <c r="B22" s="26"/>
      <c r="C22" s="26"/>
      <c r="D22" s="26"/>
      <c r="E22" s="27"/>
      <c r="F22" s="27"/>
      <c r="G22" s="26"/>
      <c r="H22" s="26"/>
      <c r="I22" s="26"/>
      <c r="J22" s="26"/>
      <c r="K22" s="26"/>
      <c r="L22" s="26"/>
      <c r="M22" s="26"/>
      <c r="N22" s="26"/>
      <c r="O22" s="26"/>
      <c r="P22" s="26"/>
      <c r="Q22" s="26"/>
      <c r="R22" s="8"/>
      <c r="S22" s="8"/>
      <c r="T22" s="8"/>
      <c r="U22" s="8"/>
    </row>
    <row r="23" spans="1:21" ht="15.75" customHeight="1">
      <c r="A23" s="963" t="s">
        <v>5</v>
      </c>
      <c r="B23" s="964"/>
      <c r="C23" s="967" t="s">
        <v>78</v>
      </c>
      <c r="D23" s="967"/>
      <c r="E23" s="317" t="s">
        <v>75</v>
      </c>
      <c r="F23" s="318"/>
      <c r="G23" s="317" t="s">
        <v>76</v>
      </c>
      <c r="H23" s="318"/>
      <c r="I23" s="319" t="s">
        <v>77</v>
      </c>
      <c r="Q23" s="188"/>
      <c r="R23" s="117"/>
      <c r="S23" s="117"/>
      <c r="T23" s="117"/>
      <c r="U23" s="8"/>
    </row>
    <row r="24" spans="1:21" ht="15.75" customHeight="1">
      <c r="A24" s="965"/>
      <c r="B24" s="966"/>
      <c r="C24" s="346" t="s">
        <v>6</v>
      </c>
      <c r="D24" s="346" t="s">
        <v>64</v>
      </c>
      <c r="E24" s="347" t="s">
        <v>154</v>
      </c>
      <c r="F24" s="348" t="s">
        <v>65</v>
      </c>
      <c r="G24" s="349">
        <f>A6</f>
        <v>45438</v>
      </c>
      <c r="H24" s="348" t="s">
        <v>65</v>
      </c>
      <c r="I24" s="350" t="s">
        <v>154</v>
      </c>
      <c r="Q24" s="188"/>
      <c r="R24" s="143"/>
      <c r="S24" s="143"/>
      <c r="T24" s="117"/>
      <c r="U24" s="8"/>
    </row>
    <row r="25" spans="1:21" ht="15.75" customHeight="1">
      <c r="A25" s="320"/>
      <c r="B25" s="342" t="s">
        <v>21</v>
      </c>
      <c r="C25" s="10">
        <f>P6</f>
        <v>3.3839999999999999</v>
      </c>
      <c r="D25" s="10" t="e">
        <f>C25+C29-C28</f>
        <v>#DIV/0!</v>
      </c>
      <c r="E25" s="9"/>
      <c r="F25" s="9"/>
      <c r="G25" s="189"/>
      <c r="H25" s="10"/>
      <c r="I25" s="321"/>
      <c r="Q25" s="188"/>
      <c r="R25" s="143"/>
      <c r="S25" s="143"/>
      <c r="T25" s="117"/>
      <c r="U25" s="8"/>
    </row>
    <row r="26" spans="1:21" ht="15.75" customHeight="1">
      <c r="A26" s="320"/>
      <c r="B26" s="342" t="s">
        <v>22</v>
      </c>
      <c r="C26" s="10"/>
      <c r="D26" s="10"/>
      <c r="E26" s="9"/>
      <c r="F26" s="9"/>
      <c r="G26" s="189"/>
      <c r="H26" s="10"/>
      <c r="I26" s="321"/>
      <c r="Q26" s="188"/>
      <c r="R26" s="143"/>
      <c r="S26" s="143"/>
      <c r="T26" s="117"/>
      <c r="U26" s="8"/>
    </row>
    <row r="27" spans="1:21" ht="15.75" customHeight="1">
      <c r="A27" s="320"/>
      <c r="B27" s="342" t="s">
        <v>23</v>
      </c>
      <c r="C27" s="10"/>
      <c r="D27" s="10"/>
      <c r="E27" s="9"/>
      <c r="F27" s="9"/>
      <c r="G27" s="189"/>
      <c r="H27" s="10"/>
      <c r="I27" s="321"/>
      <c r="Q27" s="188"/>
      <c r="R27" s="143"/>
      <c r="S27" s="143"/>
      <c r="T27" s="117"/>
      <c r="U27" s="8"/>
    </row>
    <row r="28" spans="1:21" ht="15.75" customHeight="1">
      <c r="A28" s="320"/>
      <c r="B28" s="343" t="s">
        <v>59</v>
      </c>
      <c r="C28" s="10" t="e">
        <f>AVERAGE(S6,S11,S16)</f>
        <v>#DIV/0!</v>
      </c>
      <c r="D28" s="10"/>
      <c r="E28" s="9"/>
      <c r="F28" s="9"/>
      <c r="G28" s="10"/>
      <c r="H28" s="10"/>
      <c r="I28" s="321"/>
      <c r="Q28" s="188"/>
      <c r="R28" s="143"/>
      <c r="S28" s="143"/>
      <c r="T28" s="117"/>
      <c r="U28" s="8"/>
    </row>
    <row r="29" spans="1:21" ht="15.75" customHeight="1">
      <c r="A29" s="320"/>
      <c r="B29" s="344" t="s">
        <v>60</v>
      </c>
      <c r="C29" s="10">
        <f>R6</f>
        <v>0</v>
      </c>
      <c r="D29" s="10"/>
      <c r="E29" s="9"/>
      <c r="F29" s="9"/>
      <c r="G29" s="10"/>
      <c r="H29" s="10"/>
      <c r="I29" s="321"/>
      <c r="Q29" s="188"/>
      <c r="R29" s="143"/>
      <c r="S29" s="143"/>
      <c r="T29" s="117"/>
      <c r="U29" s="8"/>
    </row>
    <row r="30" spans="1:21" ht="15.75" customHeight="1" thickBot="1">
      <c r="A30" s="322"/>
      <c r="B30" s="345" t="s">
        <v>61</v>
      </c>
      <c r="C30" s="323"/>
      <c r="D30" s="323"/>
      <c r="E30" s="324"/>
      <c r="F30" s="324"/>
      <c r="G30" s="325"/>
      <c r="H30" s="325"/>
      <c r="I30" s="326"/>
      <c r="Q30" s="188"/>
      <c r="R30" s="143"/>
      <c r="S30" s="143"/>
      <c r="T30" s="117"/>
      <c r="U30" s="8"/>
    </row>
    <row r="31" spans="1:21" ht="15.75" customHeight="1">
      <c r="A31" s="8"/>
      <c r="B31" s="8"/>
      <c r="C31" s="8"/>
      <c r="D31" s="8"/>
      <c r="E31" s="8"/>
      <c r="F31" s="8"/>
      <c r="G31" s="8"/>
      <c r="H31" s="8"/>
      <c r="I31" s="8"/>
      <c r="J31" s="8"/>
      <c r="K31" s="8"/>
      <c r="L31" s="8"/>
      <c r="M31" s="8"/>
      <c r="N31" s="8"/>
      <c r="O31" s="8"/>
      <c r="P31" s="8"/>
      <c r="Q31" s="117"/>
      <c r="R31" s="117"/>
      <c r="S31" s="117"/>
      <c r="T31" s="117"/>
      <c r="U31" s="8"/>
    </row>
  </sheetData>
  <mergeCells count="6">
    <mergeCell ref="T1:V1"/>
    <mergeCell ref="T2:U2"/>
    <mergeCell ref="E3:G3"/>
    <mergeCell ref="T3:U3"/>
    <mergeCell ref="A23:B24"/>
    <mergeCell ref="C23:D23"/>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89E58-434B-4927-9E7C-DD31E463F6F3}">
  <dimension ref="A1:W31"/>
  <sheetViews>
    <sheetView topLeftCell="E1" zoomScale="98" workbookViewId="0">
      <selection activeCell="I9" sqref="I9"/>
    </sheetView>
  </sheetViews>
  <sheetFormatPr defaultColWidth="17.28515625" defaultRowHeight="15.75" customHeight="1"/>
  <cols>
    <col min="1" max="1" width="12.42578125" style="139" customWidth="1"/>
    <col min="2" max="2" width="27.28515625" style="139" customWidth="1"/>
    <col min="3" max="3" width="11.28515625" style="139" bestFit="1" customWidth="1"/>
    <col min="4" max="4" width="20" style="139" bestFit="1" customWidth="1"/>
    <col min="5" max="5" width="10.5703125" style="139" bestFit="1" customWidth="1"/>
    <col min="6" max="7" width="13.7109375" style="139" bestFit="1" customWidth="1"/>
    <col min="8" max="8" width="14.42578125" style="139" bestFit="1" customWidth="1"/>
    <col min="9" max="9" width="17.28515625" style="139" bestFit="1" customWidth="1"/>
    <col min="10" max="10" width="19.5703125" style="139" bestFit="1" customWidth="1"/>
    <col min="11" max="11" width="16.42578125" style="139" bestFit="1" customWidth="1"/>
    <col min="12" max="12" width="18" style="139" customWidth="1"/>
    <col min="13" max="13" width="22.140625" style="139" customWidth="1"/>
    <col min="14" max="14" width="11.5703125" style="139" bestFit="1" customWidth="1"/>
    <col min="15" max="15" width="11.28515625" style="139" bestFit="1" customWidth="1"/>
    <col min="16" max="17" width="7.85546875" style="139" bestFit="1" customWidth="1"/>
    <col min="18" max="18" width="14.7109375" style="139" bestFit="1" customWidth="1"/>
    <col min="19" max="19" width="20.7109375" style="139" bestFit="1" customWidth="1"/>
    <col min="20" max="20" width="21" style="139" bestFit="1" customWidth="1"/>
    <col min="21" max="21" width="16.28515625" style="139" customWidth="1"/>
    <col min="22" max="16384" width="17.28515625" style="139"/>
  </cols>
  <sheetData>
    <row r="1" spans="1:23" ht="15" customHeight="1">
      <c r="A1" s="162"/>
      <c r="B1" s="163"/>
      <c r="C1" s="185"/>
      <c r="D1" s="164"/>
      <c r="E1" s="165"/>
      <c r="F1" s="166"/>
      <c r="G1" s="167"/>
      <c r="H1" s="211"/>
      <c r="I1" s="167"/>
      <c r="J1" s="190"/>
      <c r="K1" s="166"/>
      <c r="L1" s="315"/>
      <c r="M1" s="328"/>
      <c r="N1" s="167"/>
      <c r="O1" s="329"/>
      <c r="P1" s="168"/>
      <c r="Q1" s="168"/>
      <c r="R1" s="168"/>
      <c r="S1" s="500"/>
      <c r="T1" s="955" t="s">
        <v>7</v>
      </c>
      <c r="U1" s="955"/>
      <c r="V1" s="956"/>
      <c r="W1" s="220"/>
    </row>
    <row r="2" spans="1:23" ht="15" customHeight="1">
      <c r="A2" s="169"/>
      <c r="B2" s="4"/>
      <c r="C2" s="146"/>
      <c r="D2" s="29"/>
      <c r="E2" s="721"/>
      <c r="F2" s="722"/>
      <c r="G2" s="3"/>
      <c r="H2" s="212"/>
      <c r="I2" s="3"/>
      <c r="J2" s="6"/>
      <c r="K2" s="1"/>
      <c r="L2" s="316"/>
      <c r="M2" s="327"/>
      <c r="N2" s="6"/>
      <c r="O2" s="232"/>
      <c r="S2" s="234"/>
      <c r="T2" s="957" t="s">
        <v>79</v>
      </c>
      <c r="U2" s="957"/>
      <c r="V2" s="723"/>
      <c r="W2" s="12"/>
    </row>
    <row r="3" spans="1:23" ht="15" customHeight="1">
      <c r="A3" s="169"/>
      <c r="B3" s="4"/>
      <c r="C3" s="146"/>
      <c r="D3" s="137"/>
      <c r="E3" s="958" t="s">
        <v>117</v>
      </c>
      <c r="F3" s="959"/>
      <c r="G3" s="960"/>
      <c r="H3" s="213"/>
      <c r="I3" s="722"/>
      <c r="J3" s="6"/>
      <c r="K3" s="722"/>
      <c r="L3" s="221"/>
      <c r="M3" s="2"/>
      <c r="N3" s="6"/>
      <c r="O3" s="330"/>
      <c r="P3" s="6"/>
      <c r="Q3" s="6"/>
      <c r="R3" s="124"/>
      <c r="S3" s="501"/>
      <c r="T3" s="961" t="s">
        <v>80</v>
      </c>
      <c r="U3" s="962"/>
      <c r="V3" s="723"/>
      <c r="W3" s="134"/>
    </row>
    <row r="4" spans="1:23" s="511" customFormat="1" ht="38.25">
      <c r="A4" s="171" t="s">
        <v>9</v>
      </c>
      <c r="B4" s="7" t="s">
        <v>10</v>
      </c>
      <c r="C4" s="147" t="s">
        <v>113</v>
      </c>
      <c r="D4" s="503" t="s">
        <v>114</v>
      </c>
      <c r="E4" s="504" t="s">
        <v>8</v>
      </c>
      <c r="F4" s="7" t="s">
        <v>115</v>
      </c>
      <c r="G4" s="11" t="s">
        <v>116</v>
      </c>
      <c r="H4" s="214" t="s">
        <v>118</v>
      </c>
      <c r="I4" s="11" t="s">
        <v>119</v>
      </c>
      <c r="J4" s="11" t="s">
        <v>120</v>
      </c>
      <c r="K4" s="7" t="s">
        <v>121</v>
      </c>
      <c r="L4" s="505" t="s">
        <v>122</v>
      </c>
      <c r="M4" s="505" t="s">
        <v>123</v>
      </c>
      <c r="N4" s="11" t="s">
        <v>124</v>
      </c>
      <c r="O4" s="506" t="s">
        <v>125</v>
      </c>
      <c r="P4" s="11" t="s">
        <v>126</v>
      </c>
      <c r="Q4" s="11" t="s">
        <v>127</v>
      </c>
      <c r="R4" s="507" t="s">
        <v>67</v>
      </c>
      <c r="S4" s="508" t="s">
        <v>68</v>
      </c>
      <c r="T4" s="509" t="s">
        <v>11</v>
      </c>
      <c r="U4" s="509" t="s">
        <v>12</v>
      </c>
      <c r="V4" s="510" t="s">
        <v>56</v>
      </c>
      <c r="W4" s="147" t="s">
        <v>0</v>
      </c>
    </row>
    <row r="5" spans="1:23" ht="15.75" customHeight="1" thickBot="1">
      <c r="A5" s="172" t="s">
        <v>13</v>
      </c>
      <c r="B5" s="173"/>
      <c r="C5" s="186"/>
      <c r="D5" s="174"/>
      <c r="E5" s="176" t="s">
        <v>3</v>
      </c>
      <c r="F5" s="176" t="s">
        <v>3</v>
      </c>
      <c r="G5" s="740" t="s">
        <v>3</v>
      </c>
      <c r="H5" s="784" t="s">
        <v>3</v>
      </c>
      <c r="I5" s="176" t="s">
        <v>3</v>
      </c>
      <c r="J5" s="176" t="s">
        <v>3</v>
      </c>
      <c r="K5" s="175" t="s">
        <v>74</v>
      </c>
      <c r="L5" s="187" t="s">
        <v>3</v>
      </c>
      <c r="M5" s="177" t="s">
        <v>3</v>
      </c>
      <c r="N5" s="177" t="s">
        <v>74</v>
      </c>
      <c r="O5" s="331" t="s">
        <v>4</v>
      </c>
      <c r="P5" s="178" t="s">
        <v>4</v>
      </c>
      <c r="Q5" s="178" t="s">
        <v>4</v>
      </c>
      <c r="R5" s="181" t="s">
        <v>4</v>
      </c>
      <c r="S5" s="502" t="s">
        <v>4</v>
      </c>
      <c r="T5" s="179" t="s">
        <v>3</v>
      </c>
      <c r="U5" s="179" t="s">
        <v>3</v>
      </c>
      <c r="V5" s="180" t="s">
        <v>3</v>
      </c>
      <c r="W5" s="182"/>
    </row>
    <row r="6" spans="1:23" ht="15" customHeight="1">
      <c r="A6" s="191">
        <v>45565</v>
      </c>
      <c r="B6" s="125" t="s">
        <v>193</v>
      </c>
      <c r="C6" s="682" t="s">
        <v>95</v>
      </c>
      <c r="D6" s="151" t="s">
        <v>178</v>
      </c>
      <c r="E6" s="682" t="s">
        <v>95</v>
      </c>
      <c r="F6" s="682" t="s">
        <v>95</v>
      </c>
      <c r="G6" s="783" t="s">
        <v>95</v>
      </c>
      <c r="H6" s="785" t="s">
        <v>95</v>
      </c>
      <c r="I6" s="126"/>
      <c r="J6" s="126">
        <v>1.79</v>
      </c>
      <c r="K6" s="126">
        <v>0.35</v>
      </c>
      <c r="L6" s="119" t="e">
        <f>G6-I6</f>
        <v>#VALUE!</v>
      </c>
      <c r="M6" s="126" t="e">
        <f>AVERAGE(L6:L9)</f>
        <v>#VALUE!</v>
      </c>
      <c r="N6" s="126"/>
      <c r="O6" s="332"/>
      <c r="P6" s="126"/>
      <c r="Q6" s="126"/>
      <c r="R6" s="126">
        <v>0</v>
      </c>
      <c r="S6" s="737">
        <f>J6*K6</f>
        <v>0.62649999999999995</v>
      </c>
      <c r="T6" s="736"/>
      <c r="U6" s="737"/>
      <c r="V6" s="738"/>
      <c r="W6" s="144"/>
    </row>
    <row r="7" spans="1:23" ht="15" customHeight="1">
      <c r="A7" s="191"/>
      <c r="B7" s="125"/>
      <c r="C7" s="206"/>
      <c r="D7" s="151" t="s">
        <v>179</v>
      </c>
      <c r="E7" s="682" t="s">
        <v>95</v>
      </c>
      <c r="F7" s="682" t="s">
        <v>95</v>
      </c>
      <c r="G7" s="783" t="s">
        <v>95</v>
      </c>
      <c r="H7" s="785" t="s">
        <v>95</v>
      </c>
      <c r="I7" s="126"/>
      <c r="J7" s="126">
        <v>5.12</v>
      </c>
      <c r="K7" s="126">
        <v>0.47499999999999998</v>
      </c>
      <c r="L7" s="119"/>
      <c r="M7" s="126"/>
      <c r="N7" s="126"/>
      <c r="O7" s="332"/>
      <c r="P7" s="126"/>
      <c r="Q7" s="126">
        <f>J7*K7</f>
        <v>2.4319999999999999</v>
      </c>
      <c r="R7" s="126"/>
      <c r="S7" s="737"/>
      <c r="T7" s="736">
        <v>592080.02</v>
      </c>
      <c r="U7" s="737">
        <v>6995114.0599999996</v>
      </c>
      <c r="V7" s="738">
        <v>3050.03</v>
      </c>
      <c r="W7" s="144"/>
    </row>
    <row r="8" spans="1:23" ht="15" customHeight="1">
      <c r="A8" s="193"/>
      <c r="B8" s="30"/>
      <c r="C8" s="145"/>
      <c r="D8" s="152"/>
      <c r="E8" s="682" t="s">
        <v>95</v>
      </c>
      <c r="F8" s="682" t="s">
        <v>95</v>
      </c>
      <c r="G8" s="783" t="s">
        <v>95</v>
      </c>
      <c r="H8" s="785" t="s">
        <v>95</v>
      </c>
      <c r="I8" s="30"/>
      <c r="J8" s="228"/>
      <c r="K8" s="31"/>
      <c r="L8" s="158"/>
      <c r="M8" s="31"/>
      <c r="N8" s="30"/>
      <c r="O8" s="333">
        <f t="shared" ref="O8:O16" si="0">Q8-P8</f>
        <v>0</v>
      </c>
      <c r="P8" s="126">
        <f t="shared" ref="P8:P16" si="1">J8*K8</f>
        <v>0</v>
      </c>
      <c r="Q8" s="30"/>
      <c r="R8" s="31"/>
      <c r="S8" s="30"/>
      <c r="T8" s="339"/>
      <c r="U8" s="28"/>
      <c r="V8" s="192"/>
      <c r="W8" s="135"/>
    </row>
    <row r="9" spans="1:23" ht="15.75" customHeight="1">
      <c r="A9" s="194"/>
      <c r="B9" s="127"/>
      <c r="C9" s="207"/>
      <c r="D9" s="120"/>
      <c r="E9" s="682" t="s">
        <v>95</v>
      </c>
      <c r="F9" s="682" t="s">
        <v>95</v>
      </c>
      <c r="G9" s="783" t="s">
        <v>95</v>
      </c>
      <c r="H9" s="785" t="s">
        <v>95</v>
      </c>
      <c r="I9" s="30"/>
      <c r="J9" s="30"/>
      <c r="K9" s="30"/>
      <c r="L9" s="158"/>
      <c r="M9" s="31"/>
      <c r="N9" s="30"/>
      <c r="O9" s="333">
        <f t="shared" si="0"/>
        <v>0</v>
      </c>
      <c r="P9" s="126">
        <f t="shared" si="1"/>
        <v>0</v>
      </c>
      <c r="Q9" s="30"/>
      <c r="R9" s="31"/>
      <c r="S9" s="30"/>
      <c r="T9" s="339"/>
      <c r="U9" s="28"/>
      <c r="V9" s="192"/>
      <c r="W9" s="135"/>
    </row>
    <row r="10" spans="1:23" s="188" customFormat="1" ht="15" customHeight="1">
      <c r="A10" s="184"/>
      <c r="B10" s="128"/>
      <c r="C10" s="150"/>
      <c r="D10" s="153"/>
      <c r="E10" s="149"/>
      <c r="F10" s="128"/>
      <c r="G10" s="128"/>
      <c r="H10" s="216"/>
      <c r="I10" s="116"/>
      <c r="J10" s="115"/>
      <c r="K10" s="115"/>
      <c r="L10" s="140"/>
      <c r="M10" s="115"/>
      <c r="N10" s="115"/>
      <c r="O10" s="334"/>
      <c r="P10" s="115"/>
      <c r="Q10" s="116"/>
      <c r="R10" s="115"/>
      <c r="S10" s="116"/>
      <c r="T10" s="340"/>
      <c r="U10" s="117"/>
      <c r="V10" s="195"/>
      <c r="W10" s="136"/>
    </row>
    <row r="11" spans="1:23" ht="15" customHeight="1">
      <c r="A11" s="196"/>
      <c r="B11" s="129"/>
      <c r="C11" s="208"/>
      <c r="D11" s="154"/>
      <c r="E11" s="159"/>
      <c r="F11" s="130"/>
      <c r="G11" s="130">
        <f t="shared" ref="G11:G16" si="2">E11-F11</f>
        <v>0</v>
      </c>
      <c r="H11" s="217"/>
      <c r="I11" s="130"/>
      <c r="J11" s="130"/>
      <c r="K11" s="130"/>
      <c r="L11" s="121"/>
      <c r="M11" s="130"/>
      <c r="N11" s="130"/>
      <c r="O11" s="335">
        <f t="shared" si="0"/>
        <v>0</v>
      </c>
      <c r="P11" s="130">
        <f t="shared" si="1"/>
        <v>0</v>
      </c>
      <c r="Q11" s="130"/>
      <c r="R11" s="130"/>
      <c r="S11" s="338"/>
      <c r="T11" s="335"/>
      <c r="U11" s="130"/>
      <c r="V11" s="197"/>
      <c r="W11" s="141"/>
    </row>
    <row r="12" spans="1:23" ht="15" customHeight="1">
      <c r="A12" s="196"/>
      <c r="B12" s="129"/>
      <c r="C12" s="208"/>
      <c r="D12" s="154"/>
      <c r="E12" s="159"/>
      <c r="F12" s="130"/>
      <c r="G12" s="130">
        <f t="shared" si="2"/>
        <v>0</v>
      </c>
      <c r="H12" s="217">
        <f t="shared" ref="H12:H14" si="3">G12-G11</f>
        <v>0</v>
      </c>
      <c r="I12" s="130"/>
      <c r="J12" s="130"/>
      <c r="K12" s="130"/>
      <c r="L12" s="121"/>
      <c r="M12" s="130"/>
      <c r="N12" s="130"/>
      <c r="O12" s="335">
        <f t="shared" si="0"/>
        <v>0</v>
      </c>
      <c r="P12" s="130">
        <f t="shared" si="1"/>
        <v>0</v>
      </c>
      <c r="Q12" s="130"/>
      <c r="R12" s="130"/>
      <c r="S12" s="338"/>
      <c r="T12" s="335"/>
      <c r="U12" s="130"/>
      <c r="V12" s="197"/>
      <c r="W12" s="141"/>
    </row>
    <row r="13" spans="1:23" ht="15" customHeight="1">
      <c r="A13" s="196"/>
      <c r="B13" s="129"/>
      <c r="C13" s="208"/>
      <c r="D13" s="154"/>
      <c r="E13" s="159"/>
      <c r="F13" s="130"/>
      <c r="G13" s="130">
        <f t="shared" si="2"/>
        <v>0</v>
      </c>
      <c r="H13" s="217">
        <f t="shared" si="3"/>
        <v>0</v>
      </c>
      <c r="I13" s="130"/>
      <c r="J13" s="130"/>
      <c r="K13" s="130"/>
      <c r="L13" s="121"/>
      <c r="M13" s="130"/>
      <c r="N13" s="130"/>
      <c r="O13" s="335">
        <f t="shared" si="0"/>
        <v>0</v>
      </c>
      <c r="P13" s="130">
        <f t="shared" si="1"/>
        <v>0</v>
      </c>
      <c r="Q13" s="130"/>
      <c r="R13" s="130"/>
      <c r="S13" s="338"/>
      <c r="T13" s="335"/>
      <c r="U13" s="130"/>
      <c r="V13" s="197"/>
      <c r="W13" s="141"/>
    </row>
    <row r="14" spans="1:23" ht="15" customHeight="1">
      <c r="A14" s="198"/>
      <c r="B14" s="122"/>
      <c r="C14" s="209"/>
      <c r="D14" s="155"/>
      <c r="E14" s="160"/>
      <c r="F14" s="123"/>
      <c r="G14" s="123">
        <f t="shared" si="2"/>
        <v>0</v>
      </c>
      <c r="H14" s="217">
        <f t="shared" si="3"/>
        <v>0</v>
      </c>
      <c r="I14" s="130"/>
      <c r="J14" s="130"/>
      <c r="K14" s="130"/>
      <c r="L14" s="121"/>
      <c r="M14" s="130"/>
      <c r="N14" s="130"/>
      <c r="O14" s="335">
        <f t="shared" si="0"/>
        <v>0</v>
      </c>
      <c r="P14" s="130">
        <f t="shared" si="1"/>
        <v>0</v>
      </c>
      <c r="Q14" s="130"/>
      <c r="R14" s="130"/>
      <c r="S14" s="338"/>
      <c r="T14" s="335"/>
      <c r="U14" s="130"/>
      <c r="V14" s="197"/>
      <c r="W14" s="141"/>
    </row>
    <row r="15" spans="1:23" s="188" customFormat="1" ht="15" customHeight="1">
      <c r="A15" s="199"/>
      <c r="B15" s="131"/>
      <c r="C15" s="210"/>
      <c r="D15" s="156"/>
      <c r="E15" s="161"/>
      <c r="F15" s="132"/>
      <c r="G15" s="132"/>
      <c r="H15" s="218"/>
      <c r="I15" s="132"/>
      <c r="J15" s="132"/>
      <c r="K15" s="132"/>
      <c r="L15" s="118"/>
      <c r="M15" s="132"/>
      <c r="N15" s="132"/>
      <c r="O15" s="336"/>
      <c r="P15" s="132"/>
      <c r="Q15" s="132"/>
      <c r="R15" s="132"/>
      <c r="S15" s="133"/>
      <c r="T15" s="336"/>
      <c r="U15" s="132"/>
      <c r="V15" s="195"/>
      <c r="W15" s="142"/>
    </row>
    <row r="16" spans="1:23" ht="15" customHeight="1" thickBot="1">
      <c r="A16" s="200"/>
      <c r="B16" s="201"/>
      <c r="C16" s="223"/>
      <c r="D16" s="224"/>
      <c r="E16" s="225"/>
      <c r="F16" s="202"/>
      <c r="G16" s="202">
        <f t="shared" si="2"/>
        <v>0</v>
      </c>
      <c r="H16" s="219"/>
      <c r="I16" s="229"/>
      <c r="J16" s="203"/>
      <c r="K16" s="203"/>
      <c r="L16" s="226"/>
      <c r="M16" s="203"/>
      <c r="N16" s="204"/>
      <c r="O16" s="337">
        <f t="shared" si="0"/>
        <v>0</v>
      </c>
      <c r="P16" s="203">
        <f t="shared" si="1"/>
        <v>0</v>
      </c>
      <c r="Q16" s="204"/>
      <c r="R16" s="204"/>
      <c r="S16" s="204"/>
      <c r="T16" s="341"/>
      <c r="U16" s="205"/>
      <c r="V16" s="222"/>
      <c r="W16" s="227"/>
    </row>
    <row r="17" spans="1:21" ht="15" customHeight="1"/>
    <row r="18" spans="1:21" ht="15" customHeight="1"/>
    <row r="19" spans="1:21" ht="15" customHeight="1"/>
    <row r="20" spans="1:21" ht="30" customHeight="1">
      <c r="D20" s="681" t="s">
        <v>161</v>
      </c>
    </row>
    <row r="21" spans="1:21" ht="15" customHeight="1"/>
    <row r="22" spans="1:21" ht="15.75" customHeight="1" thickBot="1">
      <c r="A22" s="26"/>
      <c r="B22" s="26"/>
      <c r="C22" s="26"/>
      <c r="D22" s="26"/>
      <c r="E22" s="27"/>
      <c r="F22" s="27"/>
      <c r="G22" s="26"/>
      <c r="H22" s="26"/>
      <c r="I22" s="26"/>
      <c r="J22" s="26"/>
      <c r="K22" s="26"/>
      <c r="L22" s="26"/>
      <c r="M22" s="26"/>
      <c r="N22" s="26"/>
      <c r="O22" s="26"/>
      <c r="P22" s="26"/>
      <c r="Q22" s="26"/>
      <c r="R22" s="8"/>
      <c r="S22" s="8"/>
      <c r="T22" s="8"/>
      <c r="U22" s="8"/>
    </row>
    <row r="23" spans="1:21" ht="15.75" customHeight="1">
      <c r="A23" s="963" t="s">
        <v>5</v>
      </c>
      <c r="B23" s="964"/>
      <c r="C23" s="967" t="s">
        <v>78</v>
      </c>
      <c r="D23" s="967"/>
      <c r="E23" s="317" t="s">
        <v>75</v>
      </c>
      <c r="F23" s="318"/>
      <c r="G23" s="317" t="s">
        <v>76</v>
      </c>
      <c r="H23" s="318"/>
      <c r="I23" s="319" t="s">
        <v>77</v>
      </c>
      <c r="Q23" s="188"/>
      <c r="R23" s="117"/>
      <c r="S23" s="117"/>
      <c r="T23" s="117"/>
      <c r="U23" s="8"/>
    </row>
    <row r="24" spans="1:21" ht="15.75" customHeight="1">
      <c r="A24" s="965"/>
      <c r="B24" s="966"/>
      <c r="C24" s="346" t="s">
        <v>6</v>
      </c>
      <c r="D24" s="346" t="s">
        <v>64</v>
      </c>
      <c r="E24" s="347">
        <f>A11</f>
        <v>0</v>
      </c>
      <c r="F24" s="348" t="s">
        <v>65</v>
      </c>
      <c r="G24" s="349">
        <f>A12</f>
        <v>0</v>
      </c>
      <c r="H24" s="348" t="s">
        <v>65</v>
      </c>
      <c r="I24" s="350">
        <f>A6</f>
        <v>45565</v>
      </c>
      <c r="Q24" s="188"/>
      <c r="R24" s="143"/>
      <c r="S24" s="143"/>
      <c r="T24" s="117"/>
      <c r="U24" s="8"/>
    </row>
    <row r="25" spans="1:21" ht="15.75" customHeight="1">
      <c r="A25" s="320"/>
      <c r="B25" s="342" t="s">
        <v>21</v>
      </c>
      <c r="C25" s="10" t="s">
        <v>154</v>
      </c>
      <c r="D25" s="10" t="e">
        <f>C25+C29-C28</f>
        <v>#VALUE!</v>
      </c>
      <c r="E25" s="9"/>
      <c r="F25" s="9"/>
      <c r="G25" s="189"/>
      <c r="H25" s="10"/>
      <c r="I25" s="321"/>
      <c r="Q25" s="188"/>
      <c r="R25" s="143"/>
      <c r="S25" s="143"/>
      <c r="T25" s="117"/>
      <c r="U25" s="8"/>
    </row>
    <row r="26" spans="1:21" ht="15.75" customHeight="1">
      <c r="A26" s="320"/>
      <c r="B26" s="342" t="s">
        <v>22</v>
      </c>
      <c r="C26" s="10" t="s">
        <v>154</v>
      </c>
      <c r="D26" s="10"/>
      <c r="E26" s="9"/>
      <c r="F26" s="9"/>
      <c r="G26" s="189"/>
      <c r="H26" s="10"/>
      <c r="I26" s="321"/>
      <c r="Q26" s="188"/>
      <c r="R26" s="143"/>
      <c r="S26" s="143"/>
      <c r="T26" s="117"/>
      <c r="U26" s="8"/>
    </row>
    <row r="27" spans="1:21" ht="15.75" customHeight="1">
      <c r="A27" s="320"/>
      <c r="B27" s="342" t="s">
        <v>23</v>
      </c>
      <c r="C27" s="10">
        <f>Q7</f>
        <v>2.4319999999999999</v>
      </c>
      <c r="D27" s="10"/>
      <c r="E27" s="9"/>
      <c r="F27" s="9"/>
      <c r="G27" s="189"/>
      <c r="H27" s="10"/>
      <c r="I27" s="321"/>
      <c r="Q27" s="188"/>
      <c r="R27" s="143"/>
      <c r="S27" s="143"/>
      <c r="T27" s="117"/>
      <c r="U27" s="8"/>
    </row>
    <row r="28" spans="1:21" ht="15.75" customHeight="1">
      <c r="A28" s="320"/>
      <c r="B28" s="343" t="s">
        <v>59</v>
      </c>
      <c r="C28" s="10" t="s">
        <v>154</v>
      </c>
      <c r="D28" s="10"/>
      <c r="E28" s="9"/>
      <c r="F28" s="9"/>
      <c r="G28" s="10"/>
      <c r="H28" s="10"/>
      <c r="I28" s="321"/>
      <c r="Q28" s="188"/>
      <c r="R28" s="143"/>
      <c r="S28" s="143"/>
      <c r="T28" s="117"/>
      <c r="U28" s="8"/>
    </row>
    <row r="29" spans="1:21" ht="15.75" customHeight="1">
      <c r="A29" s="320"/>
      <c r="B29" s="344" t="s">
        <v>60</v>
      </c>
      <c r="C29" s="10">
        <f>R6</f>
        <v>0</v>
      </c>
      <c r="D29" s="10"/>
      <c r="E29" s="9"/>
      <c r="F29" s="9"/>
      <c r="G29" s="10"/>
      <c r="H29" s="10"/>
      <c r="I29" s="321"/>
      <c r="Q29" s="188"/>
      <c r="R29" s="143"/>
      <c r="S29" s="143"/>
      <c r="T29" s="117"/>
      <c r="U29" s="8"/>
    </row>
    <row r="30" spans="1:21" ht="15.75" customHeight="1" thickBot="1">
      <c r="A30" s="322"/>
      <c r="B30" s="345" t="s">
        <v>61</v>
      </c>
      <c r="C30" s="323">
        <f>S6</f>
        <v>0.62649999999999995</v>
      </c>
      <c r="D30" s="323"/>
      <c r="E30" s="324"/>
      <c r="F30" s="324"/>
      <c r="G30" s="325"/>
      <c r="H30" s="325"/>
      <c r="I30" s="326"/>
      <c r="Q30" s="188"/>
      <c r="R30" s="143"/>
      <c r="S30" s="143"/>
      <c r="T30" s="117"/>
      <c r="U30" s="8"/>
    </row>
    <row r="31" spans="1:21" ht="15.75" customHeight="1">
      <c r="A31" s="8"/>
      <c r="B31" s="8"/>
      <c r="C31" s="8"/>
      <c r="D31" s="8"/>
      <c r="E31" s="8"/>
      <c r="F31" s="8"/>
      <c r="G31" s="8"/>
      <c r="H31" s="8"/>
      <c r="I31" s="8"/>
      <c r="J31" s="8"/>
      <c r="K31" s="8"/>
      <c r="L31" s="8"/>
      <c r="M31" s="8"/>
      <c r="N31" s="8"/>
      <c r="O31" s="8"/>
      <c r="P31" s="8"/>
      <c r="Q31" s="117"/>
      <c r="R31" s="117"/>
      <c r="S31" s="117"/>
      <c r="T31" s="117"/>
      <c r="U31" s="8"/>
    </row>
  </sheetData>
  <mergeCells count="6">
    <mergeCell ref="T1:V1"/>
    <mergeCell ref="T2:U2"/>
    <mergeCell ref="E3:G3"/>
    <mergeCell ref="T3:U3"/>
    <mergeCell ref="A23:B24"/>
    <mergeCell ref="C23:D23"/>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FB6CC-79F2-46B7-8DC6-7089F6C17BAB}">
  <dimension ref="A1:Q169"/>
  <sheetViews>
    <sheetView workbookViewId="0">
      <selection activeCell="M13" sqref="M13:M20"/>
    </sheetView>
  </sheetViews>
  <sheetFormatPr defaultColWidth="7.85546875" defaultRowHeight="11.25"/>
  <cols>
    <col min="1" max="1" width="15.7109375" style="93" bestFit="1" customWidth="1"/>
    <col min="2" max="2" width="9.5703125" style="93" bestFit="1" customWidth="1"/>
    <col min="3" max="3" width="5.140625" style="113" customWidth="1"/>
    <col min="4" max="6" width="7.7109375" style="113" customWidth="1"/>
    <col min="7" max="7" width="6.28515625" style="109" customWidth="1"/>
    <col min="8" max="8" width="6.85546875" style="114" customWidth="1"/>
    <col min="9" max="9" width="9.7109375" style="109" customWidth="1"/>
    <col min="10" max="10" width="8.7109375" style="109" bestFit="1" customWidth="1"/>
    <col min="11" max="11" width="12.5703125" style="104" customWidth="1"/>
    <col min="12" max="12" width="17.28515625" style="110" bestFit="1" customWidth="1"/>
    <col min="13" max="13" width="12.85546875" style="93" customWidth="1"/>
    <col min="14" max="14" width="11.28515625" style="93" customWidth="1"/>
    <col min="15" max="15" width="14.5703125" style="56" customWidth="1"/>
    <col min="16" max="16" width="23.140625" style="56" customWidth="1"/>
    <col min="17" max="17" width="14" style="93" bestFit="1" customWidth="1"/>
    <col min="18" max="18" width="5.42578125" style="93" customWidth="1"/>
    <col min="19" max="27" width="5.28515625" style="93" customWidth="1"/>
    <col min="28" max="28" width="17" style="93" customWidth="1"/>
    <col min="29" max="16384" width="7.85546875" style="93"/>
  </cols>
  <sheetData>
    <row r="1" spans="1:16" s="32" customFormat="1" ht="12.75">
      <c r="A1" s="367" t="s">
        <v>51</v>
      </c>
      <c r="B1" s="368" t="s">
        <v>138</v>
      </c>
      <c r="C1" s="290"/>
      <c r="D1" s="368"/>
      <c r="E1" s="291"/>
      <c r="F1" s="291"/>
      <c r="G1" s="292"/>
      <c r="H1" s="293" t="s">
        <v>69</v>
      </c>
      <c r="I1" s="294">
        <v>185</v>
      </c>
      <c r="J1" s="295"/>
      <c r="K1" s="368"/>
      <c r="L1" s="368"/>
      <c r="M1" s="39"/>
      <c r="N1" s="33"/>
    </row>
    <row r="2" spans="1:16" s="32" customFormat="1" ht="12.75">
      <c r="A2" s="369" t="s">
        <v>25</v>
      </c>
      <c r="B2" s="304" t="s">
        <v>151</v>
      </c>
      <c r="C2" s="297"/>
      <c r="D2" s="304"/>
      <c r="E2" s="298"/>
      <c r="F2" s="298"/>
      <c r="G2" s="299"/>
      <c r="H2" s="300" t="s">
        <v>70</v>
      </c>
      <c r="I2" s="370">
        <v>185</v>
      </c>
      <c r="J2" s="302"/>
      <c r="K2" s="304"/>
      <c r="L2" s="304"/>
      <c r="M2" s="371"/>
      <c r="N2" s="35"/>
    </row>
    <row r="3" spans="1:16" s="36" customFormat="1" ht="11.25" customHeight="1">
      <c r="A3" s="372" t="s">
        <v>50</v>
      </c>
      <c r="B3" s="634">
        <v>45437</v>
      </c>
      <c r="C3" s="297"/>
      <c r="D3" s="298"/>
      <c r="E3" s="298"/>
      <c r="F3" s="298"/>
      <c r="G3" s="299"/>
      <c r="H3" s="303" t="s">
        <v>71</v>
      </c>
      <c r="I3" s="374">
        <f>M53/100</f>
        <v>1.88</v>
      </c>
      <c r="J3" s="302"/>
      <c r="K3" s="304"/>
      <c r="L3" s="304"/>
      <c r="M3" s="373"/>
      <c r="N3" s="37"/>
    </row>
    <row r="4" spans="1:16" s="32" customFormat="1" ht="12.75">
      <c r="A4" s="372" t="s">
        <v>49</v>
      </c>
      <c r="B4" s="304" t="s">
        <v>156</v>
      </c>
      <c r="C4" s="297"/>
      <c r="D4" s="298"/>
      <c r="E4" s="298"/>
      <c r="F4" s="298"/>
      <c r="G4" s="299"/>
      <c r="H4" s="303" t="s">
        <v>72</v>
      </c>
      <c r="I4" s="374">
        <f>J30</f>
        <v>0.5160595377986682</v>
      </c>
      <c r="J4" s="302"/>
      <c r="K4" s="304"/>
      <c r="L4" s="304"/>
      <c r="M4" s="371"/>
      <c r="N4" s="33"/>
    </row>
    <row r="5" spans="1:16" s="54" customFormat="1" ht="12.75">
      <c r="A5" s="369" t="s">
        <v>24</v>
      </c>
      <c r="B5" s="307" t="s">
        <v>26</v>
      </c>
      <c r="C5" s="297"/>
      <c r="D5" s="298"/>
      <c r="E5" s="298"/>
      <c r="F5" s="298"/>
      <c r="G5" s="299"/>
      <c r="H5" s="303" t="s">
        <v>202</v>
      </c>
      <c r="I5" s="853">
        <f>I2/100*I4</f>
        <v>0.95471014492753625</v>
      </c>
      <c r="J5" s="302"/>
      <c r="K5" s="304"/>
      <c r="L5" s="304"/>
      <c r="M5" s="53"/>
      <c r="N5" s="52"/>
    </row>
    <row r="6" spans="1:16" s="52" customFormat="1" ht="13.5" thickBot="1">
      <c r="A6" s="376"/>
      <c r="B6" s="377"/>
      <c r="C6" s="310"/>
      <c r="D6" s="311"/>
      <c r="E6" s="311"/>
      <c r="F6" s="311"/>
      <c r="G6" s="312"/>
      <c r="H6" s="313" t="s">
        <v>203</v>
      </c>
      <c r="I6" s="854">
        <f>I3*I4</f>
        <v>0.97019193106149615</v>
      </c>
      <c r="J6" s="312"/>
      <c r="K6" s="407"/>
      <c r="L6" s="377"/>
      <c r="M6" s="378"/>
    </row>
    <row r="7" spans="1:16" s="54" customFormat="1" ht="13.15" customHeight="1">
      <c r="A7" s="38" t="s">
        <v>27</v>
      </c>
      <c r="B7" s="20"/>
      <c r="C7" s="21"/>
      <c r="D7" s="255"/>
      <c r="E7" s="356" t="s">
        <v>54</v>
      </c>
      <c r="F7" s="20"/>
      <c r="G7" s="41" t="s">
        <v>28</v>
      </c>
      <c r="H7" s="42"/>
      <c r="I7" s="43" t="s">
        <v>29</v>
      </c>
      <c r="J7" s="43"/>
      <c r="K7" s="44"/>
      <c r="L7" s="968" t="s">
        <v>86</v>
      </c>
      <c r="M7" s="969"/>
      <c r="N7" s="52"/>
      <c r="O7" s="52"/>
    </row>
    <row r="8" spans="1:16" s="74" customFormat="1" ht="11.25" customHeight="1">
      <c r="A8" s="45"/>
      <c r="B8" s="46"/>
      <c r="C8" s="47"/>
      <c r="D8" s="256"/>
      <c r="E8" s="357"/>
      <c r="F8" s="256"/>
      <c r="G8" s="48"/>
      <c r="H8" s="49"/>
      <c r="I8" s="50"/>
      <c r="J8" s="50"/>
      <c r="K8" s="51"/>
      <c r="L8" s="53"/>
      <c r="M8" s="53"/>
      <c r="N8" s="73"/>
    </row>
    <row r="9" spans="1:16" s="79" customFormat="1">
      <c r="C9" s="55"/>
      <c r="D9" s="257"/>
      <c r="E9" s="357" t="s">
        <v>30</v>
      </c>
      <c r="F9" s="256"/>
      <c r="G9" s="48"/>
      <c r="H9" s="49"/>
      <c r="I9" s="56"/>
      <c r="J9" s="56"/>
      <c r="K9" s="51"/>
      <c r="L9" s="58"/>
      <c r="M9" s="59"/>
      <c r="N9" s="77"/>
      <c r="O9" s="78"/>
    </row>
    <row r="10" spans="1:16" s="79" customFormat="1">
      <c r="A10" s="60" t="s">
        <v>31</v>
      </c>
      <c r="B10" s="61" t="s">
        <v>32</v>
      </c>
      <c r="C10" s="62" t="s">
        <v>33</v>
      </c>
      <c r="D10" s="63" t="s">
        <v>66</v>
      </c>
      <c r="E10" s="57" t="s">
        <v>34</v>
      </c>
      <c r="F10" s="63" t="s">
        <v>35</v>
      </c>
      <c r="G10" s="48" t="s">
        <v>2</v>
      </c>
      <c r="H10" s="49" t="s">
        <v>36</v>
      </c>
      <c r="I10" s="50" t="s">
        <v>36</v>
      </c>
      <c r="J10" s="50" t="s">
        <v>2</v>
      </c>
      <c r="K10" s="408" t="s">
        <v>48</v>
      </c>
      <c r="L10" s="58" t="s">
        <v>85</v>
      </c>
      <c r="M10" s="58" t="s">
        <v>53</v>
      </c>
      <c r="N10" s="17"/>
    </row>
    <row r="11" spans="1:16" s="79" customFormat="1" ht="12" thickBot="1">
      <c r="A11" s="64" t="s">
        <v>37</v>
      </c>
      <c r="B11" s="65" t="s">
        <v>37</v>
      </c>
      <c r="C11" s="66" t="s">
        <v>38</v>
      </c>
      <c r="D11" s="67" t="s">
        <v>81</v>
      </c>
      <c r="E11" s="71" t="s">
        <v>38</v>
      </c>
      <c r="F11" s="67" t="s">
        <v>38</v>
      </c>
      <c r="G11" s="68" t="s">
        <v>52</v>
      </c>
      <c r="H11" s="69" t="s">
        <v>39</v>
      </c>
      <c r="I11" s="70" t="s">
        <v>39</v>
      </c>
      <c r="J11" s="70" t="s">
        <v>52</v>
      </c>
      <c r="K11" s="409"/>
      <c r="L11" s="406"/>
      <c r="M11" s="72" t="s">
        <v>38</v>
      </c>
      <c r="N11" s="17"/>
    </row>
    <row r="12" spans="1:16" s="79" customFormat="1">
      <c r="A12" s="284"/>
      <c r="B12" s="91"/>
      <c r="C12" s="351">
        <v>0</v>
      </c>
      <c r="D12" s="285"/>
      <c r="E12" s="358"/>
      <c r="F12" s="359"/>
      <c r="G12" s="24"/>
      <c r="H12" s="75"/>
      <c r="I12" s="252"/>
      <c r="J12" s="253"/>
      <c r="K12" s="246"/>
      <c r="L12" s="23" t="s">
        <v>40</v>
      </c>
      <c r="M12" s="76">
        <v>185</v>
      </c>
      <c r="N12" s="18"/>
    </row>
    <row r="13" spans="1:16" s="79" customFormat="1">
      <c r="A13" s="284">
        <v>525</v>
      </c>
      <c r="B13" s="91">
        <v>0</v>
      </c>
      <c r="C13" s="351">
        <v>10</v>
      </c>
      <c r="D13" s="285">
        <v>966</v>
      </c>
      <c r="E13" s="360">
        <f>C12</f>
        <v>0</v>
      </c>
      <c r="F13" s="80">
        <f>(C13+C14-10)/2</f>
        <v>10</v>
      </c>
      <c r="G13" s="16">
        <f t="shared" ref="G13:G30" si="0">(A13-B13)/966</f>
        <v>0.54347826086956519</v>
      </c>
      <c r="H13" s="82">
        <f t="shared" ref="H13:H30" si="1">(G13*(F13-E13))/100</f>
        <v>5.434782608695652E-2</v>
      </c>
      <c r="I13" s="83">
        <f>SUM(H$13:H13)</f>
        <v>5.434782608695652E-2</v>
      </c>
      <c r="J13" s="254">
        <f t="shared" ref="J13:J30" si="2">I13/F13*100</f>
        <v>0.54347826086956519</v>
      </c>
      <c r="K13" s="246"/>
      <c r="L13" s="22" t="s">
        <v>149</v>
      </c>
      <c r="M13" s="84">
        <v>181</v>
      </c>
      <c r="N13" s="17"/>
      <c r="O13" s="79">
        <f>E13/100</f>
        <v>0</v>
      </c>
      <c r="P13" s="79">
        <f>F13/100</f>
        <v>0.1</v>
      </c>
    </row>
    <row r="14" spans="1:16" s="79" customFormat="1">
      <c r="A14" s="284">
        <v>530</v>
      </c>
      <c r="B14" s="91">
        <v>0</v>
      </c>
      <c r="C14" s="351">
        <v>20</v>
      </c>
      <c r="D14" s="285">
        <v>966</v>
      </c>
      <c r="E14" s="360">
        <f>(C13+C14-10)/2</f>
        <v>10</v>
      </c>
      <c r="F14" s="80">
        <f t="shared" ref="F14:F29" si="3">(C14+C15-10)/2</f>
        <v>20</v>
      </c>
      <c r="G14" s="16">
        <f t="shared" si="0"/>
        <v>0.54865424430641818</v>
      </c>
      <c r="H14" s="82">
        <f t="shared" si="1"/>
        <v>5.4865424430641817E-2</v>
      </c>
      <c r="I14" s="83">
        <f>SUM(H$13:H14)</f>
        <v>0.10921325051759834</v>
      </c>
      <c r="J14" s="254">
        <f t="shared" si="2"/>
        <v>0.54606625258799169</v>
      </c>
      <c r="K14" s="246"/>
      <c r="L14" s="22" t="s">
        <v>149</v>
      </c>
      <c r="M14" s="84">
        <v>176</v>
      </c>
      <c r="N14" s="17"/>
      <c r="O14" s="79">
        <f t="shared" ref="O14:O30" si="4">E14/100</f>
        <v>0.1</v>
      </c>
      <c r="P14" s="79">
        <f t="shared" ref="P14:P30" si="5">F14/100</f>
        <v>0.2</v>
      </c>
    </row>
    <row r="15" spans="1:16" s="79" customFormat="1">
      <c r="A15" s="284">
        <v>500</v>
      </c>
      <c r="B15" s="91">
        <v>0</v>
      </c>
      <c r="C15" s="351">
        <v>30</v>
      </c>
      <c r="D15" s="285">
        <v>966</v>
      </c>
      <c r="E15" s="360">
        <f>(C14+C15-10)/2</f>
        <v>20</v>
      </c>
      <c r="F15" s="80">
        <f t="shared" si="3"/>
        <v>30</v>
      </c>
      <c r="G15" s="16">
        <f t="shared" si="0"/>
        <v>0.51759834368530022</v>
      </c>
      <c r="H15" s="82">
        <f t="shared" si="1"/>
        <v>5.1759834368530024E-2</v>
      </c>
      <c r="I15" s="83">
        <f>SUM(H$13:H15)</f>
        <v>0.16097308488612835</v>
      </c>
      <c r="J15" s="254">
        <f t="shared" si="2"/>
        <v>0.53657694962042779</v>
      </c>
      <c r="K15" s="246"/>
      <c r="L15" s="22" t="s">
        <v>149</v>
      </c>
      <c r="M15" s="85">
        <v>173</v>
      </c>
      <c r="N15" s="17"/>
      <c r="O15" s="79">
        <f t="shared" si="4"/>
        <v>0.2</v>
      </c>
      <c r="P15" s="79">
        <f t="shared" si="5"/>
        <v>0.3</v>
      </c>
    </row>
    <row r="16" spans="1:16" s="79" customFormat="1">
      <c r="A16" s="286">
        <v>540</v>
      </c>
      <c r="B16" s="91">
        <v>0</v>
      </c>
      <c r="C16" s="351">
        <v>40</v>
      </c>
      <c r="D16" s="285">
        <v>966</v>
      </c>
      <c r="E16" s="360">
        <f t="shared" ref="E16:E30" si="6">(C15+C16-10)/2</f>
        <v>30</v>
      </c>
      <c r="F16" s="80">
        <f t="shared" si="3"/>
        <v>40</v>
      </c>
      <c r="G16" s="16">
        <f t="shared" si="0"/>
        <v>0.55900621118012417</v>
      </c>
      <c r="H16" s="82">
        <f t="shared" si="1"/>
        <v>5.5900621118012417E-2</v>
      </c>
      <c r="I16" s="83">
        <f>SUM(H$13:H16)</f>
        <v>0.21687370600414077</v>
      </c>
      <c r="J16" s="254">
        <f t="shared" si="2"/>
        <v>0.54218426501035188</v>
      </c>
      <c r="K16" s="246"/>
      <c r="L16" s="22" t="s">
        <v>149</v>
      </c>
      <c r="M16" s="84">
        <v>171</v>
      </c>
      <c r="N16" s="17">
        <f>AVERAGE(M13:M16)</f>
        <v>175.25</v>
      </c>
      <c r="O16" s="79">
        <f t="shared" si="4"/>
        <v>0.3</v>
      </c>
      <c r="P16" s="79">
        <f t="shared" si="5"/>
        <v>0.4</v>
      </c>
    </row>
    <row r="17" spans="1:16" s="79" customFormat="1">
      <c r="A17" s="286">
        <v>525</v>
      </c>
      <c r="B17" s="91">
        <v>0</v>
      </c>
      <c r="C17" s="351">
        <v>50</v>
      </c>
      <c r="D17" s="285">
        <v>966</v>
      </c>
      <c r="E17" s="360">
        <f t="shared" si="6"/>
        <v>40</v>
      </c>
      <c r="F17" s="80">
        <f t="shared" si="3"/>
        <v>50</v>
      </c>
      <c r="G17" s="16">
        <f t="shared" si="0"/>
        <v>0.54347826086956519</v>
      </c>
      <c r="H17" s="82">
        <f t="shared" si="1"/>
        <v>5.434782608695652E-2</v>
      </c>
      <c r="I17" s="83">
        <f>SUM(H$13:H17)</f>
        <v>0.27122153209109728</v>
      </c>
      <c r="J17" s="254">
        <f t="shared" si="2"/>
        <v>0.54244306418219457</v>
      </c>
      <c r="K17" s="247" t="s">
        <v>47</v>
      </c>
      <c r="L17" s="22" t="s">
        <v>150</v>
      </c>
      <c r="M17" s="84">
        <v>204</v>
      </c>
      <c r="N17" s="77"/>
      <c r="O17" s="79">
        <f t="shared" si="4"/>
        <v>0.4</v>
      </c>
      <c r="P17" s="79">
        <f t="shared" si="5"/>
        <v>0.5</v>
      </c>
    </row>
    <row r="18" spans="1:16" s="79" customFormat="1">
      <c r="A18" s="286">
        <v>510</v>
      </c>
      <c r="B18" s="91">
        <v>0</v>
      </c>
      <c r="C18" s="351">
        <v>60</v>
      </c>
      <c r="D18" s="285">
        <v>966</v>
      </c>
      <c r="E18" s="360">
        <f t="shared" si="6"/>
        <v>50</v>
      </c>
      <c r="F18" s="80">
        <f t="shared" si="3"/>
        <v>60</v>
      </c>
      <c r="G18" s="16">
        <f t="shared" si="0"/>
        <v>0.52795031055900621</v>
      </c>
      <c r="H18" s="82">
        <f t="shared" si="1"/>
        <v>5.2795031055900624E-2</v>
      </c>
      <c r="I18" s="83">
        <f>SUM(H$13:H18)</f>
        <v>0.32401656314699789</v>
      </c>
      <c r="J18" s="254">
        <f t="shared" si="2"/>
        <v>0.54002760524499649</v>
      </c>
      <c r="K18" s="244"/>
      <c r="L18" s="22" t="s">
        <v>150</v>
      </c>
      <c r="M18" s="84">
        <v>201</v>
      </c>
      <c r="N18" s="77"/>
      <c r="O18" s="79">
        <f t="shared" si="4"/>
        <v>0.5</v>
      </c>
      <c r="P18" s="79">
        <f t="shared" si="5"/>
        <v>0.6</v>
      </c>
    </row>
    <row r="19" spans="1:16" s="79" customFormat="1" ht="10.15" customHeight="1">
      <c r="A19" s="286">
        <v>515</v>
      </c>
      <c r="B19" s="91">
        <v>0</v>
      </c>
      <c r="C19" s="351">
        <v>70</v>
      </c>
      <c r="D19" s="285">
        <v>966</v>
      </c>
      <c r="E19" s="360">
        <f t="shared" si="6"/>
        <v>60</v>
      </c>
      <c r="F19" s="80">
        <f t="shared" si="3"/>
        <v>70</v>
      </c>
      <c r="G19" s="16">
        <f t="shared" si="0"/>
        <v>0.5331262939958592</v>
      </c>
      <c r="H19" s="82">
        <f t="shared" si="1"/>
        <v>5.3312629399585913E-2</v>
      </c>
      <c r="I19" s="83">
        <f>SUM(H$13:H19)</f>
        <v>0.37732919254658381</v>
      </c>
      <c r="J19" s="254">
        <f t="shared" si="2"/>
        <v>0.53904170363797688</v>
      </c>
      <c r="K19" s="244"/>
      <c r="L19" s="22" t="s">
        <v>150</v>
      </c>
      <c r="M19" s="84">
        <v>215</v>
      </c>
      <c r="N19" s="87"/>
      <c r="O19" s="79">
        <f t="shared" si="4"/>
        <v>0.6</v>
      </c>
      <c r="P19" s="79">
        <f t="shared" si="5"/>
        <v>0.7</v>
      </c>
    </row>
    <row r="20" spans="1:16" s="79" customFormat="1">
      <c r="A20" s="286">
        <v>530</v>
      </c>
      <c r="B20" s="91">
        <v>0</v>
      </c>
      <c r="C20" s="351">
        <v>80</v>
      </c>
      <c r="D20" s="285">
        <v>966</v>
      </c>
      <c r="E20" s="360">
        <f t="shared" si="6"/>
        <v>70</v>
      </c>
      <c r="F20" s="80">
        <f t="shared" si="3"/>
        <v>80</v>
      </c>
      <c r="G20" s="16">
        <f t="shared" si="0"/>
        <v>0.54865424430641818</v>
      </c>
      <c r="H20" s="82">
        <f t="shared" si="1"/>
        <v>5.4865424430641817E-2</v>
      </c>
      <c r="I20" s="83">
        <f>SUM(H$13:H20)</f>
        <v>0.43219461697722561</v>
      </c>
      <c r="J20" s="254">
        <f t="shared" si="2"/>
        <v>0.54024327122153204</v>
      </c>
      <c r="K20" s="246"/>
      <c r="L20" s="22" t="s">
        <v>150</v>
      </c>
      <c r="M20" s="84">
        <v>186</v>
      </c>
      <c r="N20" s="89">
        <f>AVERAGE(M17:M20)</f>
        <v>201.5</v>
      </c>
      <c r="O20" s="79">
        <f t="shared" si="4"/>
        <v>0.7</v>
      </c>
      <c r="P20" s="79">
        <f t="shared" si="5"/>
        <v>0.8</v>
      </c>
    </row>
    <row r="21" spans="1:16" s="90" customFormat="1">
      <c r="A21" s="286">
        <v>510</v>
      </c>
      <c r="B21" s="91">
        <v>0</v>
      </c>
      <c r="C21" s="351">
        <v>90</v>
      </c>
      <c r="D21" s="285">
        <v>966</v>
      </c>
      <c r="E21" s="360">
        <f t="shared" si="6"/>
        <v>80</v>
      </c>
      <c r="F21" s="80">
        <f t="shared" si="3"/>
        <v>90</v>
      </c>
      <c r="G21" s="16">
        <f t="shared" si="0"/>
        <v>0.52795031055900621</v>
      </c>
      <c r="H21" s="82">
        <f t="shared" si="1"/>
        <v>5.2795031055900624E-2</v>
      </c>
      <c r="I21" s="83">
        <f>SUM(H$13:H21)</f>
        <v>0.48498964803312622</v>
      </c>
      <c r="J21" s="254">
        <f t="shared" si="2"/>
        <v>0.53887738670347363</v>
      </c>
      <c r="K21" s="248"/>
      <c r="L21" s="22" t="s">
        <v>41</v>
      </c>
      <c r="M21" s="84"/>
      <c r="N21" s="89"/>
      <c r="O21" s="79">
        <f t="shared" si="4"/>
        <v>0.8</v>
      </c>
      <c r="P21" s="79">
        <f t="shared" si="5"/>
        <v>0.9</v>
      </c>
    </row>
    <row r="22" spans="1:16" s="90" customFormat="1">
      <c r="A22" s="286">
        <v>550</v>
      </c>
      <c r="B22" s="91">
        <v>0</v>
      </c>
      <c r="C22" s="351">
        <v>100</v>
      </c>
      <c r="D22" s="285">
        <v>966</v>
      </c>
      <c r="E22" s="360">
        <f t="shared" si="6"/>
        <v>90</v>
      </c>
      <c r="F22" s="80">
        <f t="shared" si="3"/>
        <v>100</v>
      </c>
      <c r="G22" s="16">
        <f t="shared" si="0"/>
        <v>0.56935817805383027</v>
      </c>
      <c r="H22" s="82">
        <f t="shared" si="1"/>
        <v>5.6935817805383024E-2</v>
      </c>
      <c r="I22" s="83">
        <f>SUM(H$13:H22)</f>
        <v>0.5419254658385092</v>
      </c>
      <c r="J22" s="254">
        <f t="shared" si="2"/>
        <v>0.5419254658385092</v>
      </c>
      <c r="K22" s="246"/>
      <c r="L22" s="22" t="s">
        <v>41</v>
      </c>
      <c r="M22" s="86"/>
      <c r="N22" s="89"/>
      <c r="O22" s="79">
        <f t="shared" si="4"/>
        <v>0.9</v>
      </c>
      <c r="P22" s="79">
        <f t="shared" si="5"/>
        <v>1</v>
      </c>
    </row>
    <row r="23" spans="1:16" s="90" customFormat="1">
      <c r="A23" s="286">
        <v>535</v>
      </c>
      <c r="B23" s="91">
        <v>0</v>
      </c>
      <c r="C23" s="351">
        <v>110</v>
      </c>
      <c r="D23" s="285">
        <v>966</v>
      </c>
      <c r="E23" s="360">
        <f t="shared" si="6"/>
        <v>100</v>
      </c>
      <c r="F23" s="80">
        <f t="shared" si="3"/>
        <v>110</v>
      </c>
      <c r="G23" s="16">
        <f t="shared" si="0"/>
        <v>0.55383022774327118</v>
      </c>
      <c r="H23" s="82">
        <f t="shared" si="1"/>
        <v>5.5383022774327113E-2</v>
      </c>
      <c r="I23" s="83">
        <f>SUM(H$13:H23)</f>
        <v>0.59730848861283636</v>
      </c>
      <c r="J23" s="254">
        <f t="shared" si="2"/>
        <v>0.54300771692076033</v>
      </c>
      <c r="K23" s="249"/>
      <c r="L23" s="22" t="s">
        <v>41</v>
      </c>
      <c r="M23" s="88"/>
      <c r="N23" s="92"/>
      <c r="O23" s="79">
        <f t="shared" si="4"/>
        <v>1</v>
      </c>
      <c r="P23" s="79">
        <f t="shared" si="5"/>
        <v>1.1000000000000001</v>
      </c>
    </row>
    <row r="24" spans="1:16" s="90" customFormat="1">
      <c r="A24" s="286">
        <v>500</v>
      </c>
      <c r="B24" s="91">
        <v>0</v>
      </c>
      <c r="C24" s="351">
        <v>120</v>
      </c>
      <c r="D24" s="285">
        <v>966</v>
      </c>
      <c r="E24" s="360">
        <f t="shared" si="6"/>
        <v>110</v>
      </c>
      <c r="F24" s="80">
        <f t="shared" si="3"/>
        <v>120</v>
      </c>
      <c r="G24" s="16">
        <f t="shared" si="0"/>
        <v>0.51759834368530022</v>
      </c>
      <c r="H24" s="82">
        <f t="shared" si="1"/>
        <v>5.1759834368530024E-2</v>
      </c>
      <c r="I24" s="83">
        <f>SUM(H$13:H24)</f>
        <v>0.64906832298136641</v>
      </c>
      <c r="J24" s="254">
        <f t="shared" si="2"/>
        <v>0.54089026915113869</v>
      </c>
      <c r="K24" s="250"/>
      <c r="L24" s="22" t="s">
        <v>41</v>
      </c>
      <c r="M24" s="88"/>
      <c r="N24" s="92"/>
      <c r="O24" s="79">
        <f t="shared" si="4"/>
        <v>1.1000000000000001</v>
      </c>
      <c r="P24" s="79">
        <f t="shared" si="5"/>
        <v>1.2</v>
      </c>
    </row>
    <row r="25" spans="1:16" s="90" customFormat="1">
      <c r="A25" s="286">
        <v>530</v>
      </c>
      <c r="B25" s="91">
        <v>0</v>
      </c>
      <c r="C25" s="351">
        <v>130</v>
      </c>
      <c r="D25" s="285">
        <v>966</v>
      </c>
      <c r="E25" s="360">
        <f t="shared" si="6"/>
        <v>120</v>
      </c>
      <c r="F25" s="80">
        <f t="shared" si="3"/>
        <v>130</v>
      </c>
      <c r="G25" s="16">
        <f t="shared" si="0"/>
        <v>0.54865424430641818</v>
      </c>
      <c r="H25" s="82">
        <f t="shared" si="1"/>
        <v>5.4865424430641817E-2</v>
      </c>
      <c r="I25" s="83">
        <f>SUM(H$13:H25)</f>
        <v>0.7039337474120082</v>
      </c>
      <c r="J25" s="254">
        <f t="shared" si="2"/>
        <v>0.54148749800923712</v>
      </c>
      <c r="K25" s="250"/>
      <c r="L25" s="22" t="s">
        <v>41</v>
      </c>
      <c r="M25" s="88"/>
      <c r="N25" s="92"/>
      <c r="O25" s="79">
        <f t="shared" si="4"/>
        <v>1.2</v>
      </c>
      <c r="P25" s="79">
        <f t="shared" si="5"/>
        <v>1.3</v>
      </c>
    </row>
    <row r="26" spans="1:16" s="90" customFormat="1">
      <c r="A26" s="286">
        <v>580</v>
      </c>
      <c r="B26" s="91">
        <v>0</v>
      </c>
      <c r="C26" s="351">
        <v>140</v>
      </c>
      <c r="D26" s="285">
        <v>966</v>
      </c>
      <c r="E26" s="360">
        <f t="shared" si="6"/>
        <v>130</v>
      </c>
      <c r="F26" s="80">
        <f t="shared" si="3"/>
        <v>140</v>
      </c>
      <c r="G26" s="16">
        <f t="shared" si="0"/>
        <v>0.60041407867494823</v>
      </c>
      <c r="H26" s="82">
        <f t="shared" si="1"/>
        <v>6.0041407867494817E-2</v>
      </c>
      <c r="I26" s="83">
        <f>SUM(H$13:H26)</f>
        <v>0.76397515527950299</v>
      </c>
      <c r="J26" s="254">
        <f t="shared" si="2"/>
        <v>0.54569653948535923</v>
      </c>
      <c r="K26" s="250"/>
      <c r="L26" s="22" t="s">
        <v>41</v>
      </c>
      <c r="M26" s="84"/>
      <c r="N26" s="92"/>
      <c r="O26" s="79">
        <f t="shared" si="4"/>
        <v>1.3</v>
      </c>
      <c r="P26" s="79">
        <f t="shared" si="5"/>
        <v>1.4</v>
      </c>
    </row>
    <row r="27" spans="1:16" s="90" customFormat="1">
      <c r="A27" s="286">
        <v>520</v>
      </c>
      <c r="B27" s="91">
        <v>0</v>
      </c>
      <c r="C27" s="351">
        <v>150</v>
      </c>
      <c r="D27" s="285">
        <v>966</v>
      </c>
      <c r="E27" s="360">
        <f t="shared" si="6"/>
        <v>140</v>
      </c>
      <c r="F27" s="80">
        <f t="shared" si="3"/>
        <v>150</v>
      </c>
      <c r="G27" s="16">
        <f t="shared" si="0"/>
        <v>0.5383022774327122</v>
      </c>
      <c r="H27" s="82">
        <f t="shared" si="1"/>
        <v>5.3830227743271217E-2</v>
      </c>
      <c r="I27" s="83">
        <f>SUM(H$13:H27)</f>
        <v>0.81780538302277417</v>
      </c>
      <c r="J27" s="254">
        <f t="shared" si="2"/>
        <v>0.54520358868184948</v>
      </c>
      <c r="K27" s="250"/>
      <c r="L27" s="22" t="s">
        <v>41</v>
      </c>
      <c r="M27" s="84"/>
      <c r="N27" s="92"/>
      <c r="O27" s="79">
        <f t="shared" si="4"/>
        <v>1.4</v>
      </c>
      <c r="P27" s="79">
        <f t="shared" si="5"/>
        <v>1.5</v>
      </c>
    </row>
    <row r="28" spans="1:16" s="90" customFormat="1">
      <c r="A28" s="286">
        <v>460</v>
      </c>
      <c r="B28" s="91">
        <v>0</v>
      </c>
      <c r="C28" s="351">
        <v>160</v>
      </c>
      <c r="D28" s="285">
        <v>966</v>
      </c>
      <c r="E28" s="360">
        <f t="shared" si="6"/>
        <v>150</v>
      </c>
      <c r="F28" s="80">
        <f t="shared" si="3"/>
        <v>160</v>
      </c>
      <c r="G28" s="16">
        <f t="shared" si="0"/>
        <v>0.47619047619047616</v>
      </c>
      <c r="H28" s="82">
        <f t="shared" si="1"/>
        <v>4.7619047619047616E-2</v>
      </c>
      <c r="I28" s="83">
        <f>SUM(H$13:H28)</f>
        <v>0.86542443064182173</v>
      </c>
      <c r="J28" s="254">
        <f t="shared" si="2"/>
        <v>0.54089026915113858</v>
      </c>
      <c r="K28" s="250"/>
      <c r="L28" s="22" t="s">
        <v>41</v>
      </c>
      <c r="M28" s="84"/>
      <c r="N28" s="92"/>
      <c r="O28" s="79">
        <f t="shared" si="4"/>
        <v>1.5</v>
      </c>
      <c r="P28" s="79">
        <f t="shared" si="5"/>
        <v>1.6</v>
      </c>
    </row>
    <row r="29" spans="1:16">
      <c r="A29" s="286">
        <v>375</v>
      </c>
      <c r="B29" s="91">
        <v>0</v>
      </c>
      <c r="C29" s="351">
        <v>170</v>
      </c>
      <c r="D29" s="285">
        <v>966</v>
      </c>
      <c r="E29" s="360">
        <f t="shared" si="6"/>
        <v>160</v>
      </c>
      <c r="F29" s="80">
        <f t="shared" si="3"/>
        <v>170</v>
      </c>
      <c r="G29" s="16">
        <f t="shared" si="0"/>
        <v>0.38819875776397517</v>
      </c>
      <c r="H29" s="82">
        <f t="shared" si="1"/>
        <v>3.8819875776397519E-2</v>
      </c>
      <c r="I29" s="83">
        <f>SUM(H$13:H29)</f>
        <v>0.90424430641821929</v>
      </c>
      <c r="J29" s="254">
        <f t="shared" si="2"/>
        <v>0.53190841554012902</v>
      </c>
      <c r="K29" s="250"/>
      <c r="L29" s="22" t="s">
        <v>41</v>
      </c>
      <c r="M29" s="84"/>
      <c r="N29" s="92"/>
      <c r="O29" s="79">
        <f t="shared" si="4"/>
        <v>1.6</v>
      </c>
      <c r="P29" s="79">
        <f t="shared" si="5"/>
        <v>1.7</v>
      </c>
    </row>
    <row r="30" spans="1:16">
      <c r="A30" s="286">
        <v>325</v>
      </c>
      <c r="B30" s="91">
        <v>0</v>
      </c>
      <c r="C30" s="351">
        <v>180</v>
      </c>
      <c r="D30" s="285">
        <v>966</v>
      </c>
      <c r="E30" s="360">
        <f t="shared" si="6"/>
        <v>170</v>
      </c>
      <c r="F30" s="80">
        <v>185</v>
      </c>
      <c r="G30" s="16">
        <f t="shared" si="0"/>
        <v>0.33643892339544512</v>
      </c>
      <c r="H30" s="82">
        <f t="shared" si="1"/>
        <v>5.0465838509316768E-2</v>
      </c>
      <c r="I30" s="83">
        <f>SUM(H$13:H30)</f>
        <v>0.95471014492753603</v>
      </c>
      <c r="J30" s="254">
        <f t="shared" si="2"/>
        <v>0.5160595377986682</v>
      </c>
      <c r="K30" s="250"/>
      <c r="L30" s="22" t="s">
        <v>41</v>
      </c>
      <c r="M30" s="84"/>
      <c r="N30" s="92"/>
      <c r="O30" s="79">
        <f t="shared" si="4"/>
        <v>1.7</v>
      </c>
      <c r="P30" s="79">
        <f t="shared" si="5"/>
        <v>1.85</v>
      </c>
    </row>
    <row r="31" spans="1:16">
      <c r="A31" s="286"/>
      <c r="B31" s="91"/>
      <c r="C31" s="351"/>
      <c r="D31" s="285"/>
      <c r="E31" s="360"/>
      <c r="F31" s="80"/>
      <c r="G31" s="16"/>
      <c r="H31" s="82"/>
      <c r="I31" s="83"/>
      <c r="J31" s="254"/>
      <c r="K31" s="250"/>
      <c r="L31" s="22" t="s">
        <v>41</v>
      </c>
      <c r="M31" s="84"/>
      <c r="N31" s="92"/>
      <c r="O31" s="79"/>
      <c r="P31" s="79"/>
    </row>
    <row r="32" spans="1:16">
      <c r="A32" s="286"/>
      <c r="B32" s="91"/>
      <c r="C32" s="351"/>
      <c r="D32" s="285"/>
      <c r="E32" s="360"/>
      <c r="F32" s="80"/>
      <c r="G32" s="16"/>
      <c r="H32" s="82"/>
      <c r="I32" s="83"/>
      <c r="J32" s="254"/>
      <c r="K32" s="251"/>
      <c r="L32" s="22" t="s">
        <v>41</v>
      </c>
      <c r="M32" s="84"/>
      <c r="N32" s="92"/>
      <c r="O32" s="79"/>
      <c r="P32" s="79"/>
    </row>
    <row r="33" spans="1:17">
      <c r="A33" s="286"/>
      <c r="B33" s="91"/>
      <c r="C33" s="351"/>
      <c r="D33" s="285"/>
      <c r="E33" s="360"/>
      <c r="F33" s="80"/>
      <c r="G33" s="16"/>
      <c r="H33" s="82"/>
      <c r="I33" s="83"/>
      <c r="J33" s="254"/>
      <c r="K33" s="251"/>
      <c r="L33" s="22" t="s">
        <v>41</v>
      </c>
      <c r="M33" s="84"/>
      <c r="N33" s="92"/>
      <c r="O33" s="79"/>
      <c r="P33" s="79"/>
    </row>
    <row r="34" spans="1:17">
      <c r="A34" s="286"/>
      <c r="B34" s="91"/>
      <c r="C34" s="351"/>
      <c r="D34" s="285"/>
      <c r="E34" s="360"/>
      <c r="F34" s="80"/>
      <c r="G34" s="16"/>
      <c r="H34" s="82"/>
      <c r="I34" s="83"/>
      <c r="J34" s="254"/>
      <c r="K34" s="251"/>
      <c r="L34" s="22"/>
      <c r="M34" s="84"/>
      <c r="N34" s="94"/>
      <c r="O34" s="79"/>
      <c r="P34" s="79"/>
    </row>
    <row r="35" spans="1:17">
      <c r="A35" s="286"/>
      <c r="B35" s="91"/>
      <c r="C35" s="351"/>
      <c r="D35" s="285"/>
      <c r="E35" s="360"/>
      <c r="F35" s="80"/>
      <c r="G35" s="16"/>
      <c r="H35" s="82"/>
      <c r="I35" s="83"/>
      <c r="J35" s="254"/>
      <c r="K35" s="251"/>
      <c r="L35" s="22"/>
      <c r="M35" s="84"/>
      <c r="N35" s="238"/>
      <c r="O35" s="79"/>
      <c r="P35" s="79"/>
      <c r="Q35" s="97"/>
    </row>
    <row r="36" spans="1:17">
      <c r="A36" s="286"/>
      <c r="B36" s="91"/>
      <c r="C36" s="351"/>
      <c r="D36" s="285"/>
      <c r="E36" s="360"/>
      <c r="F36" s="80"/>
      <c r="G36" s="16"/>
      <c r="H36" s="82"/>
      <c r="I36" s="83"/>
      <c r="J36" s="254"/>
      <c r="K36" s="251"/>
      <c r="L36" s="22"/>
      <c r="M36" s="84"/>
      <c r="N36" s="238"/>
      <c r="O36" s="79"/>
      <c r="P36" s="79"/>
      <c r="Q36" s="97"/>
    </row>
    <row r="37" spans="1:17">
      <c r="A37" s="286"/>
      <c r="B37" s="91"/>
      <c r="C37" s="351"/>
      <c r="D37" s="285"/>
      <c r="E37" s="360"/>
      <c r="F37" s="80"/>
      <c r="G37" s="16"/>
      <c r="H37" s="82"/>
      <c r="I37" s="83"/>
      <c r="J37" s="254"/>
      <c r="K37" s="251"/>
      <c r="L37" s="22"/>
      <c r="M37" s="84"/>
      <c r="N37" s="241"/>
      <c r="O37" s="79"/>
      <c r="P37" s="79"/>
      <c r="Q37" s="97"/>
    </row>
    <row r="38" spans="1:17">
      <c r="A38" s="286"/>
      <c r="B38" s="91"/>
      <c r="C38" s="351"/>
      <c r="D38" s="285"/>
      <c r="E38" s="360"/>
      <c r="F38" s="80"/>
      <c r="G38" s="16"/>
      <c r="H38" s="82"/>
      <c r="I38" s="83"/>
      <c r="J38" s="254"/>
      <c r="K38" s="251"/>
      <c r="L38" s="22"/>
      <c r="M38" s="84"/>
      <c r="N38" s="98"/>
      <c r="O38" s="79"/>
      <c r="P38" s="79"/>
    </row>
    <row r="39" spans="1:17">
      <c r="A39" s="286"/>
      <c r="B39" s="91"/>
      <c r="C39" s="351"/>
      <c r="D39" s="285"/>
      <c r="E39" s="360"/>
      <c r="F39" s="80"/>
      <c r="G39" s="16"/>
      <c r="H39" s="82"/>
      <c r="I39" s="83"/>
      <c r="J39" s="254"/>
      <c r="K39" s="251"/>
      <c r="L39" s="22"/>
      <c r="M39" s="84"/>
      <c r="N39" s="99"/>
      <c r="O39" s="79"/>
      <c r="P39" s="79"/>
    </row>
    <row r="40" spans="1:17">
      <c r="A40" s="286"/>
      <c r="B40" s="91"/>
      <c r="C40" s="351"/>
      <c r="D40" s="285"/>
      <c r="E40" s="360"/>
      <c r="F40" s="80"/>
      <c r="G40" s="16"/>
      <c r="H40" s="82"/>
      <c r="I40" s="83"/>
      <c r="J40" s="254"/>
      <c r="K40" s="251"/>
      <c r="L40" s="22"/>
      <c r="M40" s="84"/>
      <c r="O40" s="79"/>
      <c r="P40" s="79"/>
    </row>
    <row r="41" spans="1:17">
      <c r="A41" s="286"/>
      <c r="B41" s="91"/>
      <c r="C41" s="351"/>
      <c r="D41" s="285"/>
      <c r="E41" s="360"/>
      <c r="F41" s="80"/>
      <c r="G41" s="16"/>
      <c r="H41" s="82"/>
      <c r="I41" s="83"/>
      <c r="J41" s="254"/>
      <c r="K41" s="251"/>
      <c r="L41" s="22"/>
      <c r="M41" s="84"/>
      <c r="O41" s="79"/>
      <c r="P41" s="79"/>
    </row>
    <row r="42" spans="1:17">
      <c r="A42" s="286"/>
      <c r="B42" s="91"/>
      <c r="C42" s="351"/>
      <c r="D42" s="285"/>
      <c r="E42" s="360"/>
      <c r="F42" s="80"/>
      <c r="G42" s="16"/>
      <c r="H42" s="82"/>
      <c r="I42" s="83"/>
      <c r="J42" s="254"/>
      <c r="K42" s="251"/>
      <c r="L42" s="22"/>
      <c r="M42" s="84"/>
      <c r="O42" s="79"/>
      <c r="P42" s="79"/>
    </row>
    <row r="43" spans="1:17">
      <c r="A43" s="286"/>
      <c r="B43" s="91"/>
      <c r="C43" s="351"/>
      <c r="D43" s="285"/>
      <c r="E43" s="360"/>
      <c r="F43" s="80"/>
      <c r="G43" s="16"/>
      <c r="H43" s="82"/>
      <c r="I43" s="83"/>
      <c r="J43" s="254"/>
      <c r="K43" s="251"/>
      <c r="L43" s="22"/>
      <c r="M43" s="84"/>
      <c r="O43" s="79"/>
      <c r="P43" s="79"/>
    </row>
    <row r="44" spans="1:17">
      <c r="A44" s="286"/>
      <c r="B44" s="91"/>
      <c r="C44" s="351"/>
      <c r="D44" s="285"/>
      <c r="E44" s="360"/>
      <c r="F44" s="80"/>
      <c r="G44" s="16"/>
      <c r="H44" s="82"/>
      <c r="I44" s="83"/>
      <c r="J44" s="254"/>
      <c r="K44" s="251"/>
      <c r="L44" s="22"/>
      <c r="M44" s="84"/>
      <c r="O44" s="79"/>
      <c r="P44" s="79"/>
    </row>
    <row r="45" spans="1:17">
      <c r="A45" s="286"/>
      <c r="B45" s="91"/>
      <c r="C45" s="351"/>
      <c r="D45" s="285"/>
      <c r="E45" s="360"/>
      <c r="F45" s="80"/>
      <c r="G45" s="16"/>
      <c r="H45" s="82"/>
      <c r="I45" s="83"/>
      <c r="J45" s="254"/>
      <c r="K45" s="251"/>
      <c r="L45" s="22"/>
      <c r="M45" s="84"/>
      <c r="O45" s="79"/>
      <c r="P45" s="79"/>
    </row>
    <row r="46" spans="1:17">
      <c r="A46" s="286"/>
      <c r="B46" s="91"/>
      <c r="C46" s="351"/>
      <c r="D46" s="285"/>
      <c r="E46" s="360"/>
      <c r="F46" s="80"/>
      <c r="G46" s="16"/>
      <c r="H46" s="82"/>
      <c r="I46" s="83"/>
      <c r="J46" s="254"/>
      <c r="K46" s="251"/>
      <c r="L46" s="22"/>
      <c r="M46" s="84"/>
      <c r="O46" s="79"/>
      <c r="P46" s="79"/>
    </row>
    <row r="47" spans="1:17">
      <c r="A47" s="286"/>
      <c r="B47" s="91"/>
      <c r="C47" s="351"/>
      <c r="D47" s="285"/>
      <c r="E47" s="360"/>
      <c r="F47" s="80"/>
      <c r="G47" s="16"/>
      <c r="H47" s="82"/>
      <c r="I47" s="83"/>
      <c r="J47" s="254"/>
      <c r="K47" s="251"/>
      <c r="L47" s="22"/>
      <c r="M47" s="84"/>
      <c r="O47" s="79"/>
      <c r="P47" s="79"/>
    </row>
    <row r="48" spans="1:17">
      <c r="A48" s="286"/>
      <c r="B48" s="91"/>
      <c r="C48" s="351"/>
      <c r="D48" s="285"/>
      <c r="E48" s="360"/>
      <c r="F48" s="80"/>
      <c r="G48" s="16"/>
      <c r="H48" s="82"/>
      <c r="I48" s="83"/>
      <c r="J48" s="254"/>
      <c r="K48" s="251"/>
      <c r="L48" s="22"/>
      <c r="M48" s="84"/>
      <c r="O48" s="79"/>
      <c r="P48" s="79"/>
    </row>
    <row r="49" spans="1:17">
      <c r="A49" s="286"/>
      <c r="B49" s="91"/>
      <c r="C49" s="351"/>
      <c r="D49" s="285"/>
      <c r="E49" s="360"/>
      <c r="F49" s="80"/>
      <c r="G49" s="16"/>
      <c r="H49" s="82"/>
      <c r="I49" s="83"/>
      <c r="J49" s="254"/>
      <c r="K49" s="251"/>
      <c r="L49" s="22"/>
      <c r="M49" s="84"/>
      <c r="O49" s="79"/>
      <c r="P49" s="79"/>
    </row>
    <row r="50" spans="1:17">
      <c r="A50" s="286"/>
      <c r="B50" s="91"/>
      <c r="C50" s="351"/>
      <c r="D50" s="285"/>
      <c r="E50" s="360"/>
      <c r="F50" s="80"/>
      <c r="G50" s="16"/>
      <c r="H50" s="82"/>
      <c r="I50" s="83"/>
      <c r="J50" s="254"/>
      <c r="K50" s="251"/>
      <c r="L50" s="22"/>
      <c r="M50" s="84"/>
      <c r="O50" s="79"/>
      <c r="P50" s="79"/>
    </row>
    <row r="51" spans="1:17">
      <c r="A51" s="286"/>
      <c r="B51" s="91"/>
      <c r="C51" s="351"/>
      <c r="D51" s="285"/>
      <c r="E51" s="360"/>
      <c r="F51" s="80"/>
      <c r="G51" s="16"/>
      <c r="H51" s="82"/>
      <c r="I51" s="83"/>
      <c r="J51" s="254"/>
      <c r="K51" s="251"/>
      <c r="L51" s="22"/>
      <c r="M51" s="84"/>
      <c r="O51" s="79"/>
      <c r="P51" s="79"/>
    </row>
    <row r="52" spans="1:17" ht="12" thickBot="1">
      <c r="A52" s="286"/>
      <c r="B52" s="91"/>
      <c r="C52" s="351"/>
      <c r="D52" s="285"/>
      <c r="E52" s="360"/>
      <c r="F52" s="80"/>
      <c r="G52" s="16"/>
      <c r="H52" s="82"/>
      <c r="I52" s="83"/>
      <c r="J52" s="254"/>
      <c r="K52" s="251"/>
      <c r="L52" s="22"/>
      <c r="M52" s="95"/>
      <c r="O52" s="79"/>
      <c r="P52" s="79"/>
    </row>
    <row r="53" spans="1:17">
      <c r="A53" s="286"/>
      <c r="B53" s="91"/>
      <c r="C53" s="351"/>
      <c r="D53" s="285"/>
      <c r="E53" s="360"/>
      <c r="F53" s="80"/>
      <c r="G53" s="16"/>
      <c r="H53" s="82"/>
      <c r="I53" s="83"/>
      <c r="J53" s="254"/>
      <c r="K53" s="251"/>
      <c r="L53" s="242" t="s">
        <v>42</v>
      </c>
      <c r="M53" s="96">
        <f>AVERAGE(M12:M52)</f>
        <v>188</v>
      </c>
      <c r="O53" s="79"/>
      <c r="P53" s="79"/>
    </row>
    <row r="54" spans="1:17">
      <c r="A54" s="286"/>
      <c r="B54" s="91"/>
      <c r="C54" s="351"/>
      <c r="D54" s="285"/>
      <c r="E54" s="360"/>
      <c r="F54" s="80"/>
      <c r="G54" s="16"/>
      <c r="H54" s="82"/>
      <c r="I54" s="83"/>
      <c r="J54" s="254"/>
      <c r="K54" s="251"/>
      <c r="L54" s="33" t="s">
        <v>43</v>
      </c>
      <c r="M54" s="95">
        <f>STDEV(M12:M52)</f>
        <v>15.305227865013967</v>
      </c>
      <c r="N54" s="56"/>
      <c r="O54" s="79"/>
      <c r="P54" s="79"/>
    </row>
    <row r="55" spans="1:17">
      <c r="A55" s="287" t="s">
        <v>73</v>
      </c>
      <c r="B55" s="258"/>
      <c r="C55" s="352"/>
      <c r="D55" s="259"/>
      <c r="E55" s="361"/>
      <c r="F55" s="362"/>
      <c r="G55" s="261"/>
      <c r="H55" s="262"/>
      <c r="I55" s="263"/>
      <c r="J55" s="264"/>
      <c r="K55" s="265"/>
      <c r="L55" s="33" t="s">
        <v>44</v>
      </c>
      <c r="M55" s="95">
        <f>M54/SQRT(COUNT(M12:M51))</f>
        <v>5.1017426216713222</v>
      </c>
      <c r="N55" s="98"/>
      <c r="O55" s="79"/>
      <c r="P55" s="79"/>
      <c r="Q55" s="56"/>
    </row>
    <row r="56" spans="1:17">
      <c r="A56" s="266"/>
      <c r="B56" s="267"/>
      <c r="C56" s="353"/>
      <c r="D56" s="268"/>
      <c r="E56" s="363"/>
      <c r="F56" s="364"/>
      <c r="G56" s="270"/>
      <c r="H56" s="271"/>
      <c r="I56" s="272"/>
      <c r="J56" s="273"/>
      <c r="K56" s="274"/>
      <c r="L56" s="33" t="s">
        <v>45</v>
      </c>
      <c r="M56" s="95">
        <f>MAX(M12:M51)</f>
        <v>215</v>
      </c>
      <c r="N56" s="98"/>
      <c r="O56" s="79"/>
      <c r="P56" s="79"/>
    </row>
    <row r="57" spans="1:17" ht="12" thickBot="1">
      <c r="A57" s="275"/>
      <c r="B57" s="276"/>
      <c r="C57" s="354"/>
      <c r="D57" s="277"/>
      <c r="E57" s="365"/>
      <c r="F57" s="366"/>
      <c r="G57" s="279"/>
      <c r="H57" s="280"/>
      <c r="I57" s="281"/>
      <c r="J57" s="282"/>
      <c r="K57" s="283"/>
      <c r="L57" s="243" t="s">
        <v>46</v>
      </c>
      <c r="M57" s="100">
        <f>MIN(M12:M51)</f>
        <v>171</v>
      </c>
      <c r="N57" s="56"/>
      <c r="O57" s="93"/>
      <c r="P57" s="93"/>
    </row>
    <row r="58" spans="1:17">
      <c r="A58" s="15"/>
      <c r="B58" s="15"/>
      <c r="C58" s="14"/>
      <c r="D58" s="105"/>
      <c r="E58" s="105"/>
      <c r="F58" s="105"/>
      <c r="G58" s="13"/>
      <c r="H58" s="106"/>
      <c r="I58" s="107"/>
      <c r="J58" s="104"/>
      <c r="K58" s="101"/>
      <c r="L58" s="102"/>
      <c r="M58" s="56"/>
      <c r="O58" s="93"/>
      <c r="P58" s="93"/>
    </row>
    <row r="59" spans="1:17">
      <c r="A59" s="56"/>
      <c r="B59" s="56"/>
      <c r="C59" s="108"/>
      <c r="D59" s="108"/>
      <c r="E59" s="108"/>
      <c r="F59" s="108"/>
      <c r="G59" s="107"/>
      <c r="H59" s="106"/>
      <c r="I59" s="107"/>
      <c r="J59" s="104"/>
      <c r="K59" s="103"/>
      <c r="L59" s="102"/>
      <c r="M59" s="56"/>
      <c r="O59" s="93"/>
      <c r="P59" s="93"/>
    </row>
    <row r="60" spans="1:17">
      <c r="A60" s="109"/>
      <c r="B60" s="109"/>
      <c r="C60" s="109"/>
      <c r="D60" s="109"/>
      <c r="E60" s="104"/>
      <c r="F60" s="110"/>
      <c r="G60" s="56"/>
      <c r="H60" s="93"/>
      <c r="I60" s="56"/>
      <c r="J60" s="93"/>
      <c r="K60" s="93"/>
      <c r="L60" s="56"/>
      <c r="M60" s="56"/>
      <c r="O60" s="93"/>
      <c r="P60" s="93"/>
    </row>
    <row r="61" spans="1:17">
      <c r="A61" s="111"/>
      <c r="B61" s="111"/>
      <c r="C61" s="109"/>
      <c r="D61" s="109"/>
      <c r="E61" s="104"/>
      <c r="F61" s="110"/>
      <c r="G61" s="93"/>
      <c r="H61" s="93"/>
      <c r="I61" s="56"/>
      <c r="J61" s="93"/>
      <c r="K61" s="93"/>
      <c r="L61" s="56"/>
      <c r="M61" s="56"/>
      <c r="O61" s="93"/>
      <c r="P61" s="93"/>
    </row>
    <row r="62" spans="1:17">
      <c r="A62" s="50"/>
      <c r="B62" s="50"/>
      <c r="C62" s="109"/>
      <c r="D62" s="109"/>
      <c r="E62" s="104"/>
      <c r="F62" s="110"/>
      <c r="G62" s="93"/>
      <c r="H62" s="93"/>
      <c r="I62" s="56"/>
      <c r="J62" s="93"/>
      <c r="K62" s="93"/>
      <c r="L62" s="56"/>
      <c r="M62" s="56"/>
      <c r="O62" s="93"/>
      <c r="P62" s="93"/>
    </row>
    <row r="63" spans="1:17">
      <c r="A63" s="109"/>
      <c r="B63" s="109"/>
      <c r="C63" s="109"/>
      <c r="D63" s="109"/>
      <c r="E63" s="104"/>
      <c r="F63" s="110"/>
      <c r="G63" s="93"/>
      <c r="H63" s="93"/>
      <c r="I63" s="56"/>
      <c r="J63" s="93"/>
      <c r="K63" s="93"/>
      <c r="L63" s="56"/>
      <c r="M63" s="56"/>
      <c r="O63" s="93"/>
      <c r="P63" s="93"/>
    </row>
    <row r="64" spans="1:17">
      <c r="A64" s="109"/>
      <c r="B64" s="109"/>
      <c r="C64" s="109"/>
      <c r="D64" s="109"/>
      <c r="E64" s="104"/>
      <c r="F64" s="110"/>
      <c r="G64" s="93"/>
      <c r="H64" s="93"/>
      <c r="I64" s="56"/>
      <c r="J64" s="107"/>
      <c r="K64" s="93"/>
      <c r="L64" s="56"/>
      <c r="M64" s="56"/>
      <c r="O64" s="93"/>
      <c r="P64" s="93"/>
    </row>
    <row r="65" spans="1:16">
      <c r="A65" s="109"/>
      <c r="B65" s="109"/>
      <c r="C65" s="109"/>
      <c r="D65" s="109"/>
      <c r="E65" s="104"/>
      <c r="F65" s="110"/>
      <c r="G65" s="93"/>
      <c r="H65" s="93"/>
      <c r="I65" s="56"/>
      <c r="J65" s="107"/>
      <c r="K65" s="93"/>
      <c r="L65" s="56"/>
      <c r="M65" s="56"/>
      <c r="O65" s="93"/>
      <c r="P65" s="93"/>
    </row>
    <row r="66" spans="1:16">
      <c r="A66" s="109"/>
      <c r="B66" s="109"/>
      <c r="C66" s="109"/>
      <c r="D66" s="109"/>
      <c r="E66" s="104"/>
      <c r="F66" s="110"/>
      <c r="G66" s="93"/>
      <c r="H66" s="93"/>
      <c r="I66" s="56"/>
      <c r="J66" s="93"/>
      <c r="K66" s="93"/>
      <c r="L66" s="56"/>
      <c r="M66" s="56"/>
      <c r="O66" s="93"/>
      <c r="P66" s="93"/>
    </row>
    <row r="67" spans="1:16">
      <c r="A67" s="109"/>
      <c r="B67" s="109"/>
      <c r="C67" s="109"/>
      <c r="D67" s="109"/>
      <c r="E67" s="104"/>
      <c r="F67" s="110"/>
      <c r="G67" s="93"/>
      <c r="H67" s="93"/>
      <c r="I67" s="56"/>
      <c r="J67" s="93"/>
      <c r="K67" s="93"/>
      <c r="L67" s="56"/>
      <c r="M67" s="56"/>
      <c r="O67" s="93"/>
      <c r="P67" s="93"/>
    </row>
    <row r="68" spans="1:16">
      <c r="A68" s="109"/>
      <c r="B68" s="109"/>
      <c r="C68" s="109"/>
      <c r="D68" s="109"/>
      <c r="E68" s="104"/>
      <c r="F68" s="110"/>
      <c r="G68" s="93"/>
      <c r="H68" s="93"/>
      <c r="I68" s="56"/>
      <c r="J68" s="93"/>
      <c r="K68" s="93"/>
      <c r="L68" s="56"/>
      <c r="M68" s="56"/>
      <c r="O68" s="93"/>
      <c r="P68" s="93"/>
    </row>
    <row r="69" spans="1:16">
      <c r="A69" s="109"/>
      <c r="B69" s="109"/>
      <c r="C69" s="109"/>
      <c r="D69" s="109"/>
      <c r="E69" s="104"/>
      <c r="F69" s="110"/>
      <c r="G69" s="93"/>
      <c r="H69" s="93"/>
      <c r="I69" s="56"/>
      <c r="J69" s="93"/>
      <c r="K69" s="93"/>
      <c r="L69" s="56"/>
      <c r="M69" s="56"/>
      <c r="O69" s="93"/>
      <c r="P69" s="93"/>
    </row>
    <row r="70" spans="1:16">
      <c r="A70" s="109"/>
      <c r="B70" s="109"/>
      <c r="C70" s="109"/>
      <c r="D70" s="109"/>
      <c r="E70" s="104"/>
      <c r="F70" s="110"/>
      <c r="G70" s="93"/>
      <c r="H70" s="93"/>
      <c r="I70" s="56"/>
      <c r="J70" s="93"/>
      <c r="K70" s="93"/>
      <c r="L70" s="56"/>
      <c r="M70" s="56"/>
      <c r="O70" s="93"/>
      <c r="P70" s="93"/>
    </row>
    <row r="71" spans="1:16">
      <c r="A71" s="109"/>
      <c r="B71" s="109"/>
      <c r="C71" s="109"/>
      <c r="D71" s="109"/>
      <c r="E71" s="104"/>
      <c r="F71" s="110"/>
      <c r="G71" s="93"/>
      <c r="H71" s="93"/>
      <c r="I71" s="56"/>
      <c r="J71" s="93"/>
      <c r="K71" s="93"/>
      <c r="L71" s="56"/>
      <c r="O71" s="93"/>
      <c r="P71" s="93"/>
    </row>
    <row r="72" spans="1:16">
      <c r="A72" s="109"/>
      <c r="B72" s="109"/>
      <c r="C72" s="109"/>
      <c r="D72" s="109"/>
      <c r="E72" s="104"/>
      <c r="F72" s="110"/>
      <c r="G72" s="93"/>
      <c r="H72" s="93"/>
      <c r="I72" s="56"/>
      <c r="J72" s="93"/>
      <c r="K72" s="93"/>
      <c r="L72" s="56"/>
      <c r="O72" s="93"/>
      <c r="P72" s="93"/>
    </row>
    <row r="73" spans="1:16">
      <c r="A73" s="109"/>
      <c r="B73" s="109"/>
      <c r="C73" s="109"/>
      <c r="D73" s="109"/>
      <c r="E73" s="104"/>
      <c r="F73" s="110"/>
      <c r="G73" s="93"/>
      <c r="H73" s="93"/>
      <c r="I73" s="56"/>
      <c r="J73" s="93"/>
      <c r="K73" s="93"/>
      <c r="L73" s="93"/>
      <c r="O73" s="93"/>
      <c r="P73" s="93"/>
    </row>
    <row r="74" spans="1:16">
      <c r="A74" s="109"/>
      <c r="B74" s="109"/>
      <c r="C74" s="109"/>
      <c r="D74" s="109"/>
      <c r="E74" s="104"/>
      <c r="F74" s="110"/>
      <c r="G74" s="93"/>
      <c r="H74" s="93"/>
      <c r="I74" s="56"/>
      <c r="J74" s="93"/>
      <c r="K74" s="93"/>
      <c r="L74" s="93"/>
      <c r="O74" s="93"/>
      <c r="P74" s="93"/>
    </row>
    <row r="75" spans="1:16">
      <c r="A75" s="109"/>
      <c r="B75" s="109"/>
      <c r="C75" s="109"/>
      <c r="D75" s="109"/>
      <c r="E75" s="104"/>
      <c r="F75" s="110"/>
      <c r="G75" s="93"/>
      <c r="H75" s="93"/>
      <c r="I75" s="56"/>
      <c r="J75" s="93"/>
      <c r="K75" s="93"/>
      <c r="L75" s="93"/>
      <c r="O75" s="93"/>
      <c r="P75" s="93"/>
    </row>
    <row r="76" spans="1:16">
      <c r="A76" s="109"/>
      <c r="B76" s="109"/>
      <c r="C76" s="109"/>
      <c r="D76" s="109"/>
      <c r="E76" s="104"/>
      <c r="F76" s="110"/>
      <c r="G76" s="93"/>
      <c r="H76" s="93"/>
      <c r="I76" s="56"/>
      <c r="J76" s="93"/>
      <c r="K76" s="93"/>
      <c r="L76" s="93"/>
      <c r="O76" s="93"/>
      <c r="P76" s="93"/>
    </row>
    <row r="77" spans="1:16">
      <c r="A77" s="109"/>
      <c r="B77" s="109"/>
      <c r="C77" s="109"/>
      <c r="D77" s="109"/>
      <c r="E77" s="104"/>
      <c r="F77" s="110"/>
      <c r="G77" s="93"/>
      <c r="H77" s="93"/>
      <c r="I77" s="56"/>
      <c r="J77" s="93"/>
      <c r="K77" s="93"/>
      <c r="L77" s="93"/>
      <c r="O77" s="93"/>
      <c r="P77" s="93"/>
    </row>
    <row r="78" spans="1:16">
      <c r="A78" s="109"/>
      <c r="B78" s="109"/>
      <c r="C78" s="109"/>
      <c r="D78" s="109"/>
      <c r="E78" s="104"/>
      <c r="F78" s="110"/>
      <c r="G78" s="93"/>
      <c r="H78" s="93"/>
      <c r="I78" s="56"/>
      <c r="J78" s="93"/>
      <c r="K78" s="93"/>
      <c r="L78" s="93"/>
      <c r="O78" s="93"/>
      <c r="P78" s="93"/>
    </row>
    <row r="79" spans="1:16">
      <c r="A79" s="109"/>
      <c r="B79" s="109"/>
      <c r="C79" s="109"/>
      <c r="D79" s="109"/>
      <c r="E79" s="104"/>
      <c r="F79" s="110"/>
      <c r="G79" s="93"/>
      <c r="H79" s="93"/>
      <c r="I79" s="56"/>
      <c r="J79" s="93"/>
      <c r="K79" s="93"/>
      <c r="L79" s="93"/>
      <c r="O79" s="93"/>
      <c r="P79" s="93"/>
    </row>
    <row r="80" spans="1:16">
      <c r="A80" s="109"/>
      <c r="B80" s="109"/>
      <c r="C80" s="109"/>
      <c r="D80" s="109"/>
      <c r="E80" s="104"/>
      <c r="F80" s="110"/>
      <c r="G80" s="93"/>
      <c r="H80" s="93"/>
      <c r="I80" s="56"/>
      <c r="J80" s="93"/>
      <c r="K80" s="93"/>
      <c r="L80" s="93"/>
      <c r="O80" s="93"/>
      <c r="P80" s="93"/>
    </row>
    <row r="81" spans="1:17">
      <c r="A81" s="109"/>
      <c r="B81" s="109"/>
      <c r="C81" s="109"/>
      <c r="D81" s="109"/>
      <c r="E81" s="104"/>
      <c r="F81" s="110"/>
      <c r="G81" s="93"/>
      <c r="H81" s="93"/>
      <c r="I81" s="56"/>
      <c r="J81" s="93"/>
      <c r="K81" s="93"/>
      <c r="L81" s="93"/>
      <c r="O81" s="93"/>
      <c r="P81" s="93"/>
    </row>
    <row r="82" spans="1:17">
      <c r="A82" s="109"/>
      <c r="B82" s="109"/>
      <c r="C82" s="109"/>
      <c r="D82" s="109"/>
      <c r="E82" s="104"/>
      <c r="F82" s="110"/>
      <c r="G82" s="93"/>
      <c r="H82" s="93"/>
      <c r="I82" s="56"/>
      <c r="J82" s="93"/>
      <c r="K82" s="93"/>
      <c r="L82" s="93"/>
      <c r="O82" s="93"/>
      <c r="P82" s="93"/>
    </row>
    <row r="83" spans="1:17">
      <c r="A83" s="109"/>
      <c r="B83" s="109"/>
      <c r="C83" s="109"/>
      <c r="D83" s="109"/>
      <c r="E83" s="104"/>
      <c r="F83" s="110"/>
      <c r="G83" s="93"/>
      <c r="H83" s="93"/>
      <c r="I83" s="56"/>
      <c r="J83" s="93"/>
      <c r="K83" s="93"/>
      <c r="L83" s="93"/>
      <c r="O83" s="93"/>
      <c r="P83" s="93"/>
    </row>
    <row r="84" spans="1:17">
      <c r="A84" s="109"/>
      <c r="B84" s="109"/>
      <c r="C84" s="109"/>
      <c r="D84" s="109"/>
      <c r="E84" s="104"/>
      <c r="F84" s="110"/>
      <c r="G84" s="112"/>
      <c r="H84" s="93"/>
      <c r="I84" s="56"/>
      <c r="J84" s="93"/>
      <c r="K84" s="93"/>
      <c r="L84" s="93"/>
      <c r="O84" s="93"/>
      <c r="P84" s="93"/>
    </row>
    <row r="85" spans="1:17">
      <c r="A85" s="109"/>
      <c r="B85" s="109"/>
      <c r="C85" s="109"/>
      <c r="D85" s="109"/>
      <c r="E85" s="104"/>
      <c r="F85" s="110"/>
      <c r="G85" s="112"/>
      <c r="H85" s="93"/>
      <c r="I85" s="56"/>
      <c r="J85" s="93"/>
      <c r="K85" s="93"/>
      <c r="L85" s="93"/>
      <c r="O85" s="93"/>
      <c r="P85" s="93"/>
    </row>
    <row r="86" spans="1:17">
      <c r="A86" s="109"/>
      <c r="B86" s="109"/>
      <c r="C86" s="109"/>
      <c r="D86" s="109"/>
      <c r="E86" s="104"/>
      <c r="F86" s="110"/>
      <c r="G86" s="112"/>
      <c r="H86" s="93"/>
      <c r="I86" s="56"/>
      <c r="J86" s="93"/>
      <c r="K86" s="93"/>
      <c r="L86" s="93"/>
      <c r="O86" s="93"/>
      <c r="P86" s="93"/>
    </row>
    <row r="87" spans="1:17">
      <c r="A87" s="109"/>
      <c r="B87" s="109"/>
      <c r="C87" s="109"/>
      <c r="D87" s="109"/>
      <c r="E87" s="104"/>
      <c r="F87" s="110"/>
      <c r="G87" s="112"/>
      <c r="H87" s="93"/>
      <c r="I87" s="56"/>
      <c r="J87" s="93"/>
      <c r="K87" s="93"/>
      <c r="L87" s="93"/>
      <c r="O87" s="93"/>
      <c r="P87" s="93"/>
    </row>
    <row r="88" spans="1:17">
      <c r="A88" s="109"/>
      <c r="B88" s="109"/>
      <c r="C88" s="109"/>
      <c r="D88" s="109"/>
      <c r="E88" s="104"/>
      <c r="F88" s="110"/>
      <c r="G88" s="93"/>
      <c r="H88" s="93"/>
      <c r="I88" s="56"/>
      <c r="J88" s="93"/>
      <c r="K88" s="93"/>
      <c r="L88" s="93"/>
      <c r="O88" s="93"/>
      <c r="P88" s="93"/>
    </row>
    <row r="89" spans="1:17">
      <c r="A89" s="109"/>
      <c r="B89" s="109"/>
      <c r="C89" s="109"/>
      <c r="D89" s="109"/>
      <c r="E89" s="104"/>
      <c r="F89" s="110"/>
      <c r="G89" s="93"/>
      <c r="H89" s="93"/>
      <c r="I89" s="56"/>
      <c r="J89" s="93"/>
      <c r="K89" s="93"/>
      <c r="L89" s="93"/>
      <c r="O89" s="93"/>
      <c r="P89" s="93"/>
    </row>
    <row r="90" spans="1:17" s="109" customFormat="1">
      <c r="E90" s="104"/>
      <c r="F90" s="110"/>
      <c r="G90" s="93"/>
      <c r="H90" s="93"/>
      <c r="I90" s="56"/>
      <c r="J90" s="93"/>
      <c r="K90" s="93"/>
      <c r="L90" s="93"/>
      <c r="M90" s="93"/>
      <c r="N90" s="93"/>
      <c r="O90" s="93"/>
      <c r="P90" s="93"/>
      <c r="Q90" s="93"/>
    </row>
    <row r="91" spans="1:17" s="109" customFormat="1">
      <c r="E91" s="104"/>
      <c r="F91" s="110"/>
      <c r="G91" s="93"/>
      <c r="H91" s="93"/>
      <c r="I91" s="56"/>
      <c r="J91" s="93"/>
      <c r="K91" s="93"/>
      <c r="L91" s="93"/>
      <c r="M91" s="93"/>
      <c r="N91" s="93"/>
      <c r="O91" s="93"/>
      <c r="P91" s="93"/>
      <c r="Q91" s="93"/>
    </row>
    <row r="92" spans="1:17" s="109" customFormat="1">
      <c r="E92" s="104"/>
      <c r="F92" s="110"/>
      <c r="G92" s="93"/>
      <c r="H92" s="93"/>
      <c r="I92" s="56"/>
      <c r="J92" s="93"/>
      <c r="K92" s="93"/>
      <c r="L92" s="93"/>
      <c r="M92" s="93"/>
      <c r="N92" s="93"/>
      <c r="O92" s="93"/>
      <c r="P92" s="93"/>
      <c r="Q92" s="93"/>
    </row>
    <row r="93" spans="1:17" s="109" customFormat="1">
      <c r="E93" s="104"/>
      <c r="F93" s="110"/>
      <c r="G93" s="93"/>
      <c r="H93" s="93"/>
      <c r="I93" s="56"/>
      <c r="J93" s="93"/>
      <c r="K93" s="93"/>
      <c r="L93" s="93"/>
      <c r="M93" s="93"/>
      <c r="N93" s="93"/>
      <c r="O93" s="93"/>
      <c r="P93" s="93"/>
      <c r="Q93" s="93"/>
    </row>
    <row r="94" spans="1:17" s="109" customFormat="1">
      <c r="E94" s="104"/>
      <c r="F94" s="110"/>
      <c r="G94" s="93"/>
      <c r="H94" s="93"/>
      <c r="I94" s="56"/>
      <c r="J94" s="93"/>
      <c r="K94" s="93"/>
      <c r="L94" s="93"/>
      <c r="M94" s="93"/>
      <c r="N94" s="93"/>
      <c r="O94" s="93"/>
      <c r="P94" s="93"/>
      <c r="Q94" s="93"/>
    </row>
    <row r="95" spans="1:17" s="109" customFormat="1">
      <c r="E95" s="104"/>
      <c r="F95" s="110"/>
      <c r="G95" s="93"/>
      <c r="H95" s="93"/>
      <c r="I95" s="56"/>
      <c r="J95" s="93"/>
      <c r="K95" s="93"/>
      <c r="L95" s="93"/>
      <c r="M95" s="93"/>
    </row>
    <row r="96" spans="1:17" s="109" customFormat="1">
      <c r="E96" s="104"/>
      <c r="F96" s="110"/>
      <c r="G96" s="93"/>
      <c r="H96" s="93"/>
      <c r="I96" s="56"/>
      <c r="J96" s="93"/>
      <c r="K96" s="93"/>
      <c r="L96" s="93"/>
      <c r="M96" s="93"/>
    </row>
    <row r="97" spans="5:13" s="109" customFormat="1">
      <c r="E97" s="104"/>
      <c r="F97" s="110"/>
      <c r="G97" s="93"/>
      <c r="H97" s="93"/>
      <c r="I97" s="56"/>
      <c r="J97" s="93"/>
      <c r="K97" s="93"/>
      <c r="L97" s="93"/>
      <c r="M97" s="93"/>
    </row>
    <row r="98" spans="5:13" s="109" customFormat="1">
      <c r="E98" s="104"/>
      <c r="F98" s="110"/>
      <c r="G98" s="93"/>
      <c r="H98" s="93"/>
      <c r="I98" s="56"/>
      <c r="J98" s="93"/>
      <c r="K98" s="93"/>
      <c r="L98" s="93"/>
      <c r="M98" s="93"/>
    </row>
    <row r="99" spans="5:13" s="109" customFormat="1">
      <c r="E99" s="104"/>
      <c r="F99" s="110"/>
      <c r="G99" s="93"/>
      <c r="H99" s="93"/>
      <c r="I99" s="56"/>
      <c r="J99" s="93"/>
      <c r="K99" s="93"/>
      <c r="L99" s="93"/>
      <c r="M99" s="93"/>
    </row>
    <row r="100" spans="5:13" s="109" customFormat="1">
      <c r="E100" s="104"/>
      <c r="F100" s="110"/>
      <c r="G100" s="93"/>
      <c r="H100" s="93"/>
      <c r="I100" s="56"/>
      <c r="J100" s="93"/>
      <c r="K100" s="93"/>
      <c r="L100" s="93"/>
      <c r="M100" s="93"/>
    </row>
    <row r="101" spans="5:13" s="109" customFormat="1">
      <c r="E101" s="104"/>
      <c r="F101" s="110"/>
      <c r="G101" s="93"/>
      <c r="H101" s="93"/>
      <c r="I101" s="56"/>
      <c r="J101" s="93"/>
      <c r="K101" s="93"/>
      <c r="L101" s="93"/>
      <c r="M101" s="93"/>
    </row>
    <row r="102" spans="5:13" s="109" customFormat="1">
      <c r="E102" s="104"/>
      <c r="F102" s="110"/>
      <c r="G102" s="93"/>
      <c r="H102" s="93"/>
      <c r="I102" s="56"/>
      <c r="J102" s="93"/>
      <c r="K102" s="93"/>
      <c r="L102" s="93"/>
      <c r="M102" s="93"/>
    </row>
    <row r="103" spans="5:13" s="109" customFormat="1">
      <c r="E103" s="104"/>
      <c r="F103" s="110"/>
      <c r="G103" s="93"/>
      <c r="H103" s="93"/>
      <c r="I103" s="56"/>
      <c r="J103" s="93"/>
      <c r="K103" s="93"/>
      <c r="L103" s="93"/>
      <c r="M103" s="93"/>
    </row>
    <row r="104" spans="5:13" s="109" customFormat="1">
      <c r="E104" s="104"/>
      <c r="F104" s="110"/>
      <c r="G104" s="93"/>
      <c r="H104" s="93"/>
      <c r="I104" s="56"/>
      <c r="J104" s="93"/>
      <c r="K104" s="93"/>
      <c r="L104" s="93"/>
      <c r="M104" s="93"/>
    </row>
    <row r="105" spans="5:13" s="109" customFormat="1">
      <c r="E105" s="104"/>
      <c r="F105" s="110"/>
      <c r="G105" s="93"/>
      <c r="H105" s="93"/>
      <c r="I105" s="56"/>
      <c r="J105" s="93"/>
      <c r="K105" s="93"/>
      <c r="L105" s="93"/>
      <c r="M105" s="93"/>
    </row>
    <row r="106" spans="5:13" s="109" customFormat="1">
      <c r="E106" s="104"/>
      <c r="F106" s="110"/>
      <c r="G106" s="93"/>
      <c r="H106" s="93"/>
      <c r="I106" s="56"/>
      <c r="J106" s="93"/>
      <c r="K106" s="93"/>
      <c r="L106" s="93"/>
      <c r="M106" s="93"/>
    </row>
    <row r="107" spans="5:13" s="109" customFormat="1">
      <c r="E107" s="104"/>
      <c r="F107" s="110"/>
      <c r="G107" s="93"/>
      <c r="H107" s="93"/>
      <c r="I107" s="56"/>
      <c r="J107" s="93"/>
      <c r="K107" s="93"/>
      <c r="L107" s="93"/>
      <c r="M107" s="93"/>
    </row>
    <row r="108" spans="5:13" s="109" customFormat="1">
      <c r="E108" s="104"/>
      <c r="F108" s="110"/>
      <c r="G108" s="93"/>
      <c r="H108" s="93"/>
      <c r="I108" s="56"/>
      <c r="J108" s="93"/>
      <c r="K108" s="93"/>
      <c r="L108" s="93"/>
      <c r="M108" s="93"/>
    </row>
    <row r="109" spans="5:13" s="109" customFormat="1">
      <c r="E109" s="104"/>
      <c r="F109" s="110"/>
      <c r="G109" s="93"/>
      <c r="H109" s="93"/>
      <c r="I109" s="56"/>
      <c r="J109" s="93"/>
      <c r="K109" s="93"/>
      <c r="L109" s="93"/>
      <c r="M109" s="93"/>
    </row>
    <row r="110" spans="5:13" s="109" customFormat="1">
      <c r="E110" s="104"/>
      <c r="F110" s="110"/>
      <c r="G110" s="93"/>
      <c r="H110" s="93"/>
      <c r="I110" s="56"/>
      <c r="J110" s="93"/>
      <c r="K110" s="93"/>
      <c r="L110" s="93"/>
    </row>
    <row r="111" spans="5:13" s="109" customFormat="1">
      <c r="E111" s="104"/>
      <c r="F111" s="110"/>
      <c r="G111" s="93"/>
      <c r="H111" s="93"/>
      <c r="I111" s="56"/>
      <c r="J111" s="93"/>
      <c r="K111" s="93"/>
      <c r="L111" s="93"/>
    </row>
    <row r="112" spans="5:13" s="109" customFormat="1">
      <c r="E112" s="104"/>
      <c r="F112" s="110"/>
      <c r="G112" s="93"/>
      <c r="H112" s="93"/>
      <c r="I112" s="56"/>
      <c r="J112" s="93"/>
      <c r="K112" s="93"/>
      <c r="L112" s="93"/>
    </row>
    <row r="113" spans="5:12" s="109" customFormat="1">
      <c r="E113" s="104"/>
      <c r="F113" s="110"/>
      <c r="G113" s="93"/>
      <c r="H113" s="93"/>
      <c r="I113" s="56"/>
      <c r="J113" s="93"/>
      <c r="K113" s="93"/>
      <c r="L113" s="93"/>
    </row>
    <row r="114" spans="5:12" s="109" customFormat="1">
      <c r="E114" s="104"/>
      <c r="F114" s="110"/>
      <c r="G114" s="93"/>
      <c r="H114" s="93"/>
      <c r="I114" s="56"/>
      <c r="J114" s="93"/>
      <c r="K114" s="93"/>
      <c r="L114" s="93"/>
    </row>
    <row r="115" spans="5:12" s="109" customFormat="1">
      <c r="E115" s="104"/>
      <c r="F115" s="110"/>
      <c r="G115" s="93"/>
      <c r="H115" s="93"/>
      <c r="I115" s="56"/>
      <c r="J115" s="93"/>
      <c r="K115" s="93"/>
      <c r="L115" s="93"/>
    </row>
    <row r="116" spans="5:12" s="109" customFormat="1">
      <c r="E116" s="104"/>
      <c r="F116" s="110"/>
      <c r="G116" s="93"/>
      <c r="H116" s="93"/>
      <c r="I116" s="56"/>
      <c r="J116" s="93"/>
      <c r="K116" s="93"/>
      <c r="L116" s="93"/>
    </row>
    <row r="117" spans="5:12" s="109" customFormat="1">
      <c r="E117" s="104"/>
      <c r="F117" s="110"/>
      <c r="G117" s="93"/>
      <c r="H117" s="93"/>
      <c r="I117" s="56"/>
      <c r="J117" s="93"/>
      <c r="K117" s="93"/>
      <c r="L117" s="93"/>
    </row>
    <row r="118" spans="5:12" s="109" customFormat="1">
      <c r="E118" s="104"/>
      <c r="F118" s="110"/>
      <c r="G118" s="93"/>
      <c r="H118" s="93"/>
      <c r="I118" s="56"/>
      <c r="J118" s="93"/>
      <c r="K118" s="93"/>
      <c r="L118" s="93"/>
    </row>
    <row r="119" spans="5:12" s="109" customFormat="1">
      <c r="E119" s="104"/>
      <c r="F119" s="110"/>
      <c r="G119" s="93"/>
      <c r="H119" s="93"/>
      <c r="I119" s="56"/>
      <c r="J119" s="93"/>
      <c r="K119" s="93"/>
      <c r="L119" s="93"/>
    </row>
    <row r="120" spans="5:12" s="109" customFormat="1">
      <c r="E120" s="104"/>
      <c r="F120" s="110"/>
      <c r="G120" s="93"/>
      <c r="H120" s="93"/>
      <c r="I120" s="56"/>
      <c r="J120" s="93"/>
      <c r="K120" s="93"/>
      <c r="L120" s="93"/>
    </row>
    <row r="121" spans="5:12" s="109" customFormat="1">
      <c r="E121" s="104"/>
      <c r="F121" s="110"/>
      <c r="G121" s="93"/>
      <c r="H121" s="93"/>
      <c r="I121" s="56"/>
      <c r="J121" s="93"/>
      <c r="K121" s="93"/>
      <c r="L121" s="93"/>
    </row>
    <row r="122" spans="5:12" s="109" customFormat="1">
      <c r="E122" s="104"/>
      <c r="F122" s="110"/>
      <c r="G122" s="93"/>
      <c r="H122" s="93"/>
      <c r="I122" s="56"/>
      <c r="J122" s="93"/>
      <c r="K122" s="93"/>
      <c r="L122" s="93"/>
    </row>
    <row r="123" spans="5:12" s="109" customFormat="1">
      <c r="E123" s="104"/>
      <c r="F123" s="110"/>
      <c r="G123" s="93"/>
      <c r="H123" s="93"/>
      <c r="I123" s="56"/>
      <c r="J123" s="93"/>
      <c r="K123" s="93"/>
      <c r="L123" s="93"/>
    </row>
    <row r="124" spans="5:12" s="109" customFormat="1">
      <c r="E124" s="104"/>
      <c r="F124" s="110"/>
      <c r="G124" s="93"/>
      <c r="H124" s="93"/>
      <c r="I124" s="56"/>
      <c r="J124" s="93"/>
      <c r="K124" s="93"/>
      <c r="L124" s="93"/>
    </row>
    <row r="125" spans="5:12" s="109" customFormat="1">
      <c r="E125" s="104"/>
      <c r="F125" s="110"/>
      <c r="G125" s="93"/>
      <c r="H125" s="93"/>
      <c r="I125" s="56"/>
      <c r="J125" s="93"/>
      <c r="K125" s="93"/>
      <c r="L125" s="93"/>
    </row>
    <row r="126" spans="5:12" s="109" customFormat="1">
      <c r="E126" s="104"/>
      <c r="F126" s="110"/>
      <c r="G126" s="93"/>
      <c r="H126" s="93"/>
      <c r="I126" s="56"/>
      <c r="J126" s="93"/>
      <c r="K126" s="93"/>
      <c r="L126" s="93"/>
    </row>
    <row r="127" spans="5:12" s="109" customFormat="1">
      <c r="E127" s="104"/>
      <c r="F127" s="110"/>
      <c r="G127" s="93"/>
      <c r="H127" s="93"/>
      <c r="I127" s="56"/>
      <c r="J127" s="93"/>
      <c r="K127" s="93"/>
      <c r="L127" s="93"/>
    </row>
    <row r="128" spans="5:12" s="109" customFormat="1">
      <c r="E128" s="104"/>
      <c r="F128" s="110"/>
      <c r="G128" s="93"/>
      <c r="H128" s="93"/>
      <c r="I128" s="56"/>
      <c r="J128" s="93"/>
      <c r="K128" s="93"/>
      <c r="L128" s="93"/>
    </row>
    <row r="129" spans="5:12" s="109" customFormat="1">
      <c r="E129" s="104"/>
      <c r="F129" s="110"/>
      <c r="G129" s="93"/>
      <c r="H129" s="93"/>
      <c r="I129" s="56"/>
      <c r="J129" s="93"/>
      <c r="K129" s="93"/>
      <c r="L129" s="93"/>
    </row>
    <row r="130" spans="5:12" s="109" customFormat="1">
      <c r="E130" s="104"/>
      <c r="F130" s="110"/>
      <c r="G130" s="93"/>
      <c r="H130" s="93"/>
      <c r="I130" s="56"/>
      <c r="J130" s="93"/>
      <c r="K130" s="93"/>
      <c r="L130" s="93"/>
    </row>
    <row r="131" spans="5:12" s="109" customFormat="1">
      <c r="E131" s="104"/>
      <c r="F131" s="110"/>
      <c r="G131" s="93"/>
      <c r="H131" s="93"/>
      <c r="I131" s="56"/>
      <c r="J131" s="93"/>
      <c r="K131" s="93"/>
      <c r="L131" s="93"/>
    </row>
    <row r="132" spans="5:12" s="109" customFormat="1">
      <c r="E132" s="104"/>
      <c r="F132" s="110"/>
      <c r="G132" s="93"/>
      <c r="H132" s="93"/>
      <c r="I132" s="56"/>
      <c r="J132" s="93"/>
      <c r="K132" s="93"/>
      <c r="L132" s="93"/>
    </row>
    <row r="133" spans="5:12" s="109" customFormat="1">
      <c r="E133" s="104"/>
      <c r="F133" s="110"/>
      <c r="G133" s="93"/>
      <c r="H133" s="93"/>
      <c r="I133" s="56"/>
      <c r="J133" s="93"/>
      <c r="K133" s="93"/>
      <c r="L133" s="93"/>
    </row>
    <row r="134" spans="5:12" s="109" customFormat="1">
      <c r="E134" s="104"/>
      <c r="F134" s="110"/>
      <c r="G134" s="93"/>
      <c r="H134" s="93"/>
      <c r="I134" s="56"/>
      <c r="J134" s="93"/>
      <c r="K134" s="93"/>
      <c r="L134" s="93"/>
    </row>
    <row r="135" spans="5:12" s="109" customFormat="1">
      <c r="E135" s="104"/>
      <c r="F135" s="110"/>
      <c r="G135" s="93"/>
      <c r="H135" s="93"/>
      <c r="I135" s="56"/>
      <c r="J135" s="93"/>
      <c r="K135" s="93"/>
      <c r="L135" s="93"/>
    </row>
    <row r="136" spans="5:12" s="109" customFormat="1">
      <c r="E136" s="104"/>
      <c r="F136" s="110"/>
      <c r="G136" s="93"/>
      <c r="H136" s="93"/>
      <c r="I136" s="56"/>
      <c r="J136" s="93"/>
      <c r="K136" s="93"/>
      <c r="L136" s="93"/>
    </row>
    <row r="137" spans="5:12" s="109" customFormat="1">
      <c r="E137" s="104"/>
      <c r="F137" s="110"/>
      <c r="G137" s="93"/>
      <c r="H137" s="93"/>
      <c r="I137" s="56"/>
      <c r="J137" s="93"/>
      <c r="K137" s="93"/>
      <c r="L137" s="93"/>
    </row>
    <row r="138" spans="5:12" s="109" customFormat="1">
      <c r="E138" s="104"/>
      <c r="F138" s="110"/>
      <c r="G138" s="93"/>
      <c r="H138" s="93"/>
      <c r="I138" s="56"/>
      <c r="J138" s="93"/>
      <c r="K138" s="93"/>
      <c r="L138" s="93"/>
    </row>
    <row r="139" spans="5:12" s="109" customFormat="1">
      <c r="E139" s="104"/>
      <c r="F139" s="110"/>
      <c r="G139" s="93"/>
      <c r="H139" s="93"/>
      <c r="I139" s="56"/>
      <c r="J139" s="93"/>
      <c r="K139" s="93"/>
      <c r="L139" s="93"/>
    </row>
    <row r="140" spans="5:12" s="109" customFormat="1">
      <c r="E140" s="104"/>
      <c r="F140" s="110"/>
      <c r="G140" s="93"/>
      <c r="H140" s="93"/>
      <c r="I140" s="56"/>
      <c r="J140" s="93"/>
      <c r="K140" s="93"/>
      <c r="L140" s="93"/>
    </row>
    <row r="141" spans="5:12" s="109" customFormat="1">
      <c r="E141" s="104"/>
      <c r="F141" s="110"/>
      <c r="G141" s="93"/>
      <c r="H141" s="93"/>
      <c r="I141" s="56"/>
      <c r="J141" s="93"/>
      <c r="K141" s="93"/>
      <c r="L141" s="93"/>
    </row>
    <row r="142" spans="5:12" s="109" customFormat="1">
      <c r="E142" s="104"/>
      <c r="F142" s="110"/>
      <c r="G142" s="93"/>
      <c r="H142" s="93"/>
      <c r="I142" s="56"/>
      <c r="J142" s="93"/>
      <c r="K142" s="93"/>
      <c r="L142" s="93"/>
    </row>
    <row r="143" spans="5:12" s="109" customFormat="1">
      <c r="E143" s="104"/>
      <c r="F143" s="110"/>
      <c r="G143" s="93"/>
      <c r="H143" s="93"/>
      <c r="I143" s="56"/>
      <c r="J143" s="93"/>
      <c r="K143" s="93"/>
      <c r="L143" s="93"/>
    </row>
    <row r="144" spans="5:12" s="109" customFormat="1">
      <c r="E144" s="104"/>
      <c r="F144" s="110"/>
      <c r="G144" s="93"/>
      <c r="H144" s="93"/>
      <c r="I144" s="56"/>
      <c r="J144" s="93"/>
      <c r="K144" s="93"/>
      <c r="L144" s="93"/>
    </row>
    <row r="145" spans="1:17" s="109" customFormat="1">
      <c r="E145" s="104"/>
      <c r="F145" s="110"/>
      <c r="G145" s="93"/>
      <c r="H145" s="93"/>
      <c r="I145" s="56"/>
      <c r="J145" s="93"/>
      <c r="K145" s="93"/>
      <c r="L145" s="93"/>
    </row>
    <row r="146" spans="1:17" s="109" customFormat="1">
      <c r="E146" s="104"/>
      <c r="F146" s="110"/>
      <c r="G146" s="93"/>
      <c r="H146" s="93"/>
      <c r="I146" s="56"/>
      <c r="J146" s="93"/>
      <c r="K146" s="93"/>
      <c r="L146" s="93"/>
    </row>
    <row r="147" spans="1:17">
      <c r="A147" s="109"/>
      <c r="B147" s="109"/>
      <c r="C147" s="109"/>
      <c r="D147" s="109"/>
      <c r="E147" s="104"/>
      <c r="F147" s="110"/>
      <c r="G147" s="93"/>
      <c r="H147" s="93"/>
      <c r="I147" s="56"/>
      <c r="J147" s="93"/>
      <c r="K147" s="93"/>
      <c r="L147" s="93"/>
      <c r="M147" s="109"/>
      <c r="N147" s="109"/>
      <c r="O147" s="109"/>
      <c r="P147" s="109"/>
      <c r="Q147" s="109"/>
    </row>
    <row r="148" spans="1:17">
      <c r="A148" s="109"/>
      <c r="B148" s="109"/>
      <c r="C148" s="109"/>
      <c r="D148" s="109"/>
      <c r="E148" s="104"/>
      <c r="F148" s="110"/>
      <c r="G148" s="93"/>
      <c r="H148" s="93"/>
      <c r="I148" s="56"/>
      <c r="J148" s="93"/>
      <c r="K148" s="93"/>
      <c r="L148" s="93"/>
      <c r="M148" s="109"/>
      <c r="N148" s="109"/>
      <c r="O148" s="109"/>
      <c r="P148" s="109"/>
      <c r="Q148" s="109"/>
    </row>
    <row r="149" spans="1:17">
      <c r="A149" s="109"/>
      <c r="B149" s="109"/>
      <c r="C149" s="109"/>
      <c r="D149" s="109"/>
      <c r="E149" s="104"/>
      <c r="F149" s="110"/>
      <c r="G149" s="93"/>
      <c r="H149" s="93"/>
      <c r="I149" s="56"/>
      <c r="J149" s="93"/>
      <c r="K149" s="93"/>
      <c r="L149" s="93"/>
      <c r="M149" s="109"/>
      <c r="N149" s="109"/>
      <c r="O149" s="109"/>
      <c r="P149" s="109"/>
      <c r="Q149" s="109"/>
    </row>
    <row r="150" spans="1:17">
      <c r="A150" s="109"/>
      <c r="B150" s="109"/>
      <c r="C150" s="109"/>
      <c r="D150" s="109"/>
      <c r="E150" s="104"/>
      <c r="F150" s="110"/>
      <c r="G150" s="93"/>
      <c r="H150" s="93"/>
      <c r="I150" s="56"/>
      <c r="J150" s="93"/>
      <c r="K150" s="93"/>
      <c r="L150" s="93"/>
      <c r="M150" s="109"/>
      <c r="N150" s="109"/>
      <c r="O150" s="109"/>
      <c r="P150" s="109"/>
      <c r="Q150" s="109"/>
    </row>
    <row r="151" spans="1:17">
      <c r="A151" s="109"/>
      <c r="B151" s="109"/>
      <c r="C151" s="109"/>
      <c r="D151" s="109"/>
      <c r="E151" s="104"/>
      <c r="F151" s="110"/>
      <c r="G151" s="93"/>
      <c r="H151" s="93"/>
      <c r="I151" s="56"/>
      <c r="J151" s="93"/>
      <c r="K151" s="93"/>
      <c r="L151" s="93"/>
      <c r="M151" s="109"/>
      <c r="N151" s="109"/>
      <c r="O151" s="109"/>
      <c r="P151" s="109"/>
      <c r="Q151" s="109"/>
    </row>
    <row r="152" spans="1:17">
      <c r="A152" s="109"/>
      <c r="B152" s="109"/>
      <c r="C152" s="109"/>
      <c r="D152" s="109"/>
      <c r="E152" s="104"/>
      <c r="F152" s="110"/>
      <c r="G152" s="93"/>
      <c r="H152" s="93"/>
      <c r="I152" s="56"/>
      <c r="J152" s="93"/>
      <c r="K152" s="93"/>
      <c r="L152" s="93"/>
      <c r="M152" s="109"/>
    </row>
    <row r="153" spans="1:17">
      <c r="A153" s="109"/>
      <c r="B153" s="109"/>
      <c r="C153" s="109"/>
      <c r="D153" s="109"/>
      <c r="E153" s="104"/>
      <c r="F153" s="110"/>
      <c r="G153" s="93"/>
      <c r="H153" s="93"/>
      <c r="I153" s="56"/>
      <c r="J153" s="93"/>
      <c r="K153" s="93"/>
      <c r="L153" s="93"/>
      <c r="M153" s="109"/>
    </row>
    <row r="154" spans="1:17">
      <c r="A154" s="109"/>
      <c r="B154" s="109"/>
      <c r="C154" s="109"/>
      <c r="D154" s="109"/>
      <c r="E154" s="104"/>
      <c r="F154" s="110"/>
      <c r="G154" s="93"/>
      <c r="H154" s="93"/>
      <c r="I154" s="56"/>
      <c r="J154" s="93"/>
      <c r="K154" s="93"/>
      <c r="L154" s="93"/>
      <c r="M154" s="109"/>
    </row>
    <row r="155" spans="1:17">
      <c r="A155" s="109"/>
      <c r="B155" s="109"/>
      <c r="C155" s="109"/>
      <c r="D155" s="109"/>
      <c r="E155" s="104"/>
      <c r="F155" s="110"/>
      <c r="G155" s="93"/>
      <c r="H155" s="93"/>
      <c r="I155" s="56"/>
      <c r="J155" s="93"/>
      <c r="K155" s="93"/>
      <c r="L155" s="93"/>
      <c r="M155" s="109"/>
    </row>
    <row r="156" spans="1:17">
      <c r="J156" s="93"/>
      <c r="K156" s="93"/>
      <c r="L156" s="93"/>
      <c r="M156" s="109"/>
    </row>
    <row r="157" spans="1:17">
      <c r="J157" s="93"/>
      <c r="K157" s="93"/>
      <c r="L157" s="93"/>
      <c r="M157" s="109"/>
    </row>
    <row r="158" spans="1:17">
      <c r="J158" s="93"/>
      <c r="K158" s="93"/>
      <c r="L158" s="93"/>
      <c r="M158" s="109"/>
    </row>
    <row r="159" spans="1:17">
      <c r="J159" s="93"/>
      <c r="K159" s="93"/>
      <c r="L159" s="93"/>
      <c r="M159" s="109"/>
    </row>
    <row r="160" spans="1:17">
      <c r="J160" s="93"/>
      <c r="K160" s="93"/>
      <c r="L160" s="93"/>
      <c r="M160" s="109"/>
    </row>
    <row r="161" spans="10:13">
      <c r="J161" s="93"/>
      <c r="K161" s="93"/>
      <c r="L161" s="93"/>
      <c r="M161" s="109"/>
    </row>
    <row r="162" spans="10:13">
      <c r="K162" s="93"/>
      <c r="L162" s="93"/>
      <c r="M162" s="109"/>
    </row>
    <row r="163" spans="10:13">
      <c r="K163" s="93"/>
      <c r="L163" s="93"/>
      <c r="M163" s="109"/>
    </row>
    <row r="164" spans="10:13">
      <c r="K164" s="93"/>
      <c r="L164" s="93"/>
      <c r="M164" s="109"/>
    </row>
    <row r="165" spans="10:13">
      <c r="L165" s="93"/>
      <c r="M165" s="109"/>
    </row>
    <row r="166" spans="10:13">
      <c r="L166" s="93"/>
      <c r="M166" s="109"/>
    </row>
    <row r="167" spans="10:13">
      <c r="L167" s="93"/>
    </row>
    <row r="168" spans="10:13">
      <c r="L168" s="93"/>
    </row>
    <row r="169" spans="10:13">
      <c r="L169" s="93"/>
    </row>
  </sheetData>
  <mergeCells count="1">
    <mergeCell ref="L7:M7"/>
  </mergeCells>
  <dataValidations disablePrompts="1" count="1">
    <dataValidation type="list" allowBlank="1" showInputMessage="1" showErrorMessage="1" sqref="B5" xr:uid="{B26936DC-ABA3-4E7B-81C5-8472C1C473E0}">
      <formula1>$AB$5:$AB$8</formula1>
    </dataValidation>
  </dataValidations>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67"/>
  <sheetViews>
    <sheetView topLeftCell="F1" workbookViewId="0">
      <selection activeCell="Q4" sqref="Q4"/>
    </sheetView>
  </sheetViews>
  <sheetFormatPr defaultColWidth="7.85546875" defaultRowHeight="11.25"/>
  <cols>
    <col min="1" max="1" width="15.7109375" style="93" bestFit="1" customWidth="1"/>
    <col min="2" max="2" width="9.5703125" style="93" bestFit="1" customWidth="1"/>
    <col min="3" max="3" width="7.42578125" style="113" customWidth="1"/>
    <col min="4" max="6" width="7.7109375" style="113" customWidth="1"/>
    <col min="7" max="7" width="12" style="109" bestFit="1" customWidth="1"/>
    <col min="8" max="8" width="9.28515625" style="114" customWidth="1"/>
    <col min="9" max="10" width="8.42578125" style="109" bestFit="1" customWidth="1"/>
    <col min="11" max="11" width="8.42578125" style="104" bestFit="1" customWidth="1"/>
    <col min="12" max="12" width="13.7109375" style="110" bestFit="1" customWidth="1"/>
    <col min="13" max="13" width="6.28515625" style="93" bestFit="1" customWidth="1"/>
    <col min="14" max="14" width="5.7109375" style="93" bestFit="1" customWidth="1"/>
    <col min="15" max="15" width="5.85546875" style="56" bestFit="1" customWidth="1"/>
    <col min="16" max="16" width="5.85546875" style="435" bestFit="1" customWidth="1"/>
    <col min="17" max="17" width="14" style="112" bestFit="1" customWidth="1"/>
    <col min="18" max="18" width="6" style="112" bestFit="1" customWidth="1"/>
    <col min="19" max="19" width="8.7109375" style="112" bestFit="1" customWidth="1"/>
    <col min="20" max="21" width="17.28515625" style="93" bestFit="1" customWidth="1"/>
    <col min="22" max="22" width="9.28515625" style="93" bestFit="1" customWidth="1"/>
    <col min="23" max="27" width="5.28515625" style="93" customWidth="1"/>
    <col min="28" max="28" width="17" style="93" customWidth="1"/>
    <col min="29" max="16384" width="7.85546875" style="93"/>
  </cols>
  <sheetData>
    <row r="1" spans="1:24" s="32" customFormat="1" ht="12.75">
      <c r="A1" s="288" t="s">
        <v>51</v>
      </c>
      <c r="B1" s="289" t="s">
        <v>138</v>
      </c>
      <c r="C1" s="290"/>
      <c r="D1" s="289"/>
      <c r="E1" s="291"/>
      <c r="F1" s="291"/>
      <c r="G1" s="292"/>
      <c r="H1" s="293" t="s">
        <v>91</v>
      </c>
      <c r="I1" s="294">
        <v>463</v>
      </c>
      <c r="J1" s="295"/>
      <c r="K1" s="289"/>
      <c r="L1" s="289"/>
      <c r="N1" s="33"/>
      <c r="P1" s="428"/>
      <c r="Q1" s="428"/>
      <c r="R1" s="428"/>
      <c r="S1" s="428"/>
    </row>
    <row r="2" spans="1:24" s="32" customFormat="1" ht="12.75">
      <c r="A2" s="296" t="s">
        <v>25</v>
      </c>
      <c r="B2" s="289" t="s">
        <v>144</v>
      </c>
      <c r="C2" s="297"/>
      <c r="D2" s="289"/>
      <c r="E2" s="298"/>
      <c r="F2" s="298"/>
      <c r="G2" s="299"/>
      <c r="H2" s="300" t="s">
        <v>92</v>
      </c>
      <c r="I2" s="301">
        <v>273</v>
      </c>
      <c r="J2" s="302"/>
      <c r="K2" s="289"/>
      <c r="L2" s="289"/>
      <c r="N2" s="35"/>
      <c r="P2" s="428"/>
      <c r="Q2" s="428"/>
      <c r="R2" s="428"/>
      <c r="S2" s="428"/>
    </row>
    <row r="3" spans="1:24" s="36" customFormat="1" ht="11.25" customHeight="1">
      <c r="A3" s="303" t="s">
        <v>50</v>
      </c>
      <c r="B3" s="634">
        <v>45437</v>
      </c>
      <c r="C3" s="297"/>
      <c r="D3" s="298"/>
      <c r="E3" s="298"/>
      <c r="F3" s="298"/>
      <c r="G3" s="299"/>
      <c r="H3" s="303" t="s">
        <v>93</v>
      </c>
      <c r="I3" s="305">
        <f>V51/100</f>
        <v>2.73</v>
      </c>
      <c r="J3" s="302"/>
      <c r="K3" s="289"/>
      <c r="L3" s="289"/>
      <c r="N3" s="37"/>
      <c r="P3" s="429"/>
      <c r="Q3" s="429"/>
      <c r="R3" s="429"/>
      <c r="S3" s="429"/>
    </row>
    <row r="4" spans="1:24" s="32" customFormat="1" ht="12.75">
      <c r="A4" s="303" t="s">
        <v>49</v>
      </c>
      <c r="B4" s="304" t="s">
        <v>140</v>
      </c>
      <c r="C4" s="297"/>
      <c r="D4" s="298"/>
      <c r="E4" s="298"/>
      <c r="F4" s="298"/>
      <c r="G4" s="299"/>
      <c r="H4" s="303" t="s">
        <v>94</v>
      </c>
      <c r="I4" s="306">
        <f>S27</f>
        <v>0.44842754403833557</v>
      </c>
      <c r="J4" s="302"/>
      <c r="K4" s="289"/>
      <c r="L4" s="33"/>
      <c r="N4" s="33"/>
      <c r="P4" s="428"/>
      <c r="Q4" s="428"/>
      <c r="R4" s="428"/>
      <c r="S4" s="428"/>
    </row>
    <row r="5" spans="1:24" s="54" customFormat="1" ht="12.75">
      <c r="A5" s="296" t="s">
        <v>24</v>
      </c>
      <c r="B5" s="307" t="s">
        <v>26</v>
      </c>
      <c r="C5" s="297"/>
      <c r="D5" s="298"/>
      <c r="E5" s="298"/>
      <c r="F5" s="298"/>
      <c r="G5" s="299"/>
      <c r="H5" s="303"/>
      <c r="I5" s="308"/>
      <c r="J5" s="302"/>
      <c r="K5" s="289"/>
      <c r="L5" s="289"/>
      <c r="M5" s="52"/>
      <c r="N5" s="52"/>
      <c r="P5" s="430"/>
      <c r="Q5" s="430"/>
      <c r="R5" s="430"/>
      <c r="S5" s="430"/>
    </row>
    <row r="6" spans="1:24" s="52" customFormat="1" ht="13.5" thickBot="1">
      <c r="A6" s="383"/>
      <c r="B6" s="309"/>
      <c r="C6" s="384"/>
      <c r="D6" s="385"/>
      <c r="E6" s="385"/>
      <c r="F6" s="385"/>
      <c r="G6" s="386"/>
      <c r="H6" s="387"/>
      <c r="I6" s="388"/>
      <c r="J6" s="386"/>
      <c r="K6" s="309"/>
      <c r="L6" s="309"/>
      <c r="M6" s="46"/>
      <c r="P6" s="431"/>
      <c r="Q6" s="431"/>
      <c r="R6" s="431"/>
      <c r="S6" s="431"/>
    </row>
    <row r="7" spans="1:24" s="54" customFormat="1" ht="13.15" customHeight="1">
      <c r="A7" s="970" t="s">
        <v>27</v>
      </c>
      <c r="B7" s="971"/>
      <c r="C7" s="971"/>
      <c r="D7" s="971"/>
      <c r="E7" s="971"/>
      <c r="F7" s="971"/>
      <c r="G7" s="971"/>
      <c r="H7" s="971"/>
      <c r="I7" s="971"/>
      <c r="J7" s="971"/>
      <c r="K7" s="971"/>
      <c r="L7" s="971"/>
      <c r="M7" s="972" t="s">
        <v>54</v>
      </c>
      <c r="N7" s="973"/>
      <c r="O7" s="974"/>
      <c r="P7" s="432" t="s">
        <v>28</v>
      </c>
      <c r="Q7" s="42"/>
      <c r="R7" s="432" t="s">
        <v>29</v>
      </c>
      <c r="S7" s="432"/>
      <c r="T7" s="44"/>
      <c r="U7" s="968" t="s">
        <v>86</v>
      </c>
      <c r="V7" s="969"/>
      <c r="W7" s="52"/>
      <c r="X7" s="52"/>
    </row>
    <row r="8" spans="1:24" s="74" customFormat="1">
      <c r="A8" s="45"/>
      <c r="B8" s="46"/>
      <c r="C8" s="47"/>
      <c r="D8" s="488"/>
      <c r="E8" s="379"/>
      <c r="F8" s="489"/>
      <c r="G8" s="395"/>
      <c r="H8" s="380"/>
      <c r="I8" s="380"/>
      <c r="J8" s="380"/>
      <c r="K8" s="380"/>
      <c r="L8" s="472"/>
      <c r="M8" s="475"/>
      <c r="N8" s="477"/>
      <c r="O8" s="256"/>
      <c r="P8" s="434"/>
      <c r="Q8" s="49"/>
      <c r="R8" s="434"/>
      <c r="S8" s="434"/>
      <c r="T8" s="51"/>
      <c r="U8" s="53"/>
      <c r="V8" s="53"/>
      <c r="W8" s="73"/>
    </row>
    <row r="9" spans="1:24" s="79" customFormat="1" ht="13.15" customHeight="1">
      <c r="A9" s="34"/>
      <c r="B9" s="52"/>
      <c r="C9" s="55"/>
      <c r="D9" s="978" t="s">
        <v>82</v>
      </c>
      <c r="E9" s="979"/>
      <c r="F9" s="980"/>
      <c r="G9" s="396"/>
      <c r="H9" s="975" t="s">
        <v>83</v>
      </c>
      <c r="I9" s="976"/>
      <c r="J9" s="976"/>
      <c r="K9" s="977"/>
      <c r="L9" s="473"/>
      <c r="M9" s="476"/>
      <c r="N9" s="477" t="s">
        <v>30</v>
      </c>
      <c r="O9" s="256"/>
      <c r="P9" s="434"/>
      <c r="Q9" s="49"/>
      <c r="R9" s="435"/>
      <c r="S9" s="435"/>
      <c r="T9" s="51"/>
      <c r="U9" s="58"/>
      <c r="V9" s="59"/>
      <c r="W9" s="77"/>
      <c r="X9" s="78"/>
    </row>
    <row r="10" spans="1:24" s="79" customFormat="1">
      <c r="A10" s="60" t="s">
        <v>31</v>
      </c>
      <c r="B10" s="61" t="s">
        <v>32</v>
      </c>
      <c r="C10" s="62" t="s">
        <v>33</v>
      </c>
      <c r="D10" s="490" t="s">
        <v>104</v>
      </c>
      <c r="E10" s="486" t="s">
        <v>105</v>
      </c>
      <c r="F10" s="487" t="s">
        <v>106</v>
      </c>
      <c r="G10" s="396" t="s">
        <v>112</v>
      </c>
      <c r="H10" s="381" t="s">
        <v>107</v>
      </c>
      <c r="I10" s="381" t="s">
        <v>108</v>
      </c>
      <c r="J10" s="381" t="s">
        <v>109</v>
      </c>
      <c r="K10" s="381" t="s">
        <v>110</v>
      </c>
      <c r="L10" s="473" t="s">
        <v>111</v>
      </c>
      <c r="M10" s="57" t="s">
        <v>66</v>
      </c>
      <c r="N10" s="478" t="s">
        <v>34</v>
      </c>
      <c r="O10" s="63" t="s">
        <v>35</v>
      </c>
      <c r="P10" s="50" t="s">
        <v>2</v>
      </c>
      <c r="Q10" s="49" t="s">
        <v>36</v>
      </c>
      <c r="R10" s="50" t="s">
        <v>36</v>
      </c>
      <c r="S10" s="50" t="s">
        <v>2</v>
      </c>
      <c r="T10" s="408" t="s">
        <v>48</v>
      </c>
      <c r="U10" s="58" t="s">
        <v>85</v>
      </c>
      <c r="V10" s="58" t="s">
        <v>53</v>
      </c>
      <c r="W10" s="17"/>
    </row>
    <row r="11" spans="1:24" s="79" customFormat="1" ht="12" thickBot="1">
      <c r="A11" s="64" t="s">
        <v>37</v>
      </c>
      <c r="B11" s="65" t="s">
        <v>37</v>
      </c>
      <c r="C11" s="66" t="s">
        <v>38</v>
      </c>
      <c r="D11" s="491" t="s">
        <v>84</v>
      </c>
      <c r="E11" s="391" t="s">
        <v>84</v>
      </c>
      <c r="F11" s="492" t="s">
        <v>84</v>
      </c>
      <c r="G11" s="453" t="s">
        <v>84</v>
      </c>
      <c r="H11" s="392" t="s">
        <v>84</v>
      </c>
      <c r="I11" s="392" t="s">
        <v>84</v>
      </c>
      <c r="J11" s="392" t="s">
        <v>84</v>
      </c>
      <c r="K11" s="392" t="s">
        <v>84</v>
      </c>
      <c r="L11" s="474" t="s">
        <v>84</v>
      </c>
      <c r="M11" s="71" t="s">
        <v>81</v>
      </c>
      <c r="N11" s="479" t="s">
        <v>38</v>
      </c>
      <c r="O11" s="67" t="s">
        <v>38</v>
      </c>
      <c r="P11" s="70" t="s">
        <v>52</v>
      </c>
      <c r="Q11" s="69" t="s">
        <v>39</v>
      </c>
      <c r="R11" s="437" t="s">
        <v>4</v>
      </c>
      <c r="S11" s="437" t="s">
        <v>88</v>
      </c>
      <c r="T11" s="409"/>
      <c r="U11" s="406"/>
      <c r="V11" s="72" t="s">
        <v>84</v>
      </c>
      <c r="W11" s="17"/>
    </row>
    <row r="12" spans="1:24" s="79" customFormat="1">
      <c r="A12" s="424" t="s">
        <v>89</v>
      </c>
      <c r="B12" s="420"/>
      <c r="C12" s="421">
        <v>0</v>
      </c>
      <c r="D12" s="493" t="s">
        <v>95</v>
      </c>
      <c r="E12" s="452" t="s">
        <v>95</v>
      </c>
      <c r="F12" s="456" t="s">
        <v>95</v>
      </c>
      <c r="G12" s="459" t="s">
        <v>95</v>
      </c>
      <c r="H12" s="452" t="s">
        <v>95</v>
      </c>
      <c r="I12" s="452" t="s">
        <v>95</v>
      </c>
      <c r="J12" s="452" t="s">
        <v>95</v>
      </c>
      <c r="K12" s="452" t="s">
        <v>95</v>
      </c>
      <c r="L12" s="461" t="s">
        <v>95</v>
      </c>
      <c r="M12" s="351"/>
      <c r="N12" s="480"/>
      <c r="O12" s="25"/>
      <c r="P12" s="438"/>
      <c r="Q12" s="423"/>
      <c r="R12" s="439"/>
      <c r="S12" s="440"/>
      <c r="T12" s="245"/>
      <c r="U12" s="23" t="s">
        <v>40</v>
      </c>
      <c r="V12" s="76">
        <v>273</v>
      </c>
      <c r="W12" s="18"/>
    </row>
    <row r="13" spans="1:24" s="79" customFormat="1">
      <c r="A13" s="284">
        <v>335</v>
      </c>
      <c r="B13" s="91">
        <v>0</v>
      </c>
      <c r="C13" s="351">
        <v>10</v>
      </c>
      <c r="D13" s="494" t="s">
        <v>95</v>
      </c>
      <c r="E13" s="455" t="s">
        <v>95</v>
      </c>
      <c r="F13" s="457" t="s">
        <v>95</v>
      </c>
      <c r="G13" s="460" t="s">
        <v>95</v>
      </c>
      <c r="H13" s="455" t="s">
        <v>95</v>
      </c>
      <c r="I13" s="455" t="s">
        <v>95</v>
      </c>
      <c r="J13" s="455" t="s">
        <v>95</v>
      </c>
      <c r="K13" s="455" t="s">
        <v>95</v>
      </c>
      <c r="L13" s="462" t="s">
        <v>95</v>
      </c>
      <c r="M13" s="351">
        <v>966</v>
      </c>
      <c r="N13" s="481">
        <f>C12</f>
        <v>0</v>
      </c>
      <c r="O13" s="81">
        <f t="shared" ref="O13:O19" si="0">(C13+C14-10)/2</f>
        <v>10</v>
      </c>
      <c r="P13" s="16">
        <f>(A13-B13)/M13</f>
        <v>0.34679089026915116</v>
      </c>
      <c r="Q13" s="75">
        <f t="shared" ref="Q13:Q20" si="1">(P13*(O13-N13))/100</f>
        <v>3.4679089026915119E-2</v>
      </c>
      <c r="R13" s="441">
        <f>SUM(Q$13:Q13)</f>
        <v>3.4679089026915119E-2</v>
      </c>
      <c r="S13" s="254">
        <f>R13/O13*100</f>
        <v>0.34679089026915116</v>
      </c>
      <c r="T13" s="246"/>
      <c r="U13" s="22" t="s">
        <v>41</v>
      </c>
      <c r="V13" s="84"/>
      <c r="W13" s="17"/>
    </row>
    <row r="14" spans="1:24" s="79" customFormat="1">
      <c r="A14" s="284">
        <v>335</v>
      </c>
      <c r="B14" s="91">
        <v>0</v>
      </c>
      <c r="C14" s="351">
        <v>20</v>
      </c>
      <c r="D14" s="494" t="s">
        <v>95</v>
      </c>
      <c r="E14" s="455" t="s">
        <v>95</v>
      </c>
      <c r="F14" s="457" t="s">
        <v>95</v>
      </c>
      <c r="G14" s="460" t="s">
        <v>95</v>
      </c>
      <c r="H14" s="455" t="s">
        <v>95</v>
      </c>
      <c r="I14" s="455" t="s">
        <v>95</v>
      </c>
      <c r="J14" s="455" t="s">
        <v>95</v>
      </c>
      <c r="K14" s="455" t="s">
        <v>95</v>
      </c>
      <c r="L14" s="462" t="s">
        <v>95</v>
      </c>
      <c r="M14" s="351">
        <v>966</v>
      </c>
      <c r="N14" s="481">
        <f t="shared" ref="N14:N20" si="2">(C13+C14-10)/2</f>
        <v>10</v>
      </c>
      <c r="O14" s="81">
        <f t="shared" si="0"/>
        <v>20</v>
      </c>
      <c r="P14" s="16">
        <f t="shared" ref="P14:P20" si="3">(A14-B14)/M14</f>
        <v>0.34679089026915116</v>
      </c>
      <c r="Q14" s="75">
        <f t="shared" si="1"/>
        <v>3.4679089026915119E-2</v>
      </c>
      <c r="R14" s="441">
        <f>SUM(Q$13:Q14)</f>
        <v>6.9358178053830238E-2</v>
      </c>
      <c r="S14" s="254">
        <f t="shared" ref="S14:S20" si="4">R14/O14*100</f>
        <v>0.34679089026915116</v>
      </c>
      <c r="T14" s="246"/>
      <c r="U14" s="22" t="s">
        <v>41</v>
      </c>
      <c r="V14" s="84"/>
      <c r="W14" s="17"/>
    </row>
    <row r="15" spans="1:24" s="79" customFormat="1">
      <c r="A15" s="284">
        <v>360</v>
      </c>
      <c r="B15" s="91">
        <v>0</v>
      </c>
      <c r="C15" s="351">
        <v>30</v>
      </c>
      <c r="D15" s="494" t="s">
        <v>95</v>
      </c>
      <c r="E15" s="455" t="s">
        <v>95</v>
      </c>
      <c r="F15" s="457" t="s">
        <v>95</v>
      </c>
      <c r="G15" s="460" t="s">
        <v>95</v>
      </c>
      <c r="H15" s="455" t="s">
        <v>95</v>
      </c>
      <c r="I15" s="455" t="s">
        <v>95</v>
      </c>
      <c r="J15" s="455" t="s">
        <v>95</v>
      </c>
      <c r="K15" s="455" t="s">
        <v>95</v>
      </c>
      <c r="L15" s="462" t="s">
        <v>95</v>
      </c>
      <c r="M15" s="351">
        <v>966</v>
      </c>
      <c r="N15" s="481">
        <f t="shared" si="2"/>
        <v>20</v>
      </c>
      <c r="O15" s="81">
        <f t="shared" si="0"/>
        <v>30</v>
      </c>
      <c r="P15" s="16">
        <f t="shared" si="3"/>
        <v>0.37267080745341613</v>
      </c>
      <c r="Q15" s="75">
        <f t="shared" si="1"/>
        <v>3.7267080745341616E-2</v>
      </c>
      <c r="R15" s="441">
        <f>SUM(Q$13:Q15)</f>
        <v>0.10662525879917185</v>
      </c>
      <c r="S15" s="254">
        <f t="shared" si="4"/>
        <v>0.35541752933057286</v>
      </c>
      <c r="T15" s="246"/>
      <c r="U15" s="22" t="s">
        <v>41</v>
      </c>
      <c r="V15" s="85"/>
      <c r="W15" s="17"/>
    </row>
    <row r="16" spans="1:24" s="79" customFormat="1">
      <c r="A16" s="286">
        <v>345</v>
      </c>
      <c r="B16" s="91">
        <v>0</v>
      </c>
      <c r="C16" s="351">
        <v>40</v>
      </c>
      <c r="D16" s="494" t="s">
        <v>95</v>
      </c>
      <c r="E16" s="455" t="s">
        <v>95</v>
      </c>
      <c r="F16" s="457" t="s">
        <v>95</v>
      </c>
      <c r="G16" s="460" t="s">
        <v>95</v>
      </c>
      <c r="H16" s="455" t="s">
        <v>95</v>
      </c>
      <c r="I16" s="455" t="s">
        <v>95</v>
      </c>
      <c r="J16" s="455" t="s">
        <v>95</v>
      </c>
      <c r="K16" s="455" t="s">
        <v>95</v>
      </c>
      <c r="L16" s="462" t="s">
        <v>95</v>
      </c>
      <c r="M16" s="351">
        <v>966</v>
      </c>
      <c r="N16" s="481">
        <f t="shared" si="2"/>
        <v>30</v>
      </c>
      <c r="O16" s="81">
        <f t="shared" si="0"/>
        <v>40</v>
      </c>
      <c r="P16" s="16">
        <f t="shared" si="3"/>
        <v>0.35714285714285715</v>
      </c>
      <c r="Q16" s="75">
        <f t="shared" si="1"/>
        <v>3.5714285714285719E-2</v>
      </c>
      <c r="R16" s="441">
        <f>SUM(Q$13:Q16)</f>
        <v>0.14233954451345757</v>
      </c>
      <c r="S16" s="254">
        <f t="shared" si="4"/>
        <v>0.3558488612836439</v>
      </c>
      <c r="T16" s="246"/>
      <c r="U16" s="22" t="s">
        <v>41</v>
      </c>
      <c r="V16" s="84"/>
      <c r="W16" s="17"/>
    </row>
    <row r="17" spans="1:25" s="79" customFormat="1">
      <c r="A17" s="286">
        <v>365</v>
      </c>
      <c r="B17" s="91">
        <v>0</v>
      </c>
      <c r="C17" s="351">
        <v>50</v>
      </c>
      <c r="D17" s="494" t="s">
        <v>95</v>
      </c>
      <c r="E17" s="455" t="s">
        <v>95</v>
      </c>
      <c r="F17" s="457" t="s">
        <v>95</v>
      </c>
      <c r="G17" s="460" t="s">
        <v>95</v>
      </c>
      <c r="H17" s="455" t="s">
        <v>95</v>
      </c>
      <c r="I17" s="455" t="s">
        <v>95</v>
      </c>
      <c r="J17" s="455" t="s">
        <v>95</v>
      </c>
      <c r="K17" s="455" t="s">
        <v>95</v>
      </c>
      <c r="L17" s="462" t="s">
        <v>95</v>
      </c>
      <c r="M17" s="351">
        <v>966</v>
      </c>
      <c r="N17" s="481">
        <f t="shared" si="2"/>
        <v>40</v>
      </c>
      <c r="O17" s="81">
        <f t="shared" si="0"/>
        <v>50</v>
      </c>
      <c r="P17" s="16">
        <f t="shared" si="3"/>
        <v>0.37784679089026912</v>
      </c>
      <c r="Q17" s="75">
        <f t="shared" si="1"/>
        <v>3.7784679089026912E-2</v>
      </c>
      <c r="R17" s="441">
        <f>SUM(Q$13:Q17)</f>
        <v>0.18012422360248448</v>
      </c>
      <c r="S17" s="254">
        <f t="shared" si="4"/>
        <v>0.36024844720496896</v>
      </c>
      <c r="T17" s="246" t="s">
        <v>47</v>
      </c>
      <c r="U17" s="22" t="s">
        <v>41</v>
      </c>
      <c r="V17" s="84"/>
      <c r="W17" s="77"/>
    </row>
    <row r="18" spans="1:25" s="79" customFormat="1">
      <c r="A18" s="286">
        <v>360</v>
      </c>
      <c r="B18" s="91">
        <v>0</v>
      </c>
      <c r="C18" s="351">
        <v>60</v>
      </c>
      <c r="D18" s="494" t="s">
        <v>95</v>
      </c>
      <c r="E18" s="455" t="s">
        <v>95</v>
      </c>
      <c r="F18" s="457" t="s">
        <v>95</v>
      </c>
      <c r="G18" s="460" t="s">
        <v>95</v>
      </c>
      <c r="H18" s="455" t="s">
        <v>95</v>
      </c>
      <c r="I18" s="455" t="s">
        <v>95</v>
      </c>
      <c r="J18" s="455" t="s">
        <v>95</v>
      </c>
      <c r="K18" s="455" t="s">
        <v>95</v>
      </c>
      <c r="L18" s="462" t="s">
        <v>95</v>
      </c>
      <c r="M18" s="351">
        <v>966</v>
      </c>
      <c r="N18" s="481">
        <f t="shared" si="2"/>
        <v>50</v>
      </c>
      <c r="O18" s="81">
        <f t="shared" si="0"/>
        <v>60</v>
      </c>
      <c r="P18" s="16">
        <f t="shared" si="3"/>
        <v>0.37267080745341613</v>
      </c>
      <c r="Q18" s="75">
        <f t="shared" si="1"/>
        <v>3.7267080745341616E-2</v>
      </c>
      <c r="R18" s="441">
        <f>SUM(Q$13:Q18)</f>
        <v>0.21739130434782611</v>
      </c>
      <c r="S18" s="254">
        <f t="shared" si="4"/>
        <v>0.3623188405797102</v>
      </c>
      <c r="T18" s="244"/>
      <c r="U18" s="22" t="s">
        <v>41</v>
      </c>
      <c r="V18" s="84"/>
      <c r="W18" s="77"/>
    </row>
    <row r="19" spans="1:25" s="79" customFormat="1" ht="10.15" customHeight="1">
      <c r="A19" s="286">
        <v>370</v>
      </c>
      <c r="B19" s="91">
        <v>0</v>
      </c>
      <c r="C19" s="351">
        <v>70</v>
      </c>
      <c r="D19" s="494" t="s">
        <v>95</v>
      </c>
      <c r="E19" s="455" t="s">
        <v>95</v>
      </c>
      <c r="F19" s="457" t="s">
        <v>95</v>
      </c>
      <c r="G19" s="460" t="s">
        <v>95</v>
      </c>
      <c r="H19" s="455" t="s">
        <v>95</v>
      </c>
      <c r="I19" s="455" t="s">
        <v>95</v>
      </c>
      <c r="J19" s="455" t="s">
        <v>95</v>
      </c>
      <c r="K19" s="455" t="s">
        <v>95</v>
      </c>
      <c r="L19" s="462" t="s">
        <v>95</v>
      </c>
      <c r="M19" s="351">
        <v>966</v>
      </c>
      <c r="N19" s="481">
        <f t="shared" si="2"/>
        <v>60</v>
      </c>
      <c r="O19" s="81">
        <f t="shared" si="0"/>
        <v>70</v>
      </c>
      <c r="P19" s="16">
        <f t="shared" si="3"/>
        <v>0.38302277432712217</v>
      </c>
      <c r="Q19" s="75">
        <f t="shared" si="1"/>
        <v>3.8302277432712216E-2</v>
      </c>
      <c r="R19" s="441">
        <f>SUM(Q$13:Q19)</f>
        <v>0.2556935817805383</v>
      </c>
      <c r="S19" s="254">
        <f t="shared" si="4"/>
        <v>0.36527654540076898</v>
      </c>
      <c r="T19" s="244"/>
      <c r="U19" s="22" t="s">
        <v>41</v>
      </c>
      <c r="V19" s="84"/>
      <c r="W19" s="87"/>
    </row>
    <row r="20" spans="1:25" s="79" customFormat="1">
      <c r="A20" s="286">
        <v>395</v>
      </c>
      <c r="B20" s="91">
        <v>0</v>
      </c>
      <c r="C20" s="351">
        <v>80</v>
      </c>
      <c r="D20" s="494" t="s">
        <v>95</v>
      </c>
      <c r="E20" s="455" t="s">
        <v>95</v>
      </c>
      <c r="F20" s="457" t="s">
        <v>95</v>
      </c>
      <c r="G20" s="460" t="s">
        <v>95</v>
      </c>
      <c r="H20" s="455" t="s">
        <v>95</v>
      </c>
      <c r="I20" s="455" t="s">
        <v>95</v>
      </c>
      <c r="J20" s="455" t="s">
        <v>95</v>
      </c>
      <c r="K20" s="455" t="s">
        <v>95</v>
      </c>
      <c r="L20" s="462" t="s">
        <v>95</v>
      </c>
      <c r="M20" s="351">
        <v>966</v>
      </c>
      <c r="N20" s="481">
        <f t="shared" si="2"/>
        <v>70</v>
      </c>
      <c r="O20" s="81">
        <f>(C20+C23-G23)/2</f>
        <v>82.5</v>
      </c>
      <c r="P20" s="16">
        <f t="shared" si="3"/>
        <v>0.40890269151138714</v>
      </c>
      <c r="Q20" s="75">
        <f t="shared" si="1"/>
        <v>5.1112836438923386E-2</v>
      </c>
      <c r="R20" s="441">
        <f>SUM(Q$13:Q20)</f>
        <v>0.3068064182194617</v>
      </c>
      <c r="S20" s="254">
        <f t="shared" si="4"/>
        <v>0.37188656753874144</v>
      </c>
      <c r="T20" s="246"/>
      <c r="U20" s="22" t="s">
        <v>41</v>
      </c>
      <c r="V20" s="84"/>
      <c r="W20" s="89"/>
    </row>
    <row r="21" spans="1:25" s="90" customFormat="1" ht="12" thickBot="1">
      <c r="A21" s="410"/>
      <c r="B21" s="411"/>
      <c r="C21" s="412"/>
      <c r="D21" s="495"/>
      <c r="E21" s="412"/>
      <c r="F21" s="458"/>
      <c r="G21" s="413"/>
      <c r="H21" s="412"/>
      <c r="I21" s="412"/>
      <c r="J21" s="412"/>
      <c r="K21" s="412"/>
      <c r="L21" s="414"/>
      <c r="M21" s="412"/>
      <c r="N21" s="482"/>
      <c r="O21" s="415"/>
      <c r="P21" s="416"/>
      <c r="Q21" s="442"/>
      <c r="R21" s="443"/>
      <c r="S21" s="417"/>
      <c r="T21" s="418"/>
      <c r="U21" s="22" t="s">
        <v>41</v>
      </c>
      <c r="V21" s="88"/>
      <c r="W21" s="92"/>
    </row>
    <row r="22" spans="1:25" s="90" customFormat="1">
      <c r="A22" s="419" t="s">
        <v>90</v>
      </c>
      <c r="B22" s="91"/>
      <c r="C22" s="351"/>
      <c r="D22" s="496"/>
      <c r="E22" s="351"/>
      <c r="F22" s="394"/>
      <c r="G22" s="397"/>
      <c r="H22" s="351"/>
      <c r="I22" s="351"/>
      <c r="J22" s="351"/>
      <c r="K22" s="351"/>
      <c r="L22" s="402"/>
      <c r="M22" s="351"/>
      <c r="N22" s="481"/>
      <c r="O22" s="81"/>
      <c r="P22" s="16"/>
      <c r="Q22" s="75"/>
      <c r="R22" s="441"/>
      <c r="S22" s="254"/>
      <c r="T22" s="251"/>
      <c r="U22" s="22" t="s">
        <v>41</v>
      </c>
      <c r="V22" s="88"/>
      <c r="W22" s="92"/>
    </row>
    <row r="23" spans="1:25" s="90" customFormat="1">
      <c r="A23" s="286">
        <v>560</v>
      </c>
      <c r="B23" s="91">
        <v>0</v>
      </c>
      <c r="C23" s="351">
        <f>C24-D24</f>
        <v>135</v>
      </c>
      <c r="D23" s="497">
        <v>50</v>
      </c>
      <c r="E23" s="425"/>
      <c r="F23" s="498"/>
      <c r="G23" s="427">
        <f t="shared" ref="G23:G31" si="5">AVERAGE(D23:F23)</f>
        <v>50</v>
      </c>
      <c r="H23" s="425">
        <v>5.7</v>
      </c>
      <c r="I23" s="425"/>
      <c r="J23" s="425"/>
      <c r="K23" s="425"/>
      <c r="L23" s="426">
        <f t="shared" ref="L23:L31" si="6">AVERAGE(H23:K23)</f>
        <v>5.7</v>
      </c>
      <c r="M23" s="351">
        <f>G23*    PI()* (L23/2)^2</f>
        <v>1275.8793164391548</v>
      </c>
      <c r="N23" s="481">
        <f>(C20+C23-G23)/2</f>
        <v>82.5</v>
      </c>
      <c r="O23" s="81">
        <f>(C23+C24-G24)/2</f>
        <v>135</v>
      </c>
      <c r="P23" s="16">
        <f>(A23-B23)/M23</f>
        <v>0.43891298556583019</v>
      </c>
      <c r="Q23" s="75">
        <f>(P23*(O23-N23))/100</f>
        <v>0.23042931742206085</v>
      </c>
      <c r="R23" s="441">
        <f>SUM(Q$13:Q23)</f>
        <v>0.53723573564152249</v>
      </c>
      <c r="S23" s="254">
        <f>R23/O23*100</f>
        <v>0.39795239677149813</v>
      </c>
      <c r="T23" s="251"/>
      <c r="U23" s="22" t="s">
        <v>41</v>
      </c>
      <c r="V23" s="88"/>
      <c r="W23" s="92"/>
    </row>
    <row r="24" spans="1:25" s="873" customFormat="1">
      <c r="A24" s="855">
        <v>450</v>
      </c>
      <c r="B24" s="856">
        <v>0</v>
      </c>
      <c r="C24" s="857">
        <v>171</v>
      </c>
      <c r="D24" s="858">
        <v>36</v>
      </c>
      <c r="E24" s="859"/>
      <c r="F24" s="860"/>
      <c r="G24" s="861">
        <f t="shared" si="5"/>
        <v>36</v>
      </c>
      <c r="H24" s="859">
        <v>5.7</v>
      </c>
      <c r="I24" s="859"/>
      <c r="J24" s="859"/>
      <c r="K24" s="859"/>
      <c r="L24" s="862">
        <f t="shared" si="6"/>
        <v>5.7</v>
      </c>
      <c r="M24" s="857">
        <f t="shared" ref="M24:M31" si="7">G24*    PI()* (L24/2)^2</f>
        <v>918.63310783619147</v>
      </c>
      <c r="N24" s="863">
        <f>(C23+C24-G24)/2</f>
        <v>135</v>
      </c>
      <c r="O24" s="864">
        <f>(C24+C25-G25)/2</f>
        <v>164.5</v>
      </c>
      <c r="P24" s="865">
        <f>(A24-B24)/M24</f>
        <v>0.48985824281900686</v>
      </c>
      <c r="Q24" s="866">
        <f>(P24*(O24-N24))/100</f>
        <v>0.14450818163160703</v>
      </c>
      <c r="R24" s="867">
        <f>SUM(Q$13:Q24)</f>
        <v>0.68174391727312955</v>
      </c>
      <c r="S24" s="868">
        <f>R24/O24*100</f>
        <v>0.41443399226330069</v>
      </c>
      <c r="T24" s="869"/>
      <c r="U24" s="870" t="s">
        <v>41</v>
      </c>
      <c r="V24" s="871"/>
      <c r="W24" s="872"/>
    </row>
    <row r="25" spans="1:25" s="90" customFormat="1">
      <c r="A25" s="286">
        <v>680</v>
      </c>
      <c r="B25" s="91">
        <v>0</v>
      </c>
      <c r="C25" s="351">
        <f>C26-D26</f>
        <v>211</v>
      </c>
      <c r="D25" s="497">
        <v>53</v>
      </c>
      <c r="E25" s="425"/>
      <c r="F25" s="498"/>
      <c r="G25" s="427">
        <f t="shared" si="5"/>
        <v>53</v>
      </c>
      <c r="H25" s="425">
        <v>5.7</v>
      </c>
      <c r="I25" s="425"/>
      <c r="J25" s="425"/>
      <c r="K25" s="425"/>
      <c r="L25" s="426">
        <f t="shared" si="6"/>
        <v>5.7</v>
      </c>
      <c r="M25" s="351">
        <f t="shared" si="7"/>
        <v>1352.4320754255041</v>
      </c>
      <c r="N25" s="481">
        <f t="shared" ref="N25:N31" si="8">(C24+C25-G25)/2</f>
        <v>164.5</v>
      </c>
      <c r="O25" s="81">
        <f t="shared" ref="O25:O30" si="9">(C25+C26-G26)/2</f>
        <v>211</v>
      </c>
      <c r="P25" s="16">
        <f t="shared" ref="P25:P31" si="10">(A25-B25)/M25</f>
        <v>0.50279789451611268</v>
      </c>
      <c r="Q25" s="75">
        <f t="shared" ref="Q25:Q31" si="11">(P25*(O25-N25))/100</f>
        <v>0.23380102094999239</v>
      </c>
      <c r="R25" s="441">
        <f>SUM(Q$13:Q25)</f>
        <v>0.915544938223122</v>
      </c>
      <c r="S25" s="254">
        <f t="shared" ref="S25:S31" si="12">R25/O25*100</f>
        <v>0.43390755366024736</v>
      </c>
      <c r="T25" s="251"/>
      <c r="U25" s="22" t="s">
        <v>41</v>
      </c>
      <c r="V25" s="84"/>
      <c r="W25" s="92"/>
    </row>
    <row r="26" spans="1:25" s="873" customFormat="1">
      <c r="A26" s="855">
        <v>440</v>
      </c>
      <c r="B26" s="856">
        <v>0</v>
      </c>
      <c r="C26" s="857">
        <v>243</v>
      </c>
      <c r="D26" s="858">
        <v>32</v>
      </c>
      <c r="E26" s="859"/>
      <c r="F26" s="860"/>
      <c r="G26" s="861">
        <f t="shared" si="5"/>
        <v>32</v>
      </c>
      <c r="H26" s="859">
        <v>5.7</v>
      </c>
      <c r="I26" s="859"/>
      <c r="J26" s="859"/>
      <c r="K26" s="859"/>
      <c r="L26" s="862">
        <f t="shared" si="6"/>
        <v>5.7</v>
      </c>
      <c r="M26" s="857">
        <f t="shared" si="7"/>
        <v>816.56276252105908</v>
      </c>
      <c r="N26" s="863">
        <f t="shared" si="8"/>
        <v>211</v>
      </c>
      <c r="O26" s="864">
        <f t="shared" si="9"/>
        <v>239</v>
      </c>
      <c r="P26" s="865">
        <f t="shared" si="10"/>
        <v>0.5388440671009076</v>
      </c>
      <c r="Q26" s="866">
        <f t="shared" si="11"/>
        <v>0.15087633878825413</v>
      </c>
      <c r="R26" s="867">
        <f>SUM(Q$13:Q26)</f>
        <v>1.0664212770113761</v>
      </c>
      <c r="S26" s="868">
        <f t="shared" si="12"/>
        <v>0.44620137113446695</v>
      </c>
      <c r="T26" s="869"/>
      <c r="U26" s="870" t="s">
        <v>41</v>
      </c>
      <c r="V26" s="871"/>
      <c r="W26" s="872"/>
    </row>
    <row r="27" spans="1:25">
      <c r="A27" s="286">
        <v>450</v>
      </c>
      <c r="B27" s="91">
        <v>0</v>
      </c>
      <c r="C27" s="351">
        <f>C28-D28</f>
        <v>273</v>
      </c>
      <c r="D27" s="497">
        <v>38</v>
      </c>
      <c r="E27" s="425"/>
      <c r="F27" s="498"/>
      <c r="G27" s="427">
        <f t="shared" si="5"/>
        <v>38</v>
      </c>
      <c r="H27" s="425">
        <v>5.7</v>
      </c>
      <c r="I27" s="425"/>
      <c r="J27" s="425"/>
      <c r="K27" s="425"/>
      <c r="L27" s="426">
        <f t="shared" si="6"/>
        <v>5.7</v>
      </c>
      <c r="M27" s="351">
        <f t="shared" si="7"/>
        <v>969.66828049375761</v>
      </c>
      <c r="N27" s="481">
        <f t="shared" si="8"/>
        <v>239</v>
      </c>
      <c r="O27" s="81">
        <f t="shared" si="9"/>
        <v>273</v>
      </c>
      <c r="P27" s="16">
        <f t="shared" si="10"/>
        <v>0.46407623003905918</v>
      </c>
      <c r="Q27" s="75">
        <f t="shared" si="11"/>
        <v>0.15778591821328011</v>
      </c>
      <c r="R27" s="441">
        <f>SUM(Q$13:Q27)</f>
        <v>1.2242071952246563</v>
      </c>
      <c r="S27" s="254">
        <f t="shared" si="12"/>
        <v>0.44842754403833557</v>
      </c>
      <c r="T27" s="251" t="s">
        <v>145</v>
      </c>
      <c r="U27" s="22" t="s">
        <v>41</v>
      </c>
      <c r="V27" s="84"/>
      <c r="W27" s="92"/>
      <c r="X27" s="90"/>
      <c r="Y27" s="90"/>
    </row>
    <row r="28" spans="1:25" s="874" customFormat="1">
      <c r="A28" s="855">
        <v>350</v>
      </c>
      <c r="B28" s="856">
        <v>0</v>
      </c>
      <c r="C28" s="857">
        <v>300</v>
      </c>
      <c r="D28" s="858">
        <v>27</v>
      </c>
      <c r="E28" s="859"/>
      <c r="F28" s="860"/>
      <c r="G28" s="861">
        <f t="shared" si="5"/>
        <v>27</v>
      </c>
      <c r="H28" s="859">
        <v>5.7</v>
      </c>
      <c r="I28" s="859"/>
      <c r="J28" s="859"/>
      <c r="K28" s="859"/>
      <c r="L28" s="862">
        <f t="shared" si="6"/>
        <v>5.7</v>
      </c>
      <c r="M28" s="857">
        <f t="shared" si="7"/>
        <v>688.97483087714352</v>
      </c>
      <c r="N28" s="863">
        <f t="shared" si="8"/>
        <v>273</v>
      </c>
      <c r="O28" s="864">
        <f t="shared" si="9"/>
        <v>304</v>
      </c>
      <c r="P28" s="865">
        <f t="shared" si="10"/>
        <v>0.5080011407011924</v>
      </c>
      <c r="Q28" s="866">
        <f t="shared" si="11"/>
        <v>0.15748035361736964</v>
      </c>
      <c r="R28" s="867">
        <f>SUM(Q$13:Q28)</f>
        <v>1.3816875488420259</v>
      </c>
      <c r="S28" s="868">
        <f t="shared" si="12"/>
        <v>0.4545024831717191</v>
      </c>
      <c r="T28" s="869"/>
      <c r="U28" s="870" t="s">
        <v>41</v>
      </c>
      <c r="V28" s="871"/>
      <c r="W28" s="872"/>
      <c r="X28" s="873"/>
      <c r="Y28" s="873"/>
    </row>
    <row r="29" spans="1:25">
      <c r="A29" s="286">
        <v>850</v>
      </c>
      <c r="B29" s="91">
        <v>0</v>
      </c>
      <c r="C29" s="351">
        <v>365</v>
      </c>
      <c r="D29" s="497">
        <v>57</v>
      </c>
      <c r="E29" s="425"/>
      <c r="F29" s="498"/>
      <c r="G29" s="427">
        <f t="shared" si="5"/>
        <v>57</v>
      </c>
      <c r="H29" s="425">
        <v>5.7</v>
      </c>
      <c r="I29" s="425"/>
      <c r="J29" s="425"/>
      <c r="K29" s="425"/>
      <c r="L29" s="426">
        <f t="shared" si="6"/>
        <v>5.7</v>
      </c>
      <c r="M29" s="351">
        <f t="shared" si="7"/>
        <v>1454.5024207406364</v>
      </c>
      <c r="N29" s="481">
        <f t="shared" si="8"/>
        <v>304</v>
      </c>
      <c r="O29" s="81">
        <f t="shared" si="9"/>
        <v>364.5</v>
      </c>
      <c r="P29" s="16">
        <f t="shared" si="10"/>
        <v>0.58439228967881529</v>
      </c>
      <c r="Q29" s="75">
        <f t="shared" si="11"/>
        <v>0.35355733525568328</v>
      </c>
      <c r="R29" s="441">
        <f>SUM(Q$13:Q29)</f>
        <v>1.7352448840977093</v>
      </c>
      <c r="S29" s="254">
        <f t="shared" si="12"/>
        <v>0.47606169659745112</v>
      </c>
      <c r="T29" s="251"/>
      <c r="U29" s="22" t="s">
        <v>41</v>
      </c>
      <c r="V29" s="84"/>
      <c r="W29" s="92"/>
      <c r="X29" s="90"/>
      <c r="Y29" s="90"/>
    </row>
    <row r="30" spans="1:25">
      <c r="A30" s="286">
        <v>1030</v>
      </c>
      <c r="B30" s="91">
        <v>0</v>
      </c>
      <c r="C30" s="351">
        <v>426</v>
      </c>
      <c r="D30" s="497">
        <v>62</v>
      </c>
      <c r="E30" s="425"/>
      <c r="F30" s="498"/>
      <c r="G30" s="427">
        <f t="shared" si="5"/>
        <v>62</v>
      </c>
      <c r="H30" s="425">
        <v>5.7</v>
      </c>
      <c r="I30" s="425"/>
      <c r="J30" s="425"/>
      <c r="K30" s="425"/>
      <c r="L30" s="426">
        <f t="shared" si="6"/>
        <v>5.7</v>
      </c>
      <c r="M30" s="351">
        <f t="shared" si="7"/>
        <v>1582.0903523845518</v>
      </c>
      <c r="N30" s="481">
        <f t="shared" si="8"/>
        <v>364.5</v>
      </c>
      <c r="O30" s="81">
        <f t="shared" si="9"/>
        <v>431.5</v>
      </c>
      <c r="P30" s="16">
        <f t="shared" si="10"/>
        <v>0.65103740658526077</v>
      </c>
      <c r="Q30" s="75">
        <f t="shared" si="11"/>
        <v>0.43619506241212469</v>
      </c>
      <c r="R30" s="441">
        <f>SUM(Q$13:Q30)</f>
        <v>2.171439946509834</v>
      </c>
      <c r="S30" s="254">
        <f t="shared" si="12"/>
        <v>0.50323057856543085</v>
      </c>
      <c r="T30" s="251"/>
      <c r="U30" s="22" t="s">
        <v>41</v>
      </c>
      <c r="V30" s="84"/>
      <c r="W30" s="92"/>
      <c r="X30" s="90"/>
      <c r="Y30" s="90"/>
    </row>
    <row r="31" spans="1:25">
      <c r="A31" s="286">
        <v>540</v>
      </c>
      <c r="B31" s="91">
        <v>0</v>
      </c>
      <c r="C31" s="351">
        <v>463</v>
      </c>
      <c r="D31" s="497">
        <v>26</v>
      </c>
      <c r="E31" s="425"/>
      <c r="F31" s="498"/>
      <c r="G31" s="427">
        <f t="shared" si="5"/>
        <v>26</v>
      </c>
      <c r="H31" s="425">
        <v>5.7</v>
      </c>
      <c r="I31" s="425"/>
      <c r="J31" s="425"/>
      <c r="K31" s="425"/>
      <c r="L31" s="426">
        <f t="shared" si="6"/>
        <v>5.7</v>
      </c>
      <c r="M31" s="351">
        <f t="shared" si="7"/>
        <v>663.45724454836056</v>
      </c>
      <c r="N31" s="481">
        <f t="shared" si="8"/>
        <v>431.5</v>
      </c>
      <c r="O31" s="81">
        <f>C31</f>
        <v>463</v>
      </c>
      <c r="P31" s="16">
        <f t="shared" si="10"/>
        <v>0.81391831114542668</v>
      </c>
      <c r="Q31" s="75">
        <f t="shared" si="11"/>
        <v>0.25638426801080938</v>
      </c>
      <c r="R31" s="441">
        <f>SUM(Q$13:Q31)</f>
        <v>2.4278242145206432</v>
      </c>
      <c r="S31" s="254">
        <f t="shared" si="12"/>
        <v>0.52436808088998776</v>
      </c>
      <c r="T31" s="251"/>
      <c r="U31" s="22" t="s">
        <v>41</v>
      </c>
      <c r="V31" s="84"/>
      <c r="W31" s="92"/>
      <c r="X31" s="90"/>
      <c r="Y31" s="90"/>
    </row>
    <row r="32" spans="1:25">
      <c r="A32" s="286"/>
      <c r="B32" s="91"/>
      <c r="C32" s="351"/>
      <c r="D32" s="497"/>
      <c r="E32" s="425"/>
      <c r="F32" s="498"/>
      <c r="G32" s="427"/>
      <c r="H32" s="425"/>
      <c r="I32" s="425"/>
      <c r="J32" s="425"/>
      <c r="K32" s="425"/>
      <c r="L32" s="426"/>
      <c r="M32" s="351"/>
      <c r="N32" s="481"/>
      <c r="O32" s="81"/>
      <c r="P32" s="16"/>
      <c r="Q32" s="75"/>
      <c r="R32" s="441"/>
      <c r="S32" s="254"/>
      <c r="T32" s="251"/>
      <c r="U32" s="22"/>
      <c r="V32" s="84"/>
      <c r="W32" s="94"/>
    </row>
    <row r="33" spans="1:26">
      <c r="A33" s="286"/>
      <c r="B33" s="91"/>
      <c r="C33" s="351"/>
      <c r="D33" s="497"/>
      <c r="E33" s="425"/>
      <c r="F33" s="498"/>
      <c r="G33" s="427"/>
      <c r="H33" s="425"/>
      <c r="I33" s="425"/>
      <c r="J33" s="425"/>
      <c r="K33" s="425"/>
      <c r="L33" s="426"/>
      <c r="M33" s="351"/>
      <c r="N33" s="481"/>
      <c r="O33" s="81"/>
      <c r="P33" s="16"/>
      <c r="Q33" s="75"/>
      <c r="R33" s="441"/>
      <c r="S33" s="254"/>
      <c r="T33" s="251"/>
      <c r="U33" s="22"/>
      <c r="V33" s="84"/>
      <c r="W33" s="238"/>
      <c r="X33" s="97"/>
      <c r="Y33" s="239"/>
      <c r="Z33" s="97"/>
    </row>
    <row r="34" spans="1:26">
      <c r="A34" s="286"/>
      <c r="B34" s="91"/>
      <c r="C34" s="351"/>
      <c r="D34" s="497"/>
      <c r="E34" s="425"/>
      <c r="F34" s="498"/>
      <c r="G34" s="427"/>
      <c r="H34" s="425"/>
      <c r="I34" s="425"/>
      <c r="J34" s="425"/>
      <c r="K34" s="425"/>
      <c r="L34" s="426"/>
      <c r="M34" s="351"/>
      <c r="N34" s="481"/>
      <c r="O34" s="81"/>
      <c r="P34" s="16"/>
      <c r="Q34" s="75"/>
      <c r="R34" s="441"/>
      <c r="S34" s="254"/>
      <c r="T34" s="251"/>
      <c r="U34" s="22"/>
      <c r="V34" s="84"/>
      <c r="W34" s="238"/>
      <c r="X34" s="97"/>
      <c r="Y34" s="240"/>
      <c r="Z34" s="97"/>
    </row>
    <row r="35" spans="1:26">
      <c r="A35" s="286"/>
      <c r="B35" s="91"/>
      <c r="C35" s="351"/>
      <c r="D35" s="497"/>
      <c r="E35" s="425"/>
      <c r="F35" s="498"/>
      <c r="G35" s="427"/>
      <c r="H35" s="425"/>
      <c r="I35" s="425"/>
      <c r="J35" s="425"/>
      <c r="K35" s="425"/>
      <c r="L35" s="426"/>
      <c r="M35" s="351"/>
      <c r="N35" s="481"/>
      <c r="O35" s="81"/>
      <c r="P35" s="16"/>
      <c r="Q35" s="75"/>
      <c r="R35" s="441"/>
      <c r="S35" s="254"/>
      <c r="T35" s="251"/>
      <c r="U35" s="22"/>
      <c r="V35" s="84"/>
      <c r="W35" s="241"/>
      <c r="X35" s="97"/>
      <c r="Y35" s="97"/>
      <c r="Z35" s="97"/>
    </row>
    <row r="36" spans="1:26">
      <c r="A36" s="286"/>
      <c r="B36" s="91"/>
      <c r="C36" s="351"/>
      <c r="D36" s="497"/>
      <c r="E36" s="425"/>
      <c r="F36" s="498"/>
      <c r="G36" s="427"/>
      <c r="H36" s="425"/>
      <c r="I36" s="425"/>
      <c r="J36" s="425"/>
      <c r="K36" s="425"/>
      <c r="L36" s="426"/>
      <c r="M36" s="351"/>
      <c r="N36" s="481"/>
      <c r="O36" s="81"/>
      <c r="P36" s="16"/>
      <c r="Q36" s="75"/>
      <c r="R36" s="441"/>
      <c r="S36" s="254"/>
      <c r="T36" s="251"/>
      <c r="U36" s="22"/>
      <c r="V36" s="84"/>
      <c r="W36" s="98"/>
      <c r="X36" s="99"/>
    </row>
    <row r="37" spans="1:26">
      <c r="A37" s="286"/>
      <c r="B37" s="91"/>
      <c r="C37" s="351"/>
      <c r="D37" s="497"/>
      <c r="E37" s="425"/>
      <c r="F37" s="498"/>
      <c r="G37" s="427"/>
      <c r="H37" s="425"/>
      <c r="I37" s="425"/>
      <c r="J37" s="425"/>
      <c r="K37" s="425"/>
      <c r="L37" s="426"/>
      <c r="M37" s="351"/>
      <c r="N37" s="481"/>
      <c r="O37" s="81"/>
      <c r="P37" s="16"/>
      <c r="Q37" s="75"/>
      <c r="R37" s="441"/>
      <c r="S37" s="254"/>
      <c r="T37" s="251"/>
      <c r="U37" s="22"/>
      <c r="V37" s="84"/>
      <c r="W37" s="99"/>
      <c r="X37" s="99"/>
    </row>
    <row r="38" spans="1:26">
      <c r="A38" s="286"/>
      <c r="B38" s="91"/>
      <c r="C38" s="351"/>
      <c r="D38" s="497"/>
      <c r="E38" s="425"/>
      <c r="F38" s="498"/>
      <c r="G38" s="427"/>
      <c r="H38" s="425"/>
      <c r="I38" s="425"/>
      <c r="J38" s="425"/>
      <c r="K38" s="425"/>
      <c r="L38" s="426"/>
      <c r="M38" s="351"/>
      <c r="N38" s="481"/>
      <c r="O38" s="81"/>
      <c r="P38" s="16"/>
      <c r="Q38" s="75"/>
      <c r="R38" s="441"/>
      <c r="S38" s="254"/>
      <c r="T38" s="251"/>
      <c r="U38" s="22"/>
      <c r="V38" s="84"/>
    </row>
    <row r="39" spans="1:26">
      <c r="A39" s="286"/>
      <c r="B39" s="91"/>
      <c r="C39" s="351"/>
      <c r="D39" s="497"/>
      <c r="E39" s="425"/>
      <c r="F39" s="498"/>
      <c r="G39" s="427"/>
      <c r="H39" s="425"/>
      <c r="I39" s="425"/>
      <c r="J39" s="425"/>
      <c r="K39" s="425"/>
      <c r="L39" s="426"/>
      <c r="M39" s="351"/>
      <c r="N39" s="481"/>
      <c r="O39" s="81"/>
      <c r="P39" s="16"/>
      <c r="Q39" s="75"/>
      <c r="R39" s="441"/>
      <c r="S39" s="254"/>
      <c r="T39" s="251"/>
      <c r="U39" s="22"/>
      <c r="V39" s="84"/>
    </row>
    <row r="40" spans="1:26">
      <c r="A40" s="286"/>
      <c r="B40" s="91"/>
      <c r="C40" s="351"/>
      <c r="D40" s="497"/>
      <c r="E40" s="425"/>
      <c r="F40" s="498"/>
      <c r="G40" s="427"/>
      <c r="H40" s="425"/>
      <c r="I40" s="425"/>
      <c r="J40" s="425"/>
      <c r="K40" s="425"/>
      <c r="L40" s="426"/>
      <c r="M40" s="351"/>
      <c r="N40" s="481"/>
      <c r="O40" s="81"/>
      <c r="P40" s="16"/>
      <c r="Q40" s="75"/>
      <c r="R40" s="441"/>
      <c r="S40" s="254"/>
      <c r="T40" s="251"/>
      <c r="U40" s="22"/>
      <c r="V40" s="84"/>
    </row>
    <row r="41" spans="1:26">
      <c r="A41" s="286"/>
      <c r="B41" s="91"/>
      <c r="C41" s="351"/>
      <c r="D41" s="497"/>
      <c r="E41" s="425"/>
      <c r="F41" s="498"/>
      <c r="G41" s="427"/>
      <c r="H41" s="425"/>
      <c r="I41" s="425"/>
      <c r="J41" s="425"/>
      <c r="K41" s="425"/>
      <c r="L41" s="426"/>
      <c r="M41" s="351"/>
      <c r="N41" s="481"/>
      <c r="O41" s="81"/>
      <c r="P41" s="16"/>
      <c r="Q41" s="75"/>
      <c r="R41" s="441"/>
      <c r="S41" s="254"/>
      <c r="T41" s="251"/>
      <c r="U41" s="22"/>
      <c r="V41" s="84"/>
    </row>
    <row r="42" spans="1:26">
      <c r="A42" s="286"/>
      <c r="B42" s="91"/>
      <c r="C42" s="351"/>
      <c r="D42" s="497"/>
      <c r="E42" s="425"/>
      <c r="F42" s="498"/>
      <c r="G42" s="427"/>
      <c r="H42" s="425"/>
      <c r="I42" s="425"/>
      <c r="J42" s="425"/>
      <c r="K42" s="425"/>
      <c r="L42" s="426"/>
      <c r="M42" s="351"/>
      <c r="N42" s="481"/>
      <c r="O42" s="81"/>
      <c r="P42" s="16"/>
      <c r="Q42" s="75"/>
      <c r="R42" s="441"/>
      <c r="S42" s="254"/>
      <c r="T42" s="251"/>
      <c r="U42" s="22"/>
      <c r="V42" s="84"/>
    </row>
    <row r="43" spans="1:26">
      <c r="A43" s="286"/>
      <c r="B43" s="91"/>
      <c r="C43" s="351"/>
      <c r="D43" s="497"/>
      <c r="E43" s="425"/>
      <c r="F43" s="498"/>
      <c r="G43" s="427"/>
      <c r="H43" s="425"/>
      <c r="I43" s="425"/>
      <c r="J43" s="425"/>
      <c r="K43" s="425"/>
      <c r="L43" s="426"/>
      <c r="M43" s="351"/>
      <c r="N43" s="481"/>
      <c r="O43" s="81"/>
      <c r="P43" s="16"/>
      <c r="Q43" s="75"/>
      <c r="R43" s="441"/>
      <c r="S43" s="254"/>
      <c r="T43" s="251"/>
      <c r="U43" s="22"/>
      <c r="V43" s="84"/>
    </row>
    <row r="44" spans="1:26">
      <c r="A44" s="286"/>
      <c r="B44" s="91"/>
      <c r="C44" s="351"/>
      <c r="D44" s="497"/>
      <c r="E44" s="425"/>
      <c r="F44" s="498"/>
      <c r="G44" s="427"/>
      <c r="H44" s="425"/>
      <c r="I44" s="425"/>
      <c r="J44" s="425"/>
      <c r="K44" s="425"/>
      <c r="L44" s="426"/>
      <c r="M44" s="351"/>
      <c r="N44" s="481"/>
      <c r="O44" s="81"/>
      <c r="P44" s="16"/>
      <c r="Q44" s="75"/>
      <c r="R44" s="441"/>
      <c r="S44" s="254"/>
      <c r="T44" s="251"/>
      <c r="U44" s="22"/>
      <c r="V44" s="84"/>
    </row>
    <row r="45" spans="1:26">
      <c r="A45" s="286"/>
      <c r="B45" s="91"/>
      <c r="C45" s="351"/>
      <c r="D45" s="497"/>
      <c r="E45" s="425"/>
      <c r="F45" s="498"/>
      <c r="G45" s="427"/>
      <c r="H45" s="425"/>
      <c r="I45" s="425"/>
      <c r="J45" s="425"/>
      <c r="K45" s="425"/>
      <c r="L45" s="426"/>
      <c r="M45" s="351"/>
      <c r="N45" s="481"/>
      <c r="O45" s="81"/>
      <c r="P45" s="16"/>
      <c r="Q45" s="75"/>
      <c r="R45" s="441"/>
      <c r="S45" s="254"/>
      <c r="T45" s="251"/>
      <c r="U45" s="22"/>
      <c r="V45" s="84"/>
    </row>
    <row r="46" spans="1:26">
      <c r="A46" s="286"/>
      <c r="B46" s="91"/>
      <c r="C46" s="351"/>
      <c r="D46" s="497"/>
      <c r="E46" s="425"/>
      <c r="F46" s="498"/>
      <c r="G46" s="427"/>
      <c r="H46" s="425"/>
      <c r="I46" s="425"/>
      <c r="J46" s="425"/>
      <c r="K46" s="425"/>
      <c r="L46" s="426"/>
      <c r="M46" s="351"/>
      <c r="N46" s="481"/>
      <c r="O46" s="81"/>
      <c r="P46" s="16"/>
      <c r="Q46" s="75"/>
      <c r="R46" s="441"/>
      <c r="S46" s="254"/>
      <c r="T46" s="251"/>
      <c r="U46" s="22"/>
      <c r="V46" s="84"/>
    </row>
    <row r="47" spans="1:26">
      <c r="A47" s="286"/>
      <c r="B47" s="91"/>
      <c r="C47" s="351"/>
      <c r="D47" s="497"/>
      <c r="E47" s="425"/>
      <c r="F47" s="498"/>
      <c r="G47" s="427"/>
      <c r="H47" s="425"/>
      <c r="I47" s="425"/>
      <c r="J47" s="425"/>
      <c r="K47" s="425"/>
      <c r="L47" s="426"/>
      <c r="M47" s="351"/>
      <c r="N47" s="481"/>
      <c r="O47" s="81"/>
      <c r="P47" s="16"/>
      <c r="Q47" s="75"/>
      <c r="R47" s="441"/>
      <c r="S47" s="254"/>
      <c r="T47" s="251"/>
      <c r="U47" s="22"/>
      <c r="V47" s="84"/>
    </row>
    <row r="48" spans="1:26">
      <c r="A48" s="286"/>
      <c r="B48" s="91"/>
      <c r="C48" s="351"/>
      <c r="D48" s="497"/>
      <c r="E48" s="425"/>
      <c r="F48" s="498"/>
      <c r="G48" s="427"/>
      <c r="H48" s="425"/>
      <c r="I48" s="425"/>
      <c r="J48" s="425"/>
      <c r="K48" s="425"/>
      <c r="L48" s="426"/>
      <c r="M48" s="351"/>
      <c r="N48" s="481"/>
      <c r="O48" s="81"/>
      <c r="P48" s="16"/>
      <c r="Q48" s="75"/>
      <c r="R48" s="441"/>
      <c r="S48" s="254"/>
      <c r="T48" s="251"/>
      <c r="U48" s="22"/>
      <c r="V48" s="84"/>
    </row>
    <row r="49" spans="1:26">
      <c r="A49" s="286"/>
      <c r="B49" s="91"/>
      <c r="C49" s="351"/>
      <c r="D49" s="497"/>
      <c r="E49" s="425"/>
      <c r="F49" s="498"/>
      <c r="G49" s="427"/>
      <c r="H49" s="425"/>
      <c r="I49" s="425"/>
      <c r="J49" s="425"/>
      <c r="K49" s="425"/>
      <c r="L49" s="426"/>
      <c r="M49" s="351"/>
      <c r="N49" s="481"/>
      <c r="O49" s="81"/>
      <c r="P49" s="16"/>
      <c r="Q49" s="75"/>
      <c r="R49" s="441"/>
      <c r="S49" s="254"/>
      <c r="T49" s="251"/>
      <c r="U49" s="22"/>
      <c r="V49" s="84"/>
    </row>
    <row r="50" spans="1:26" ht="12" thickBot="1">
      <c r="A50" s="286"/>
      <c r="B50" s="91"/>
      <c r="C50" s="351"/>
      <c r="D50" s="497"/>
      <c r="E50" s="425"/>
      <c r="F50" s="498"/>
      <c r="G50" s="427"/>
      <c r="H50" s="425"/>
      <c r="I50" s="425"/>
      <c r="J50" s="425"/>
      <c r="K50" s="425"/>
      <c r="L50" s="426"/>
      <c r="M50" s="351"/>
      <c r="N50" s="481"/>
      <c r="O50" s="81"/>
      <c r="P50" s="16"/>
      <c r="Q50" s="75"/>
      <c r="R50" s="441"/>
      <c r="S50" s="254"/>
      <c r="T50" s="251"/>
      <c r="U50" s="22"/>
      <c r="V50" s="95"/>
    </row>
    <row r="51" spans="1:26">
      <c r="A51" s="286"/>
      <c r="B51" s="91"/>
      <c r="C51" s="351"/>
      <c r="D51" s="497"/>
      <c r="E51" s="425"/>
      <c r="F51" s="498"/>
      <c r="G51" s="427"/>
      <c r="H51" s="425"/>
      <c r="I51" s="425"/>
      <c r="J51" s="425"/>
      <c r="K51" s="425"/>
      <c r="L51" s="426"/>
      <c r="M51" s="351"/>
      <c r="N51" s="481"/>
      <c r="O51" s="81"/>
      <c r="P51" s="16"/>
      <c r="Q51" s="75"/>
      <c r="R51" s="441"/>
      <c r="S51" s="254"/>
      <c r="T51" s="251"/>
      <c r="U51" s="242" t="s">
        <v>42</v>
      </c>
      <c r="V51" s="96">
        <f>AVERAGE(V12:V50)</f>
        <v>273</v>
      </c>
    </row>
    <row r="52" spans="1:26">
      <c r="A52" s="286"/>
      <c r="B52" s="91"/>
      <c r="C52" s="351"/>
      <c r="D52" s="497"/>
      <c r="E52" s="425"/>
      <c r="F52" s="498"/>
      <c r="G52" s="427"/>
      <c r="H52" s="425"/>
      <c r="I52" s="425"/>
      <c r="J52" s="425"/>
      <c r="K52" s="425"/>
      <c r="L52" s="426"/>
      <c r="M52" s="351"/>
      <c r="N52" s="481"/>
      <c r="O52" s="81"/>
      <c r="P52" s="16"/>
      <c r="Q52" s="75"/>
      <c r="R52" s="441"/>
      <c r="S52" s="254"/>
      <c r="T52" s="251"/>
      <c r="U52" s="33" t="s">
        <v>43</v>
      </c>
      <c r="V52" s="95" t="e">
        <f>STDEV(V12:V50)</f>
        <v>#DIV/0!</v>
      </c>
      <c r="W52" s="56"/>
      <c r="X52" s="56"/>
    </row>
    <row r="53" spans="1:26">
      <c r="A53" s="287" t="s">
        <v>73</v>
      </c>
      <c r="B53" s="258"/>
      <c r="C53" s="352"/>
      <c r="D53" s="352"/>
      <c r="E53" s="352"/>
      <c r="F53" s="352"/>
      <c r="G53" s="398"/>
      <c r="H53" s="352"/>
      <c r="I53" s="352"/>
      <c r="J53" s="352"/>
      <c r="K53" s="352"/>
      <c r="L53" s="403"/>
      <c r="M53" s="352"/>
      <c r="N53" s="483"/>
      <c r="O53" s="260"/>
      <c r="P53" s="261"/>
      <c r="Q53" s="444"/>
      <c r="R53" s="445"/>
      <c r="S53" s="264"/>
      <c r="T53" s="265"/>
      <c r="U53" s="33" t="s">
        <v>44</v>
      </c>
      <c r="V53" s="95" t="e">
        <f>V52/SQRT(COUNT(V12:V49))</f>
        <v>#DIV/0!</v>
      </c>
      <c r="W53" s="98"/>
      <c r="X53" s="56"/>
      <c r="Y53" s="56"/>
      <c r="Z53" s="56"/>
    </row>
    <row r="54" spans="1:26">
      <c r="A54" s="266"/>
      <c r="B54" s="267"/>
      <c r="C54" s="353"/>
      <c r="D54" s="353"/>
      <c r="E54" s="353"/>
      <c r="F54" s="353"/>
      <c r="G54" s="399"/>
      <c r="H54" s="353"/>
      <c r="I54" s="353"/>
      <c r="J54" s="353"/>
      <c r="K54" s="353"/>
      <c r="L54" s="404"/>
      <c r="M54" s="353"/>
      <c r="N54" s="484"/>
      <c r="O54" s="269"/>
      <c r="P54" s="446"/>
      <c r="Q54" s="271"/>
      <c r="R54" s="447"/>
      <c r="S54" s="448"/>
      <c r="T54" s="274"/>
      <c r="U54" s="33" t="s">
        <v>45</v>
      </c>
      <c r="V54" s="95">
        <f>MAX(V12:V50)</f>
        <v>273</v>
      </c>
      <c r="W54" s="98"/>
    </row>
    <row r="55" spans="1:26" ht="12" thickBot="1">
      <c r="A55" s="275"/>
      <c r="B55" s="276"/>
      <c r="C55" s="354"/>
      <c r="D55" s="354"/>
      <c r="E55" s="354"/>
      <c r="F55" s="354"/>
      <c r="G55" s="400"/>
      <c r="H55" s="354"/>
      <c r="I55" s="354"/>
      <c r="J55" s="354"/>
      <c r="K55" s="354"/>
      <c r="L55" s="405"/>
      <c r="M55" s="354"/>
      <c r="N55" s="485"/>
      <c r="O55" s="278"/>
      <c r="P55" s="449"/>
      <c r="Q55" s="280"/>
      <c r="R55" s="450"/>
      <c r="S55" s="451"/>
      <c r="T55" s="283"/>
      <c r="U55" s="243" t="s">
        <v>46</v>
      </c>
      <c r="V55" s="100">
        <f>MIN(V12:V50)</f>
        <v>273</v>
      </c>
      <c r="W55" s="56"/>
    </row>
    <row r="56" spans="1:26">
      <c r="A56" s="15"/>
      <c r="B56" s="15"/>
      <c r="C56" s="14"/>
      <c r="D56" s="105"/>
      <c r="E56" s="105"/>
      <c r="F56" s="105"/>
      <c r="G56" s="13"/>
      <c r="H56" s="106"/>
      <c r="I56" s="107"/>
      <c r="J56" s="104"/>
      <c r="K56" s="101"/>
      <c r="L56" s="102"/>
      <c r="M56" s="56"/>
      <c r="O56" s="93"/>
      <c r="P56" s="112"/>
    </row>
    <row r="57" spans="1:26">
      <c r="A57" s="56"/>
      <c r="B57" s="56"/>
      <c r="C57" s="108"/>
      <c r="D57" s="108"/>
      <c r="E57" s="108"/>
      <c r="F57" s="108"/>
      <c r="G57" s="107"/>
      <c r="H57" s="106"/>
      <c r="I57" s="107"/>
      <c r="J57" s="104"/>
      <c r="K57" s="103"/>
      <c r="L57" s="102"/>
      <c r="M57" s="56"/>
      <c r="O57" s="93"/>
      <c r="P57" s="112"/>
    </row>
    <row r="58" spans="1:26">
      <c r="A58" s="109"/>
      <c r="B58" s="109"/>
      <c r="C58" s="109"/>
      <c r="D58" s="109"/>
      <c r="E58" s="104"/>
      <c r="F58" s="110"/>
      <c r="G58" s="56"/>
      <c r="H58" s="93"/>
      <c r="I58" s="56"/>
      <c r="J58" s="93"/>
      <c r="K58" s="93"/>
      <c r="L58" s="56"/>
      <c r="M58" s="56"/>
      <c r="O58" s="93"/>
      <c r="P58" s="112"/>
    </row>
    <row r="59" spans="1:26">
      <c r="A59" s="111"/>
      <c r="B59" s="111"/>
      <c r="C59" s="109"/>
      <c r="D59" s="109"/>
      <c r="E59" s="104"/>
      <c r="F59" s="110"/>
      <c r="G59" s="93"/>
      <c r="H59" s="93"/>
      <c r="I59" s="56"/>
      <c r="J59" s="93"/>
      <c r="K59" s="93"/>
      <c r="L59" s="56"/>
      <c r="M59" s="56"/>
      <c r="O59" s="93"/>
      <c r="P59" s="112"/>
    </row>
    <row r="60" spans="1:26">
      <c r="A60" s="50"/>
      <c r="B60" s="50"/>
      <c r="C60" s="109"/>
      <c r="D60" s="109"/>
      <c r="E60" s="104"/>
      <c r="F60" s="110"/>
      <c r="G60" s="93"/>
      <c r="H60" s="93"/>
      <c r="I60" s="56"/>
      <c r="J60" s="93"/>
      <c r="K60" s="93"/>
      <c r="L60" s="56"/>
      <c r="M60" s="56"/>
      <c r="O60" s="93"/>
      <c r="P60" s="112"/>
    </row>
    <row r="61" spans="1:26">
      <c r="A61" s="109"/>
      <c r="B61" s="109"/>
      <c r="C61" s="109"/>
      <c r="D61" s="109"/>
      <c r="E61" s="104"/>
      <c r="F61" s="110"/>
      <c r="G61" s="93"/>
      <c r="H61" s="93"/>
      <c r="I61" s="56"/>
      <c r="J61" s="93"/>
      <c r="K61" s="93"/>
      <c r="L61" s="56"/>
      <c r="M61" s="56"/>
      <c r="O61" s="93"/>
      <c r="P61" s="112"/>
    </row>
    <row r="62" spans="1:26">
      <c r="A62" s="109"/>
      <c r="B62" s="109"/>
      <c r="C62" s="109"/>
      <c r="D62" s="109"/>
      <c r="E62" s="104"/>
      <c r="F62" s="110"/>
      <c r="G62" s="93"/>
      <c r="H62" s="93"/>
      <c r="I62" s="56"/>
      <c r="J62" s="107"/>
      <c r="K62" s="93"/>
      <c r="L62" s="56"/>
      <c r="M62" s="56"/>
      <c r="O62" s="93"/>
      <c r="P62" s="112"/>
    </row>
    <row r="63" spans="1:26">
      <c r="A63" s="109"/>
      <c r="B63" s="109"/>
      <c r="C63" s="109"/>
      <c r="D63" s="109"/>
      <c r="E63" s="104"/>
      <c r="F63" s="110"/>
      <c r="G63" s="93"/>
      <c r="H63" s="93"/>
      <c r="I63" s="56"/>
      <c r="J63" s="107"/>
      <c r="K63" s="93"/>
      <c r="L63" s="56"/>
      <c r="M63" s="56"/>
      <c r="O63" s="93"/>
      <c r="P63" s="112"/>
    </row>
    <row r="64" spans="1:26">
      <c r="A64" s="109"/>
      <c r="B64" s="109"/>
      <c r="C64" s="109"/>
      <c r="D64" s="109"/>
      <c r="E64" s="104"/>
      <c r="F64" s="110"/>
      <c r="G64" s="93"/>
      <c r="H64" s="93"/>
      <c r="I64" s="56"/>
      <c r="J64" s="93"/>
      <c r="K64" s="93"/>
      <c r="L64" s="56"/>
      <c r="M64" s="56"/>
      <c r="O64" s="93"/>
      <c r="P64" s="112"/>
    </row>
    <row r="65" spans="1:16">
      <c r="A65" s="109"/>
      <c r="B65" s="109"/>
      <c r="C65" s="109"/>
      <c r="D65" s="109"/>
      <c r="E65" s="104"/>
      <c r="F65" s="110"/>
      <c r="G65" s="93"/>
      <c r="H65" s="93"/>
      <c r="I65" s="56"/>
      <c r="J65" s="93"/>
      <c r="K65" s="93"/>
      <c r="L65" s="56"/>
      <c r="M65" s="56"/>
      <c r="O65" s="93"/>
      <c r="P65" s="112"/>
    </row>
    <row r="66" spans="1:16">
      <c r="A66" s="109"/>
      <c r="B66" s="109"/>
      <c r="C66" s="109"/>
      <c r="D66" s="109"/>
      <c r="E66" s="104"/>
      <c r="F66" s="110"/>
      <c r="G66" s="93"/>
      <c r="H66" s="93"/>
      <c r="I66" s="56"/>
      <c r="J66" s="93"/>
      <c r="K66" s="93"/>
      <c r="L66" s="56"/>
      <c r="M66" s="56"/>
      <c r="O66" s="93"/>
      <c r="P66" s="112"/>
    </row>
    <row r="67" spans="1:16">
      <c r="A67" s="109"/>
      <c r="B67" s="109"/>
      <c r="C67" s="109"/>
      <c r="D67" s="109"/>
      <c r="E67" s="104"/>
      <c r="F67" s="110"/>
      <c r="G67" s="93"/>
      <c r="H67" s="93"/>
      <c r="I67" s="56"/>
      <c r="J67" s="93"/>
      <c r="K67" s="93"/>
      <c r="L67" s="56"/>
      <c r="M67" s="56"/>
      <c r="O67" s="93"/>
      <c r="P67" s="112"/>
    </row>
    <row r="68" spans="1:16">
      <c r="A68" s="109"/>
      <c r="B68" s="109"/>
      <c r="C68" s="109"/>
      <c r="D68" s="109"/>
      <c r="E68" s="104"/>
      <c r="F68" s="110"/>
      <c r="G68" s="93"/>
      <c r="H68" s="93"/>
      <c r="I68" s="56"/>
      <c r="J68" s="93"/>
      <c r="K68" s="93"/>
      <c r="L68" s="56"/>
      <c r="M68" s="56"/>
      <c r="O68" s="93"/>
      <c r="P68" s="112"/>
    </row>
    <row r="69" spans="1:16">
      <c r="A69" s="109"/>
      <c r="B69" s="109"/>
      <c r="C69" s="109"/>
      <c r="D69" s="109"/>
      <c r="E69" s="104"/>
      <c r="F69" s="110"/>
      <c r="G69" s="93"/>
      <c r="H69" s="93"/>
      <c r="I69" s="56"/>
      <c r="J69" s="93"/>
      <c r="K69" s="93"/>
      <c r="L69" s="56"/>
      <c r="O69" s="93"/>
      <c r="P69" s="112"/>
    </row>
    <row r="70" spans="1:16">
      <c r="A70" s="109"/>
      <c r="B70" s="109"/>
      <c r="C70" s="109"/>
      <c r="D70" s="109"/>
      <c r="E70" s="104"/>
      <c r="F70" s="110"/>
      <c r="G70" s="93"/>
      <c r="H70" s="93"/>
      <c r="I70" s="56"/>
      <c r="J70" s="93"/>
      <c r="K70" s="93"/>
      <c r="L70" s="56"/>
      <c r="O70" s="93"/>
      <c r="P70" s="112"/>
    </row>
    <row r="71" spans="1:16">
      <c r="A71" s="109"/>
      <c r="B71" s="109"/>
      <c r="C71" s="109"/>
      <c r="D71" s="109"/>
      <c r="E71" s="104"/>
      <c r="F71" s="110"/>
      <c r="G71" s="93"/>
      <c r="H71" s="93"/>
      <c r="I71" s="56"/>
      <c r="J71" s="93"/>
      <c r="K71" s="93"/>
      <c r="L71" s="93"/>
      <c r="O71" s="93"/>
      <c r="P71" s="112"/>
    </row>
    <row r="72" spans="1:16">
      <c r="A72" s="109"/>
      <c r="B72" s="109"/>
      <c r="C72" s="109"/>
      <c r="D72" s="109"/>
      <c r="E72" s="104"/>
      <c r="F72" s="110"/>
      <c r="G72" s="93"/>
      <c r="H72" s="93"/>
      <c r="I72" s="56"/>
      <c r="J72" s="93"/>
      <c r="K72" s="93"/>
      <c r="L72" s="93"/>
      <c r="O72" s="93"/>
      <c r="P72" s="112"/>
    </row>
    <row r="73" spans="1:16">
      <c r="A73" s="109"/>
      <c r="B73" s="109"/>
      <c r="C73" s="109"/>
      <c r="D73" s="109"/>
      <c r="E73" s="104"/>
      <c r="F73" s="110"/>
      <c r="G73" s="93"/>
      <c r="H73" s="93"/>
      <c r="I73" s="56"/>
      <c r="J73" s="93"/>
      <c r="K73" s="93"/>
      <c r="L73" s="93"/>
      <c r="O73" s="93"/>
      <c r="P73" s="112"/>
    </row>
    <row r="74" spans="1:16">
      <c r="A74" s="109"/>
      <c r="B74" s="109"/>
      <c r="C74" s="109"/>
      <c r="D74" s="109"/>
      <c r="E74" s="104"/>
      <c r="F74" s="110"/>
      <c r="G74" s="93"/>
      <c r="H74" s="93"/>
      <c r="I74" s="56"/>
      <c r="J74" s="93"/>
      <c r="K74" s="93"/>
      <c r="L74" s="93"/>
      <c r="O74" s="93"/>
      <c r="P74" s="112"/>
    </row>
    <row r="75" spans="1:16">
      <c r="A75" s="109"/>
      <c r="B75" s="109"/>
      <c r="C75" s="109"/>
      <c r="D75" s="109"/>
      <c r="E75" s="104"/>
      <c r="F75" s="110"/>
      <c r="G75" s="93"/>
      <c r="H75" s="93"/>
      <c r="I75" s="56"/>
      <c r="J75" s="93"/>
      <c r="K75" s="93"/>
      <c r="L75" s="93"/>
      <c r="O75" s="93"/>
      <c r="P75" s="112"/>
    </row>
    <row r="76" spans="1:16">
      <c r="A76" s="109"/>
      <c r="B76" s="109"/>
      <c r="C76" s="109"/>
      <c r="D76" s="109"/>
      <c r="E76" s="104"/>
      <c r="F76" s="110"/>
      <c r="G76" s="93"/>
      <c r="H76" s="93"/>
      <c r="I76" s="56"/>
      <c r="J76" s="93"/>
      <c r="K76" s="93"/>
      <c r="L76" s="93"/>
      <c r="O76" s="93"/>
      <c r="P76" s="112"/>
    </row>
    <row r="77" spans="1:16">
      <c r="A77" s="109"/>
      <c r="B77" s="109"/>
      <c r="C77" s="109"/>
      <c r="D77" s="109"/>
      <c r="E77" s="104"/>
      <c r="F77" s="110"/>
      <c r="G77" s="93"/>
      <c r="H77" s="93"/>
      <c r="I77" s="56"/>
      <c r="J77" s="93"/>
      <c r="K77" s="93"/>
      <c r="L77" s="93"/>
      <c r="O77" s="93"/>
      <c r="P77" s="112"/>
    </row>
    <row r="78" spans="1:16">
      <c r="A78" s="109"/>
      <c r="B78" s="109"/>
      <c r="C78" s="109"/>
      <c r="D78" s="109"/>
      <c r="E78" s="104"/>
      <c r="F78" s="110"/>
      <c r="G78" s="93"/>
      <c r="H78" s="93"/>
      <c r="I78" s="56"/>
      <c r="J78" s="93"/>
      <c r="K78" s="93"/>
      <c r="L78" s="93"/>
      <c r="O78" s="93"/>
      <c r="P78" s="112"/>
    </row>
    <row r="79" spans="1:16">
      <c r="A79" s="109"/>
      <c r="B79" s="109"/>
      <c r="C79" s="109"/>
      <c r="D79" s="109"/>
      <c r="E79" s="104"/>
      <c r="F79" s="110"/>
      <c r="G79" s="93"/>
      <c r="H79" s="93"/>
      <c r="I79" s="56"/>
      <c r="J79" s="93"/>
      <c r="K79" s="93"/>
      <c r="L79" s="93"/>
      <c r="O79" s="93"/>
      <c r="P79" s="112"/>
    </row>
    <row r="80" spans="1:16">
      <c r="A80" s="109"/>
      <c r="B80" s="109"/>
      <c r="C80" s="109"/>
      <c r="D80" s="109"/>
      <c r="E80" s="104"/>
      <c r="F80" s="110"/>
      <c r="G80" s="93"/>
      <c r="H80" s="93"/>
      <c r="I80" s="56"/>
      <c r="J80" s="93"/>
      <c r="K80" s="93"/>
      <c r="L80" s="93"/>
      <c r="O80" s="93"/>
      <c r="P80" s="112"/>
    </row>
    <row r="81" spans="1:19">
      <c r="A81" s="109"/>
      <c r="B81" s="109"/>
      <c r="C81" s="109"/>
      <c r="D81" s="109"/>
      <c r="E81" s="104"/>
      <c r="F81" s="110"/>
      <c r="G81" s="93"/>
      <c r="H81" s="93"/>
      <c r="I81" s="56"/>
      <c r="J81" s="93"/>
      <c r="K81" s="93"/>
      <c r="L81" s="93"/>
      <c r="O81" s="93"/>
      <c r="P81" s="112"/>
    </row>
    <row r="82" spans="1:19">
      <c r="A82" s="109"/>
      <c r="B82" s="109"/>
      <c r="C82" s="109"/>
      <c r="D82" s="109"/>
      <c r="E82" s="104"/>
      <c r="F82" s="110"/>
      <c r="G82" s="112"/>
      <c r="H82" s="93"/>
      <c r="I82" s="56"/>
      <c r="J82" s="93"/>
      <c r="K82" s="93"/>
      <c r="L82" s="93"/>
      <c r="O82" s="93"/>
      <c r="P82" s="112"/>
    </row>
    <row r="83" spans="1:19">
      <c r="A83" s="109"/>
      <c r="B83" s="109"/>
      <c r="C83" s="109"/>
      <c r="D83" s="109"/>
      <c r="E83" s="104"/>
      <c r="F83" s="110"/>
      <c r="G83" s="112"/>
      <c r="H83" s="93"/>
      <c r="I83" s="56"/>
      <c r="J83" s="93"/>
      <c r="K83" s="93"/>
      <c r="L83" s="93"/>
      <c r="O83" s="93"/>
      <c r="P83" s="112"/>
    </row>
    <row r="84" spans="1:19">
      <c r="A84" s="109"/>
      <c r="B84" s="109"/>
      <c r="C84" s="109"/>
      <c r="D84" s="109"/>
      <c r="E84" s="104"/>
      <c r="F84" s="110"/>
      <c r="G84" s="112"/>
      <c r="H84" s="93"/>
      <c r="I84" s="56"/>
      <c r="J84" s="93"/>
      <c r="K84" s="93"/>
      <c r="L84" s="93"/>
      <c r="O84" s="93"/>
      <c r="P84" s="112"/>
    </row>
    <row r="85" spans="1:19">
      <c r="A85" s="109"/>
      <c r="B85" s="109"/>
      <c r="C85" s="109"/>
      <c r="D85" s="109"/>
      <c r="E85" s="104"/>
      <c r="F85" s="110"/>
      <c r="G85" s="112"/>
      <c r="H85" s="93"/>
      <c r="I85" s="56"/>
      <c r="J85" s="93"/>
      <c r="K85" s="93"/>
      <c r="L85" s="93"/>
      <c r="O85" s="93"/>
      <c r="P85" s="112"/>
    </row>
    <row r="86" spans="1:19">
      <c r="A86" s="109"/>
      <c r="B86" s="109"/>
      <c r="C86" s="109"/>
      <c r="D86" s="109"/>
      <c r="E86" s="104"/>
      <c r="F86" s="110"/>
      <c r="G86" s="93"/>
      <c r="H86" s="93"/>
      <c r="I86" s="56"/>
      <c r="J86" s="93"/>
      <c r="K86" s="93"/>
      <c r="L86" s="93"/>
      <c r="O86" s="93"/>
      <c r="P86" s="112"/>
    </row>
    <row r="87" spans="1:19">
      <c r="A87" s="109"/>
      <c r="B87" s="109"/>
      <c r="C87" s="109"/>
      <c r="D87" s="109"/>
      <c r="E87" s="104"/>
      <c r="F87" s="110"/>
      <c r="G87" s="93"/>
      <c r="H87" s="93"/>
      <c r="I87" s="56"/>
      <c r="J87" s="93"/>
      <c r="K87" s="93"/>
      <c r="L87" s="93"/>
      <c r="O87" s="93"/>
      <c r="P87" s="112"/>
    </row>
    <row r="88" spans="1:19" s="109" customFormat="1">
      <c r="E88" s="104"/>
      <c r="F88" s="110"/>
      <c r="G88" s="93"/>
      <c r="H88" s="93"/>
      <c r="I88" s="56"/>
      <c r="J88" s="93"/>
      <c r="K88" s="93"/>
      <c r="L88" s="93"/>
      <c r="M88" s="93"/>
      <c r="N88" s="93"/>
      <c r="O88" s="93"/>
      <c r="P88" s="112"/>
      <c r="Q88" s="112"/>
      <c r="R88" s="114"/>
      <c r="S88" s="114"/>
    </row>
    <row r="89" spans="1:19" s="109" customFormat="1">
      <c r="E89" s="104"/>
      <c r="F89" s="110"/>
      <c r="G89" s="93"/>
      <c r="H89" s="93"/>
      <c r="I89" s="56"/>
      <c r="J89" s="93"/>
      <c r="K89" s="93"/>
      <c r="L89" s="93"/>
      <c r="M89" s="93"/>
      <c r="N89" s="93"/>
      <c r="O89" s="93"/>
      <c r="P89" s="112"/>
      <c r="Q89" s="112"/>
      <c r="R89" s="114"/>
      <c r="S89" s="114"/>
    </row>
    <row r="90" spans="1:19" s="109" customFormat="1">
      <c r="E90" s="104"/>
      <c r="F90" s="110"/>
      <c r="G90" s="93"/>
      <c r="H90" s="93"/>
      <c r="I90" s="56"/>
      <c r="J90" s="93"/>
      <c r="K90" s="93"/>
      <c r="L90" s="93"/>
      <c r="M90" s="93"/>
      <c r="N90" s="93"/>
      <c r="O90" s="93"/>
      <c r="P90" s="112"/>
      <c r="Q90" s="112"/>
      <c r="R90" s="114"/>
      <c r="S90" s="114"/>
    </row>
    <row r="91" spans="1:19" s="109" customFormat="1">
      <c r="E91" s="104"/>
      <c r="F91" s="110"/>
      <c r="G91" s="93"/>
      <c r="H91" s="93"/>
      <c r="I91" s="56"/>
      <c r="J91" s="93"/>
      <c r="K91" s="93"/>
      <c r="L91" s="93"/>
      <c r="M91" s="93"/>
      <c r="N91" s="93"/>
      <c r="O91" s="93"/>
      <c r="P91" s="112"/>
      <c r="Q91" s="112"/>
      <c r="R91" s="114"/>
      <c r="S91" s="114"/>
    </row>
    <row r="92" spans="1:19" s="109" customFormat="1">
      <c r="E92" s="104"/>
      <c r="F92" s="110"/>
      <c r="G92" s="93"/>
      <c r="H92" s="93"/>
      <c r="I92" s="56"/>
      <c r="J92" s="93"/>
      <c r="K92" s="93"/>
      <c r="L92" s="93"/>
      <c r="M92" s="93"/>
      <c r="N92" s="93"/>
      <c r="O92" s="93"/>
      <c r="P92" s="112"/>
      <c r="Q92" s="112"/>
      <c r="R92" s="114"/>
      <c r="S92" s="114"/>
    </row>
    <row r="93" spans="1:19" s="109" customFormat="1">
      <c r="E93" s="104"/>
      <c r="F93" s="110"/>
      <c r="G93" s="93"/>
      <c r="H93" s="93"/>
      <c r="I93" s="56"/>
      <c r="J93" s="93"/>
      <c r="K93" s="93"/>
      <c r="L93" s="93"/>
      <c r="M93" s="93"/>
      <c r="P93" s="114"/>
      <c r="Q93" s="114"/>
      <c r="R93" s="114"/>
      <c r="S93" s="114"/>
    </row>
    <row r="94" spans="1:19" s="109" customFormat="1">
      <c r="E94" s="104"/>
      <c r="F94" s="110"/>
      <c r="G94" s="93"/>
      <c r="H94" s="93"/>
      <c r="I94" s="56"/>
      <c r="J94" s="93"/>
      <c r="K94" s="93"/>
      <c r="L94" s="93"/>
      <c r="M94" s="93"/>
      <c r="P94" s="114"/>
      <c r="Q94" s="114"/>
      <c r="R94" s="114"/>
      <c r="S94" s="114"/>
    </row>
    <row r="95" spans="1:19" s="109" customFormat="1">
      <c r="E95" s="104"/>
      <c r="F95" s="110"/>
      <c r="G95" s="93"/>
      <c r="H95" s="93"/>
      <c r="I95" s="56"/>
      <c r="J95" s="93"/>
      <c r="K95" s="93"/>
      <c r="L95" s="93"/>
      <c r="M95" s="93"/>
      <c r="P95" s="114"/>
      <c r="Q95" s="114"/>
      <c r="R95" s="114"/>
      <c r="S95" s="114"/>
    </row>
    <row r="96" spans="1:19" s="109" customFormat="1">
      <c r="E96" s="104"/>
      <c r="F96" s="110"/>
      <c r="G96" s="93"/>
      <c r="H96" s="93"/>
      <c r="I96" s="56"/>
      <c r="J96" s="93"/>
      <c r="K96" s="93"/>
      <c r="L96" s="93"/>
      <c r="M96" s="93"/>
      <c r="P96" s="114"/>
      <c r="Q96" s="114"/>
      <c r="R96" s="114"/>
      <c r="S96" s="114"/>
    </row>
    <row r="97" spans="5:19" s="109" customFormat="1">
      <c r="E97" s="104"/>
      <c r="F97" s="110"/>
      <c r="G97" s="93"/>
      <c r="H97" s="93"/>
      <c r="I97" s="56"/>
      <c r="J97" s="93"/>
      <c r="K97" s="93"/>
      <c r="L97" s="93"/>
      <c r="M97" s="93"/>
      <c r="P97" s="114"/>
      <c r="Q97" s="114"/>
      <c r="R97" s="114"/>
      <c r="S97" s="114"/>
    </row>
    <row r="98" spans="5:19" s="109" customFormat="1">
      <c r="E98" s="104"/>
      <c r="F98" s="110"/>
      <c r="G98" s="93"/>
      <c r="H98" s="93"/>
      <c r="I98" s="56"/>
      <c r="J98" s="93"/>
      <c r="K98" s="93"/>
      <c r="L98" s="93"/>
      <c r="M98" s="93"/>
      <c r="P98" s="114"/>
      <c r="Q98" s="114"/>
      <c r="R98" s="114"/>
      <c r="S98" s="114"/>
    </row>
    <row r="99" spans="5:19" s="109" customFormat="1">
      <c r="E99" s="104"/>
      <c r="F99" s="110"/>
      <c r="G99" s="93"/>
      <c r="H99" s="93"/>
      <c r="I99" s="56"/>
      <c r="J99" s="93"/>
      <c r="K99" s="93"/>
      <c r="L99" s="93"/>
      <c r="M99" s="93"/>
      <c r="P99" s="114"/>
      <c r="Q99" s="114"/>
      <c r="R99" s="114"/>
      <c r="S99" s="114"/>
    </row>
    <row r="100" spans="5:19" s="109" customFormat="1">
      <c r="E100" s="104"/>
      <c r="F100" s="110"/>
      <c r="G100" s="93"/>
      <c r="H100" s="93"/>
      <c r="I100" s="56"/>
      <c r="J100" s="93"/>
      <c r="K100" s="93"/>
      <c r="L100" s="93"/>
      <c r="M100" s="93"/>
      <c r="P100" s="114"/>
      <c r="Q100" s="114"/>
      <c r="R100" s="114"/>
      <c r="S100" s="114"/>
    </row>
    <row r="101" spans="5:19" s="109" customFormat="1">
      <c r="E101" s="104"/>
      <c r="F101" s="110"/>
      <c r="G101" s="93"/>
      <c r="H101" s="93"/>
      <c r="I101" s="56"/>
      <c r="J101" s="93"/>
      <c r="K101" s="93"/>
      <c r="L101" s="93"/>
      <c r="M101" s="93"/>
      <c r="P101" s="114"/>
      <c r="Q101" s="114"/>
      <c r="R101" s="114"/>
      <c r="S101" s="114"/>
    </row>
    <row r="102" spans="5:19" s="109" customFormat="1">
      <c r="E102" s="104"/>
      <c r="F102" s="110"/>
      <c r="G102" s="93"/>
      <c r="H102" s="93"/>
      <c r="I102" s="56"/>
      <c r="J102" s="93"/>
      <c r="K102" s="93"/>
      <c r="L102" s="93"/>
      <c r="M102" s="93"/>
      <c r="P102" s="114"/>
      <c r="Q102" s="114"/>
      <c r="R102" s="114"/>
      <c r="S102" s="114"/>
    </row>
    <row r="103" spans="5:19" s="109" customFormat="1">
      <c r="E103" s="104"/>
      <c r="F103" s="110"/>
      <c r="G103" s="93"/>
      <c r="H103" s="93"/>
      <c r="I103" s="56"/>
      <c r="J103" s="93"/>
      <c r="K103" s="93"/>
      <c r="L103" s="93"/>
      <c r="M103" s="93"/>
      <c r="P103" s="114"/>
      <c r="Q103" s="114"/>
      <c r="R103" s="114"/>
      <c r="S103" s="114"/>
    </row>
    <row r="104" spans="5:19" s="109" customFormat="1">
      <c r="E104" s="104"/>
      <c r="F104" s="110"/>
      <c r="G104" s="93"/>
      <c r="H104" s="93"/>
      <c r="I104" s="56"/>
      <c r="J104" s="93"/>
      <c r="K104" s="93"/>
      <c r="L104" s="93"/>
      <c r="M104" s="93"/>
      <c r="P104" s="114"/>
      <c r="Q104" s="114"/>
      <c r="R104" s="114"/>
      <c r="S104" s="114"/>
    </row>
    <row r="105" spans="5:19" s="109" customFormat="1">
      <c r="E105" s="104"/>
      <c r="F105" s="110"/>
      <c r="G105" s="93"/>
      <c r="H105" s="93"/>
      <c r="I105" s="56"/>
      <c r="J105" s="93"/>
      <c r="K105" s="93"/>
      <c r="L105" s="93"/>
      <c r="M105" s="93"/>
      <c r="P105" s="114"/>
      <c r="Q105" s="114"/>
      <c r="R105" s="114"/>
      <c r="S105" s="114"/>
    </row>
    <row r="106" spans="5:19" s="109" customFormat="1">
      <c r="E106" s="104"/>
      <c r="F106" s="110"/>
      <c r="G106" s="93"/>
      <c r="H106" s="93"/>
      <c r="I106" s="56"/>
      <c r="J106" s="93"/>
      <c r="K106" s="93"/>
      <c r="L106" s="93"/>
      <c r="M106" s="93"/>
      <c r="P106" s="114"/>
      <c r="Q106" s="114"/>
      <c r="R106" s="114"/>
      <c r="S106" s="114"/>
    </row>
    <row r="107" spans="5:19" s="109" customFormat="1">
      <c r="E107" s="104"/>
      <c r="F107" s="110"/>
      <c r="G107" s="93"/>
      <c r="H107" s="93"/>
      <c r="I107" s="56"/>
      <c r="J107" s="93"/>
      <c r="K107" s="93"/>
      <c r="L107" s="93"/>
      <c r="M107" s="93"/>
      <c r="P107" s="114"/>
      <c r="Q107" s="114"/>
      <c r="R107" s="114"/>
      <c r="S107" s="114"/>
    </row>
    <row r="108" spans="5:19" s="109" customFormat="1">
      <c r="E108" s="104"/>
      <c r="F108" s="110"/>
      <c r="G108" s="93"/>
      <c r="H108" s="93"/>
      <c r="I108" s="56"/>
      <c r="J108" s="93"/>
      <c r="K108" s="93"/>
      <c r="L108" s="93"/>
      <c r="P108" s="114"/>
      <c r="Q108" s="114"/>
      <c r="R108" s="114"/>
      <c r="S108" s="114"/>
    </row>
    <row r="109" spans="5:19" s="109" customFormat="1">
      <c r="E109" s="104"/>
      <c r="F109" s="110"/>
      <c r="G109" s="93"/>
      <c r="H109" s="93"/>
      <c r="I109" s="56"/>
      <c r="J109" s="93"/>
      <c r="K109" s="93"/>
      <c r="L109" s="93"/>
      <c r="P109" s="114"/>
      <c r="Q109" s="114"/>
      <c r="R109" s="114"/>
      <c r="S109" s="114"/>
    </row>
    <row r="110" spans="5:19" s="109" customFormat="1">
      <c r="E110" s="104"/>
      <c r="F110" s="110"/>
      <c r="G110" s="93"/>
      <c r="H110" s="93"/>
      <c r="I110" s="56"/>
      <c r="J110" s="93"/>
      <c r="K110" s="93"/>
      <c r="L110" s="93"/>
      <c r="P110" s="114"/>
      <c r="Q110" s="114"/>
      <c r="R110" s="114"/>
      <c r="S110" s="114"/>
    </row>
    <row r="111" spans="5:19" s="109" customFormat="1">
      <c r="E111" s="104"/>
      <c r="F111" s="110"/>
      <c r="G111" s="93"/>
      <c r="H111" s="93"/>
      <c r="I111" s="56"/>
      <c r="J111" s="93"/>
      <c r="K111" s="93"/>
      <c r="L111" s="93"/>
      <c r="P111" s="114"/>
      <c r="Q111" s="114"/>
      <c r="R111" s="114"/>
      <c r="S111" s="114"/>
    </row>
    <row r="112" spans="5:19" s="109" customFormat="1">
      <c r="E112" s="104"/>
      <c r="F112" s="110"/>
      <c r="G112" s="93"/>
      <c r="H112" s="93"/>
      <c r="I112" s="56"/>
      <c r="J112" s="93"/>
      <c r="K112" s="93"/>
      <c r="L112" s="93"/>
      <c r="P112" s="114"/>
      <c r="Q112" s="114"/>
      <c r="R112" s="114"/>
      <c r="S112" s="114"/>
    </row>
    <row r="113" spans="5:19" s="109" customFormat="1">
      <c r="E113" s="104"/>
      <c r="F113" s="110"/>
      <c r="G113" s="93"/>
      <c r="H113" s="93"/>
      <c r="I113" s="56"/>
      <c r="J113" s="93"/>
      <c r="K113" s="93"/>
      <c r="L113" s="93"/>
      <c r="P113" s="114"/>
      <c r="Q113" s="114"/>
      <c r="R113" s="114"/>
      <c r="S113" s="114"/>
    </row>
    <row r="114" spans="5:19" s="109" customFormat="1">
      <c r="E114" s="104"/>
      <c r="F114" s="110"/>
      <c r="G114" s="93"/>
      <c r="H114" s="93"/>
      <c r="I114" s="56"/>
      <c r="J114" s="93"/>
      <c r="K114" s="93"/>
      <c r="L114" s="93"/>
      <c r="P114" s="114"/>
      <c r="Q114" s="114"/>
      <c r="R114" s="114"/>
      <c r="S114" s="114"/>
    </row>
    <row r="115" spans="5:19" s="109" customFormat="1">
      <c r="E115" s="104"/>
      <c r="F115" s="110"/>
      <c r="G115" s="93"/>
      <c r="H115" s="93"/>
      <c r="I115" s="56"/>
      <c r="J115" s="93"/>
      <c r="K115" s="93"/>
      <c r="L115" s="93"/>
      <c r="P115" s="114"/>
      <c r="Q115" s="114"/>
      <c r="R115" s="114"/>
      <c r="S115" s="114"/>
    </row>
    <row r="116" spans="5:19" s="109" customFormat="1">
      <c r="E116" s="104"/>
      <c r="F116" s="110"/>
      <c r="G116" s="93"/>
      <c r="H116" s="93"/>
      <c r="I116" s="56"/>
      <c r="J116" s="93"/>
      <c r="K116" s="93"/>
      <c r="L116" s="93"/>
      <c r="P116" s="114"/>
      <c r="Q116" s="114"/>
      <c r="R116" s="114"/>
      <c r="S116" s="114"/>
    </row>
    <row r="117" spans="5:19" s="109" customFormat="1">
      <c r="E117" s="104"/>
      <c r="F117" s="110"/>
      <c r="G117" s="93"/>
      <c r="H117" s="93"/>
      <c r="I117" s="56"/>
      <c r="J117" s="93"/>
      <c r="K117" s="93"/>
      <c r="L117" s="93"/>
      <c r="P117" s="114"/>
      <c r="Q117" s="114"/>
      <c r="R117" s="114"/>
      <c r="S117" s="114"/>
    </row>
    <row r="118" spans="5:19" s="109" customFormat="1">
      <c r="E118" s="104"/>
      <c r="F118" s="110"/>
      <c r="G118" s="93"/>
      <c r="H118" s="93"/>
      <c r="I118" s="56"/>
      <c r="J118" s="93"/>
      <c r="K118" s="93"/>
      <c r="L118" s="93"/>
      <c r="P118" s="114"/>
      <c r="Q118" s="114"/>
      <c r="R118" s="114"/>
      <c r="S118" s="114"/>
    </row>
    <row r="119" spans="5:19" s="109" customFormat="1">
      <c r="E119" s="104"/>
      <c r="F119" s="110"/>
      <c r="G119" s="93"/>
      <c r="H119" s="93"/>
      <c r="I119" s="56"/>
      <c r="J119" s="93"/>
      <c r="K119" s="93"/>
      <c r="L119" s="93"/>
      <c r="P119" s="114"/>
      <c r="Q119" s="114"/>
      <c r="R119" s="114"/>
      <c r="S119" s="114"/>
    </row>
    <row r="120" spans="5:19" s="109" customFormat="1">
      <c r="E120" s="104"/>
      <c r="F120" s="110"/>
      <c r="G120" s="93"/>
      <c r="H120" s="93"/>
      <c r="I120" s="56"/>
      <c r="J120" s="93"/>
      <c r="K120" s="93"/>
      <c r="L120" s="93"/>
      <c r="P120" s="114"/>
      <c r="Q120" s="114"/>
      <c r="R120" s="114"/>
      <c r="S120" s="114"/>
    </row>
    <row r="121" spans="5:19" s="109" customFormat="1">
      <c r="E121" s="104"/>
      <c r="F121" s="110"/>
      <c r="G121" s="93"/>
      <c r="H121" s="93"/>
      <c r="I121" s="56"/>
      <c r="J121" s="93"/>
      <c r="K121" s="93"/>
      <c r="L121" s="93"/>
      <c r="P121" s="114"/>
      <c r="Q121" s="114"/>
      <c r="R121" s="114"/>
      <c r="S121" s="114"/>
    </row>
    <row r="122" spans="5:19" s="109" customFormat="1">
      <c r="E122" s="104"/>
      <c r="F122" s="110"/>
      <c r="G122" s="93"/>
      <c r="H122" s="93"/>
      <c r="I122" s="56"/>
      <c r="J122" s="93"/>
      <c r="K122" s="93"/>
      <c r="L122" s="93"/>
      <c r="P122" s="114"/>
      <c r="Q122" s="114"/>
      <c r="R122" s="114"/>
      <c r="S122" s="114"/>
    </row>
    <row r="123" spans="5:19" s="109" customFormat="1">
      <c r="E123" s="104"/>
      <c r="F123" s="110"/>
      <c r="G123" s="93"/>
      <c r="H123" s="93"/>
      <c r="I123" s="56"/>
      <c r="J123" s="93"/>
      <c r="K123" s="93"/>
      <c r="L123" s="93"/>
      <c r="P123" s="114"/>
      <c r="Q123" s="114"/>
      <c r="R123" s="114"/>
      <c r="S123" s="114"/>
    </row>
    <row r="124" spans="5:19" s="109" customFormat="1">
      <c r="E124" s="104"/>
      <c r="F124" s="110"/>
      <c r="G124" s="93"/>
      <c r="H124" s="93"/>
      <c r="I124" s="56"/>
      <c r="J124" s="93"/>
      <c r="K124" s="93"/>
      <c r="L124" s="93"/>
      <c r="P124" s="114"/>
      <c r="Q124" s="114"/>
      <c r="R124" s="114"/>
      <c r="S124" s="114"/>
    </row>
    <row r="125" spans="5:19" s="109" customFormat="1">
      <c r="E125" s="104"/>
      <c r="F125" s="110"/>
      <c r="G125" s="93"/>
      <c r="H125" s="93"/>
      <c r="I125" s="56"/>
      <c r="J125" s="93"/>
      <c r="K125" s="93"/>
      <c r="L125" s="93"/>
      <c r="P125" s="114"/>
      <c r="Q125" s="114"/>
      <c r="R125" s="114"/>
      <c r="S125" s="114"/>
    </row>
    <row r="126" spans="5:19" s="109" customFormat="1">
      <c r="E126" s="104"/>
      <c r="F126" s="110"/>
      <c r="G126" s="93"/>
      <c r="H126" s="93"/>
      <c r="I126" s="56"/>
      <c r="J126" s="93"/>
      <c r="K126" s="93"/>
      <c r="L126" s="93"/>
      <c r="P126" s="114"/>
      <c r="Q126" s="114"/>
      <c r="R126" s="114"/>
      <c r="S126" s="114"/>
    </row>
    <row r="127" spans="5:19" s="109" customFormat="1">
      <c r="E127" s="104"/>
      <c r="F127" s="110"/>
      <c r="G127" s="93"/>
      <c r="H127" s="93"/>
      <c r="I127" s="56"/>
      <c r="J127" s="93"/>
      <c r="K127" s="93"/>
      <c r="L127" s="93"/>
      <c r="P127" s="114"/>
      <c r="Q127" s="114"/>
      <c r="R127" s="114"/>
      <c r="S127" s="114"/>
    </row>
    <row r="128" spans="5:19" s="109" customFormat="1">
      <c r="E128" s="104"/>
      <c r="F128" s="110"/>
      <c r="G128" s="93"/>
      <c r="H128" s="93"/>
      <c r="I128" s="56"/>
      <c r="J128" s="93"/>
      <c r="K128" s="93"/>
      <c r="L128" s="93"/>
      <c r="P128" s="114"/>
      <c r="Q128" s="114"/>
      <c r="R128" s="114"/>
      <c r="S128" s="114"/>
    </row>
    <row r="129" spans="5:19" s="109" customFormat="1">
      <c r="E129" s="104"/>
      <c r="F129" s="110"/>
      <c r="G129" s="93"/>
      <c r="H129" s="93"/>
      <c r="I129" s="56"/>
      <c r="J129" s="93"/>
      <c r="K129" s="93"/>
      <c r="L129" s="93"/>
      <c r="P129" s="114"/>
      <c r="Q129" s="114"/>
      <c r="R129" s="114"/>
      <c r="S129" s="114"/>
    </row>
    <row r="130" spans="5:19" s="109" customFormat="1">
      <c r="E130" s="104"/>
      <c r="F130" s="110"/>
      <c r="G130" s="93"/>
      <c r="H130" s="93"/>
      <c r="I130" s="56"/>
      <c r="J130" s="93"/>
      <c r="K130" s="93"/>
      <c r="L130" s="93"/>
      <c r="P130" s="114"/>
      <c r="Q130" s="114"/>
      <c r="R130" s="114"/>
      <c r="S130" s="114"/>
    </row>
    <row r="131" spans="5:19" s="109" customFormat="1">
      <c r="E131" s="104"/>
      <c r="F131" s="110"/>
      <c r="G131" s="93"/>
      <c r="H131" s="93"/>
      <c r="I131" s="56"/>
      <c r="J131" s="93"/>
      <c r="K131" s="93"/>
      <c r="L131" s="93"/>
      <c r="P131" s="114"/>
      <c r="Q131" s="114"/>
      <c r="R131" s="114"/>
      <c r="S131" s="114"/>
    </row>
    <row r="132" spans="5:19" s="109" customFormat="1">
      <c r="E132" s="104"/>
      <c r="F132" s="110"/>
      <c r="G132" s="93"/>
      <c r="H132" s="93"/>
      <c r="I132" s="56"/>
      <c r="J132" s="93"/>
      <c r="K132" s="93"/>
      <c r="L132" s="93"/>
      <c r="P132" s="114"/>
      <c r="Q132" s="114"/>
      <c r="R132" s="114"/>
      <c r="S132" s="114"/>
    </row>
    <row r="133" spans="5:19" s="109" customFormat="1">
      <c r="E133" s="104"/>
      <c r="F133" s="110"/>
      <c r="G133" s="93"/>
      <c r="H133" s="93"/>
      <c r="I133" s="56"/>
      <c r="J133" s="93"/>
      <c r="K133" s="93"/>
      <c r="L133" s="93"/>
      <c r="P133" s="114"/>
      <c r="Q133" s="114"/>
      <c r="R133" s="114"/>
      <c r="S133" s="114"/>
    </row>
    <row r="134" spans="5:19" s="109" customFormat="1">
      <c r="E134" s="104"/>
      <c r="F134" s="110"/>
      <c r="G134" s="93"/>
      <c r="H134" s="93"/>
      <c r="I134" s="56"/>
      <c r="J134" s="93"/>
      <c r="K134" s="93"/>
      <c r="L134" s="93"/>
      <c r="P134" s="114"/>
      <c r="Q134" s="114"/>
      <c r="R134" s="114"/>
      <c r="S134" s="114"/>
    </row>
    <row r="135" spans="5:19" s="109" customFormat="1">
      <c r="E135" s="104"/>
      <c r="F135" s="110"/>
      <c r="G135" s="93"/>
      <c r="H135" s="93"/>
      <c r="I135" s="56"/>
      <c r="J135" s="93"/>
      <c r="K135" s="93"/>
      <c r="L135" s="93"/>
      <c r="P135" s="114"/>
      <c r="Q135" s="114"/>
      <c r="R135" s="114"/>
      <c r="S135" s="114"/>
    </row>
    <row r="136" spans="5:19" s="109" customFormat="1">
      <c r="E136" s="104"/>
      <c r="F136" s="110"/>
      <c r="G136" s="93"/>
      <c r="H136" s="93"/>
      <c r="I136" s="56"/>
      <c r="J136" s="93"/>
      <c r="K136" s="93"/>
      <c r="L136" s="93"/>
      <c r="P136" s="114"/>
      <c r="Q136" s="114"/>
      <c r="R136" s="114"/>
      <c r="S136" s="114"/>
    </row>
    <row r="137" spans="5:19" s="109" customFormat="1">
      <c r="E137" s="104"/>
      <c r="F137" s="110"/>
      <c r="G137" s="93"/>
      <c r="H137" s="93"/>
      <c r="I137" s="56"/>
      <c r="J137" s="93"/>
      <c r="K137" s="93"/>
      <c r="L137" s="93"/>
      <c r="P137" s="114"/>
      <c r="Q137" s="114"/>
      <c r="R137" s="114"/>
      <c r="S137" s="114"/>
    </row>
    <row r="138" spans="5:19" s="109" customFormat="1">
      <c r="E138" s="104"/>
      <c r="F138" s="110"/>
      <c r="G138" s="93"/>
      <c r="H138" s="93"/>
      <c r="I138" s="56"/>
      <c r="J138" s="93"/>
      <c r="K138" s="93"/>
      <c r="L138" s="93"/>
      <c r="P138" s="114"/>
      <c r="Q138" s="114"/>
      <c r="R138" s="114"/>
      <c r="S138" s="114"/>
    </row>
    <row r="139" spans="5:19" s="109" customFormat="1">
      <c r="E139" s="104"/>
      <c r="F139" s="110"/>
      <c r="G139" s="93"/>
      <c r="H139" s="93"/>
      <c r="I139" s="56"/>
      <c r="J139" s="93"/>
      <c r="K139" s="93"/>
      <c r="L139" s="93"/>
      <c r="P139" s="114"/>
      <c r="Q139" s="114"/>
      <c r="R139" s="114"/>
      <c r="S139" s="114"/>
    </row>
    <row r="140" spans="5:19" s="109" customFormat="1">
      <c r="E140" s="104"/>
      <c r="F140" s="110"/>
      <c r="G140" s="93"/>
      <c r="H140" s="93"/>
      <c r="I140" s="56"/>
      <c r="J140" s="93"/>
      <c r="K140" s="93"/>
      <c r="L140" s="93"/>
      <c r="P140" s="114"/>
      <c r="Q140" s="114"/>
      <c r="R140" s="114"/>
      <c r="S140" s="114"/>
    </row>
    <row r="141" spans="5:19" s="109" customFormat="1">
      <c r="E141" s="104"/>
      <c r="F141" s="110"/>
      <c r="G141" s="93"/>
      <c r="H141" s="93"/>
      <c r="I141" s="56"/>
      <c r="J141" s="93"/>
      <c r="K141" s="93"/>
      <c r="L141" s="93"/>
      <c r="P141" s="114"/>
      <c r="Q141" s="114"/>
      <c r="R141" s="114"/>
      <c r="S141" s="114"/>
    </row>
    <row r="142" spans="5:19" s="109" customFormat="1">
      <c r="E142" s="104"/>
      <c r="F142" s="110"/>
      <c r="G142" s="93"/>
      <c r="H142" s="93"/>
      <c r="I142" s="56"/>
      <c r="J142" s="93"/>
      <c r="K142" s="93"/>
      <c r="L142" s="93"/>
      <c r="P142" s="114"/>
      <c r="Q142" s="114"/>
      <c r="R142" s="114"/>
      <c r="S142" s="114"/>
    </row>
    <row r="143" spans="5:19" s="109" customFormat="1">
      <c r="E143" s="104"/>
      <c r="F143" s="110"/>
      <c r="G143" s="93"/>
      <c r="H143" s="93"/>
      <c r="I143" s="56"/>
      <c r="J143" s="93"/>
      <c r="K143" s="93"/>
      <c r="L143" s="93"/>
      <c r="P143" s="114"/>
      <c r="Q143" s="114"/>
      <c r="R143" s="114"/>
      <c r="S143" s="114"/>
    </row>
    <row r="144" spans="5:19" s="109" customFormat="1">
      <c r="E144" s="104"/>
      <c r="F144" s="110"/>
      <c r="G144" s="93"/>
      <c r="H144" s="93"/>
      <c r="I144" s="56"/>
      <c r="J144" s="93"/>
      <c r="K144" s="93"/>
      <c r="L144" s="93"/>
      <c r="P144" s="114"/>
      <c r="Q144" s="114"/>
      <c r="R144" s="114"/>
      <c r="S144" s="114"/>
    </row>
    <row r="145" spans="1:17">
      <c r="A145" s="109"/>
      <c r="B145" s="109"/>
      <c r="C145" s="109"/>
      <c r="D145" s="109"/>
      <c r="E145" s="104"/>
      <c r="F145" s="110"/>
      <c r="G145" s="93"/>
      <c r="H145" s="93"/>
      <c r="I145" s="56"/>
      <c r="J145" s="93"/>
      <c r="K145" s="93"/>
      <c r="L145" s="93"/>
      <c r="M145" s="109"/>
      <c r="N145" s="109"/>
      <c r="O145" s="109"/>
      <c r="P145" s="114"/>
      <c r="Q145" s="114"/>
    </row>
    <row r="146" spans="1:17">
      <c r="A146" s="109"/>
      <c r="B146" s="109"/>
      <c r="C146" s="109"/>
      <c r="D146" s="109"/>
      <c r="E146" s="104"/>
      <c r="F146" s="110"/>
      <c r="G146" s="93"/>
      <c r="H146" s="93"/>
      <c r="I146" s="56"/>
      <c r="J146" s="93"/>
      <c r="K146" s="93"/>
      <c r="L146" s="93"/>
      <c r="M146" s="109"/>
      <c r="N146" s="109"/>
      <c r="O146" s="109"/>
      <c r="P146" s="114"/>
      <c r="Q146" s="114"/>
    </row>
    <row r="147" spans="1:17">
      <c r="A147" s="109"/>
      <c r="B147" s="109"/>
      <c r="C147" s="109"/>
      <c r="D147" s="109"/>
      <c r="E147" s="104"/>
      <c r="F147" s="110"/>
      <c r="G147" s="93"/>
      <c r="H147" s="93"/>
      <c r="I147" s="56"/>
      <c r="J147" s="93"/>
      <c r="K147" s="93"/>
      <c r="L147" s="93"/>
      <c r="M147" s="109"/>
      <c r="N147" s="109"/>
      <c r="O147" s="109"/>
      <c r="P147" s="114"/>
      <c r="Q147" s="114"/>
    </row>
    <row r="148" spans="1:17">
      <c r="A148" s="109"/>
      <c r="B148" s="109"/>
      <c r="C148" s="109"/>
      <c r="D148" s="109"/>
      <c r="E148" s="104"/>
      <c r="F148" s="110"/>
      <c r="G148" s="93"/>
      <c r="H148" s="93"/>
      <c r="I148" s="56"/>
      <c r="J148" s="93"/>
      <c r="K148" s="93"/>
      <c r="L148" s="93"/>
      <c r="M148" s="109"/>
      <c r="N148" s="109"/>
      <c r="O148" s="109"/>
      <c r="P148" s="114"/>
      <c r="Q148" s="114"/>
    </row>
    <row r="149" spans="1:17">
      <c r="A149" s="109"/>
      <c r="B149" s="109"/>
      <c r="C149" s="109"/>
      <c r="D149" s="109"/>
      <c r="E149" s="104"/>
      <c r="F149" s="110"/>
      <c r="G149" s="93"/>
      <c r="H149" s="93"/>
      <c r="I149" s="56"/>
      <c r="J149" s="93"/>
      <c r="K149" s="93"/>
      <c r="L149" s="93"/>
      <c r="M149" s="109"/>
      <c r="N149" s="109"/>
      <c r="O149" s="109"/>
      <c r="P149" s="114"/>
      <c r="Q149" s="114"/>
    </row>
    <row r="150" spans="1:17">
      <c r="A150" s="109"/>
      <c r="B150" s="109"/>
      <c r="C150" s="109"/>
      <c r="D150" s="109"/>
      <c r="E150" s="104"/>
      <c r="F150" s="110"/>
      <c r="G150" s="93"/>
      <c r="H150" s="93"/>
      <c r="I150" s="56"/>
      <c r="J150" s="93"/>
      <c r="K150" s="93"/>
      <c r="L150" s="93"/>
      <c r="M150" s="109"/>
    </row>
    <row r="151" spans="1:17">
      <c r="A151" s="109"/>
      <c r="B151" s="109"/>
      <c r="C151" s="109"/>
      <c r="D151" s="109"/>
      <c r="E151" s="104"/>
      <c r="F151" s="110"/>
      <c r="G151" s="93"/>
      <c r="H151" s="93"/>
      <c r="I151" s="56"/>
      <c r="J151" s="93"/>
      <c r="K151" s="93"/>
      <c r="L151" s="93"/>
      <c r="M151" s="109"/>
    </row>
    <row r="152" spans="1:17">
      <c r="A152" s="109"/>
      <c r="B152" s="109"/>
      <c r="C152" s="109"/>
      <c r="D152" s="109"/>
      <c r="E152" s="104"/>
      <c r="F152" s="110"/>
      <c r="G152" s="93"/>
      <c r="H152" s="93"/>
      <c r="I152" s="56"/>
      <c r="J152" s="93"/>
      <c r="K152" s="93"/>
      <c r="L152" s="93"/>
      <c r="M152" s="109"/>
    </row>
    <row r="153" spans="1:17">
      <c r="A153" s="109"/>
      <c r="B153" s="109"/>
      <c r="C153" s="109"/>
      <c r="D153" s="109"/>
      <c r="E153" s="104"/>
      <c r="F153" s="110"/>
      <c r="G153" s="93"/>
      <c r="H153" s="93"/>
      <c r="I153" s="56"/>
      <c r="J153" s="93"/>
      <c r="K153" s="93"/>
      <c r="L153" s="93"/>
      <c r="M153" s="109"/>
    </row>
    <row r="154" spans="1:17">
      <c r="J154" s="93"/>
      <c r="K154" s="93"/>
      <c r="L154" s="93"/>
      <c r="M154" s="109"/>
    </row>
    <row r="155" spans="1:17">
      <c r="J155" s="93"/>
      <c r="K155" s="93"/>
      <c r="L155" s="93"/>
      <c r="M155" s="109"/>
    </row>
    <row r="156" spans="1:17">
      <c r="J156" s="93"/>
      <c r="K156" s="93"/>
      <c r="L156" s="93"/>
      <c r="M156" s="109"/>
    </row>
    <row r="157" spans="1:17">
      <c r="J157" s="93"/>
      <c r="K157" s="93"/>
      <c r="L157" s="93"/>
      <c r="M157" s="109"/>
    </row>
    <row r="158" spans="1:17">
      <c r="J158" s="93"/>
      <c r="K158" s="93"/>
      <c r="L158" s="93"/>
      <c r="M158" s="109"/>
    </row>
    <row r="159" spans="1:17">
      <c r="J159" s="93"/>
      <c r="K159" s="93"/>
      <c r="L159" s="93"/>
      <c r="M159" s="109"/>
    </row>
    <row r="160" spans="1:17">
      <c r="K160" s="93"/>
      <c r="L160" s="93"/>
      <c r="M160" s="109"/>
    </row>
    <row r="161" spans="11:13">
      <c r="K161" s="93"/>
      <c r="L161" s="93"/>
      <c r="M161" s="109"/>
    </row>
    <row r="162" spans="11:13">
      <c r="K162" s="93"/>
      <c r="L162" s="93"/>
      <c r="M162" s="109"/>
    </row>
    <row r="163" spans="11:13">
      <c r="L163" s="93"/>
      <c r="M163" s="109"/>
    </row>
    <row r="164" spans="11:13">
      <c r="L164" s="93"/>
      <c r="M164" s="109"/>
    </row>
    <row r="165" spans="11:13">
      <c r="L165" s="93"/>
    </row>
    <row r="166" spans="11:13">
      <c r="L166" s="93"/>
    </row>
    <row r="167" spans="11:13">
      <c r="L167" s="93"/>
    </row>
  </sheetData>
  <mergeCells count="5">
    <mergeCell ref="A7:L7"/>
    <mergeCell ref="U7:V7"/>
    <mergeCell ref="M7:O7"/>
    <mergeCell ref="H9:K9"/>
    <mergeCell ref="D9:F9"/>
  </mergeCells>
  <conditionalFormatting sqref="P56:P72 Z9:Z55">
    <cfRule type="aboveAverage" dxfId="9" priority="11" aboveAverage="0" stdDev="1"/>
    <cfRule type="aboveAverage" dxfId="8" priority="12" stdDev="1"/>
  </conditionalFormatting>
  <dataValidations disablePrompts="1" count="1">
    <dataValidation type="list" allowBlank="1" showInputMessage="1" showErrorMessage="1" sqref="B5" xr:uid="{00000000-0002-0000-0300-000000000000}">
      <formula1>$AB$5:$AB$8</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Stake_Summary</vt:lpstr>
      <vt:lpstr>K53</vt:lpstr>
      <vt:lpstr>K17b</vt:lpstr>
      <vt:lpstr>KIA</vt:lpstr>
      <vt:lpstr>KQU</vt:lpstr>
      <vt:lpstr>KPS</vt:lpstr>
      <vt:lpstr>KPSL</vt:lpstr>
      <vt:lpstr>Pit_K53_20240525</vt:lpstr>
      <vt:lpstr>PitCore_K17b_20240525</vt:lpstr>
      <vt:lpstr>Pit_KIA_20240525</vt:lpstr>
      <vt:lpstr>PitCore_KQU_20240525</vt:lpstr>
      <vt:lpstr>FirnCore_KPS_20240526</vt:lpstr>
      <vt:lpstr>Pit_K17b_20240930</vt:lpstr>
      <vt:lpstr>Pit_KQU_20240930</vt:lpstr>
      <vt:lpstr>FirnCore_KPSL_20240930</vt:lpstr>
      <vt:lpstr>Pit_Sheet</vt:lpstr>
      <vt:lpstr>FirnCore_Sheet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Sass, Louis</cp:lastModifiedBy>
  <dcterms:created xsi:type="dcterms:W3CDTF">2014-09-30T04:14:01Z</dcterms:created>
  <dcterms:modified xsi:type="dcterms:W3CDTF">2025-05-13T22:25:37Z</dcterms:modified>
</cp:coreProperties>
</file>