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charts/chart2.xml" ContentType="application/vnd.openxmlformats-officedocument.drawingml.chart+xml"/>
  <Override PartName="/xl/drawings/drawing11.xml" ContentType="application/vnd.openxmlformats-officedocument.drawing+xml"/>
  <Override PartName="/xl/comments10.xml" ContentType="application/vnd.openxmlformats-officedocument.spreadsheetml.comments+xml"/>
  <Override PartName="/xl/charts/chart3.xml" ContentType="application/vnd.openxmlformats-officedocument.drawingml.chart+xml"/>
  <Override PartName="/xl/drawings/drawing12.xml" ContentType="application/vnd.openxmlformats-officedocument.drawing+xml"/>
  <Override PartName="/xl/comments11.xml" ContentType="application/vnd.openxmlformats-officedocument.spreadsheetml.comments+xml"/>
  <Override PartName="/xl/charts/chart4.xml" ContentType="application/vnd.openxmlformats-officedocument.drawingml.chart+xml"/>
  <Override PartName="/xl/drawings/drawing13.xml" ContentType="application/vnd.openxmlformats-officedocument.drawing+xml"/>
  <Override PartName="/xl/comments12.xml" ContentType="application/vnd.openxmlformats-officedocument.spreadsheetml.comments+xml"/>
  <Override PartName="/xl/charts/chart5.xml" ContentType="application/vnd.openxmlformats-officedocument.drawingml.chart+xml"/>
  <Override PartName="/xl/drawings/drawing14.xml" ContentType="application/vnd.openxmlformats-officedocument.drawing+xml"/>
  <Override PartName="/xl/comments13.xml" ContentType="application/vnd.openxmlformats-officedocument.spreadsheetml.comments+xml"/>
  <Override PartName="/xl/charts/chart6.xml" ContentType="application/vnd.openxmlformats-officedocument.drawingml.chart+xml"/>
  <Override PartName="/xl/drawings/drawing15.xml" ContentType="application/vnd.openxmlformats-officedocument.drawing+xml"/>
  <Override PartName="/xl/comments14.xml" ContentType="application/vnd.openxmlformats-officedocument.spreadsheetml.comments+xml"/>
  <Override PartName="/xl/charts/chart7.xml" ContentType="application/vnd.openxmlformats-officedocument.drawingml.chart+xml"/>
  <Override PartName="/xl/drawings/drawing16.xml" ContentType="application/vnd.openxmlformats-officedocument.drawing+xml"/>
  <Override PartName="/xl/comments15.xml" ContentType="application/vnd.openxmlformats-officedocument.spreadsheetml.comments+xml"/>
  <Override PartName="/xl/charts/chart8.xml" ContentType="application/vnd.openxmlformats-officedocument.drawingml.chart+xml"/>
  <Override PartName="/xl/drawings/drawing17.xml" ContentType="application/vnd.openxmlformats-officedocument.drawing+xml"/>
  <Override PartName="/xl/comments16.xml" ContentType="application/vnd.openxmlformats-officedocument.spreadsheetml.comments+xml"/>
  <Override PartName="/xl/charts/chart9.xml" ContentType="application/vnd.openxmlformats-officedocument.drawingml.chart+xml"/>
  <Override PartName="/xl/drawings/drawing18.xml" ContentType="application/vnd.openxmlformats-officedocument.drawing+xml"/>
  <Override PartName="/xl/comments17.xml" ContentType="application/vnd.openxmlformats-officedocument.spreadsheetml.comments+xml"/>
  <Override PartName="/xl/charts/chart10.xml" ContentType="application/vnd.openxmlformats-officedocument.drawingml.chart+xml"/>
  <Override PartName="/xl/drawings/drawing19.xml" ContentType="application/vnd.openxmlformats-officedocument.drawing+xml"/>
  <Override PartName="/xl/comments18.xml" ContentType="application/vnd.openxmlformats-officedocument.spreadsheetml.comments+xml"/>
  <Override PartName="/xl/charts/chart11.xml" ContentType="application/vnd.openxmlformats-officedocument.drawingml.chart+xml"/>
  <Override PartName="/xl/drawings/drawing20.xml" ContentType="application/vnd.openxmlformats-officedocument.drawing+xml"/>
  <Override PartName="/xl/comments19.xml" ContentType="application/vnd.openxmlformats-officedocument.spreadsheetml.comments+xml"/>
  <Override PartName="/xl/charts/chart1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Q:\Project Data\GlacierData\Benchmark_Program\Data\Wolverine\2023\"/>
    </mc:Choice>
  </mc:AlternateContent>
  <xr:revisionPtr revIDLastSave="0" documentId="13_ncr:1_{0DB23AA7-C862-43EF-AE80-B38BA27D5CFC}" xr6:coauthVersionLast="47" xr6:coauthVersionMax="47" xr10:uidLastSave="{00000000-0000-0000-0000-000000000000}"/>
  <bookViews>
    <workbookView xWindow="1350" yWindow="240" windowWidth="16020" windowHeight="15015" tabRatio="816" xr2:uid="{00000000-000D-0000-FFFF-FFFF00000000}"/>
  </bookViews>
  <sheets>
    <sheet name="Stake Summary" sheetId="1" r:id="rId1"/>
    <sheet name="AUU" sheetId="34" r:id="rId2"/>
    <sheet name="N" sheetId="3" r:id="rId3"/>
    <sheet name="B" sheetId="4" r:id="rId4"/>
    <sheet name="S" sheetId="5" r:id="rId5"/>
    <sheet name="C" sheetId="6" r:id="rId6"/>
    <sheet name="TU" sheetId="7" r:id="rId7"/>
    <sheet name="Y" sheetId="8" r:id="rId8"/>
    <sheet name="EC" sheetId="9" r:id="rId9"/>
    <sheet name="20230906_FirnCoreEC" sheetId="46" r:id="rId10"/>
    <sheet name="20230505_PitCoreC" sheetId="35" r:id="rId11"/>
    <sheet name="20230905_PitC" sheetId="44" r:id="rId12"/>
    <sheet name="20230505_PitCoreTU" sheetId="36" r:id="rId13"/>
    <sheet name="20230505_PitCoreY" sheetId="37" r:id="rId14"/>
    <sheet name="20230905_PitCoreY" sheetId="45" r:id="rId15"/>
    <sheet name="20230506_PitCoreB" sheetId="38" r:id="rId16"/>
    <sheet name="20230506_ProbeS" sheetId="39" r:id="rId17"/>
    <sheet name="20230506_ProbeN" sheetId="40" r:id="rId18"/>
    <sheet name="20230506_FirnCoreEC" sheetId="41" r:id="rId19"/>
    <sheet name="20230506_PitAUU" sheetId="43" r:id="rId20"/>
  </sheets>
  <externalReferences>
    <externalReference r:id="rId21"/>
    <externalReference r:id="rId22"/>
    <externalReference r:id="rId23"/>
    <externalReference r:id="rId24"/>
  </externalReferences>
  <definedNames>
    <definedName name="a" localSheetId="10">#REF!</definedName>
    <definedName name="a" localSheetId="12">#REF!</definedName>
    <definedName name="a" localSheetId="13">#REF!</definedName>
    <definedName name="a" localSheetId="18">#REF!</definedName>
    <definedName name="a" localSheetId="19">#REF!</definedName>
    <definedName name="a" localSheetId="15">#REF!</definedName>
    <definedName name="a" localSheetId="17">#REF!</definedName>
    <definedName name="a" localSheetId="16">#REF!</definedName>
    <definedName name="a">#REF!</definedName>
    <definedName name="b" localSheetId="10">#REF!</definedName>
    <definedName name="b" localSheetId="12">#REF!</definedName>
    <definedName name="b" localSheetId="13">#REF!</definedName>
    <definedName name="b" localSheetId="18">#REF!</definedName>
    <definedName name="b" localSheetId="19">#REF!</definedName>
    <definedName name="b" localSheetId="15">#REF!</definedName>
    <definedName name="b" localSheetId="17">#REF!</definedName>
    <definedName name="b" localSheetId="16">#REF!</definedName>
    <definedName name="b">#REF!</definedName>
    <definedName name="b?">#REF!</definedName>
    <definedName name="BasAlt" localSheetId="10">{1181,1250,1350,1450,1550,1650,1750,1850,1950,2050,2150,2250,2350,2436.5}</definedName>
    <definedName name="BasAlt" localSheetId="12">{1181,1250,1350,1450,1550,1650,1750,1850,1950,2050,2150,2250,2350,2436.5}</definedName>
    <definedName name="BasAlt" localSheetId="13">{1181,1250,1350,1450,1550,1650,1750,1850,1950,2050,2150,2250,2350,2436.5}</definedName>
    <definedName name="BasAlt" localSheetId="18">{1181,1250,1350,1450,1550,1650,1750,1850,1950,2050,2150,2250,2350,2436.5}</definedName>
    <definedName name="BasAlt" localSheetId="19">{1181,1250,1350,1450,1550,1650,1750,1850,1950,2050,2150,2250,2350,2436.5}</definedName>
    <definedName name="BasAlt" localSheetId="15">{1181,1250,1350,1450,1550,1650,1750,1850,1950,2050,2150,2250,2350,2436.5}</definedName>
    <definedName name="BasAlt" localSheetId="17">{1181,1250,1350,1450,1550,1650,1750,1850,1950,2050,2150,2250,2350,2436.5}</definedName>
    <definedName name="BasAlt" localSheetId="16">{1181,1250,1350,1450,1550,1650,1750,1850,1950,2050,2150,2250,2350,2436.5}</definedName>
    <definedName name="BasAlt">{1181,1250,1350,1450,1550,1650,1750,1850,1950,2050,2150,2250,2350,2436.5}</definedName>
    <definedName name="BasAlt2009" localSheetId="10">{1181,1250,1350,1450,1550,1650,1750,1850,1950,2050,2150,2250,2350,2436.5}</definedName>
    <definedName name="BasAlt2009" localSheetId="12">{1181,1250,1350,1450,1550,1650,1750,1850,1950,2050,2150,2250,2350,2436.5}</definedName>
    <definedName name="BasAlt2009" localSheetId="13">{1181,1250,1350,1450,1550,1650,1750,1850,1950,2050,2150,2250,2350,2436.5}</definedName>
    <definedName name="BasAlt2009" localSheetId="18">{1181,1250,1350,1450,1550,1650,1750,1850,1950,2050,2150,2250,2350,2436.5}</definedName>
    <definedName name="BasAlt2009" localSheetId="19">{1181,1250,1350,1450,1550,1650,1750,1850,1950,2050,2150,2250,2350,2436.5}</definedName>
    <definedName name="BasAlt2009" localSheetId="15">{1181,1250,1350,1450,1550,1650,1750,1850,1950,2050,2150,2250,2350,2436.5}</definedName>
    <definedName name="BasAlt2009" localSheetId="17">{1181,1250,1350,1450,1550,1650,1750,1850,1950,2050,2150,2250,2350,2436.5}</definedName>
    <definedName name="BasAlt2009" localSheetId="16">{1181,1250,1350,1450,1550,1650,1750,1850,1950,2050,2150,2250,2350,2436.5}</definedName>
    <definedName name="BasAlt2009">{1181,1250,1350,1450,1550,1650,1750,1850,1950,2050,2150,2250,2350,2436.5}</definedName>
    <definedName name="Cerr">5</definedName>
    <definedName name="CSerr">10</definedName>
    <definedName name="DATA">'[1]Stake A'!$A$103:$CC$165</definedName>
    <definedName name="_xlnm.Data_Form">#NAME?</definedName>
    <definedName name="GlacAlt" localSheetId="10">{1181,1250,1350,1450,1550,1650,1750,1850,1950,2050,2150,2250,2350,2436.5}</definedName>
    <definedName name="GlacAlt" localSheetId="12">{1181,1250,1350,1450,1550,1650,1750,1850,1950,2050,2150,2250,2350,2436.5}</definedName>
    <definedName name="GlacAlt" localSheetId="13">{1181,1250,1350,1450,1550,1650,1750,1850,1950,2050,2150,2250,2350,2436.5}</definedName>
    <definedName name="GlacAlt" localSheetId="18">{1181,1250,1350,1450,1550,1650,1750,1850,1950,2050,2150,2250,2350,2436.5}</definedName>
    <definedName name="GlacAlt" localSheetId="19">{1181,1250,1350,1450,1550,1650,1750,1850,1950,2050,2150,2250,2350,2436.5}</definedName>
    <definedName name="GlacAlt" localSheetId="15">{1181,1250,1350,1450,1550,1650,1750,1850,1950,2050,2150,2250,2350,2436.5}</definedName>
    <definedName name="GlacAlt" localSheetId="17">{1181,1250,1350,1450,1550,1650,1750,1850,1950,2050,2150,2250,2350,2436.5}</definedName>
    <definedName name="GlacAlt" localSheetId="16">{1181,1250,1350,1450,1550,1650,1750,1850,1950,2050,2150,2250,2350,2436.5}</definedName>
    <definedName name="GlacAlt">{1181,1250,1350,1450,1550,1650,1750,1850,1950,2050,2150,2250,2350,2436.5}</definedName>
    <definedName name="LapPer100mAvg">-0.55</definedName>
    <definedName name="LapPer100mDry">-0.986</definedName>
    <definedName name="LapPer100mWet">-0.66</definedName>
    <definedName name="name" localSheetId="10">{1181,1250,1350,1450,1550,1650,1750,1850,1950,2050,2150,2250,2350,2436.5}</definedName>
    <definedName name="name" localSheetId="12">{1181,1250,1350,1450,1550,1650,1750,1850,1950,2050,2150,2250,2350,2436.5}</definedName>
    <definedName name="name" localSheetId="13">{1181,1250,1350,1450,1550,1650,1750,1850,1950,2050,2150,2250,2350,2436.5}</definedName>
    <definedName name="name" localSheetId="18">{1181,1250,1350,1450,1550,1650,1750,1850,1950,2050,2150,2250,2350,2436.5}</definedName>
    <definedName name="name" localSheetId="19">{1181,1250,1350,1450,1550,1650,1750,1850,1950,2050,2150,2250,2350,2436.5}</definedName>
    <definedName name="name" localSheetId="15">{1181,1250,1350,1450,1550,1650,1750,1850,1950,2050,2150,2250,2350,2436.5}</definedName>
    <definedName name="name" localSheetId="17">{1181,1250,1350,1450,1550,1650,1750,1850,1950,2050,2150,2250,2350,2436.5}</definedName>
    <definedName name="name" localSheetId="16">{1181,1250,1350,1450,1550,1650,1750,1850,1950,2050,2150,2250,2350,2436.5}</definedName>
    <definedName name="name">{1181,1250,1350,1450,1550,1650,1750,1850,1950,2050,2150,2250,2350,2436.5}</definedName>
    <definedName name="Print_Area_A">'[1]Stake A'!$F$103:$CC$199</definedName>
    <definedName name="Radiuserr">0.1</definedName>
    <definedName name="Sample_TypeAu" localSheetId="10">[2]Pit_Sheet!#REF!</definedName>
    <definedName name="Sample_TypeAu" localSheetId="12">[2]Pit_Sheet!#REF!</definedName>
    <definedName name="Sample_TypeAu" localSheetId="13">[2]Pit_Sheet!#REF!</definedName>
    <definedName name="Sample_TypeAu" localSheetId="18">[2]Pit_Sheet!#REF!</definedName>
    <definedName name="Sample_TypeAu" localSheetId="19">'20230506_PitAUU'!#REF!</definedName>
    <definedName name="Sample_TypeAu" localSheetId="15">[2]Pit_Sheet!#REF!</definedName>
    <definedName name="Sample_TypeAu" localSheetId="17">'20230506_ProbeN'!#REF!</definedName>
    <definedName name="Sample_TypeAu" localSheetId="16">'20230506_ProbeS'!#REF!</definedName>
    <definedName name="Sample_TypeAu">#REF!</definedName>
    <definedName name="SampleType" localSheetId="10">#REF!</definedName>
    <definedName name="SampleType" localSheetId="12">#REF!</definedName>
    <definedName name="SampleType" localSheetId="13">#REF!</definedName>
    <definedName name="SampleType" localSheetId="18">#REF!</definedName>
    <definedName name="SampleType" localSheetId="19">#REF!</definedName>
    <definedName name="SampleType" localSheetId="15">#REF!</definedName>
    <definedName name="SampleType" localSheetId="17">#REF!</definedName>
    <definedName name="SampleType" localSheetId="16">#REF!</definedName>
    <definedName name="SampleType">#REF!</definedName>
    <definedName name="SampleType1" localSheetId="10">#REF!</definedName>
    <definedName name="SampleType1" localSheetId="12">#REF!</definedName>
    <definedName name="SampleType1" localSheetId="13">#REF!</definedName>
    <definedName name="SampleType1" localSheetId="18">#REF!</definedName>
    <definedName name="SampleType1" localSheetId="19">#REF!</definedName>
    <definedName name="SampleType1" localSheetId="15">#REF!</definedName>
    <definedName name="SampleType1" localSheetId="17">#REF!</definedName>
    <definedName name="SampleType1" localSheetId="16">#REF!</definedName>
    <definedName name="SampleType1">#REF!</definedName>
    <definedName name="SampleTypeAU" localSheetId="10">#REF!</definedName>
    <definedName name="SampleTypeAU" localSheetId="12">#REF!</definedName>
    <definedName name="SampleTypeAU" localSheetId="13">#REF!</definedName>
    <definedName name="SampleTypeAU" localSheetId="18">#REF!</definedName>
    <definedName name="SampleTypeAU" localSheetId="19">#REF!</definedName>
    <definedName name="SampleTypeAU" localSheetId="15">#REF!</definedName>
    <definedName name="SampleTypeAU" localSheetId="17">#REF!</definedName>
    <definedName name="SampleTypeAU" localSheetId="16">#REF!</definedName>
    <definedName name="SampleTypeAU">#REF!</definedName>
    <definedName name="SampleTypeC">#REF!</definedName>
    <definedName name="SampletypeD">#REF!</definedName>
    <definedName name="SampletypeS">#REF!</definedName>
    <definedName name="SampleTypeX">#REF!</definedName>
    <definedName name="SampleTypeY">#REF!</definedName>
    <definedName name="SBDerr">0.5</definedName>
    <definedName name="Serr">5</definedName>
    <definedName name="Sipri_xsection">'[3]99.05.14'!$M$3</definedName>
    <definedName name="SipriXsection">'[3]00.05.12'!$M$3</definedName>
    <definedName name="SiteA">'[1]Stake A'!$A$103:$CC$165</definedName>
    <definedName name="SKit_XSection">'[4]SCD May 97, 1998'!$K$4</definedName>
    <definedName name="TempArray">[3]SNOWPIT!$P$9:$Q$20</definedName>
    <definedName name="TempArray2006">'[4]2006.5.12 Pit'!$P$9:$Q$23</definedName>
    <definedName name="TempArray2008">'[4]2008.09.28 Pit'!$P$9:$Q$23</definedName>
    <definedName name="XSECTAREA">[3]SNOWPIT!$Q$1</definedName>
    <definedName name="XSECTION">'[3]98.05.27'!$K$3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 i="5" l="1"/>
  <c r="H36" i="5"/>
  <c r="Q43" i="5"/>
  <c r="Q25" i="5" l="1"/>
  <c r="Q36" i="5"/>
  <c r="G55" i="4" l="1"/>
  <c r="F48" i="5"/>
  <c r="G47" i="5"/>
  <c r="Q47" i="5"/>
  <c r="G48" i="5"/>
  <c r="F44" i="5"/>
  <c r="P46" i="5"/>
  <c r="H43" i="5"/>
  <c r="G43" i="5"/>
  <c r="D9" i="1"/>
  <c r="C9" i="1"/>
  <c r="C74" i="9"/>
  <c r="C73" i="9"/>
  <c r="C72" i="9"/>
  <c r="C71" i="9"/>
  <c r="C70" i="9"/>
  <c r="I68" i="9"/>
  <c r="G68" i="9"/>
  <c r="E68" i="9"/>
  <c r="O63" i="9"/>
  <c r="Q63" i="9"/>
  <c r="L63" i="9"/>
  <c r="L59" i="9"/>
  <c r="K63" i="9"/>
  <c r="T47" i="46"/>
  <c r="T46" i="46"/>
  <c r="T45" i="46"/>
  <c r="T41" i="46"/>
  <c r="T38" i="46"/>
  <c r="V37" i="46"/>
  <c r="T37" i="46"/>
  <c r="T36" i="46"/>
  <c r="T35" i="46"/>
  <c r="T33" i="46"/>
  <c r="T32" i="46"/>
  <c r="T27" i="46"/>
  <c r="T26" i="46"/>
  <c r="N78" i="46"/>
  <c r="O78" i="46"/>
  <c r="O56" i="46"/>
  <c r="O57" i="46"/>
  <c r="O58" i="46"/>
  <c r="O59" i="46"/>
  <c r="O60" i="46"/>
  <c r="O61" i="46"/>
  <c r="O62" i="46"/>
  <c r="O63" i="46"/>
  <c r="O64" i="46"/>
  <c r="O65" i="46"/>
  <c r="O66" i="46"/>
  <c r="O67" i="46"/>
  <c r="O68" i="46"/>
  <c r="O69" i="46"/>
  <c r="O70" i="46"/>
  <c r="O71" i="46"/>
  <c r="O72" i="46"/>
  <c r="O73" i="46"/>
  <c r="O74" i="46"/>
  <c r="O75" i="46"/>
  <c r="O76" i="46"/>
  <c r="O77" i="46"/>
  <c r="L68" i="46"/>
  <c r="M68" i="46" s="1"/>
  <c r="P68" i="46" s="1"/>
  <c r="N68" i="46"/>
  <c r="L69" i="46"/>
  <c r="M69" i="46"/>
  <c r="P69" i="46" s="1"/>
  <c r="N69" i="46"/>
  <c r="L70" i="46"/>
  <c r="M70" i="46" s="1"/>
  <c r="P70" i="46" s="1"/>
  <c r="Q70" i="46" s="1"/>
  <c r="N70" i="46"/>
  <c r="L71" i="46"/>
  <c r="M71" i="46"/>
  <c r="P71" i="46" s="1"/>
  <c r="Q71" i="46" s="1"/>
  <c r="N71" i="46"/>
  <c r="L72" i="46"/>
  <c r="M72" i="46" s="1"/>
  <c r="P72" i="46" s="1"/>
  <c r="Q72" i="46" s="1"/>
  <c r="N72" i="46"/>
  <c r="L73" i="46"/>
  <c r="M73" i="46"/>
  <c r="P73" i="46" s="1"/>
  <c r="Q73" i="46" s="1"/>
  <c r="N73" i="46"/>
  <c r="L74" i="46"/>
  <c r="M74" i="46" s="1"/>
  <c r="P74" i="46" s="1"/>
  <c r="Q74" i="46" s="1"/>
  <c r="N74" i="46"/>
  <c r="L75" i="46"/>
  <c r="M75" i="46"/>
  <c r="P75" i="46" s="1"/>
  <c r="Q75" i="46" s="1"/>
  <c r="N75" i="46"/>
  <c r="L76" i="46"/>
  <c r="M76" i="46" s="1"/>
  <c r="P76" i="46" s="1"/>
  <c r="Q76" i="46" s="1"/>
  <c r="N76" i="46"/>
  <c r="C77" i="46"/>
  <c r="C74" i="46"/>
  <c r="C75" i="46"/>
  <c r="C71" i="46"/>
  <c r="C72" i="46"/>
  <c r="C68" i="46"/>
  <c r="C69" i="46"/>
  <c r="C65" i="46"/>
  <c r="C66" i="46"/>
  <c r="C62" i="46"/>
  <c r="C63" i="46"/>
  <c r="C60" i="46"/>
  <c r="C59" i="46"/>
  <c r="C57" i="46"/>
  <c r="G76" i="46"/>
  <c r="G75" i="46"/>
  <c r="G74" i="46"/>
  <c r="G73" i="46"/>
  <c r="G72" i="46"/>
  <c r="G71" i="46"/>
  <c r="G70" i="46"/>
  <c r="G69" i="46"/>
  <c r="G68" i="46"/>
  <c r="C15" i="46"/>
  <c r="C17" i="46"/>
  <c r="C19" i="46"/>
  <c r="C21" i="46"/>
  <c r="C23" i="46"/>
  <c r="C25" i="46"/>
  <c r="C27" i="46"/>
  <c r="O26" i="46" s="1"/>
  <c r="C29" i="46"/>
  <c r="C31" i="46"/>
  <c r="C33" i="46"/>
  <c r="C35" i="46"/>
  <c r="C37" i="46"/>
  <c r="C39" i="46"/>
  <c r="C41" i="46"/>
  <c r="O41" i="46" s="1"/>
  <c r="C43" i="46"/>
  <c r="C45" i="46"/>
  <c r="C47" i="46"/>
  <c r="C50" i="46"/>
  <c r="C49" i="46" s="1"/>
  <c r="C53" i="46"/>
  <c r="C55" i="46"/>
  <c r="L78" i="46"/>
  <c r="V78" i="46" s="1"/>
  <c r="G78" i="46"/>
  <c r="L77" i="46"/>
  <c r="G77" i="46"/>
  <c r="N77" i="46" s="1"/>
  <c r="L67" i="46"/>
  <c r="V67" i="46" s="1"/>
  <c r="G67" i="46"/>
  <c r="L66" i="46"/>
  <c r="V66" i="46" s="1"/>
  <c r="G66" i="46"/>
  <c r="L65" i="46"/>
  <c r="G65" i="46"/>
  <c r="L64" i="46"/>
  <c r="V64" i="46" s="1"/>
  <c r="G64" i="46"/>
  <c r="L63" i="46"/>
  <c r="V63" i="46" s="1"/>
  <c r="G63" i="46"/>
  <c r="L62" i="46"/>
  <c r="V62" i="46" s="1"/>
  <c r="G62" i="46"/>
  <c r="L61" i="46"/>
  <c r="V61" i="46" s="1"/>
  <c r="G61" i="46"/>
  <c r="L60" i="46"/>
  <c r="V60" i="46" s="1"/>
  <c r="G60" i="46"/>
  <c r="L59" i="46"/>
  <c r="V59" i="46" s="1"/>
  <c r="G59" i="46"/>
  <c r="L58" i="46"/>
  <c r="V58" i="46" s="1"/>
  <c r="G58" i="46"/>
  <c r="L57" i="46"/>
  <c r="V57" i="46" s="1"/>
  <c r="G57" i="46"/>
  <c r="L56" i="46"/>
  <c r="V56" i="46" s="1"/>
  <c r="G56" i="46"/>
  <c r="L55" i="46"/>
  <c r="V55" i="46" s="1"/>
  <c r="G55" i="46"/>
  <c r="L54" i="46"/>
  <c r="V54" i="46" s="1"/>
  <c r="G54" i="46"/>
  <c r="L53" i="46"/>
  <c r="V53" i="46" s="1"/>
  <c r="G53" i="46"/>
  <c r="L52" i="46"/>
  <c r="V52" i="46" s="1"/>
  <c r="G52" i="46"/>
  <c r="L51" i="46"/>
  <c r="V51" i="46" s="1"/>
  <c r="G51" i="46"/>
  <c r="L50" i="46"/>
  <c r="V50" i="46" s="1"/>
  <c r="G50" i="46"/>
  <c r="L49" i="46"/>
  <c r="V49" i="46" s="1"/>
  <c r="G49" i="46"/>
  <c r="L48" i="46"/>
  <c r="V48" i="46" s="1"/>
  <c r="G48" i="46"/>
  <c r="AB47" i="46"/>
  <c r="L47" i="46"/>
  <c r="V47" i="46" s="1"/>
  <c r="G47" i="46"/>
  <c r="AB46" i="46"/>
  <c r="L46" i="46"/>
  <c r="V46" i="46" s="1"/>
  <c r="G46" i="46"/>
  <c r="N46" i="46" s="1"/>
  <c r="L45" i="46"/>
  <c r="V45" i="46" s="1"/>
  <c r="G45" i="46"/>
  <c r="AB44" i="46"/>
  <c r="AB45" i="46" s="1"/>
  <c r="L44" i="46"/>
  <c r="V44" i="46" s="1"/>
  <c r="G44" i="46"/>
  <c r="AB43" i="46"/>
  <c r="I3" i="46" s="1"/>
  <c r="L43" i="46"/>
  <c r="V43" i="46" s="1"/>
  <c r="G43" i="46"/>
  <c r="L42" i="46"/>
  <c r="V42" i="46" s="1"/>
  <c r="G42" i="46"/>
  <c r="L41" i="46"/>
  <c r="V41" i="46" s="1"/>
  <c r="G41" i="46"/>
  <c r="L40" i="46"/>
  <c r="V40" i="46" s="1"/>
  <c r="G40" i="46"/>
  <c r="N40" i="46" s="1"/>
  <c r="L39" i="46"/>
  <c r="V39" i="46" s="1"/>
  <c r="G39" i="46"/>
  <c r="O38" i="46" s="1"/>
  <c r="L38" i="46"/>
  <c r="V38" i="46" s="1"/>
  <c r="G38" i="46"/>
  <c r="L37" i="46"/>
  <c r="G37" i="46"/>
  <c r="L36" i="46"/>
  <c r="V36" i="46" s="1"/>
  <c r="G36" i="46"/>
  <c r="L35" i="46"/>
  <c r="G35" i="46"/>
  <c r="L34" i="46"/>
  <c r="V34" i="46" s="1"/>
  <c r="G34" i="46"/>
  <c r="L33" i="46"/>
  <c r="V33" i="46" s="1"/>
  <c r="G33" i="46"/>
  <c r="L32" i="46"/>
  <c r="V32" i="46" s="1"/>
  <c r="G32" i="46"/>
  <c r="L31" i="46"/>
  <c r="V31" i="46" s="1"/>
  <c r="G31" i="46"/>
  <c r="N31" i="46" s="1"/>
  <c r="L30" i="46"/>
  <c r="V30" i="46" s="1"/>
  <c r="G30" i="46"/>
  <c r="L29" i="46"/>
  <c r="V29" i="46" s="1"/>
  <c r="G29" i="46"/>
  <c r="L28" i="46"/>
  <c r="V28" i="46" s="1"/>
  <c r="G28" i="46"/>
  <c r="L27" i="46"/>
  <c r="V27" i="46" s="1"/>
  <c r="G27" i="46"/>
  <c r="L26" i="46"/>
  <c r="V26" i="46" s="1"/>
  <c r="G26" i="46"/>
  <c r="L25" i="46"/>
  <c r="V25" i="46" s="1"/>
  <c r="G25" i="46"/>
  <c r="L24" i="46"/>
  <c r="V24" i="46" s="1"/>
  <c r="G24" i="46"/>
  <c r="L23" i="46"/>
  <c r="V23" i="46" s="1"/>
  <c r="G23" i="46"/>
  <c r="M23" i="46" s="1"/>
  <c r="P23" i="46" s="1"/>
  <c r="L22" i="46"/>
  <c r="V22" i="46" s="1"/>
  <c r="G22" i="46"/>
  <c r="L21" i="46"/>
  <c r="V21" i="46" s="1"/>
  <c r="G21" i="46"/>
  <c r="L20" i="46"/>
  <c r="V20" i="46" s="1"/>
  <c r="G20" i="46"/>
  <c r="L19" i="46"/>
  <c r="V19" i="46" s="1"/>
  <c r="G19" i="46"/>
  <c r="L18" i="46"/>
  <c r="V18" i="46" s="1"/>
  <c r="G18" i="46"/>
  <c r="L17" i="46"/>
  <c r="V17" i="46" s="1"/>
  <c r="G17" i="46"/>
  <c r="L16" i="46"/>
  <c r="V16" i="46" s="1"/>
  <c r="G16" i="46"/>
  <c r="N16" i="46" s="1"/>
  <c r="L15" i="46"/>
  <c r="V15" i="46" s="1"/>
  <c r="G15" i="46"/>
  <c r="I1" i="46"/>
  <c r="F64" i="9"/>
  <c r="G63" i="9"/>
  <c r="F60" i="9"/>
  <c r="G59" i="9"/>
  <c r="C57" i="7"/>
  <c r="C56" i="7"/>
  <c r="H41" i="7"/>
  <c r="H33" i="7"/>
  <c r="H20" i="7"/>
  <c r="F21" i="7"/>
  <c r="G20" i="7"/>
  <c r="F34" i="7"/>
  <c r="G33" i="7"/>
  <c r="F42" i="7"/>
  <c r="G41" i="7"/>
  <c r="C55" i="7"/>
  <c r="C53" i="7"/>
  <c r="C54" i="7"/>
  <c r="D10" i="1"/>
  <c r="C11" i="1"/>
  <c r="C10" i="1"/>
  <c r="I51" i="7"/>
  <c r="G51" i="7"/>
  <c r="E51" i="7"/>
  <c r="O45" i="7"/>
  <c r="Q45" i="7"/>
  <c r="F46" i="7"/>
  <c r="L45" i="7"/>
  <c r="G45" i="7"/>
  <c r="D11" i="1"/>
  <c r="C61" i="8"/>
  <c r="C59" i="8"/>
  <c r="C57" i="8"/>
  <c r="O50" i="8"/>
  <c r="C58" i="8"/>
  <c r="Q50" i="8"/>
  <c r="I55" i="8"/>
  <c r="G55" i="8"/>
  <c r="E55" i="8"/>
  <c r="R37" i="8"/>
  <c r="L37" i="8"/>
  <c r="R46" i="8"/>
  <c r="L46" i="8"/>
  <c r="H46" i="8"/>
  <c r="K23" i="8"/>
  <c r="J23" i="8"/>
  <c r="G24" i="8"/>
  <c r="I2" i="45"/>
  <c r="I4" i="45"/>
  <c r="O16" i="45"/>
  <c r="O17" i="45"/>
  <c r="N17" i="45"/>
  <c r="N18" i="45"/>
  <c r="C17" i="45"/>
  <c r="C15" i="45"/>
  <c r="V21" i="45"/>
  <c r="V20" i="45"/>
  <c r="V18" i="45"/>
  <c r="V19" i="45" s="1"/>
  <c r="O18" i="45"/>
  <c r="L18" i="45"/>
  <c r="G18" i="45"/>
  <c r="V17" i="45"/>
  <c r="I3" i="45" s="1"/>
  <c r="L17" i="45"/>
  <c r="G17" i="45"/>
  <c r="L16" i="45"/>
  <c r="G16" i="45"/>
  <c r="N16" i="45" s="1"/>
  <c r="O15" i="45"/>
  <c r="L15" i="45"/>
  <c r="G15" i="45"/>
  <c r="I1" i="45"/>
  <c r="G23" i="8"/>
  <c r="F38" i="8"/>
  <c r="G37" i="8"/>
  <c r="F47" i="8"/>
  <c r="G46" i="8"/>
  <c r="G51" i="8"/>
  <c r="G50" i="8"/>
  <c r="C47" i="6"/>
  <c r="C46" i="6"/>
  <c r="C45" i="6"/>
  <c r="C44" i="6"/>
  <c r="C43" i="6"/>
  <c r="I41" i="6"/>
  <c r="H18" i="6"/>
  <c r="L18" i="6"/>
  <c r="R18" i="6"/>
  <c r="L27" i="6"/>
  <c r="O31" i="6"/>
  <c r="Q31" i="6"/>
  <c r="L30" i="6"/>
  <c r="L31" i="6"/>
  <c r="K31" i="6"/>
  <c r="J31" i="6"/>
  <c r="K18" i="6"/>
  <c r="J18" i="6"/>
  <c r="J27" i="6"/>
  <c r="K27" i="6"/>
  <c r="F13" i="44"/>
  <c r="E14" i="44"/>
  <c r="M19" i="44"/>
  <c r="M18" i="44"/>
  <c r="M16" i="44"/>
  <c r="M17" i="44" s="1"/>
  <c r="G16" i="44"/>
  <c r="F16" i="44"/>
  <c r="I1" i="44" s="1"/>
  <c r="E16" i="44"/>
  <c r="M15" i="44"/>
  <c r="I3" i="44" s="1"/>
  <c r="G15" i="44"/>
  <c r="F15" i="44"/>
  <c r="E15" i="44"/>
  <c r="G14" i="44"/>
  <c r="F14" i="44"/>
  <c r="G13" i="44"/>
  <c r="E13" i="44"/>
  <c r="Q69" i="46" l="1"/>
  <c r="Q68" i="46"/>
  <c r="O25" i="46"/>
  <c r="O55" i="46"/>
  <c r="O46" i="46"/>
  <c r="O36" i="46"/>
  <c r="N19" i="46"/>
  <c r="N43" i="46"/>
  <c r="O33" i="46"/>
  <c r="M28" i="46"/>
  <c r="P28" i="46" s="1"/>
  <c r="O20" i="46"/>
  <c r="N32" i="46"/>
  <c r="O47" i="46"/>
  <c r="O40" i="46"/>
  <c r="M27" i="46"/>
  <c r="P27" i="46" s="1"/>
  <c r="O22" i="46"/>
  <c r="N25" i="46"/>
  <c r="O53" i="46"/>
  <c r="O18" i="46"/>
  <c r="O54" i="46"/>
  <c r="O16" i="46"/>
  <c r="N18" i="46"/>
  <c r="O24" i="46"/>
  <c r="O32" i="46"/>
  <c r="O39" i="46"/>
  <c r="O34" i="46"/>
  <c r="N38" i="46"/>
  <c r="O44" i="46"/>
  <c r="O30" i="46"/>
  <c r="O42" i="46"/>
  <c r="O23" i="46"/>
  <c r="O28" i="46"/>
  <c r="O49" i="46"/>
  <c r="O48" i="46"/>
  <c r="O37" i="46"/>
  <c r="O21" i="46"/>
  <c r="O45" i="46"/>
  <c r="N53" i="46"/>
  <c r="N17" i="46"/>
  <c r="O35" i="46"/>
  <c r="O19" i="46"/>
  <c r="N33" i="46"/>
  <c r="N34" i="46"/>
  <c r="N20" i="46"/>
  <c r="N21" i="46"/>
  <c r="O43" i="46"/>
  <c r="O27" i="46"/>
  <c r="N37" i="46"/>
  <c r="O50" i="46"/>
  <c r="O17" i="46"/>
  <c r="C52" i="46"/>
  <c r="O31" i="46"/>
  <c r="O29" i="46"/>
  <c r="N22" i="46"/>
  <c r="M30" i="46"/>
  <c r="P30" i="46" s="1"/>
  <c r="N24" i="46"/>
  <c r="N29" i="46"/>
  <c r="N35" i="46"/>
  <c r="N36" i="46"/>
  <c r="N55" i="46"/>
  <c r="N56" i="46"/>
  <c r="N45" i="46"/>
  <c r="M65" i="46"/>
  <c r="P65" i="46" s="1"/>
  <c r="N65" i="46"/>
  <c r="N62" i="46"/>
  <c r="N67" i="46"/>
  <c r="V65" i="46"/>
  <c r="M59" i="46"/>
  <c r="P59" i="46" s="1"/>
  <c r="M39" i="46"/>
  <c r="P39" i="46" s="1"/>
  <c r="M26" i="46"/>
  <c r="P26" i="46" s="1"/>
  <c r="N52" i="46"/>
  <c r="M32" i="46"/>
  <c r="W27" i="46"/>
  <c r="W23" i="46"/>
  <c r="N23" i="46"/>
  <c r="O15" i="46"/>
  <c r="M37" i="46"/>
  <c r="M42" i="46"/>
  <c r="P42" i="46" s="1"/>
  <c r="M49" i="46"/>
  <c r="P49" i="46" s="1"/>
  <c r="M29" i="46"/>
  <c r="P29" i="46" s="1"/>
  <c r="N42" i="46"/>
  <c r="N49" i="46"/>
  <c r="M77" i="46"/>
  <c r="M16" i="46"/>
  <c r="N57" i="46"/>
  <c r="M21" i="46"/>
  <c r="N51" i="46"/>
  <c r="N26" i="46"/>
  <c r="N39" i="46"/>
  <c r="N54" i="46"/>
  <c r="N59" i="46"/>
  <c r="M62" i="46"/>
  <c r="M54" i="46"/>
  <c r="P54" i="46" s="1"/>
  <c r="M35" i="46"/>
  <c r="M15" i="46"/>
  <c r="P15" i="46" s="1"/>
  <c r="M41" i="46"/>
  <c r="P41" i="46" s="1"/>
  <c r="W28" i="46"/>
  <c r="I4" i="46"/>
  <c r="M22" i="46"/>
  <c r="M19" i="46"/>
  <c r="M55" i="46"/>
  <c r="P55" i="46" s="1"/>
  <c r="N41" i="46"/>
  <c r="N58" i="46"/>
  <c r="M61" i="46"/>
  <c r="P61" i="46" s="1"/>
  <c r="N28" i="46"/>
  <c r="M31" i="46"/>
  <c r="M44" i="46"/>
  <c r="P44" i="46" s="1"/>
  <c r="M48" i="46"/>
  <c r="P48" i="46" s="1"/>
  <c r="N61" i="46"/>
  <c r="M64" i="46"/>
  <c r="P64" i="46" s="1"/>
  <c r="M18" i="46"/>
  <c r="M34" i="46"/>
  <c r="N44" i="46"/>
  <c r="N48" i="46"/>
  <c r="M51" i="46"/>
  <c r="P51" i="46" s="1"/>
  <c r="N64" i="46"/>
  <c r="M67" i="46"/>
  <c r="M52" i="46"/>
  <c r="P52" i="46" s="1"/>
  <c r="M58" i="46"/>
  <c r="P58" i="46" s="1"/>
  <c r="V35" i="46"/>
  <c r="M57" i="46"/>
  <c r="P57" i="46" s="1"/>
  <c r="M25" i="46"/>
  <c r="M45" i="46"/>
  <c r="M38" i="46"/>
  <c r="V77" i="46"/>
  <c r="M43" i="46"/>
  <c r="P43" i="46" s="1"/>
  <c r="M60" i="46"/>
  <c r="P60" i="46" s="1"/>
  <c r="N27" i="46"/>
  <c r="N60" i="46"/>
  <c r="M63" i="46"/>
  <c r="P63" i="46" s="1"/>
  <c r="M17" i="46"/>
  <c r="N30" i="46"/>
  <c r="M33" i="46"/>
  <c r="M50" i="46"/>
  <c r="P50" i="46" s="1"/>
  <c r="N63" i="46"/>
  <c r="M66" i="46"/>
  <c r="P66" i="46" s="1"/>
  <c r="M40" i="46"/>
  <c r="M20" i="46"/>
  <c r="M36" i="46"/>
  <c r="P36" i="46" s="1"/>
  <c r="N50" i="46"/>
  <c r="M53" i="46"/>
  <c r="N66" i="46"/>
  <c r="M78" i="46"/>
  <c r="M47" i="46"/>
  <c r="P47" i="46" s="1"/>
  <c r="M46" i="46"/>
  <c r="M56" i="46"/>
  <c r="P56" i="46" s="1"/>
  <c r="N47" i="46"/>
  <c r="M24" i="46"/>
  <c r="M15" i="45"/>
  <c r="P15" i="45" s="1"/>
  <c r="M16" i="45"/>
  <c r="P16" i="45" s="1"/>
  <c r="Q16" i="45" s="1"/>
  <c r="M18" i="45"/>
  <c r="P18" i="45" s="1"/>
  <c r="M17" i="45"/>
  <c r="P17" i="45" s="1"/>
  <c r="Q17" i="45" s="1"/>
  <c r="H13" i="44"/>
  <c r="H14" i="44"/>
  <c r="H16" i="44"/>
  <c r="H15" i="44"/>
  <c r="I16" i="44"/>
  <c r="J16" i="44" s="1"/>
  <c r="I4" i="44" s="1"/>
  <c r="I14" i="44"/>
  <c r="J14" i="44" s="1"/>
  <c r="I15" i="44"/>
  <c r="J15" i="44" s="1"/>
  <c r="I13" i="44"/>
  <c r="J13" i="44" s="1"/>
  <c r="Q30" i="46" l="1"/>
  <c r="W39" i="46"/>
  <c r="Q39" i="46"/>
  <c r="W30" i="46"/>
  <c r="P19" i="46"/>
  <c r="Q19" i="46" s="1"/>
  <c r="P17" i="46"/>
  <c r="Q17" i="46" s="1"/>
  <c r="P22" i="46"/>
  <c r="Q22" i="46" s="1"/>
  <c r="P46" i="46"/>
  <c r="Q46" i="46" s="1"/>
  <c r="W26" i="46"/>
  <c r="P33" i="46"/>
  <c r="Q33" i="46" s="1"/>
  <c r="W37" i="46"/>
  <c r="P37" i="46"/>
  <c r="Q37" i="46" s="1"/>
  <c r="P34" i="46"/>
  <c r="Q34" i="46" s="1"/>
  <c r="P32" i="46"/>
  <c r="Q32" i="46" s="1"/>
  <c r="P38" i="46"/>
  <c r="Q38" i="46" s="1"/>
  <c r="P45" i="46"/>
  <c r="Q45" i="46" s="1"/>
  <c r="O52" i="46"/>
  <c r="Q52" i="46" s="1"/>
  <c r="O51" i="46"/>
  <c r="P24" i="46"/>
  <c r="Q24" i="46" s="1"/>
  <c r="P18" i="46"/>
  <c r="Q18" i="46" s="1"/>
  <c r="W58" i="46"/>
  <c r="P53" i="46"/>
  <c r="Q53" i="46" s="1"/>
  <c r="P16" i="46"/>
  <c r="Q16" i="46" s="1"/>
  <c r="P20" i="46"/>
  <c r="Q20" i="46" s="1"/>
  <c r="P25" i="46"/>
  <c r="Q25" i="46" s="1"/>
  <c r="P31" i="46"/>
  <c r="Q31" i="46" s="1"/>
  <c r="Q15" i="46"/>
  <c r="Q27" i="46"/>
  <c r="W65" i="46"/>
  <c r="W21" i="46"/>
  <c r="P21" i="46"/>
  <c r="Q21" i="46" s="1"/>
  <c r="W52" i="46"/>
  <c r="P40" i="46"/>
  <c r="Q40" i="46" s="1"/>
  <c r="P35" i="46"/>
  <c r="Q35" i="46" s="1"/>
  <c r="P78" i="46"/>
  <c r="Q78" i="46" s="1"/>
  <c r="P77" i="46"/>
  <c r="Q77" i="46" s="1"/>
  <c r="P67" i="46"/>
  <c r="Q67" i="46" s="1"/>
  <c r="P62" i="46"/>
  <c r="Q62" i="46" s="1"/>
  <c r="Q29" i="46"/>
  <c r="Q36" i="46"/>
  <c r="Q43" i="46"/>
  <c r="Q23" i="46"/>
  <c r="Q55" i="46"/>
  <c r="Q56" i="46"/>
  <c r="Q51" i="46"/>
  <c r="Q65" i="46"/>
  <c r="Q59" i="46"/>
  <c r="W59" i="46"/>
  <c r="Q41" i="46"/>
  <c r="W60" i="46"/>
  <c r="W35" i="46"/>
  <c r="W42" i="46"/>
  <c r="W55" i="46"/>
  <c r="W54" i="46"/>
  <c r="Q47" i="46"/>
  <c r="W32" i="46"/>
  <c r="W17" i="46"/>
  <c r="W16" i="46"/>
  <c r="W15" i="46"/>
  <c r="Q49" i="46"/>
  <c r="Q26" i="46"/>
  <c r="W44" i="46"/>
  <c r="W38" i="46"/>
  <c r="Q57" i="46"/>
  <c r="W29" i="46"/>
  <c r="Q42" i="46"/>
  <c r="Q28" i="46"/>
  <c r="W36" i="46"/>
  <c r="W25" i="46"/>
  <c r="Q63" i="46"/>
  <c r="W61" i="46"/>
  <c r="W48" i="46"/>
  <c r="W67" i="46"/>
  <c r="W77" i="46"/>
  <c r="Q64" i="46"/>
  <c r="W66" i="46"/>
  <c r="W56" i="46"/>
  <c r="Q54" i="46"/>
  <c r="W41" i="46"/>
  <c r="W49" i="46"/>
  <c r="W62" i="46"/>
  <c r="Q60" i="46"/>
  <c r="W53" i="46"/>
  <c r="W34" i="46"/>
  <c r="W33" i="46"/>
  <c r="W46" i="46"/>
  <c r="Q44" i="46"/>
  <c r="W20" i="46"/>
  <c r="W40" i="46"/>
  <c r="W57" i="46"/>
  <c r="Q50" i="46"/>
  <c r="Q58" i="46"/>
  <c r="Q61" i="46"/>
  <c r="W31" i="46"/>
  <c r="W24" i="46"/>
  <c r="W45" i="46"/>
  <c r="W63" i="46"/>
  <c r="W18" i="46"/>
  <c r="W78" i="46"/>
  <c r="W64" i="46"/>
  <c r="W22" i="46"/>
  <c r="Q48" i="46"/>
  <c r="W19" i="46"/>
  <c r="Q66" i="46"/>
  <c r="W51" i="46"/>
  <c r="W50" i="46"/>
  <c r="W47" i="46"/>
  <c r="W43" i="46"/>
  <c r="Q15" i="45"/>
  <c r="R17" i="45" s="1"/>
  <c r="S17" i="45" s="1"/>
  <c r="Q18" i="45"/>
  <c r="R68" i="46" l="1"/>
  <c r="S68" i="46" s="1"/>
  <c r="R74" i="46"/>
  <c r="S74" i="46" s="1"/>
  <c r="R69" i="46"/>
  <c r="S69" i="46" s="1"/>
  <c r="R73" i="46"/>
  <c r="S73" i="46" s="1"/>
  <c r="R70" i="46"/>
  <c r="S70" i="46" s="1"/>
  <c r="R72" i="46"/>
  <c r="S72" i="46" s="1"/>
  <c r="R76" i="46"/>
  <c r="S76" i="46" s="1"/>
  <c r="R75" i="46"/>
  <c r="S75" i="46" s="1"/>
  <c r="R71" i="46"/>
  <c r="S71" i="46" s="1"/>
  <c r="R57" i="46"/>
  <c r="S57" i="46" s="1"/>
  <c r="R40" i="46"/>
  <c r="S40" i="46" s="1"/>
  <c r="R18" i="46"/>
  <c r="S18" i="46" s="1"/>
  <c r="R65" i="46"/>
  <c r="S65" i="46" s="1"/>
  <c r="R24" i="46"/>
  <c r="S24" i="46" s="1"/>
  <c r="R48" i="46"/>
  <c r="S48" i="46" s="1"/>
  <c r="R49" i="46"/>
  <c r="S49" i="46" s="1"/>
  <c r="R64" i="46"/>
  <c r="S64" i="46" s="1"/>
  <c r="R53" i="46"/>
  <c r="S53" i="46" s="1"/>
  <c r="R38" i="46"/>
  <c r="S38" i="46" s="1"/>
  <c r="R58" i="46"/>
  <c r="S58" i="46" s="1"/>
  <c r="R54" i="46"/>
  <c r="S54" i="46" s="1"/>
  <c r="R50" i="46"/>
  <c r="S50" i="46" s="1"/>
  <c r="R52" i="46"/>
  <c r="S52" i="46" s="1"/>
  <c r="R35" i="46"/>
  <c r="S35" i="46" s="1"/>
  <c r="R19" i="46"/>
  <c r="S19" i="46" s="1"/>
  <c r="R63" i="46"/>
  <c r="S63" i="46" s="1"/>
  <c r="R22" i="46"/>
  <c r="S22" i="46" s="1"/>
  <c r="R44" i="46"/>
  <c r="S44" i="46" s="1"/>
  <c r="R32" i="46"/>
  <c r="S32" i="46" s="1"/>
  <c r="R30" i="46"/>
  <c r="S30" i="46" s="1"/>
  <c r="R59" i="46"/>
  <c r="S59" i="46" s="1"/>
  <c r="R15" i="46"/>
  <c r="S15" i="46" s="1"/>
  <c r="R16" i="46"/>
  <c r="S16" i="46" s="1"/>
  <c r="R26" i="46"/>
  <c r="S26" i="46" s="1"/>
  <c r="R25" i="46"/>
  <c r="S25" i="46" s="1"/>
  <c r="R62" i="46"/>
  <c r="S62" i="46" s="1"/>
  <c r="R66" i="46"/>
  <c r="S66" i="46" s="1"/>
  <c r="R31" i="46"/>
  <c r="S31" i="46" s="1"/>
  <c r="R42" i="46"/>
  <c r="S42" i="46" s="1"/>
  <c r="R28" i="46"/>
  <c r="S28" i="46" s="1"/>
  <c r="R55" i="46"/>
  <c r="S55" i="46" s="1"/>
  <c r="R29" i="46"/>
  <c r="S29" i="46" s="1"/>
  <c r="R33" i="46"/>
  <c r="S33" i="46" s="1"/>
  <c r="R67" i="46"/>
  <c r="S67" i="46" s="1"/>
  <c r="R41" i="46"/>
  <c r="S41" i="46" s="1"/>
  <c r="R37" i="46"/>
  <c r="S37" i="46" s="1"/>
  <c r="R46" i="46"/>
  <c r="S46" i="46" s="1"/>
  <c r="R56" i="46"/>
  <c r="S56" i="46" s="1"/>
  <c r="R60" i="46"/>
  <c r="S60" i="46" s="1"/>
  <c r="R21" i="46"/>
  <c r="S21" i="46" s="1"/>
  <c r="R23" i="46"/>
  <c r="S23" i="46" s="1"/>
  <c r="R39" i="46"/>
  <c r="S39" i="46" s="1"/>
  <c r="R47" i="46"/>
  <c r="S47" i="46" s="1"/>
  <c r="R61" i="46"/>
  <c r="S61" i="46" s="1"/>
  <c r="R17" i="46"/>
  <c r="S17" i="46" s="1"/>
  <c r="R78" i="46"/>
  <c r="S78" i="46" s="1"/>
  <c r="R43" i="46"/>
  <c r="S43" i="46" s="1"/>
  <c r="R36" i="46"/>
  <c r="S36" i="46" s="1"/>
  <c r="R77" i="46"/>
  <c r="S77" i="46" s="1"/>
  <c r="R27" i="46"/>
  <c r="S27" i="46" s="1"/>
  <c r="R20" i="46"/>
  <c r="S20" i="46" s="1"/>
  <c r="R51" i="46"/>
  <c r="S51" i="46" s="1"/>
  <c r="R34" i="46"/>
  <c r="S34" i="46" s="1"/>
  <c r="R45" i="46"/>
  <c r="S45" i="46" s="1"/>
  <c r="R15" i="45"/>
  <c r="S15" i="45" s="1"/>
  <c r="R16" i="45"/>
  <c r="S16" i="45" s="1"/>
  <c r="R18" i="45"/>
  <c r="S18" i="45" s="1"/>
  <c r="F32" i="6" l="1"/>
  <c r="G31" i="6"/>
  <c r="F28" i="6"/>
  <c r="G27" i="6"/>
  <c r="F19" i="6"/>
  <c r="G18" i="6"/>
  <c r="C58" i="5"/>
  <c r="C56" i="5"/>
  <c r="C53" i="5"/>
  <c r="I52" i="5"/>
  <c r="L46" i="5"/>
  <c r="G37" i="5"/>
  <c r="G36" i="5"/>
  <c r="H25" i="5"/>
  <c r="F26" i="5"/>
  <c r="G25" i="5"/>
  <c r="C69" i="4"/>
  <c r="C68" i="4"/>
  <c r="C67" i="4"/>
  <c r="C65" i="4"/>
  <c r="C66" i="4"/>
  <c r="I63" i="4"/>
  <c r="O59" i="4"/>
  <c r="Q59" i="4"/>
  <c r="L58" i="4"/>
  <c r="F60" i="4"/>
  <c r="G59" i="4"/>
  <c r="R48" i="4"/>
  <c r="H56" i="4"/>
  <c r="O55" i="4"/>
  <c r="Q55" i="4"/>
  <c r="F56" i="4"/>
  <c r="G49" i="4"/>
  <c r="H48" i="4"/>
  <c r="G48" i="4"/>
  <c r="C50" i="3"/>
  <c r="C48" i="3"/>
  <c r="C46" i="3"/>
  <c r="C47" i="3"/>
  <c r="C45" i="3"/>
  <c r="C49" i="3"/>
  <c r="R28" i="3"/>
  <c r="O29" i="3"/>
  <c r="Q29" i="3"/>
  <c r="L28" i="3"/>
  <c r="P28" i="3"/>
  <c r="O47" i="5" l="1"/>
  <c r="O26" i="3"/>
  <c r="Q26" i="3"/>
  <c r="F27" i="3"/>
  <c r="G26" i="3"/>
  <c r="G30" i="3"/>
  <c r="F37" i="3"/>
  <c r="G36" i="3"/>
  <c r="F41" i="3"/>
  <c r="F11" i="34"/>
  <c r="I44" i="3"/>
  <c r="D5" i="1" s="1"/>
  <c r="G40" i="3"/>
  <c r="G29" i="3"/>
  <c r="H29" i="3" s="1"/>
  <c r="C25" i="34"/>
  <c r="I4" i="1" s="1"/>
  <c r="C23" i="34"/>
  <c r="I19" i="34"/>
  <c r="D4" i="1" s="1"/>
  <c r="G10" i="34"/>
  <c r="F43" i="8"/>
  <c r="D8" i="1"/>
  <c r="G41" i="6"/>
  <c r="C8" i="1" s="1"/>
  <c r="E41" i="6"/>
  <c r="D7" i="1"/>
  <c r="G52" i="5"/>
  <c r="C7" i="1" s="1"/>
  <c r="E52" i="5"/>
  <c r="D6" i="1"/>
  <c r="G63" i="4"/>
  <c r="C6" i="1" s="1"/>
  <c r="E63" i="4"/>
  <c r="G44" i="3"/>
  <c r="C5" i="1" s="1"/>
  <c r="E44" i="3"/>
  <c r="G19" i="34"/>
  <c r="C4" i="1" s="1"/>
  <c r="E19" i="34"/>
  <c r="N25" i="36"/>
  <c r="O25" i="35"/>
  <c r="N25" i="35"/>
  <c r="O20" i="36"/>
  <c r="I11" i="1"/>
  <c r="H11" i="1"/>
  <c r="G11" i="1"/>
  <c r="E11" i="1"/>
  <c r="I10" i="1"/>
  <c r="H10" i="1"/>
  <c r="G10" i="1"/>
  <c r="E10" i="1"/>
  <c r="I9" i="1"/>
  <c r="H9" i="1"/>
  <c r="G9" i="1"/>
  <c r="E9" i="1"/>
  <c r="I8" i="1"/>
  <c r="H8" i="1"/>
  <c r="G8" i="1"/>
  <c r="E8" i="1"/>
  <c r="I7" i="1"/>
  <c r="H7" i="1"/>
  <c r="E7" i="1"/>
  <c r="I6" i="1"/>
  <c r="G6" i="1"/>
  <c r="E6" i="1"/>
  <c r="E5" i="1"/>
  <c r="E4" i="1"/>
  <c r="I5" i="1"/>
  <c r="G5" i="1"/>
  <c r="K49" i="8"/>
  <c r="J49" i="8"/>
  <c r="J44" i="7"/>
  <c r="K62" i="9"/>
  <c r="J62" i="9"/>
  <c r="K26" i="6"/>
  <c r="P26" i="6" s="1"/>
  <c r="K17" i="6"/>
  <c r="P17" i="6" s="1"/>
  <c r="J30" i="6"/>
  <c r="F54" i="4"/>
  <c r="K39" i="4"/>
  <c r="K54" i="4" s="1"/>
  <c r="P83" i="41"/>
  <c r="I4" i="41"/>
  <c r="W70" i="41"/>
  <c r="W71" i="41"/>
  <c r="W72" i="41"/>
  <c r="W73" i="41"/>
  <c r="W74" i="41"/>
  <c r="W75" i="41"/>
  <c r="W77" i="41"/>
  <c r="W78" i="41"/>
  <c r="W79" i="41"/>
  <c r="W80" i="41"/>
  <c r="W83" i="41"/>
  <c r="W84" i="41"/>
  <c r="I2" i="41"/>
  <c r="O94" i="41"/>
  <c r="N27" i="41"/>
  <c r="N28" i="41"/>
  <c r="N29" i="41"/>
  <c r="N30" i="41"/>
  <c r="N31" i="41"/>
  <c r="N32" i="41"/>
  <c r="N33" i="41"/>
  <c r="N34" i="41"/>
  <c r="N35" i="41"/>
  <c r="N36" i="41"/>
  <c r="N37" i="41"/>
  <c r="N38" i="41"/>
  <c r="N39" i="41"/>
  <c r="N40" i="41"/>
  <c r="N41" i="41"/>
  <c r="N42" i="41"/>
  <c r="N43" i="41"/>
  <c r="N44" i="41"/>
  <c r="N45" i="41"/>
  <c r="N46" i="41"/>
  <c r="N47" i="41"/>
  <c r="N48" i="41"/>
  <c r="N49" i="41"/>
  <c r="Q49" i="41" s="1"/>
  <c r="N50" i="41"/>
  <c r="N51" i="41"/>
  <c r="N52" i="41"/>
  <c r="N53" i="41"/>
  <c r="N54" i="41"/>
  <c r="N55" i="41"/>
  <c r="N56" i="41"/>
  <c r="N57" i="41"/>
  <c r="N58" i="41"/>
  <c r="N59" i="41"/>
  <c r="N60" i="41"/>
  <c r="N61" i="41"/>
  <c r="N62" i="41"/>
  <c r="N63" i="41"/>
  <c r="N64" i="41"/>
  <c r="N65" i="41"/>
  <c r="N66" i="41"/>
  <c r="N67" i="41"/>
  <c r="N68" i="41"/>
  <c r="N69" i="41"/>
  <c r="N70" i="41"/>
  <c r="N71" i="41"/>
  <c r="N72" i="41"/>
  <c r="N73" i="41"/>
  <c r="N74" i="41"/>
  <c r="N75" i="41"/>
  <c r="N76" i="41"/>
  <c r="N77" i="41"/>
  <c r="N78" i="41"/>
  <c r="N79" i="41"/>
  <c r="N80" i="41"/>
  <c r="N81" i="41"/>
  <c r="N82" i="41"/>
  <c r="N83" i="41"/>
  <c r="N84" i="41"/>
  <c r="N85" i="41"/>
  <c r="N86" i="41"/>
  <c r="N87" i="41"/>
  <c r="N88" i="41"/>
  <c r="N89" i="41"/>
  <c r="N90" i="41"/>
  <c r="N91" i="41"/>
  <c r="N92" i="41"/>
  <c r="N93" i="41"/>
  <c r="N94"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26" i="41"/>
  <c r="O27" i="38"/>
  <c r="O25" i="41"/>
  <c r="O25" i="37"/>
  <c r="N25" i="41"/>
  <c r="Q50" i="41"/>
  <c r="C93" i="41"/>
  <c r="C90" i="41"/>
  <c r="C91" i="41"/>
  <c r="C88" i="41"/>
  <c r="C86" i="41"/>
  <c r="C84" i="41"/>
  <c r="C82" i="41"/>
  <c r="C80" i="41"/>
  <c r="C78" i="41"/>
  <c r="C75" i="41"/>
  <c r="C76" i="41"/>
  <c r="C73" i="41"/>
  <c r="C71" i="41"/>
  <c r="C68" i="41"/>
  <c r="C66" i="41"/>
  <c r="C64" i="41"/>
  <c r="C62" i="41"/>
  <c r="C60" i="41"/>
  <c r="C58" i="41"/>
  <c r="C56" i="41"/>
  <c r="C54" i="41"/>
  <c r="C52" i="41"/>
  <c r="C49" i="41"/>
  <c r="C50" i="41"/>
  <c r="C47" i="41"/>
  <c r="C44" i="41"/>
  <c r="C45" i="41"/>
  <c r="C42" i="41"/>
  <c r="C39" i="41"/>
  <c r="C28" i="37"/>
  <c r="C37" i="41"/>
  <c r="C34" i="41"/>
  <c r="C35" i="41"/>
  <c r="C31" i="41"/>
  <c r="C32" i="41"/>
  <c r="C28" i="41"/>
  <c r="I1" i="41"/>
  <c r="G87" i="41"/>
  <c r="L87" i="41"/>
  <c r="V87" i="41" s="1"/>
  <c r="G88" i="41"/>
  <c r="L88" i="41"/>
  <c r="G89" i="41"/>
  <c r="L89" i="41"/>
  <c r="G90" i="41"/>
  <c r="L90" i="41"/>
  <c r="G91" i="41"/>
  <c r="L91" i="41"/>
  <c r="G92" i="41"/>
  <c r="L92" i="41"/>
  <c r="G93" i="41"/>
  <c r="L93" i="41"/>
  <c r="G94" i="41"/>
  <c r="L94" i="41"/>
  <c r="M94" i="41" s="1"/>
  <c r="P94" i="41" s="1"/>
  <c r="L76" i="41"/>
  <c r="V76" i="41" s="1"/>
  <c r="W76" i="41" s="1"/>
  <c r="L77" i="41"/>
  <c r="V77" i="41" s="1"/>
  <c r="L78" i="41"/>
  <c r="V78" i="41" s="1"/>
  <c r="L79" i="41"/>
  <c r="V79" i="41" s="1"/>
  <c r="L80" i="41"/>
  <c r="V80" i="41" s="1"/>
  <c r="L81" i="41"/>
  <c r="V81" i="41" s="1"/>
  <c r="W81" i="41" s="1"/>
  <c r="L82" i="41"/>
  <c r="V82" i="41" s="1"/>
  <c r="W82" i="41" s="1"/>
  <c r="L83" i="41"/>
  <c r="V83" i="41" s="1"/>
  <c r="L84" i="41"/>
  <c r="L85" i="41"/>
  <c r="V85" i="41" s="1"/>
  <c r="W85" i="41" s="1"/>
  <c r="L86" i="41"/>
  <c r="V86" i="41" s="1"/>
  <c r="W86" i="41" s="1"/>
  <c r="G76" i="41"/>
  <c r="G77" i="41"/>
  <c r="G78" i="41"/>
  <c r="G79" i="41"/>
  <c r="G80" i="41"/>
  <c r="G81" i="41"/>
  <c r="G82" i="41"/>
  <c r="G83" i="41"/>
  <c r="G84" i="41"/>
  <c r="G85" i="41"/>
  <c r="G86" i="41"/>
  <c r="O21" i="41"/>
  <c r="K39" i="3"/>
  <c r="K35" i="3"/>
  <c r="K28" i="3"/>
  <c r="K9" i="34"/>
  <c r="J9" i="34"/>
  <c r="G9" i="34"/>
  <c r="G8" i="34" s="1"/>
  <c r="F8" i="34" s="1"/>
  <c r="I2" i="43"/>
  <c r="I1" i="43"/>
  <c r="F25" i="43"/>
  <c r="I4" i="43"/>
  <c r="H14" i="43"/>
  <c r="I24" i="43"/>
  <c r="I13" i="43"/>
  <c r="S18" i="38"/>
  <c r="J13" i="43"/>
  <c r="J19" i="43"/>
  <c r="J14" i="43"/>
  <c r="H17" i="43"/>
  <c r="H13" i="43"/>
  <c r="G24" i="43"/>
  <c r="G14" i="43"/>
  <c r="G15" i="43"/>
  <c r="G16" i="43"/>
  <c r="H16" i="43" s="1"/>
  <c r="G17" i="43"/>
  <c r="G18" i="43"/>
  <c r="G19" i="43"/>
  <c r="H19" i="43" s="1"/>
  <c r="G20" i="43"/>
  <c r="H20" i="43" s="1"/>
  <c r="G21" i="43"/>
  <c r="H21" i="43" s="1"/>
  <c r="G22" i="43"/>
  <c r="H22" i="43" s="1"/>
  <c r="G23" i="43"/>
  <c r="H24" i="43"/>
  <c r="J24" i="43" s="1"/>
  <c r="G13" i="43"/>
  <c r="P16" i="38"/>
  <c r="P18" i="38"/>
  <c r="F24" i="43"/>
  <c r="H15" i="43"/>
  <c r="H18" i="43"/>
  <c r="H23" i="43"/>
  <c r="E24" i="43"/>
  <c r="F23" i="43"/>
  <c r="M57" i="43"/>
  <c r="M56" i="43"/>
  <c r="M54" i="43"/>
  <c r="M55" i="43" s="1"/>
  <c r="M53" i="43"/>
  <c r="I3" i="43" s="1"/>
  <c r="E23" i="43"/>
  <c r="F22" i="43"/>
  <c r="E22" i="43"/>
  <c r="F21" i="43"/>
  <c r="E21" i="43"/>
  <c r="F20" i="43"/>
  <c r="E20" i="43"/>
  <c r="F19" i="43"/>
  <c r="E19" i="43"/>
  <c r="F18" i="43"/>
  <c r="E18" i="43"/>
  <c r="F17" i="43"/>
  <c r="E17" i="43"/>
  <c r="F16" i="43"/>
  <c r="E16" i="43"/>
  <c r="F15" i="43"/>
  <c r="E15" i="43"/>
  <c r="F14" i="43"/>
  <c r="E14" i="43"/>
  <c r="F13" i="43"/>
  <c r="E13" i="43"/>
  <c r="V100" i="41"/>
  <c r="V99" i="41"/>
  <c r="V97" i="41"/>
  <c r="L75" i="41"/>
  <c r="V75" i="41" s="1"/>
  <c r="G75" i="41"/>
  <c r="L74" i="41"/>
  <c r="V74" i="41" s="1"/>
  <c r="G74" i="41"/>
  <c r="L73" i="41"/>
  <c r="G73" i="41"/>
  <c r="L72" i="41"/>
  <c r="V72" i="41" s="1"/>
  <c r="G72" i="41"/>
  <c r="L71" i="41"/>
  <c r="V71" i="41" s="1"/>
  <c r="G71" i="41"/>
  <c r="L70" i="41"/>
  <c r="V70" i="41" s="1"/>
  <c r="G70" i="41"/>
  <c r="L69" i="41"/>
  <c r="V69" i="41" s="1"/>
  <c r="W69" i="41" s="1"/>
  <c r="G69" i="41"/>
  <c r="L68" i="41"/>
  <c r="V68" i="41" s="1"/>
  <c r="G68" i="41"/>
  <c r="L67" i="41"/>
  <c r="V67" i="41" s="1"/>
  <c r="G67" i="41"/>
  <c r="L66" i="41"/>
  <c r="V66" i="41" s="1"/>
  <c r="G66" i="41"/>
  <c r="L65" i="41"/>
  <c r="V65" i="41" s="1"/>
  <c r="G65" i="41"/>
  <c r="L64" i="41"/>
  <c r="V64" i="41" s="1"/>
  <c r="G64" i="41"/>
  <c r="L63" i="41"/>
  <c r="V63" i="41" s="1"/>
  <c r="G63" i="41"/>
  <c r="L62" i="41"/>
  <c r="V62" i="41" s="1"/>
  <c r="G62" i="41"/>
  <c r="L61" i="41"/>
  <c r="V61" i="41" s="1"/>
  <c r="G61" i="41"/>
  <c r="L60" i="41"/>
  <c r="V60" i="41" s="1"/>
  <c r="G60" i="41"/>
  <c r="L59" i="41"/>
  <c r="V59" i="41" s="1"/>
  <c r="G59" i="41"/>
  <c r="L58" i="41"/>
  <c r="G58" i="41"/>
  <c r="AB57" i="41"/>
  <c r="L57" i="41"/>
  <c r="V57" i="41" s="1"/>
  <c r="G57" i="41"/>
  <c r="AB56" i="41"/>
  <c r="L56" i="41"/>
  <c r="V56" i="41" s="1"/>
  <c r="G56" i="41"/>
  <c r="L55" i="41"/>
  <c r="V55" i="41" s="1"/>
  <c r="G55" i="41"/>
  <c r="AB54" i="41"/>
  <c r="AB55" i="41" s="1"/>
  <c r="L54" i="41"/>
  <c r="G54" i="41"/>
  <c r="AB53" i="41"/>
  <c r="I3" i="41" s="1"/>
  <c r="L53" i="41"/>
  <c r="V53" i="41" s="1"/>
  <c r="G53" i="41"/>
  <c r="L52" i="41"/>
  <c r="V52" i="41" s="1"/>
  <c r="G52" i="41"/>
  <c r="L51" i="41"/>
  <c r="G51" i="41"/>
  <c r="L50" i="41"/>
  <c r="V50" i="41" s="1"/>
  <c r="G50" i="41"/>
  <c r="L49" i="41"/>
  <c r="V49" i="41" s="1"/>
  <c r="G49" i="41"/>
  <c r="L48" i="41"/>
  <c r="V48" i="41" s="1"/>
  <c r="G48" i="41"/>
  <c r="L47" i="41"/>
  <c r="V47" i="41" s="1"/>
  <c r="G47" i="41"/>
  <c r="L46" i="41"/>
  <c r="V46" i="41" s="1"/>
  <c r="G46" i="41"/>
  <c r="L45" i="41"/>
  <c r="V45" i="41" s="1"/>
  <c r="G45" i="41"/>
  <c r="L44" i="41"/>
  <c r="V44" i="41" s="1"/>
  <c r="G44" i="41"/>
  <c r="L43" i="41"/>
  <c r="V43" i="41" s="1"/>
  <c r="G43" i="41"/>
  <c r="L42" i="41"/>
  <c r="V42" i="41" s="1"/>
  <c r="G42" i="41"/>
  <c r="L41" i="41"/>
  <c r="G41" i="41"/>
  <c r="L40" i="41"/>
  <c r="V40" i="41" s="1"/>
  <c r="G40" i="41"/>
  <c r="L39" i="41"/>
  <c r="V39" i="41" s="1"/>
  <c r="G39" i="41"/>
  <c r="L38" i="41"/>
  <c r="V38" i="41" s="1"/>
  <c r="G38" i="41"/>
  <c r="L37" i="41"/>
  <c r="V37" i="41" s="1"/>
  <c r="G37" i="41"/>
  <c r="L36" i="41"/>
  <c r="V36" i="41" s="1"/>
  <c r="G36" i="41"/>
  <c r="L35" i="41"/>
  <c r="V35" i="41" s="1"/>
  <c r="G35" i="41"/>
  <c r="L34" i="41"/>
  <c r="V34" i="41" s="1"/>
  <c r="G34" i="41"/>
  <c r="L33" i="41"/>
  <c r="V33" i="41" s="1"/>
  <c r="G33" i="41"/>
  <c r="L32" i="41"/>
  <c r="V32" i="41" s="1"/>
  <c r="G32" i="41"/>
  <c r="L31" i="41"/>
  <c r="V31" i="41" s="1"/>
  <c r="G31" i="41"/>
  <c r="L30" i="41"/>
  <c r="V30" i="41" s="1"/>
  <c r="G30" i="41"/>
  <c r="L29" i="41"/>
  <c r="V29" i="41" s="1"/>
  <c r="G29" i="41"/>
  <c r="L28" i="41"/>
  <c r="V28" i="41" s="1"/>
  <c r="G28" i="41"/>
  <c r="L27" i="41"/>
  <c r="V27" i="41" s="1"/>
  <c r="G27" i="41"/>
  <c r="L26" i="41"/>
  <c r="V26" i="41" s="1"/>
  <c r="G26" i="41"/>
  <c r="N26" i="41" s="1"/>
  <c r="L25" i="41"/>
  <c r="V25" i="41" s="1"/>
  <c r="G25" i="41"/>
  <c r="V21" i="41"/>
  <c r="W21" i="41" s="1"/>
  <c r="P21" i="41"/>
  <c r="N21" i="41"/>
  <c r="V20" i="41"/>
  <c r="W20" i="41" s="1"/>
  <c r="P20" i="41"/>
  <c r="O20" i="41"/>
  <c r="N20" i="41"/>
  <c r="V19" i="41"/>
  <c r="W19" i="41" s="1"/>
  <c r="P19" i="41"/>
  <c r="O19" i="41"/>
  <c r="N19" i="41"/>
  <c r="V18" i="41"/>
  <c r="W18" i="41" s="1"/>
  <c r="P18" i="41"/>
  <c r="O18" i="41"/>
  <c r="N18" i="41"/>
  <c r="V17" i="41"/>
  <c r="W17" i="41" s="1"/>
  <c r="P17" i="41"/>
  <c r="O17" i="41"/>
  <c r="N17" i="41"/>
  <c r="V16" i="41"/>
  <c r="W16" i="41" s="1"/>
  <c r="P16" i="41"/>
  <c r="O16" i="41"/>
  <c r="N16" i="41"/>
  <c r="V15" i="41"/>
  <c r="W15" i="41" s="1"/>
  <c r="P15" i="41"/>
  <c r="O15" i="41"/>
  <c r="N15" i="41"/>
  <c r="V14" i="41"/>
  <c r="W14" i="41" s="1"/>
  <c r="P14" i="41"/>
  <c r="O14" i="41"/>
  <c r="N14" i="41"/>
  <c r="V13" i="41"/>
  <c r="W13" i="41" s="1"/>
  <c r="P13" i="41"/>
  <c r="O13" i="41"/>
  <c r="N13" i="41"/>
  <c r="M57" i="40"/>
  <c r="M56" i="40"/>
  <c r="M54" i="40"/>
  <c r="M55" i="40" s="1"/>
  <c r="M53" i="40"/>
  <c r="I3" i="40" s="1"/>
  <c r="M57" i="39"/>
  <c r="M56" i="39"/>
  <c r="M54" i="39"/>
  <c r="M55" i="39" s="1"/>
  <c r="M53" i="39"/>
  <c r="I3" i="39" s="1"/>
  <c r="Q40" i="35"/>
  <c r="I2" i="35"/>
  <c r="I4" i="35"/>
  <c r="P9" i="34" l="1"/>
  <c r="C20" i="34" s="1"/>
  <c r="F4" i="1" s="1"/>
  <c r="L9" i="34"/>
  <c r="R9" i="34" s="1"/>
  <c r="C24" i="34" s="1"/>
  <c r="H4" i="1" s="1"/>
  <c r="P62" i="9"/>
  <c r="C69" i="9" s="1"/>
  <c r="F9" i="1" s="1"/>
  <c r="P49" i="8"/>
  <c r="C56" i="8" s="1"/>
  <c r="F11" i="1" s="1"/>
  <c r="K30" i="6"/>
  <c r="P30" i="6" s="1"/>
  <c r="C42" i="6" s="1"/>
  <c r="F8" i="1" s="1"/>
  <c r="K58" i="4"/>
  <c r="M89" i="41"/>
  <c r="P89" i="41" s="1"/>
  <c r="M87" i="41"/>
  <c r="P87" i="41" s="1"/>
  <c r="M91" i="41"/>
  <c r="P91" i="41" s="1"/>
  <c r="Q94" i="41"/>
  <c r="M93" i="41"/>
  <c r="P93" i="41" s="1"/>
  <c r="M88" i="41"/>
  <c r="P88" i="41" s="1"/>
  <c r="Q88" i="41" s="1"/>
  <c r="M92" i="41"/>
  <c r="M90" i="41"/>
  <c r="P90" i="41" s="1"/>
  <c r="Q91" i="41"/>
  <c r="Q89" i="41"/>
  <c r="Q87" i="41"/>
  <c r="Q93" i="41"/>
  <c r="Q90" i="41"/>
  <c r="M33" i="41"/>
  <c r="P33" i="41" s="1"/>
  <c r="M71" i="41"/>
  <c r="P71" i="41" s="1"/>
  <c r="M86" i="41"/>
  <c r="P86" i="41" s="1"/>
  <c r="M85" i="41"/>
  <c r="P85" i="41" s="1"/>
  <c r="M84" i="41"/>
  <c r="P84" i="41" s="1"/>
  <c r="Q84" i="41" s="1"/>
  <c r="M44" i="41"/>
  <c r="P44" i="41" s="1"/>
  <c r="M78" i="41"/>
  <c r="P78" i="41" s="1"/>
  <c r="M81" i="41"/>
  <c r="P81" i="41" s="1"/>
  <c r="Q81" i="41" s="1"/>
  <c r="M82" i="41"/>
  <c r="P82" i="41" s="1"/>
  <c r="M80" i="41"/>
  <c r="P80" i="41" s="1"/>
  <c r="Q80" i="41" s="1"/>
  <c r="M76" i="41"/>
  <c r="P76" i="41" s="1"/>
  <c r="M79" i="41"/>
  <c r="P79" i="41" s="1"/>
  <c r="M83" i="41"/>
  <c r="M77" i="41"/>
  <c r="P77" i="41" s="1"/>
  <c r="V84" i="41"/>
  <c r="M39" i="41"/>
  <c r="P39" i="41" s="1"/>
  <c r="M53" i="41"/>
  <c r="P53" i="41" s="1"/>
  <c r="M56" i="41"/>
  <c r="P56" i="41" s="1"/>
  <c r="Q13" i="41"/>
  <c r="Q21" i="41"/>
  <c r="M31" i="41"/>
  <c r="P31" i="41" s="1"/>
  <c r="Q20" i="41"/>
  <c r="Q17" i="41"/>
  <c r="Q14" i="41"/>
  <c r="Q19" i="41"/>
  <c r="Q16" i="41"/>
  <c r="M51" i="41"/>
  <c r="P51" i="41" s="1"/>
  <c r="Q51" i="41" s="1"/>
  <c r="M29" i="41"/>
  <c r="P29" i="41" s="1"/>
  <c r="M48" i="41"/>
  <c r="P48" i="41" s="1"/>
  <c r="M49" i="41"/>
  <c r="P49" i="41" s="1"/>
  <c r="Q15" i="41"/>
  <c r="M54" i="41"/>
  <c r="P54" i="41" s="1"/>
  <c r="M58" i="41"/>
  <c r="P58" i="41" s="1"/>
  <c r="Q58" i="41" s="1"/>
  <c r="M35" i="41"/>
  <c r="P35" i="41" s="1"/>
  <c r="M45" i="41"/>
  <c r="P45" i="41" s="1"/>
  <c r="M41" i="41"/>
  <c r="P41" i="41" s="1"/>
  <c r="V54" i="41"/>
  <c r="M64" i="41"/>
  <c r="P64" i="41" s="1"/>
  <c r="M68" i="41"/>
  <c r="P68" i="41" s="1"/>
  <c r="M73" i="41"/>
  <c r="P73" i="41" s="1"/>
  <c r="Q73" i="41" s="1"/>
  <c r="V98" i="41"/>
  <c r="M47" i="41"/>
  <c r="P47" i="41" s="1"/>
  <c r="M55" i="41"/>
  <c r="P55" i="41" s="1"/>
  <c r="Q55" i="41" s="1"/>
  <c r="V51" i="41"/>
  <c r="V58" i="41"/>
  <c r="M65" i="41"/>
  <c r="P65" i="41" s="1"/>
  <c r="M62" i="41"/>
  <c r="P62" i="41" s="1"/>
  <c r="M66" i="41"/>
  <c r="P66" i="41" s="1"/>
  <c r="M28" i="41"/>
  <c r="P28" i="41" s="1"/>
  <c r="V73" i="41"/>
  <c r="M32" i="41"/>
  <c r="P32" i="41" s="1"/>
  <c r="Q32" i="41" s="1"/>
  <c r="V41" i="41"/>
  <c r="M37" i="41"/>
  <c r="P37" i="41" s="1"/>
  <c r="M61" i="41"/>
  <c r="P61" i="41" s="1"/>
  <c r="M57" i="41"/>
  <c r="P57" i="41" s="1"/>
  <c r="M25" i="41"/>
  <c r="P25" i="41" s="1"/>
  <c r="Q18" i="41"/>
  <c r="I23" i="43"/>
  <c r="J23" i="43" s="1"/>
  <c r="I16" i="43"/>
  <c r="J16" i="43" s="1"/>
  <c r="I15" i="43"/>
  <c r="J15" i="43" s="1"/>
  <c r="I14" i="43"/>
  <c r="I21" i="43"/>
  <c r="J21" i="43" s="1"/>
  <c r="I20" i="43"/>
  <c r="J20" i="43" s="1"/>
  <c r="I19" i="43"/>
  <c r="I18" i="43"/>
  <c r="J18" i="43" s="1"/>
  <c r="I17" i="43"/>
  <c r="J17" i="43" s="1"/>
  <c r="I22" i="43"/>
  <c r="J22" i="43" s="1"/>
  <c r="M34" i="41"/>
  <c r="P34" i="41" s="1"/>
  <c r="Q34" i="41" s="1"/>
  <c r="M50" i="41"/>
  <c r="P50" i="41" s="1"/>
  <c r="M67" i="41"/>
  <c r="P67" i="41" s="1"/>
  <c r="Q67" i="41" s="1"/>
  <c r="M36" i="41"/>
  <c r="P36" i="41" s="1"/>
  <c r="M52" i="41"/>
  <c r="P52" i="41" s="1"/>
  <c r="M26" i="41"/>
  <c r="P26" i="41" s="1"/>
  <c r="M42" i="41"/>
  <c r="P42" i="41" s="1"/>
  <c r="M59" i="41"/>
  <c r="P59" i="41" s="1"/>
  <c r="M74" i="41"/>
  <c r="P74" i="41" s="1"/>
  <c r="M69" i="41"/>
  <c r="P69" i="41" s="1"/>
  <c r="M38" i="41"/>
  <c r="P38" i="41" s="1"/>
  <c r="M70" i="41"/>
  <c r="P70" i="41" s="1"/>
  <c r="Q70" i="41" s="1"/>
  <c r="M27" i="41"/>
  <c r="P27" i="41" s="1"/>
  <c r="Q27" i="41" s="1"/>
  <c r="M40" i="41"/>
  <c r="P40" i="41" s="1"/>
  <c r="M72" i="41"/>
  <c r="P72" i="41" s="1"/>
  <c r="Q72" i="41" s="1"/>
  <c r="M43" i="41"/>
  <c r="P43" i="41" s="1"/>
  <c r="Q43" i="41" s="1"/>
  <c r="M60" i="41"/>
  <c r="P60" i="41" s="1"/>
  <c r="M75" i="41"/>
  <c r="P75" i="41" s="1"/>
  <c r="M30" i="41"/>
  <c r="P30" i="41" s="1"/>
  <c r="M46" i="41"/>
  <c r="P46" i="41" s="1"/>
  <c r="M63" i="41"/>
  <c r="P63" i="41" s="1"/>
  <c r="Q63" i="41" s="1"/>
  <c r="Q10" i="34" l="1"/>
  <c r="C54" i="5"/>
  <c r="G7" i="1"/>
  <c r="P92" i="41"/>
  <c r="Q92" i="41" s="1"/>
  <c r="Q83" i="41"/>
  <c r="Q82" i="41"/>
  <c r="Q79" i="41"/>
  <c r="Q78" i="41"/>
  <c r="Q77" i="41"/>
  <c r="Q41" i="41"/>
  <c r="Q69" i="41"/>
  <c r="Q66" i="41"/>
  <c r="Q64" i="41"/>
  <c r="Q65" i="41"/>
  <c r="Q62" i="41"/>
  <c r="Q48" i="41"/>
  <c r="W44" i="41"/>
  <c r="Q86" i="41"/>
  <c r="Q71" i="41"/>
  <c r="W68" i="41"/>
  <c r="W33" i="41"/>
  <c r="Q33" i="41"/>
  <c r="W98" i="41"/>
  <c r="Q53" i="41"/>
  <c r="Q68" i="41"/>
  <c r="Q56" i="41"/>
  <c r="Q85" i="41"/>
  <c r="Q44" i="41"/>
  <c r="W39" i="41"/>
  <c r="W53" i="41"/>
  <c r="W41" i="41"/>
  <c r="Q31" i="41"/>
  <c r="Q76" i="41"/>
  <c r="Q25" i="41"/>
  <c r="R13" i="41"/>
  <c r="S13" i="41" s="1"/>
  <c r="Q52" i="41"/>
  <c r="W51" i="41"/>
  <c r="Q42" i="41"/>
  <c r="W59" i="41"/>
  <c r="W61" i="41"/>
  <c r="W31" i="41"/>
  <c r="Q40" i="41"/>
  <c r="W49" i="41"/>
  <c r="W54" i="41"/>
  <c r="W56" i="41"/>
  <c r="Q47" i="41"/>
  <c r="Q35" i="41"/>
  <c r="Q29" i="41"/>
  <c r="Q37" i="41"/>
  <c r="W35" i="41"/>
  <c r="Q39" i="41"/>
  <c r="Q57" i="41"/>
  <c r="Q28" i="41"/>
  <c r="W57" i="41"/>
  <c r="Q61" i="41"/>
  <c r="Q54" i="41"/>
  <c r="W64" i="41"/>
  <c r="Q45" i="41"/>
  <c r="W28" i="41"/>
  <c r="W48" i="41"/>
  <c r="W58" i="41"/>
  <c r="Q38" i="41"/>
  <c r="W45" i="41"/>
  <c r="W29" i="41"/>
  <c r="Q46" i="41"/>
  <c r="Q30" i="41"/>
  <c r="Q74" i="41"/>
  <c r="Q26" i="41"/>
  <c r="W66" i="41"/>
  <c r="W37" i="41"/>
  <c r="W36" i="41"/>
  <c r="W32" i="41"/>
  <c r="W100" i="41"/>
  <c r="W43" i="41"/>
  <c r="W34" i="41"/>
  <c r="W55" i="41"/>
  <c r="W65" i="41"/>
  <c r="W47" i="41"/>
  <c r="W97" i="41"/>
  <c r="W63" i="41"/>
  <c r="W62" i="41"/>
  <c r="W25" i="41"/>
  <c r="R19" i="41"/>
  <c r="S19" i="41" s="1"/>
  <c r="R15" i="41"/>
  <c r="S15" i="41" s="1"/>
  <c r="R14" i="41"/>
  <c r="S14" i="41" s="1"/>
  <c r="R16" i="41"/>
  <c r="S16" i="41" s="1"/>
  <c r="R18" i="41"/>
  <c r="S18" i="41" s="1"/>
  <c r="R21" i="41"/>
  <c r="S21" i="41" s="1"/>
  <c r="R17" i="41"/>
  <c r="S17" i="41" s="1"/>
  <c r="R20" i="41"/>
  <c r="S20" i="41" s="1"/>
  <c r="W46" i="41"/>
  <c r="W40" i="41"/>
  <c r="Q36" i="41"/>
  <c r="W99" i="41"/>
  <c r="Q75" i="41"/>
  <c r="W50" i="41"/>
  <c r="Q60" i="41"/>
  <c r="W67" i="41"/>
  <c r="W52" i="41"/>
  <c r="W27" i="41"/>
  <c r="Q59" i="41"/>
  <c r="W60" i="41"/>
  <c r="W26" i="41"/>
  <c r="W38" i="41"/>
  <c r="W30" i="41"/>
  <c r="W42" i="41"/>
  <c r="C22" i="34" l="1"/>
  <c r="G4" i="1" s="1"/>
  <c r="O10" i="34"/>
  <c r="C21" i="34" s="1"/>
  <c r="R49" i="41"/>
  <c r="S49" i="41" s="1"/>
  <c r="R41" i="41"/>
  <c r="S41" i="41" s="1"/>
  <c r="R34" i="41"/>
  <c r="S34" i="41" s="1"/>
  <c r="R82" i="41"/>
  <c r="S82" i="41" s="1"/>
  <c r="R51" i="41"/>
  <c r="S51" i="41" s="1"/>
  <c r="R86" i="41"/>
  <c r="S86" i="41" s="1"/>
  <c r="R91" i="41"/>
  <c r="S91" i="41" s="1"/>
  <c r="R89" i="41"/>
  <c r="S89" i="41" s="1"/>
  <c r="R92" i="41"/>
  <c r="S92" i="41" s="1"/>
  <c r="R94" i="41"/>
  <c r="S94" i="41" s="1"/>
  <c r="R93" i="41"/>
  <c r="S93" i="41" s="1"/>
  <c r="R87" i="41"/>
  <c r="S87" i="41" s="1"/>
  <c r="R90" i="41"/>
  <c r="S90" i="41" s="1"/>
  <c r="R88" i="41"/>
  <c r="S88" i="41" s="1"/>
  <c r="R76" i="41"/>
  <c r="S76" i="41" s="1"/>
  <c r="R26" i="41"/>
  <c r="S26" i="41" s="1"/>
  <c r="R56" i="41"/>
  <c r="S56" i="41" s="1"/>
  <c r="R54" i="41"/>
  <c r="S54" i="41" s="1"/>
  <c r="R39" i="41"/>
  <c r="S39" i="41" s="1"/>
  <c r="R37" i="41"/>
  <c r="S37" i="41" s="1"/>
  <c r="R67" i="41"/>
  <c r="S67" i="41" s="1"/>
  <c r="R72" i="41"/>
  <c r="S72" i="41" s="1"/>
  <c r="R61" i="41"/>
  <c r="S61" i="41" s="1"/>
  <c r="R64" i="41"/>
  <c r="S64" i="41" s="1"/>
  <c r="R68" i="41"/>
  <c r="S68" i="41" s="1"/>
  <c r="R29" i="41"/>
  <c r="S29" i="41" s="1"/>
  <c r="R60" i="41"/>
  <c r="S60" i="41" s="1"/>
  <c r="R31" i="41"/>
  <c r="S31" i="41" s="1"/>
  <c r="R77" i="41"/>
  <c r="S77" i="41" s="1"/>
  <c r="R33" i="41"/>
  <c r="S33" i="41" s="1"/>
  <c r="R62" i="41"/>
  <c r="S62" i="41" s="1"/>
  <c r="R38" i="41"/>
  <c r="S38" i="41" s="1"/>
  <c r="R43" i="41"/>
  <c r="S43" i="41" s="1"/>
  <c r="R40" i="41"/>
  <c r="S40" i="41" s="1"/>
  <c r="R50" i="41"/>
  <c r="S50" i="41" s="1"/>
  <c r="R52" i="41"/>
  <c r="S52" i="41" s="1"/>
  <c r="R28" i="41"/>
  <c r="S28" i="41" s="1"/>
  <c r="R55" i="41"/>
  <c r="S55" i="41" s="1"/>
  <c r="R85" i="41"/>
  <c r="S85" i="41" s="1"/>
  <c r="R27" i="41"/>
  <c r="S27" i="41" s="1"/>
  <c r="R71" i="41"/>
  <c r="S71" i="41" s="1"/>
  <c r="R65" i="41"/>
  <c r="S65" i="41" s="1"/>
  <c r="R57" i="41"/>
  <c r="S57" i="41" s="1"/>
  <c r="R45" i="41"/>
  <c r="S45" i="41" s="1"/>
  <c r="R78" i="41"/>
  <c r="S78" i="41" s="1"/>
  <c r="R59" i="41"/>
  <c r="S59" i="41" s="1"/>
  <c r="R83" i="41"/>
  <c r="S83" i="41" s="1"/>
  <c r="R53" i="41"/>
  <c r="S53" i="41" s="1"/>
  <c r="R44" i="41"/>
  <c r="S44" i="41" s="1"/>
  <c r="R74" i="41"/>
  <c r="S74" i="41" s="1"/>
  <c r="R58" i="41"/>
  <c r="S58" i="41" s="1"/>
  <c r="R32" i="41"/>
  <c r="S32" i="41" s="1"/>
  <c r="R36" i="41"/>
  <c r="S36" i="41" s="1"/>
  <c r="R79" i="41"/>
  <c r="S79" i="41" s="1"/>
  <c r="R84" i="41"/>
  <c r="S84" i="41" s="1"/>
  <c r="R42" i="41"/>
  <c r="S42" i="41" s="1"/>
  <c r="R75" i="41"/>
  <c r="S75" i="41" s="1"/>
  <c r="R70" i="41"/>
  <c r="S70" i="41" s="1"/>
  <c r="R63" i="41"/>
  <c r="S63" i="41" s="1"/>
  <c r="R48" i="41"/>
  <c r="S48" i="41" s="1"/>
  <c r="R66" i="41"/>
  <c r="S66" i="41" s="1"/>
  <c r="R80" i="41"/>
  <c r="S80" i="41" s="1"/>
  <c r="R30" i="41"/>
  <c r="S30" i="41" s="1"/>
  <c r="R73" i="41"/>
  <c r="S73" i="41" s="1"/>
  <c r="R25" i="41"/>
  <c r="S25" i="41" s="1"/>
  <c r="R81" i="41"/>
  <c r="S81" i="41" s="1"/>
  <c r="R35" i="41"/>
  <c r="S35" i="41" s="1"/>
  <c r="R46" i="41"/>
  <c r="S46" i="41" s="1"/>
  <c r="R69" i="41"/>
  <c r="S69" i="41" s="1"/>
  <c r="R47" i="41"/>
  <c r="S47" i="41" s="1"/>
  <c r="I3" i="38"/>
  <c r="I2" i="38"/>
  <c r="I1" i="38"/>
  <c r="V12" i="38"/>
  <c r="V57" i="38" s="1"/>
  <c r="I4" i="38"/>
  <c r="O29" i="38"/>
  <c r="N25" i="38"/>
  <c r="O19" i="38"/>
  <c r="C26" i="38"/>
  <c r="C27" i="38"/>
  <c r="O26" i="38" s="1"/>
  <c r="V53" i="38"/>
  <c r="L29" i="38"/>
  <c r="G29" i="38"/>
  <c r="O28" i="38" s="1"/>
  <c r="L28" i="38"/>
  <c r="G28" i="38"/>
  <c r="M28" i="38" s="1"/>
  <c r="P28" i="38" s="1"/>
  <c r="L27" i="38"/>
  <c r="G27" i="38"/>
  <c r="L26" i="38"/>
  <c r="G26" i="38"/>
  <c r="N26" i="38" s="1"/>
  <c r="L25" i="38"/>
  <c r="G25" i="38"/>
  <c r="M25" i="38" s="1"/>
  <c r="P25" i="38" s="1"/>
  <c r="P19" i="38"/>
  <c r="Q19" i="38" s="1"/>
  <c r="N19" i="38"/>
  <c r="Q18" i="38"/>
  <c r="O18" i="38"/>
  <c r="N18" i="38"/>
  <c r="P17" i="38"/>
  <c r="Q17" i="38" s="1"/>
  <c r="O17" i="38"/>
  <c r="N17" i="38"/>
  <c r="Q16" i="38"/>
  <c r="O16" i="38"/>
  <c r="N16" i="38"/>
  <c r="P15" i="38"/>
  <c r="Q15" i="38" s="1"/>
  <c r="O15" i="38"/>
  <c r="N15" i="38"/>
  <c r="P14" i="38"/>
  <c r="Q14" i="38" s="1"/>
  <c r="O14" i="38"/>
  <c r="N14" i="38"/>
  <c r="P13" i="38"/>
  <c r="Q13" i="38" s="1"/>
  <c r="O13" i="38"/>
  <c r="N13" i="38"/>
  <c r="I2" i="37"/>
  <c r="I1" i="37"/>
  <c r="I4" i="37"/>
  <c r="O39" i="37"/>
  <c r="C38" i="37"/>
  <c r="C35" i="37"/>
  <c r="C36" i="37"/>
  <c r="C32" i="37"/>
  <c r="C33" i="37"/>
  <c r="N34" i="37" s="1"/>
  <c r="C26" i="37"/>
  <c r="N26" i="37"/>
  <c r="Q25" i="37"/>
  <c r="N25" i="37"/>
  <c r="I1" i="35"/>
  <c r="Q21" i="37"/>
  <c r="O21" i="37"/>
  <c r="V57" i="37"/>
  <c r="V56" i="37"/>
  <c r="V54" i="37"/>
  <c r="V55" i="37" s="1"/>
  <c r="V53" i="37"/>
  <c r="I3" i="37" s="1"/>
  <c r="L39" i="37"/>
  <c r="G39" i="37"/>
  <c r="M39" i="37" s="1"/>
  <c r="P39" i="37" s="1"/>
  <c r="L38" i="37"/>
  <c r="G38" i="37"/>
  <c r="L37" i="37"/>
  <c r="G37" i="37"/>
  <c r="L36" i="37"/>
  <c r="G36" i="37"/>
  <c r="L35" i="37"/>
  <c r="G35" i="37"/>
  <c r="N35" i="37" s="1"/>
  <c r="O34" i="37"/>
  <c r="L34" i="37"/>
  <c r="G34" i="37"/>
  <c r="O33" i="37"/>
  <c r="L33" i="37"/>
  <c r="G33" i="37"/>
  <c r="L32" i="37"/>
  <c r="G32" i="37"/>
  <c r="N32" i="37" s="1"/>
  <c r="L31" i="37"/>
  <c r="G31" i="37"/>
  <c r="O30" i="37" s="1"/>
  <c r="L30" i="37"/>
  <c r="G30" i="37"/>
  <c r="M30" i="37" s="1"/>
  <c r="P30" i="37" s="1"/>
  <c r="L29" i="37"/>
  <c r="G29" i="37"/>
  <c r="L28" i="37"/>
  <c r="G28" i="37"/>
  <c r="L27" i="37"/>
  <c r="G27" i="37"/>
  <c r="L26" i="37"/>
  <c r="G26" i="37"/>
  <c r="L25" i="37"/>
  <c r="G25" i="37"/>
  <c r="M25" i="37" s="1"/>
  <c r="P25" i="37" s="1"/>
  <c r="P21" i="37"/>
  <c r="N21" i="37"/>
  <c r="P20" i="37"/>
  <c r="O20" i="37"/>
  <c r="N20" i="37"/>
  <c r="P19" i="37"/>
  <c r="Q19" i="37" s="1"/>
  <c r="O19" i="37"/>
  <c r="N19" i="37"/>
  <c r="P18" i="37"/>
  <c r="Q18" i="37" s="1"/>
  <c r="O18" i="37"/>
  <c r="N18" i="37"/>
  <c r="P17" i="37"/>
  <c r="Q17" i="37" s="1"/>
  <c r="O17" i="37"/>
  <c r="N17" i="37"/>
  <c r="P16" i="37"/>
  <c r="O16" i="37"/>
  <c r="Q16" i="37" s="1"/>
  <c r="N16" i="37"/>
  <c r="P15" i="37"/>
  <c r="Q15" i="37" s="1"/>
  <c r="O15" i="37"/>
  <c r="N15" i="37"/>
  <c r="P14" i="37"/>
  <c r="Q14" i="37" s="1"/>
  <c r="O14" i="37"/>
  <c r="N14" i="37"/>
  <c r="P13" i="37"/>
  <c r="O13" i="37"/>
  <c r="N13" i="37"/>
  <c r="Q13" i="37" s="1"/>
  <c r="G30" i="6"/>
  <c r="I2" i="36"/>
  <c r="R20" i="36"/>
  <c r="S20" i="36" s="1"/>
  <c r="O34" i="36"/>
  <c r="C34" i="36"/>
  <c r="C32" i="36"/>
  <c r="O31" i="36" s="1"/>
  <c r="C30" i="36"/>
  <c r="O29" i="36" s="1"/>
  <c r="C27" i="36"/>
  <c r="C28" i="36"/>
  <c r="C25" i="36"/>
  <c r="Q20" i="36"/>
  <c r="V57" i="36"/>
  <c r="V56" i="36"/>
  <c r="V54" i="36"/>
  <c r="V55" i="36" s="1"/>
  <c r="V53" i="36"/>
  <c r="I3" i="36" s="1"/>
  <c r="L34" i="36"/>
  <c r="G34" i="36"/>
  <c r="L33" i="36"/>
  <c r="G33" i="36"/>
  <c r="L32" i="36"/>
  <c r="G32" i="36"/>
  <c r="L31" i="36"/>
  <c r="G31" i="36"/>
  <c r="L30" i="36"/>
  <c r="G30" i="36"/>
  <c r="L29" i="36"/>
  <c r="G29" i="36"/>
  <c r="L28" i="36"/>
  <c r="G28" i="36"/>
  <c r="L27" i="36"/>
  <c r="G27" i="36"/>
  <c r="N27" i="36" s="1"/>
  <c r="L26" i="36"/>
  <c r="G26" i="36"/>
  <c r="N26" i="36" s="1"/>
  <c r="O25" i="36"/>
  <c r="L25" i="36"/>
  <c r="G25" i="36"/>
  <c r="P20" i="36"/>
  <c r="N20" i="36"/>
  <c r="P19" i="36"/>
  <c r="Q19" i="36" s="1"/>
  <c r="O19" i="36"/>
  <c r="N19" i="36"/>
  <c r="P18" i="36"/>
  <c r="Q18" i="36" s="1"/>
  <c r="O18" i="36"/>
  <c r="N18" i="36"/>
  <c r="P17" i="36"/>
  <c r="Q17" i="36" s="1"/>
  <c r="O17" i="36"/>
  <c r="N17" i="36"/>
  <c r="P16" i="36"/>
  <c r="Q16" i="36" s="1"/>
  <c r="O16" i="36"/>
  <c r="N16" i="36"/>
  <c r="P15" i="36"/>
  <c r="Q15" i="36" s="1"/>
  <c r="O15" i="36"/>
  <c r="N15" i="36"/>
  <c r="P14" i="36"/>
  <c r="Q14" i="36" s="1"/>
  <c r="O14" i="36"/>
  <c r="N14" i="36"/>
  <c r="P13" i="36"/>
  <c r="Q13" i="36" s="1"/>
  <c r="O13" i="36"/>
  <c r="N13" i="36"/>
  <c r="O41" i="35"/>
  <c r="Q20" i="35"/>
  <c r="Q19" i="35"/>
  <c r="O20" i="35"/>
  <c r="Q18" i="35"/>
  <c r="C39" i="35"/>
  <c r="C40" i="35"/>
  <c r="C36" i="35"/>
  <c r="C37" i="35"/>
  <c r="C34" i="35"/>
  <c r="C32" i="35"/>
  <c r="O31" i="35" s="1"/>
  <c r="C29" i="35"/>
  <c r="C30" i="35"/>
  <c r="C27" i="35"/>
  <c r="C25" i="35"/>
  <c r="C26" i="35"/>
  <c r="V57" i="35"/>
  <c r="V56" i="35"/>
  <c r="V54" i="35"/>
  <c r="V55" i="35" s="1"/>
  <c r="V53" i="35"/>
  <c r="I3" i="35" s="1"/>
  <c r="L41" i="35"/>
  <c r="G41" i="35"/>
  <c r="L40" i="35"/>
  <c r="G40" i="35"/>
  <c r="L39" i="35"/>
  <c r="G39" i="35"/>
  <c r="M39" i="35" s="1"/>
  <c r="P39" i="35" s="1"/>
  <c r="Q39" i="35" s="1"/>
  <c r="O38" i="35"/>
  <c r="L38" i="35"/>
  <c r="G38" i="35"/>
  <c r="O37" i="35" s="1"/>
  <c r="L37" i="35"/>
  <c r="G37" i="35"/>
  <c r="N37" i="35" s="1"/>
  <c r="O36" i="35"/>
  <c r="L36" i="35"/>
  <c r="G36" i="35"/>
  <c r="O35" i="35" s="1"/>
  <c r="L35" i="35"/>
  <c r="M35" i="35" s="1"/>
  <c r="P35" i="35" s="1"/>
  <c r="G35" i="35"/>
  <c r="L34" i="35"/>
  <c r="G34" i="35"/>
  <c r="L33" i="35"/>
  <c r="G33" i="35"/>
  <c r="L32" i="35"/>
  <c r="G32" i="35"/>
  <c r="M32" i="35" s="1"/>
  <c r="P32" i="35" s="1"/>
  <c r="L31" i="35"/>
  <c r="G31" i="35"/>
  <c r="L30" i="35"/>
  <c r="G30" i="35"/>
  <c r="L29" i="35"/>
  <c r="G29" i="35"/>
  <c r="O28" i="35" s="1"/>
  <c r="L28" i="35"/>
  <c r="G28" i="35"/>
  <c r="L27" i="35"/>
  <c r="G27" i="35"/>
  <c r="L26" i="35"/>
  <c r="G26" i="35"/>
  <c r="M26" i="35" s="1"/>
  <c r="P26" i="35" s="1"/>
  <c r="L25" i="35"/>
  <c r="G25" i="35"/>
  <c r="P20" i="35"/>
  <c r="N20" i="35"/>
  <c r="P19" i="35"/>
  <c r="O19" i="35"/>
  <c r="N19" i="35"/>
  <c r="P18" i="35"/>
  <c r="O18" i="35"/>
  <c r="N18" i="35"/>
  <c r="P17" i="35"/>
  <c r="Q17" i="35" s="1"/>
  <c r="O17" i="35"/>
  <c r="N17" i="35"/>
  <c r="P16" i="35"/>
  <c r="Q16" i="35" s="1"/>
  <c r="O16" i="35"/>
  <c r="N16" i="35"/>
  <c r="P15" i="35"/>
  <c r="Q15" i="35" s="1"/>
  <c r="O15" i="35"/>
  <c r="N15" i="35"/>
  <c r="P14" i="35"/>
  <c r="Q14" i="35" s="1"/>
  <c r="O14" i="35"/>
  <c r="N14" i="35"/>
  <c r="P13" i="35"/>
  <c r="Q13" i="35" s="1"/>
  <c r="O13" i="35"/>
  <c r="N13" i="35"/>
  <c r="M30" i="36" l="1"/>
  <c r="P30" i="36" s="1"/>
  <c r="M28" i="36"/>
  <c r="P28" i="36" s="1"/>
  <c r="V54" i="38"/>
  <c r="V55" i="38" s="1"/>
  <c r="V56" i="38"/>
  <c r="N27" i="38"/>
  <c r="N29" i="38"/>
  <c r="N28" i="38"/>
  <c r="Q28" i="38" s="1"/>
  <c r="M27" i="38"/>
  <c r="P27" i="38" s="1"/>
  <c r="O25" i="38"/>
  <c r="R15" i="38"/>
  <c r="S15" i="38" s="1"/>
  <c r="R18" i="38"/>
  <c r="M29" i="38"/>
  <c r="P29" i="38" s="1"/>
  <c r="R13" i="38"/>
  <c r="S13" i="38" s="1"/>
  <c r="R16" i="38"/>
  <c r="S16" i="38" s="1"/>
  <c r="M26" i="38"/>
  <c r="P26" i="38" s="1"/>
  <c r="Q26" i="38" s="1"/>
  <c r="R19" i="38"/>
  <c r="S19" i="38" s="1"/>
  <c r="R14" i="38"/>
  <c r="S14" i="38" s="1"/>
  <c r="R17" i="38"/>
  <c r="S17" i="38" s="1"/>
  <c r="N38" i="37"/>
  <c r="O35" i="37"/>
  <c r="N37" i="37"/>
  <c r="N33" i="37"/>
  <c r="N28" i="37"/>
  <c r="O28" i="37"/>
  <c r="Q28" i="37" s="1"/>
  <c r="O26" i="37"/>
  <c r="O37" i="37"/>
  <c r="M38" i="37"/>
  <c r="P38" i="37" s="1"/>
  <c r="M37" i="37"/>
  <c r="P37" i="37" s="1"/>
  <c r="O36" i="37"/>
  <c r="M34" i="37"/>
  <c r="P34" i="37" s="1"/>
  <c r="Q34" i="37" s="1"/>
  <c r="M33" i="37"/>
  <c r="P33" i="37" s="1"/>
  <c r="O32" i="37"/>
  <c r="O31" i="37"/>
  <c r="N31" i="37"/>
  <c r="O29" i="37"/>
  <c r="N30" i="37"/>
  <c r="Q30" i="37" s="1"/>
  <c r="O27" i="37"/>
  <c r="M28" i="37"/>
  <c r="P28" i="37" s="1"/>
  <c r="N27" i="37"/>
  <c r="Q27" i="37" s="1"/>
  <c r="M27" i="37"/>
  <c r="P27" i="37" s="1"/>
  <c r="Q20" i="37"/>
  <c r="R20" i="37" s="1"/>
  <c r="S20" i="37" s="1"/>
  <c r="R17" i="37"/>
  <c r="S17" i="37" s="1"/>
  <c r="R14" i="37"/>
  <c r="S14" i="37" s="1"/>
  <c r="R19" i="37"/>
  <c r="S19" i="37" s="1"/>
  <c r="R15" i="37"/>
  <c r="S15" i="37" s="1"/>
  <c r="R16" i="37"/>
  <c r="S16" i="37" s="1"/>
  <c r="R13" i="37"/>
  <c r="S13" i="37" s="1"/>
  <c r="R18" i="37"/>
  <c r="S18" i="37" s="1"/>
  <c r="M36" i="37"/>
  <c r="P36" i="37" s="1"/>
  <c r="M29" i="37"/>
  <c r="P29" i="37" s="1"/>
  <c r="N36" i="37"/>
  <c r="N29" i="37"/>
  <c r="M31" i="37"/>
  <c r="P31" i="37" s="1"/>
  <c r="M26" i="37"/>
  <c r="P26" i="37" s="1"/>
  <c r="O38" i="37"/>
  <c r="M35" i="37"/>
  <c r="P35" i="37" s="1"/>
  <c r="Q35" i="37" s="1"/>
  <c r="M32" i="37"/>
  <c r="P32" i="37" s="1"/>
  <c r="Q32" i="37" s="1"/>
  <c r="N39" i="37"/>
  <c r="Q39" i="37" s="1"/>
  <c r="N34" i="36"/>
  <c r="N32" i="36"/>
  <c r="N33" i="36"/>
  <c r="O30" i="36"/>
  <c r="O28" i="36"/>
  <c r="O33" i="36"/>
  <c r="M34" i="36"/>
  <c r="P34" i="36" s="1"/>
  <c r="O27" i="36"/>
  <c r="O26" i="36"/>
  <c r="M27" i="36"/>
  <c r="P27" i="36" s="1"/>
  <c r="Q27" i="36" s="1"/>
  <c r="M25" i="36"/>
  <c r="R16" i="36"/>
  <c r="S16" i="36" s="1"/>
  <c r="R13" i="36"/>
  <c r="S13" i="36" s="1"/>
  <c r="R17" i="36"/>
  <c r="S17" i="36" s="1"/>
  <c r="R18" i="36"/>
  <c r="S18" i="36" s="1"/>
  <c r="R15" i="36"/>
  <c r="S15" i="36" s="1"/>
  <c r="R14" i="36"/>
  <c r="S14" i="36" s="1"/>
  <c r="R19" i="36"/>
  <c r="S19" i="36" s="1"/>
  <c r="N31" i="36"/>
  <c r="O32" i="36"/>
  <c r="M33" i="36"/>
  <c r="P33" i="36" s="1"/>
  <c r="M26" i="36"/>
  <c r="P26" i="36" s="1"/>
  <c r="Q26" i="36" s="1"/>
  <c r="N29" i="36"/>
  <c r="M29" i="36"/>
  <c r="P29" i="36" s="1"/>
  <c r="M31" i="36"/>
  <c r="P31" i="36" s="1"/>
  <c r="N28" i="36"/>
  <c r="N30" i="36"/>
  <c r="M32" i="36"/>
  <c r="P32" i="36" s="1"/>
  <c r="N40" i="35"/>
  <c r="O40" i="35"/>
  <c r="O33" i="35"/>
  <c r="N35" i="35"/>
  <c r="Q35" i="35" s="1"/>
  <c r="O32" i="35"/>
  <c r="N33" i="35"/>
  <c r="N31" i="35"/>
  <c r="N30" i="35"/>
  <c r="O27" i="35"/>
  <c r="O26" i="35"/>
  <c r="M41" i="35"/>
  <c r="P41" i="35" s="1"/>
  <c r="N41" i="35"/>
  <c r="O39" i="35"/>
  <c r="N39" i="35"/>
  <c r="M36" i="35"/>
  <c r="P36" i="35" s="1"/>
  <c r="O34" i="35"/>
  <c r="N32" i="35"/>
  <c r="Q32" i="35" s="1"/>
  <c r="O30" i="35"/>
  <c r="M29" i="35"/>
  <c r="P29" i="35" s="1"/>
  <c r="N29" i="35"/>
  <c r="N28" i="35"/>
  <c r="M28" i="35"/>
  <c r="P28" i="35" s="1"/>
  <c r="Q28" i="35" s="1"/>
  <c r="N26" i="35"/>
  <c r="M25" i="35"/>
  <c r="P25" i="35" s="1"/>
  <c r="R17" i="35"/>
  <c r="S17" i="35" s="1"/>
  <c r="R14" i="35"/>
  <c r="S14" i="35" s="1"/>
  <c r="R19" i="35"/>
  <c r="S19" i="35" s="1"/>
  <c r="R18" i="35"/>
  <c r="S18" i="35" s="1"/>
  <c r="R16" i="35"/>
  <c r="S16" i="35" s="1"/>
  <c r="R13" i="35"/>
  <c r="S13" i="35" s="1"/>
  <c r="R20" i="35"/>
  <c r="S20" i="35" s="1"/>
  <c r="R15" i="35"/>
  <c r="S15" i="35" s="1"/>
  <c r="M34" i="35"/>
  <c r="P34" i="35" s="1"/>
  <c r="M27" i="35"/>
  <c r="P27" i="35" s="1"/>
  <c r="N34" i="35"/>
  <c r="N27" i="35"/>
  <c r="N36" i="35"/>
  <c r="M38" i="35"/>
  <c r="P38" i="35" s="1"/>
  <c r="O29" i="35"/>
  <c r="M31" i="35"/>
  <c r="P31" i="35" s="1"/>
  <c r="N38" i="35"/>
  <c r="M40" i="35"/>
  <c r="P40" i="35" s="1"/>
  <c r="M33" i="35"/>
  <c r="P33" i="35" s="1"/>
  <c r="M37" i="35"/>
  <c r="P37" i="35" s="1"/>
  <c r="Q37" i="35" s="1"/>
  <c r="M30" i="35"/>
  <c r="P30" i="35" s="1"/>
  <c r="P25" i="36" l="1"/>
  <c r="Q25" i="36" s="1"/>
  <c r="Q27" i="38"/>
  <c r="Q25" i="38"/>
  <c r="Q29" i="38"/>
  <c r="Q33" i="37"/>
  <c r="Q26" i="37"/>
  <c r="Q38" i="37"/>
  <c r="Q37" i="37"/>
  <c r="Q36" i="37"/>
  <c r="Q31" i="37"/>
  <c r="R21" i="37"/>
  <c r="S21" i="37" s="1"/>
  <c r="Q29" i="37"/>
  <c r="Q34" i="36"/>
  <c r="Q32" i="36"/>
  <c r="Q30" i="36"/>
  <c r="Q28" i="36"/>
  <c r="Q33" i="36"/>
  <c r="Q29" i="36"/>
  <c r="Q31" i="36"/>
  <c r="Q36" i="35"/>
  <c r="Q33" i="35"/>
  <c r="Q31" i="35"/>
  <c r="Q26" i="35"/>
  <c r="Q27" i="35"/>
  <c r="Q25" i="35"/>
  <c r="R25" i="35" s="1"/>
  <c r="S25" i="35" s="1"/>
  <c r="Q41" i="35"/>
  <c r="Q34" i="35"/>
  <c r="Q30" i="35"/>
  <c r="Q29" i="35"/>
  <c r="Q38" i="35"/>
  <c r="R25" i="36" l="1"/>
  <c r="S25" i="36" s="1"/>
  <c r="R27" i="36"/>
  <c r="S27" i="36" s="1"/>
  <c r="R26" i="36"/>
  <c r="S26" i="36" s="1"/>
  <c r="R28" i="36"/>
  <c r="S28" i="36" s="1"/>
  <c r="R28" i="38"/>
  <c r="S28" i="38" s="1"/>
  <c r="R26" i="38"/>
  <c r="S26" i="38" s="1"/>
  <c r="R29" i="38"/>
  <c r="S29" i="38" s="1"/>
  <c r="R27" i="38"/>
  <c r="S27" i="38" s="1"/>
  <c r="R25" i="38"/>
  <c r="S25" i="38" s="1"/>
  <c r="R35" i="37"/>
  <c r="S35" i="37" s="1"/>
  <c r="R31" i="37"/>
  <c r="S31" i="37" s="1"/>
  <c r="R28" i="37"/>
  <c r="S28" i="37" s="1"/>
  <c r="R25" i="37"/>
  <c r="S25" i="37" s="1"/>
  <c r="R37" i="37"/>
  <c r="S37" i="37" s="1"/>
  <c r="R30" i="37"/>
  <c r="S30" i="37" s="1"/>
  <c r="R38" i="37"/>
  <c r="S38" i="37" s="1"/>
  <c r="R36" i="37"/>
  <c r="S36" i="37" s="1"/>
  <c r="R33" i="37"/>
  <c r="S33" i="37" s="1"/>
  <c r="R26" i="37"/>
  <c r="S26" i="37" s="1"/>
  <c r="R34" i="37"/>
  <c r="S34" i="37" s="1"/>
  <c r="R29" i="37"/>
  <c r="S29" i="37" s="1"/>
  <c r="R39" i="37"/>
  <c r="S39" i="37" s="1"/>
  <c r="R32" i="37"/>
  <c r="S32" i="37" s="1"/>
  <c r="R27" i="37"/>
  <c r="S27" i="37" s="1"/>
  <c r="R32" i="36"/>
  <c r="S32" i="36" s="1"/>
  <c r="R30" i="36"/>
  <c r="S30" i="36" s="1"/>
  <c r="R29" i="36"/>
  <c r="S29" i="36" s="1"/>
  <c r="R33" i="36"/>
  <c r="S33" i="36" s="1"/>
  <c r="I4" i="36" s="1"/>
  <c r="R31" i="36"/>
  <c r="S31" i="36" s="1"/>
  <c r="R34" i="36"/>
  <c r="S34" i="36" s="1"/>
  <c r="R41" i="35"/>
  <c r="S41" i="35" s="1"/>
  <c r="R35" i="35"/>
  <c r="S35" i="35" s="1"/>
  <c r="R29" i="35"/>
  <c r="S29" i="35" s="1"/>
  <c r="R32" i="35"/>
  <c r="S32" i="35" s="1"/>
  <c r="R36" i="35"/>
  <c r="S36" i="35" s="1"/>
  <c r="R33" i="35"/>
  <c r="S33" i="35" s="1"/>
  <c r="R38" i="35"/>
  <c r="S38" i="35" s="1"/>
  <c r="R39" i="35"/>
  <c r="S39" i="35" s="1"/>
  <c r="R28" i="35"/>
  <c r="S28" i="35" s="1"/>
  <c r="R30" i="35"/>
  <c r="S30" i="35" s="1"/>
  <c r="R37" i="35"/>
  <c r="S37" i="35" s="1"/>
  <c r="R40" i="35"/>
  <c r="S40" i="35" s="1"/>
  <c r="R27" i="35"/>
  <c r="S27" i="35" s="1"/>
  <c r="R34" i="35"/>
  <c r="S34" i="35" s="1"/>
  <c r="R31" i="35"/>
  <c r="S31" i="35" s="1"/>
  <c r="R26" i="35"/>
  <c r="S26" i="35" s="1"/>
  <c r="K46" i="5" l="1"/>
  <c r="K44" i="7"/>
  <c r="P44" i="7" s="1"/>
  <c r="C52" i="7" s="1"/>
  <c r="F10" i="1" s="1"/>
  <c r="J28" i="3"/>
  <c r="J35" i="3"/>
  <c r="P35" i="3" s="1"/>
  <c r="F5" i="1" s="1"/>
  <c r="J39" i="3"/>
  <c r="P39" i="3" s="1"/>
  <c r="G39" i="3"/>
  <c r="L39" i="3" s="1"/>
  <c r="Q40" i="3" s="1"/>
  <c r="O40" i="3" s="1"/>
  <c r="J54" i="4"/>
  <c r="J58" i="4"/>
  <c r="P58" i="4" s="1"/>
  <c r="G58" i="4"/>
  <c r="G28" i="3"/>
  <c r="G35" i="3"/>
  <c r="L35" i="3" s="1"/>
  <c r="J46" i="5"/>
  <c r="G46" i="5"/>
  <c r="J39" i="4"/>
  <c r="P39" i="4" s="1"/>
  <c r="G62" i="9"/>
  <c r="L62" i="9" s="1"/>
  <c r="G49" i="8"/>
  <c r="L49" i="8" s="1"/>
  <c r="G39" i="4"/>
  <c r="G44" i="7"/>
  <c r="L44" i="7" s="1"/>
  <c r="G26" i="6"/>
  <c r="L26" i="6" s="1"/>
  <c r="R26" i="6" s="1"/>
  <c r="G17" i="6"/>
  <c r="L17" i="6" s="1"/>
  <c r="G42" i="5"/>
  <c r="H42" i="5" s="1"/>
  <c r="G24" i="5"/>
  <c r="H24" i="5" s="1"/>
  <c r="F16" i="6"/>
  <c r="G15" i="6"/>
  <c r="F31" i="7"/>
  <c r="G31" i="7" s="1"/>
  <c r="G32" i="7" s="1"/>
  <c r="F32" i="7" s="1"/>
  <c r="G19" i="7"/>
  <c r="H19" i="7" s="1"/>
  <c r="F58" i="9"/>
  <c r="G57" i="9"/>
  <c r="H57" i="9" s="1"/>
  <c r="H45" i="8"/>
  <c r="G22" i="8"/>
  <c r="G21" i="8"/>
  <c r="G36" i="8"/>
  <c r="G34" i="5"/>
  <c r="G35" i="5" s="1"/>
  <c r="F35" i="5" s="1"/>
  <c r="G24" i="6"/>
  <c r="G25" i="6" s="1"/>
  <c r="F25" i="6" s="1"/>
  <c r="G39" i="7"/>
  <c r="G40" i="7" s="1"/>
  <c r="F40" i="7" s="1"/>
  <c r="G42" i="8"/>
  <c r="G45" i="8"/>
  <c r="F45" i="8" s="1"/>
  <c r="F44" i="8"/>
  <c r="H26" i="6" l="1"/>
  <c r="F7" i="1"/>
  <c r="P54" i="4"/>
  <c r="L54" i="4"/>
  <c r="R54" i="4" s="1"/>
  <c r="C64" i="4"/>
  <c r="F6" i="1" s="1"/>
  <c r="L39" i="4"/>
  <c r="R35" i="3"/>
  <c r="H5" i="1" s="1"/>
  <c r="Q36" i="3"/>
  <c r="O36" i="3" s="1"/>
  <c r="H34" i="5"/>
  <c r="H39" i="7"/>
  <c r="H31" i="7"/>
  <c r="H24" i="6"/>
  <c r="F15" i="6"/>
  <c r="L51" i="9"/>
  <c r="S41" i="8"/>
  <c r="L42" i="8"/>
  <c r="G41" i="8"/>
  <c r="G35" i="8"/>
  <c r="H36" i="8" s="1"/>
  <c r="G34" i="8"/>
  <c r="G33" i="8"/>
  <c r="G20" i="8"/>
  <c r="H21" i="8" s="1"/>
  <c r="L18" i="7"/>
  <c r="F18" i="7"/>
  <c r="G17" i="7"/>
  <c r="G29" i="7"/>
  <c r="L29" i="7" s="1"/>
  <c r="L38" i="7"/>
  <c r="Q38" i="7"/>
  <c r="F38" i="7"/>
  <c r="G37" i="7"/>
  <c r="G19" i="8"/>
  <c r="F23" i="6"/>
  <c r="G14" i="6"/>
  <c r="L14" i="6" s="1"/>
  <c r="H14" i="6" s="1"/>
  <c r="F56" i="9"/>
  <c r="G55" i="9"/>
  <c r="F51" i="9"/>
  <c r="G50" i="9"/>
  <c r="R17" i="6" l="1"/>
  <c r="H17" i="6"/>
  <c r="H15" i="6"/>
  <c r="Q56" i="9"/>
  <c r="Q22" i="6"/>
  <c r="Q42" i="8"/>
  <c r="L22" i="6"/>
  <c r="Q51" i="9"/>
  <c r="F41" i="5" l="1"/>
  <c r="G40" i="5"/>
  <c r="F33" i="5"/>
  <c r="G32" i="5"/>
  <c r="F23" i="5"/>
  <c r="G22" i="5"/>
  <c r="F53" i="4"/>
  <c r="G52" i="4"/>
  <c r="F47" i="4"/>
  <c r="G46" i="4"/>
  <c r="G38" i="4"/>
  <c r="G37" i="4"/>
  <c r="F34" i="3"/>
  <c r="G33" i="3"/>
  <c r="F7" i="34"/>
  <c r="G6" i="34"/>
  <c r="G40" i="8"/>
  <c r="P54" i="9"/>
  <c r="O56" i="9" s="1"/>
  <c r="H39" i="4" l="1"/>
  <c r="R39" i="4"/>
  <c r="H6" i="1" s="1"/>
  <c r="G54" i="9"/>
  <c r="L54" i="9" s="1"/>
  <c r="G36" i="7"/>
  <c r="L36" i="7" l="1"/>
  <c r="G32" i="8"/>
  <c r="G21" i="6"/>
  <c r="G13" i="6"/>
  <c r="G12" i="6"/>
  <c r="G39" i="5"/>
  <c r="G45" i="4"/>
  <c r="L45" i="4" s="1"/>
  <c r="Q46" i="4" s="1"/>
  <c r="G51" i="4"/>
  <c r="G25" i="3"/>
  <c r="L25" i="3" s="1"/>
  <c r="G32" i="3"/>
  <c r="L32" i="8" l="1"/>
  <c r="R32" i="8" s="1"/>
  <c r="L13" i="6"/>
  <c r="R13" i="6" s="1"/>
  <c r="L21" i="6"/>
  <c r="L39" i="5"/>
  <c r="Q40" i="5" s="1"/>
  <c r="L51" i="4"/>
  <c r="Q52" i="4" s="1"/>
  <c r="L32" i="3"/>
  <c r="Q33" i="3" s="1"/>
  <c r="L40" i="8"/>
  <c r="P36" i="7" l="1"/>
  <c r="O38" i="7" s="1"/>
  <c r="P40" i="8" l="1"/>
  <c r="O42" i="8" s="1"/>
  <c r="P32" i="8"/>
  <c r="P21" i="6"/>
  <c r="O22" i="6" s="1"/>
  <c r="P25" i="3"/>
  <c r="P39" i="5"/>
  <c r="O40" i="5" s="1"/>
  <c r="P51" i="4"/>
  <c r="O52" i="4" s="1"/>
  <c r="P45" i="4"/>
  <c r="O46" i="4" s="1"/>
  <c r="P32" i="3"/>
  <c r="O33" i="3" s="1"/>
  <c r="G47" i="9"/>
  <c r="F48" i="9" s="1"/>
  <c r="G48" i="9" s="1"/>
  <c r="G30" i="8"/>
  <c r="F31" i="8" s="1"/>
  <c r="G31" i="8" s="1"/>
  <c r="H31" i="8" s="1"/>
  <c r="G10" i="6"/>
  <c r="F11" i="6" s="1"/>
  <c r="G11" i="6" s="1"/>
  <c r="I36" i="4"/>
  <c r="G36" i="4"/>
  <c r="I44" i="4"/>
  <c r="G44" i="4"/>
  <c r="L9" i="6"/>
  <c r="H9" i="6"/>
  <c r="R9" i="6" s="1"/>
  <c r="E9" i="6"/>
  <c r="F9" i="6" s="1"/>
  <c r="E26" i="7"/>
  <c r="F26" i="7" s="1"/>
  <c r="H18" i="8"/>
  <c r="E18" i="8"/>
  <c r="F18" i="8" s="1"/>
  <c r="H29" i="8"/>
  <c r="F29" i="8"/>
  <c r="G46" i="9"/>
  <c r="H11" i="6" l="1"/>
  <c r="L44" i="4"/>
  <c r="L36" i="4"/>
  <c r="G30" i="5"/>
  <c r="H32" i="5" s="1"/>
  <c r="G19" i="5"/>
  <c r="H19" i="5" s="1"/>
  <c r="Q19" i="5" s="1"/>
  <c r="F11" i="5"/>
  <c r="G11" i="5" s="1"/>
  <c r="F17" i="8"/>
  <c r="F28" i="8"/>
  <c r="Q28" i="8"/>
  <c r="J25" i="7"/>
  <c r="H8" i="6"/>
  <c r="J8" i="6" s="1"/>
  <c r="Q8" i="6" s="1"/>
  <c r="F8" i="6"/>
  <c r="F7" i="6"/>
  <c r="Q7" i="6"/>
  <c r="Q37" i="4" l="1"/>
  <c r="F30" i="5"/>
  <c r="F19" i="5"/>
  <c r="G20" i="5"/>
  <c r="K25" i="7"/>
  <c r="Q25" i="7" s="1"/>
  <c r="G25" i="7"/>
  <c r="H26" i="7" s="1"/>
  <c r="K16" i="7"/>
  <c r="G16" i="7"/>
  <c r="G45" i="9"/>
  <c r="G44" i="9"/>
  <c r="I44" i="9" s="1"/>
  <c r="Q44" i="9"/>
  <c r="R18" i="7" l="1"/>
  <c r="F20" i="5"/>
  <c r="H23" i="5"/>
  <c r="H46" i="9"/>
  <c r="H48" i="9"/>
  <c r="P32" i="4"/>
  <c r="G35" i="4"/>
  <c r="R36" i="4" s="1"/>
  <c r="G42" i="4"/>
  <c r="G43" i="4" s="1"/>
  <c r="P18" i="3"/>
  <c r="P22" i="3"/>
  <c r="G19" i="3"/>
  <c r="G23" i="3"/>
  <c r="G24" i="3" s="1"/>
  <c r="R25" i="3" s="1"/>
  <c r="J22" i="4"/>
  <c r="G43" i="9"/>
  <c r="H44" i="9" s="1"/>
  <c r="G29" i="9"/>
  <c r="G22" i="4"/>
  <c r="L22" i="4" s="1"/>
  <c r="I34" i="4"/>
  <c r="G34" i="4"/>
  <c r="F43" i="4" l="1"/>
  <c r="R45" i="4"/>
  <c r="R44" i="4"/>
  <c r="F24" i="3"/>
  <c r="L34" i="4"/>
  <c r="L33" i="4" s="1"/>
  <c r="L32" i="4" s="1"/>
  <c r="H44" i="4"/>
  <c r="H36" i="4"/>
  <c r="H35" i="4"/>
  <c r="Q33" i="4"/>
  <c r="O33" i="4" s="1"/>
  <c r="G27" i="9"/>
  <c r="G24" i="7"/>
  <c r="G29" i="5"/>
  <c r="G33" i="4"/>
  <c r="I33" i="4" s="1"/>
  <c r="H34" i="4" l="1"/>
  <c r="H30" i="5"/>
  <c r="G27" i="8"/>
  <c r="H28" i="8" s="1"/>
  <c r="G16" i="8"/>
  <c r="G28" i="9"/>
  <c r="H29" i="9" s="1"/>
  <c r="G42" i="9"/>
  <c r="H43" i="9" s="1"/>
  <c r="P12" i="3" l="1"/>
  <c r="G41" i="4"/>
  <c r="H42" i="4" l="1"/>
  <c r="L41" i="4"/>
  <c r="P28" i="5"/>
  <c r="P23" i="7"/>
  <c r="O25" i="7" s="1"/>
  <c r="J15" i="7"/>
  <c r="P15" i="7" s="1"/>
  <c r="G28" i="5" l="1"/>
  <c r="H29" i="5" s="1"/>
  <c r="J29" i="5" s="1"/>
  <c r="G22" i="3"/>
  <c r="H23" i="3" s="1"/>
  <c r="G18" i="3"/>
  <c r="H18" i="3" s="1"/>
  <c r="G21" i="4"/>
  <c r="H22" i="4" s="1"/>
  <c r="G32" i="4"/>
  <c r="G31" i="4"/>
  <c r="G23" i="7"/>
  <c r="H24" i="7" s="1"/>
  <c r="J24" i="7" s="1"/>
  <c r="G15" i="7"/>
  <c r="L15" i="7" s="1"/>
  <c r="I16" i="7" s="1"/>
  <c r="Q16" i="7" s="1"/>
  <c r="I32" i="4" l="1"/>
  <c r="H33" i="4"/>
  <c r="J33" i="4" s="1"/>
  <c r="H21" i="4"/>
  <c r="H32" i="4"/>
  <c r="L18" i="3"/>
  <c r="L22" i="3"/>
  <c r="Q23" i="3" s="1"/>
  <c r="O23" i="3" s="1"/>
  <c r="K29" i="5"/>
  <c r="L29" i="5"/>
  <c r="Q30" i="5" s="1"/>
  <c r="O16" i="7"/>
  <c r="K24" i="7"/>
  <c r="L24" i="7"/>
  <c r="I25" i="7" s="1"/>
  <c r="G14" i="7"/>
  <c r="P25" i="9"/>
  <c r="P41" i="9"/>
  <c r="G41" i="9"/>
  <c r="G26" i="9"/>
  <c r="H28" i="9" s="1"/>
  <c r="J28" i="9" s="1"/>
  <c r="I33" i="9"/>
  <c r="L33" i="9" s="1"/>
  <c r="G35" i="9"/>
  <c r="J35" i="9" s="1"/>
  <c r="F34" i="9"/>
  <c r="F33" i="9"/>
  <c r="G32" i="9"/>
  <c r="R32" i="4" l="1"/>
  <c r="J34" i="4"/>
  <c r="K33" i="4"/>
  <c r="Q19" i="3"/>
  <c r="O19" i="3" s="1"/>
  <c r="R18" i="3"/>
  <c r="G36" i="9"/>
  <c r="F36" i="9" s="1"/>
  <c r="G25" i="9"/>
  <c r="H25" i="9" s="1"/>
  <c r="F25" i="9"/>
  <c r="J29" i="9"/>
  <c r="K28" i="9"/>
  <c r="H42" i="9"/>
  <c r="J42" i="9" s="1"/>
  <c r="L41" i="9"/>
  <c r="H14" i="7"/>
  <c r="R15" i="7" s="1"/>
  <c r="F14" i="7"/>
  <c r="Q33" i="9"/>
  <c r="L32" i="9"/>
  <c r="P26" i="8"/>
  <c r="O28" i="8" s="1"/>
  <c r="P14" i="8"/>
  <c r="G26" i="8"/>
  <c r="G15" i="8"/>
  <c r="H16" i="8" s="1"/>
  <c r="P6" i="6"/>
  <c r="G6" i="6"/>
  <c r="H7" i="6" s="1"/>
  <c r="L25" i="9" l="1"/>
  <c r="K29" i="9"/>
  <c r="P29" i="9" s="1"/>
  <c r="J43" i="9"/>
  <c r="K42" i="9"/>
  <c r="L29" i="9"/>
  <c r="O7" i="6"/>
  <c r="O8" i="6"/>
  <c r="L6" i="6"/>
  <c r="I7" i="6" s="1"/>
  <c r="L26" i="8"/>
  <c r="I28" i="8" s="1"/>
  <c r="H27" i="8"/>
  <c r="J16" i="8"/>
  <c r="K16" i="8" s="1"/>
  <c r="J27" i="8"/>
  <c r="K27" i="8" s="1"/>
  <c r="G14" i="8"/>
  <c r="F12" i="8"/>
  <c r="E12" i="8"/>
  <c r="G30" i="4"/>
  <c r="F13" i="7"/>
  <c r="F12" i="7"/>
  <c r="G11" i="7"/>
  <c r="G24" i="9"/>
  <c r="F24" i="9" s="1"/>
  <c r="G23" i="9"/>
  <c r="G22" i="9"/>
  <c r="G13" i="8"/>
  <c r="E13" i="8"/>
  <c r="F13" i="8" s="1"/>
  <c r="G11" i="8"/>
  <c r="K43" i="9" l="1"/>
  <c r="P43" i="9" s="1"/>
  <c r="O44" i="9" s="1"/>
  <c r="I14" i="8"/>
  <c r="L14" i="8" s="1"/>
  <c r="I17" i="8" s="1"/>
  <c r="F14" i="8"/>
  <c r="G12" i="8"/>
  <c r="G20" i="9"/>
  <c r="G21" i="9" s="1"/>
  <c r="F21" i="9" s="1"/>
  <c r="G16" i="5"/>
  <c r="J16" i="5" s="1"/>
  <c r="G9" i="7"/>
  <c r="J9" i="7" s="1"/>
  <c r="G9" i="8"/>
  <c r="J9" i="8" s="1"/>
  <c r="G28" i="4"/>
  <c r="J28" i="4" s="1"/>
  <c r="G10" i="8" l="1"/>
  <c r="F10" i="8" s="1"/>
  <c r="G17" i="5"/>
  <c r="F17" i="5" s="1"/>
  <c r="G29" i="4"/>
  <c r="F29" i="4" s="1"/>
  <c r="G10" i="7"/>
  <c r="F10" i="7" s="1"/>
  <c r="J20" i="9"/>
  <c r="F17" i="3" l="1"/>
  <c r="F16" i="3"/>
  <c r="F15" i="5"/>
  <c r="F14" i="5"/>
  <c r="F20" i="4"/>
  <c r="F27" i="4"/>
  <c r="F26" i="4"/>
  <c r="L7" i="7"/>
  <c r="F8" i="7"/>
  <c r="F7" i="7"/>
  <c r="K11" i="9"/>
  <c r="I11" i="9"/>
  <c r="L11" i="9" s="1"/>
  <c r="I18" i="9"/>
  <c r="L18" i="9" s="1"/>
  <c r="F18" i="9"/>
  <c r="K7" i="8"/>
  <c r="I7" i="8"/>
  <c r="L7" i="8" s="1"/>
  <c r="F8" i="8"/>
  <c r="F7" i="8"/>
  <c r="Q18" i="9" l="1"/>
  <c r="Q11" i="9"/>
  <c r="Q7" i="8"/>
  <c r="G13" i="5" l="1"/>
  <c r="L13" i="5" s="1"/>
  <c r="Q14" i="5" s="1"/>
  <c r="G6" i="8"/>
  <c r="G6" i="7"/>
  <c r="G15" i="3"/>
  <c r="L15" i="3" s="1"/>
  <c r="Q16" i="3" s="1"/>
  <c r="G12" i="3"/>
  <c r="G25" i="4"/>
  <c r="L25" i="4" s="1"/>
  <c r="Q26" i="4" s="1"/>
  <c r="G19" i="4"/>
  <c r="G12" i="4"/>
  <c r="L12" i="4" l="1"/>
  <c r="R12" i="4" s="1"/>
  <c r="L19" i="4"/>
  <c r="L12" i="3"/>
  <c r="R12" i="3" s="1"/>
  <c r="R19" i="4" l="1"/>
  <c r="Q20" i="4"/>
  <c r="P32" i="9" l="1"/>
  <c r="O33" i="9" s="1"/>
  <c r="J6" i="8" l="1"/>
  <c r="L6" i="8" l="1"/>
  <c r="P6" i="8" l="1"/>
  <c r="O7" i="8" l="1"/>
  <c r="L6" i="7" l="1"/>
  <c r="P13" i="5" l="1"/>
  <c r="P6" i="7"/>
  <c r="O14" i="5" l="1"/>
  <c r="O7" i="7"/>
  <c r="P25" i="4"/>
  <c r="O26" i="4" s="1"/>
  <c r="P19" i="4"/>
  <c r="P12" i="4"/>
  <c r="O20" i="4" l="1"/>
  <c r="P15" i="3"/>
  <c r="O16" i="3" s="1"/>
  <c r="F3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F091E711-E88A-4D52-A0E5-356243B7A2D5}">
      <text>
        <r>
          <rPr>
            <b/>
            <sz val="9"/>
            <color indexed="81"/>
            <rFont val="Tahoma"/>
            <family val="2"/>
          </rPr>
          <t>cmcneil:</t>
        </r>
        <r>
          <rPr>
            <sz val="9"/>
            <color indexed="81"/>
            <rFont val="Tahoma"/>
            <family val="2"/>
          </rPr>
          <t xml:space="preserve">
Date of site visit</t>
        </r>
      </text>
    </comment>
    <comment ref="B4" authorId="0" shapeId="0" xr:uid="{8EE67115-603C-43EA-9C23-8DE9E2FBE41C}">
      <text>
        <r>
          <rPr>
            <b/>
            <sz val="9"/>
            <color indexed="81"/>
            <rFont val="Tahoma"/>
            <family val="2"/>
          </rPr>
          <t>cmcneil:</t>
        </r>
        <r>
          <rPr>
            <sz val="9"/>
            <color indexed="81"/>
            <rFont val="Tahoma"/>
            <family val="2"/>
          </rPr>
          <t xml:space="preserve">
Notebook field data can be found in</t>
        </r>
      </text>
    </comment>
    <comment ref="C4" authorId="0" shapeId="0" xr:uid="{E17F9513-E12E-4181-A88E-39E9E4A56489}">
      <text>
        <r>
          <rPr>
            <b/>
            <sz val="9"/>
            <color indexed="81"/>
            <rFont val="Tahoma"/>
            <family val="2"/>
          </rPr>
          <t>cmcneil:</t>
        </r>
        <r>
          <rPr>
            <sz val="9"/>
            <color indexed="81"/>
            <rFont val="Tahoma"/>
            <family val="2"/>
          </rPr>
          <t xml:space="preserve">
Name of the stake, eg. 17AU</t>
        </r>
      </text>
    </comment>
    <comment ref="D4" authorId="0" shapeId="0" xr:uid="{59D77887-8673-46AB-A5EE-68066ED21A69}">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C50AE9DF-A6CE-4A8D-B378-864D7D9DCDDA}">
      <text>
        <r>
          <rPr>
            <b/>
            <sz val="9"/>
            <color indexed="81"/>
            <rFont val="Tahoma"/>
            <family val="2"/>
          </rPr>
          <t>cmcneil:</t>
        </r>
        <r>
          <rPr>
            <sz val="9"/>
            <color indexed="81"/>
            <rFont val="Tahoma"/>
            <family val="2"/>
          </rPr>
          <t xml:space="preserve">
Total length of stake</t>
        </r>
      </text>
    </comment>
    <comment ref="F4" authorId="0" shapeId="0" xr:uid="{D7D47FF2-00B1-44AF-BE05-E7A17EDE8A10}">
      <text>
        <r>
          <rPr>
            <b/>
            <sz val="9"/>
            <color indexed="81"/>
            <rFont val="Tahoma"/>
            <family val="2"/>
          </rPr>
          <t>cmcneil:</t>
        </r>
        <r>
          <rPr>
            <sz val="9"/>
            <color indexed="81"/>
            <rFont val="Tahoma"/>
            <family val="2"/>
          </rPr>
          <t xml:space="preserve">
Length of stake above the surface noted in column D</t>
        </r>
      </text>
    </comment>
    <comment ref="G4" authorId="0" shapeId="0" xr:uid="{BF6BD181-8CF0-4C8E-8FB7-854F9BDB189E}">
      <text>
        <r>
          <rPr>
            <b/>
            <sz val="9"/>
            <color indexed="81"/>
            <rFont val="Tahoma"/>
            <family val="2"/>
          </rPr>
          <t>cmcneil:</t>
        </r>
        <r>
          <rPr>
            <sz val="9"/>
            <color indexed="81"/>
            <rFont val="Tahoma"/>
            <family val="2"/>
          </rPr>
          <t xml:space="preserve">
Length of stake still below the surface noted in column D</t>
        </r>
      </text>
    </comment>
    <comment ref="H4" authorId="0" shapeId="0" xr:uid="{1176EACE-21FD-4986-B873-62C18210E7DD}">
      <text>
        <r>
          <rPr>
            <b/>
            <sz val="9"/>
            <color indexed="81"/>
            <rFont val="Tahoma"/>
            <family val="2"/>
          </rPr>
          <t>cmcneil:</t>
        </r>
        <r>
          <rPr>
            <sz val="9"/>
            <color indexed="81"/>
            <rFont val="Tahoma"/>
            <family val="2"/>
          </rPr>
          <t xml:space="preserve">
Change in stake since previous site visits</t>
        </r>
      </text>
    </comment>
    <comment ref="I4" authorId="0" shapeId="0" xr:uid="{96FA930A-F7BB-4219-B8AD-3B7F33808328}">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DF2B2221-D85B-4EF7-8659-17F1AA526725}">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C7A1368A-31AD-41D3-92E7-CDCB54CC28CB}">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F0AB1704-0816-4B07-A4C9-814DD5AADFAF}">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DC15290C-7B9D-431A-BA1B-5E3CA3EED76B}">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20B2460E-F30A-4B8E-A4FD-500EE3054C12}">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15292962-3156-4976-A63F-8B13DA76639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6BCF99DA-37BD-483C-8FD7-A0A2B63FA66C}">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F3E6AD37-99EF-4AF9-979A-A7E53E546B49}">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30BD131F-4524-4EFE-8168-3BE1CB5D76EF}">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ABF3A55A-28E5-45FD-B285-65C4D73D729B}">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12E9646C-6266-44DC-B31C-FA053811A66B}">
      <text>
        <r>
          <rPr>
            <b/>
            <sz val="9"/>
            <color indexed="81"/>
            <rFont val="Tahoma"/>
            <family val="2"/>
          </rPr>
          <t>cmcneil:</t>
        </r>
        <r>
          <rPr>
            <sz val="9"/>
            <color indexed="81"/>
            <rFont val="Tahoma"/>
            <family val="2"/>
          </rPr>
          <t xml:space="preserve">
UTM easting of stake measured with GPS</t>
        </r>
      </text>
    </comment>
    <comment ref="U4" authorId="0" shapeId="0" xr:uid="{0666EF90-E911-4C52-8A8F-F66DD4A017E0}">
      <text>
        <r>
          <rPr>
            <b/>
            <sz val="9"/>
            <color indexed="81"/>
            <rFont val="Tahoma"/>
            <family val="2"/>
          </rPr>
          <t>cmcneil:</t>
        </r>
        <r>
          <rPr>
            <sz val="9"/>
            <color indexed="81"/>
            <rFont val="Tahoma"/>
            <family val="2"/>
          </rPr>
          <t xml:space="preserve">
UTM Northing of stake measured with GPS</t>
        </r>
      </text>
    </comment>
    <comment ref="V4" authorId="0" shapeId="0" xr:uid="{3958C712-60D7-4767-A0EC-67A27167BFBC}">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4E2CDDCD-90D3-471A-B1D9-CB5CE462AEAB}">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DB072982-1E03-4C50-9F95-EEF9EDC6C6BC}">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99EF81B6-4B33-47A1-9070-69307EA07A5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E6DA0125-26BE-462F-BF9D-23A92BE912D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4CA53967-BA23-4206-A859-F0B512BD87CF}">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4B23A3E1-6018-404C-A109-1426E2526503}">
      <text>
        <r>
          <rPr>
            <sz val="8"/>
            <color indexed="81"/>
            <rFont val="Tahoma"/>
            <family val="2"/>
          </rPr>
          <t xml:space="preserve">Sipre coring auger=45.6cm2 
large tube 41.05 cm2       
small tube 25.6   cm2          
Snow Metrics 1000 cm^3
</t>
        </r>
      </text>
    </comment>
    <comment ref="D9" authorId="0" shapeId="0" xr:uid="{6D684C5F-E454-4E44-BD1C-CF3776561FBA}">
      <text>
        <r>
          <rPr>
            <b/>
            <sz val="9"/>
            <color indexed="81"/>
            <rFont val="Tahoma"/>
            <family val="2"/>
          </rPr>
          <t>cmcneil:</t>
        </r>
        <r>
          <rPr>
            <sz val="9"/>
            <color indexed="81"/>
            <rFont val="Tahoma"/>
            <family val="2"/>
          </rPr>
          <t xml:space="preserve">
Measurements of core lengths.</t>
        </r>
      </text>
    </comment>
    <comment ref="H9" authorId="0" shapeId="0" xr:uid="{BA3D74B9-D719-4C3A-A62E-72C8F2B72233}">
      <text>
        <r>
          <rPr>
            <b/>
            <sz val="9"/>
            <color indexed="81"/>
            <rFont val="Tahoma"/>
            <family val="2"/>
          </rPr>
          <t>cmcneil:</t>
        </r>
        <r>
          <rPr>
            <sz val="9"/>
            <color indexed="81"/>
            <rFont val="Tahoma"/>
            <family val="2"/>
          </rPr>
          <t xml:space="preserve">
Measurements of core diameter</t>
        </r>
      </text>
    </comment>
    <comment ref="A10" authorId="0" shapeId="0" xr:uid="{9389B469-0BC0-4BD3-8ACF-9928DBE90C5E}">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89608860-55B1-4303-9920-C195C948D1E9}">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21C07C34-FB40-4BC1-827A-9411FA072DF9}">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CE73C8BF-D3FB-4E6D-B563-5E222859AAF9}">
      <text>
        <r>
          <rPr>
            <b/>
            <sz val="9"/>
            <color indexed="81"/>
            <rFont val="Tahoma"/>
            <family val="2"/>
          </rPr>
          <t>cmcneil:</t>
        </r>
        <r>
          <rPr>
            <sz val="9"/>
            <color indexed="81"/>
            <rFont val="Tahoma"/>
            <family val="2"/>
          </rPr>
          <t xml:space="preserve">
Average of all measured lengths of core section</t>
        </r>
      </text>
    </comment>
    <comment ref="L10" authorId="0" shapeId="0" xr:uid="{DAED3BCE-C02F-4B92-AA04-88183AE6EA6F}">
      <text>
        <r>
          <rPr>
            <b/>
            <sz val="9"/>
            <color indexed="81"/>
            <rFont val="Tahoma"/>
            <family val="2"/>
          </rPr>
          <t>cmcneil:</t>
        </r>
        <r>
          <rPr>
            <sz val="9"/>
            <color indexed="81"/>
            <rFont val="Tahoma"/>
            <family val="2"/>
          </rPr>
          <t xml:space="preserve">
Average of all diameters measured for each core section</t>
        </r>
      </text>
    </comment>
    <comment ref="M10" authorId="0" shapeId="0" xr:uid="{B2B44E87-A649-42E6-96D8-2773F2BE9839}">
      <text>
        <r>
          <rPr>
            <b/>
            <sz val="9"/>
            <color indexed="81"/>
            <rFont val="Tahoma"/>
            <family val="2"/>
          </rPr>
          <t>cmcneil:</t>
        </r>
        <r>
          <rPr>
            <sz val="9"/>
            <color indexed="81"/>
            <rFont val="Tahoma"/>
            <family val="2"/>
          </rPr>
          <t xml:space="preserve">
Volume of sample taken</t>
        </r>
      </text>
    </comment>
    <comment ref="N10" authorId="0" shapeId="0" xr:uid="{E37596DF-64DC-458F-87FF-05444364E07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4BB6C375-D8CD-4E0F-A91E-D08FE77F3D93}">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959CF4B9-FFF9-4E02-A918-E1CE1FDDA4E4}">
      <text>
        <r>
          <rPr>
            <b/>
            <sz val="9"/>
            <color indexed="81"/>
            <rFont val="Tahoma"/>
            <family val="2"/>
          </rPr>
          <t>cmcneil:</t>
        </r>
        <r>
          <rPr>
            <sz val="9"/>
            <color indexed="81"/>
            <rFont val="Tahoma"/>
            <family val="2"/>
          </rPr>
          <t xml:space="preserve">
Density of sample. Calculated from the mass/volume</t>
        </r>
      </text>
    </comment>
    <comment ref="Q10" authorId="0" shapeId="0" xr:uid="{752DC0E3-64B6-42C1-AA52-25D3EC4635EE}">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456ED2BA-C4DF-4564-A921-949A5B0C1D8D}">
      <text>
        <r>
          <rPr>
            <b/>
            <sz val="9"/>
            <color indexed="81"/>
            <rFont val="Tahoma"/>
            <family val="2"/>
          </rPr>
          <t>cmcneil:</t>
        </r>
        <r>
          <rPr>
            <sz val="9"/>
            <color indexed="81"/>
            <rFont val="Tahoma"/>
            <family val="2"/>
          </rPr>
          <t xml:space="preserve">
Cummulative s.w.e. of from surface to the depth of each sample</t>
        </r>
      </text>
    </comment>
    <comment ref="S10" authorId="0" shapeId="0" xr:uid="{AEFACAE4-798F-4A0C-BFA1-11119D4722C2}">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5EA0BACE-1EAE-4C64-8F3C-9DC0CDD68B84}">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BA1D655B-6B2C-46B8-94A1-B1B59CE86039}">
      <text>
        <r>
          <rPr>
            <b/>
            <sz val="9"/>
            <color indexed="81"/>
            <rFont val="Tahoma"/>
            <family val="2"/>
          </rPr>
          <t>cmcneil:</t>
        </r>
        <r>
          <rPr>
            <sz val="9"/>
            <color indexed="81"/>
            <rFont val="Tahoma"/>
            <family val="2"/>
          </rPr>
          <t xml:space="preserve">
What was used to measure snow depth</t>
        </r>
      </text>
    </comment>
    <comment ref="V10" authorId="0" shapeId="0" xr:uid="{1CCC3535-D57C-4413-A61A-C26CAF9F8774}">
      <text>
        <r>
          <rPr>
            <b/>
            <sz val="9"/>
            <color indexed="81"/>
            <rFont val="Tahoma"/>
            <family val="2"/>
          </rPr>
          <t>cmcneil:</t>
        </r>
        <r>
          <rPr>
            <sz val="9"/>
            <color indexed="81"/>
            <rFont val="Tahoma"/>
            <family val="2"/>
          </rPr>
          <t xml:space="preserve">
snow depth observed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BA680CAD-B591-4548-A2DE-084933A888E3}">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20D41175-7EEE-44A5-8A69-0408880B920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C03EBD74-84DB-458E-92D4-95EBD3BE3C8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A5AAFFF7-532F-4B72-ACE6-9DF4E25FEC4E}">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49CA24B0-399D-433F-AC35-BF11108D31E6}">
      <text>
        <r>
          <rPr>
            <sz val="8"/>
            <color indexed="81"/>
            <rFont val="Tahoma"/>
            <family val="2"/>
          </rPr>
          <t xml:space="preserve">Sipre coring auger=45.6cm2 
large tube 41.05 cm2       
small tube 25.6   cm2          
Snow Metrics 1000 cm^3
</t>
        </r>
      </text>
    </comment>
    <comment ref="A10" authorId="0" shapeId="0" xr:uid="{F86BEC44-5A14-4D93-B698-87BD78B7C967}">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5C4AC413-87D3-44CA-A1B2-ED6A47E859F2}">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DD008A62-2EE5-4E5D-87C1-6AFC1546F4DD}">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B0048F10-0E71-4738-8524-966CD964AC73}">
      <text>
        <r>
          <rPr>
            <b/>
            <sz val="9"/>
            <color indexed="81"/>
            <rFont val="Tahoma"/>
            <family val="2"/>
          </rPr>
          <t>cmcneil:</t>
        </r>
        <r>
          <rPr>
            <sz val="9"/>
            <color indexed="81"/>
            <rFont val="Tahoma"/>
            <family val="2"/>
          </rPr>
          <t xml:space="preserve">
Volume of sample taken</t>
        </r>
      </text>
    </comment>
    <comment ref="E10" authorId="0" shapeId="0" xr:uid="{F575DE9D-3361-4F2F-AE5C-3C978BC1E6F9}">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0765F08D-CD3F-412B-BC41-5735A2E3C3CA}">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9A0EA545-0E8A-49F4-A57E-96620EBC6454}">
      <text>
        <r>
          <rPr>
            <b/>
            <sz val="9"/>
            <color indexed="81"/>
            <rFont val="Tahoma"/>
            <family val="2"/>
          </rPr>
          <t>cmcneil:</t>
        </r>
        <r>
          <rPr>
            <sz val="9"/>
            <color indexed="81"/>
            <rFont val="Tahoma"/>
            <family val="2"/>
          </rPr>
          <t xml:space="preserve">
Density of sample. Calculated from the mass/volume</t>
        </r>
      </text>
    </comment>
    <comment ref="H10" authorId="0" shapeId="0" xr:uid="{5B528854-D05A-4320-9B94-E99A991B2A24}">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7C7D7669-948A-4318-AAEA-2E769A54D845}">
      <text>
        <r>
          <rPr>
            <b/>
            <sz val="9"/>
            <color indexed="81"/>
            <rFont val="Tahoma"/>
            <family val="2"/>
          </rPr>
          <t>cmcneil:</t>
        </r>
        <r>
          <rPr>
            <sz val="9"/>
            <color indexed="81"/>
            <rFont val="Tahoma"/>
            <family val="2"/>
          </rPr>
          <t xml:space="preserve">
Cummulative s.w.e. of from surface to the depth of each sample</t>
        </r>
      </text>
    </comment>
    <comment ref="J10" authorId="0" shapeId="0" xr:uid="{E5D7D1A9-B8B0-4FF0-AAE2-A96923CD1AED}">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6A9CDB2D-48CF-495E-B0D0-2698AC02F457}">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5FC38F19-614C-4B9E-8AE0-E2AD9770027B}">
      <text>
        <r>
          <rPr>
            <b/>
            <sz val="9"/>
            <color indexed="81"/>
            <rFont val="Tahoma"/>
            <family val="2"/>
          </rPr>
          <t>cmcneil:</t>
        </r>
        <r>
          <rPr>
            <sz val="9"/>
            <color indexed="81"/>
            <rFont val="Tahoma"/>
            <family val="2"/>
          </rPr>
          <t xml:space="preserve">
What was used to measure snow depth</t>
        </r>
      </text>
    </comment>
    <comment ref="M10" authorId="0" shapeId="0" xr:uid="{EE53C59B-76F6-46F5-9E12-95483494CB50}">
      <text>
        <r>
          <rPr>
            <b/>
            <sz val="9"/>
            <color indexed="81"/>
            <rFont val="Tahoma"/>
            <family val="2"/>
          </rPr>
          <t>cmcneil:</t>
        </r>
        <r>
          <rPr>
            <sz val="9"/>
            <color indexed="81"/>
            <rFont val="Tahoma"/>
            <family val="2"/>
          </rPr>
          <t xml:space="preserve">
snow depth observed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6CA86053-7D99-4E14-BBF0-961411912E6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2E0FC012-C5BB-47E3-B76A-83829315BE6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44F7AB4D-87E0-4910-9002-28FD6A8CA0E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BA1F147B-EBCB-41C5-BAB6-4A5FB7C86372}">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7ECCD443-A152-48E4-AFB4-55E2AB7BC866}">
      <text>
        <r>
          <rPr>
            <sz val="8"/>
            <color indexed="81"/>
            <rFont val="Tahoma"/>
            <family val="2"/>
          </rPr>
          <t xml:space="preserve">Sipre coring auger=45.6cm2 
large tube 41.05 cm2       
small tube 25.6   cm2          
Snow Metrics 1000 cm^3
</t>
        </r>
      </text>
    </comment>
    <comment ref="D9" authorId="0" shapeId="0" xr:uid="{9D729518-0E65-4721-AEBD-DEAE704B0D4F}">
      <text>
        <r>
          <rPr>
            <b/>
            <sz val="9"/>
            <color indexed="81"/>
            <rFont val="Tahoma"/>
            <family val="2"/>
          </rPr>
          <t>cmcneil:</t>
        </r>
        <r>
          <rPr>
            <sz val="9"/>
            <color indexed="81"/>
            <rFont val="Tahoma"/>
            <family val="2"/>
          </rPr>
          <t xml:space="preserve">
Measurements of core lengths.</t>
        </r>
      </text>
    </comment>
    <comment ref="H9" authorId="0" shapeId="0" xr:uid="{58A64423-3BEB-4E6C-AF14-2C8E83DE067E}">
      <text>
        <r>
          <rPr>
            <b/>
            <sz val="9"/>
            <color indexed="81"/>
            <rFont val="Tahoma"/>
            <family val="2"/>
          </rPr>
          <t>cmcneil:</t>
        </r>
        <r>
          <rPr>
            <sz val="9"/>
            <color indexed="81"/>
            <rFont val="Tahoma"/>
            <family val="2"/>
          </rPr>
          <t xml:space="preserve">
Measurements of core diameter</t>
        </r>
      </text>
    </comment>
    <comment ref="A10" authorId="0" shapeId="0" xr:uid="{3C0FC6B5-A904-410F-95E6-C312C1C61384}">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DE06A581-89E5-464D-8B19-390855FD2A7E}">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5C7853AB-BCD1-4B82-8463-679808A6F5BD}">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E41C940C-70E3-4650-9B1C-0C6F08A1150D}">
      <text>
        <r>
          <rPr>
            <b/>
            <sz val="9"/>
            <color indexed="81"/>
            <rFont val="Tahoma"/>
            <family val="2"/>
          </rPr>
          <t>cmcneil:</t>
        </r>
        <r>
          <rPr>
            <sz val="9"/>
            <color indexed="81"/>
            <rFont val="Tahoma"/>
            <family val="2"/>
          </rPr>
          <t xml:space="preserve">
Average of all measured lengths of core section</t>
        </r>
      </text>
    </comment>
    <comment ref="L10" authorId="0" shapeId="0" xr:uid="{0E4E76C8-97C1-45B8-B689-2D1B166DE1FF}">
      <text>
        <r>
          <rPr>
            <b/>
            <sz val="9"/>
            <color indexed="81"/>
            <rFont val="Tahoma"/>
            <family val="2"/>
          </rPr>
          <t>cmcneil:</t>
        </r>
        <r>
          <rPr>
            <sz val="9"/>
            <color indexed="81"/>
            <rFont val="Tahoma"/>
            <family val="2"/>
          </rPr>
          <t xml:space="preserve">
Average of all diameters measured for each core section</t>
        </r>
      </text>
    </comment>
    <comment ref="M10" authorId="0" shapeId="0" xr:uid="{0A50D118-32AB-4A31-BEB8-A762D68EEA04}">
      <text>
        <r>
          <rPr>
            <b/>
            <sz val="9"/>
            <color indexed="81"/>
            <rFont val="Tahoma"/>
            <family val="2"/>
          </rPr>
          <t>cmcneil:</t>
        </r>
        <r>
          <rPr>
            <sz val="9"/>
            <color indexed="81"/>
            <rFont val="Tahoma"/>
            <family val="2"/>
          </rPr>
          <t xml:space="preserve">
Volume of sample taken</t>
        </r>
      </text>
    </comment>
    <comment ref="N10" authorId="0" shapeId="0" xr:uid="{8FF5C5AE-B143-44E0-A242-DB3297BC948F}">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D73C3152-C1E9-4D41-9A1F-18DB476ED49C}">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91BCD32B-67E1-4FBD-85CC-5BD72EFDDEA2}">
      <text>
        <r>
          <rPr>
            <b/>
            <sz val="9"/>
            <color indexed="81"/>
            <rFont val="Tahoma"/>
            <family val="2"/>
          </rPr>
          <t>cmcneil:</t>
        </r>
        <r>
          <rPr>
            <sz val="9"/>
            <color indexed="81"/>
            <rFont val="Tahoma"/>
            <family val="2"/>
          </rPr>
          <t xml:space="preserve">
Density of sample. Calculated from the mass/volume</t>
        </r>
      </text>
    </comment>
    <comment ref="Q10" authorId="0" shapeId="0" xr:uid="{16A61A16-BB11-43BE-837F-D907F6DF8BA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2F40E58F-7073-4360-B354-05A0BCA4CDC6}">
      <text>
        <r>
          <rPr>
            <b/>
            <sz val="9"/>
            <color indexed="81"/>
            <rFont val="Tahoma"/>
            <family val="2"/>
          </rPr>
          <t>cmcneil:</t>
        </r>
        <r>
          <rPr>
            <sz val="9"/>
            <color indexed="81"/>
            <rFont val="Tahoma"/>
            <family val="2"/>
          </rPr>
          <t xml:space="preserve">
Cummulative s.w.e. of from surface to the depth of each sample</t>
        </r>
      </text>
    </comment>
    <comment ref="S10" authorId="0" shapeId="0" xr:uid="{2C6BF356-077B-48E9-8A0F-08B879DE15E8}">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95B946CF-7965-4225-8383-CC2C95BBE7AB}">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D0E2C63F-C9DE-48B6-97C4-15D06ECA52EF}">
      <text>
        <r>
          <rPr>
            <b/>
            <sz val="9"/>
            <color indexed="81"/>
            <rFont val="Tahoma"/>
            <family val="2"/>
          </rPr>
          <t>cmcneil:</t>
        </r>
        <r>
          <rPr>
            <sz val="9"/>
            <color indexed="81"/>
            <rFont val="Tahoma"/>
            <family val="2"/>
          </rPr>
          <t xml:space="preserve">
What was used to measure snow depth</t>
        </r>
      </text>
    </comment>
    <comment ref="V10" authorId="0" shapeId="0" xr:uid="{450A0CCC-BF35-4851-BCFB-DE1B5F9F7C8A}">
      <text>
        <r>
          <rPr>
            <b/>
            <sz val="9"/>
            <color indexed="81"/>
            <rFont val="Tahoma"/>
            <family val="2"/>
          </rPr>
          <t>cmcneil:</t>
        </r>
        <r>
          <rPr>
            <sz val="9"/>
            <color indexed="81"/>
            <rFont val="Tahoma"/>
            <family val="2"/>
          </rPr>
          <t xml:space="preserve">
snow depth observed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E90F3480-7E93-4E30-AB52-8B748C7935EA}">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67C35725-9A5F-4A77-B759-7103D8EE62F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762DF383-455C-42F1-B7C6-127A7FF7F04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8FB5F2E0-FFF1-472F-AFAB-04E1FD25E86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E23E2368-E40C-4ECC-BF2C-AF1E5BC5ED60}">
      <text>
        <r>
          <rPr>
            <sz val="8"/>
            <color indexed="81"/>
            <rFont val="Tahoma"/>
            <family val="2"/>
          </rPr>
          <t xml:space="preserve">Sipre coring auger=45.6cm2 
large tube 41.05 cm2       
small tube 25.6   cm2          
Snow Metrics 1000 cm^3
</t>
        </r>
      </text>
    </comment>
    <comment ref="D9" authorId="0" shapeId="0" xr:uid="{9B77B41F-8805-4A81-8F9B-BB25F8F96EE7}">
      <text>
        <r>
          <rPr>
            <b/>
            <sz val="9"/>
            <color indexed="81"/>
            <rFont val="Tahoma"/>
            <family val="2"/>
          </rPr>
          <t>cmcneil:</t>
        </r>
        <r>
          <rPr>
            <sz val="9"/>
            <color indexed="81"/>
            <rFont val="Tahoma"/>
            <family val="2"/>
          </rPr>
          <t xml:space="preserve">
Measurements of core lengths.</t>
        </r>
      </text>
    </comment>
    <comment ref="H9" authorId="0" shapeId="0" xr:uid="{2FC346D5-2CAB-4E97-9DD6-57E834D03302}">
      <text>
        <r>
          <rPr>
            <b/>
            <sz val="9"/>
            <color indexed="81"/>
            <rFont val="Tahoma"/>
            <family val="2"/>
          </rPr>
          <t>cmcneil:</t>
        </r>
        <r>
          <rPr>
            <sz val="9"/>
            <color indexed="81"/>
            <rFont val="Tahoma"/>
            <family val="2"/>
          </rPr>
          <t xml:space="preserve">
Measurements of core diameter</t>
        </r>
      </text>
    </comment>
    <comment ref="A10" authorId="0" shapeId="0" xr:uid="{C75F7CF8-E98C-49D0-B77C-240EB1C3BF2E}">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8C241E47-7517-4D2F-A3F6-C2FF295E1DF2}">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19E8C064-77FD-4ACC-9F2B-49795E9B346A}">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26D8EEB3-50D9-45D9-9828-F50A690D7D90}">
      <text>
        <r>
          <rPr>
            <b/>
            <sz val="9"/>
            <color indexed="81"/>
            <rFont val="Tahoma"/>
            <family val="2"/>
          </rPr>
          <t>cmcneil:</t>
        </r>
        <r>
          <rPr>
            <sz val="9"/>
            <color indexed="81"/>
            <rFont val="Tahoma"/>
            <family val="2"/>
          </rPr>
          <t xml:space="preserve">
Average of all measured lengths of core section</t>
        </r>
      </text>
    </comment>
    <comment ref="L10" authorId="0" shapeId="0" xr:uid="{F9C73517-D3FE-48F7-8703-7E12AC0C8179}">
      <text>
        <r>
          <rPr>
            <b/>
            <sz val="9"/>
            <color indexed="81"/>
            <rFont val="Tahoma"/>
            <family val="2"/>
          </rPr>
          <t>cmcneil:</t>
        </r>
        <r>
          <rPr>
            <sz val="9"/>
            <color indexed="81"/>
            <rFont val="Tahoma"/>
            <family val="2"/>
          </rPr>
          <t xml:space="preserve">
Average of all diameters measured for each core section</t>
        </r>
      </text>
    </comment>
    <comment ref="M10" authorId="0" shapeId="0" xr:uid="{33747FDC-E2F7-4D00-9294-8E11D638647A}">
      <text>
        <r>
          <rPr>
            <b/>
            <sz val="9"/>
            <color indexed="81"/>
            <rFont val="Tahoma"/>
            <family val="2"/>
          </rPr>
          <t>cmcneil:</t>
        </r>
        <r>
          <rPr>
            <sz val="9"/>
            <color indexed="81"/>
            <rFont val="Tahoma"/>
            <family val="2"/>
          </rPr>
          <t xml:space="preserve">
Volume of sample taken</t>
        </r>
      </text>
    </comment>
    <comment ref="N10" authorId="0" shapeId="0" xr:uid="{05822687-D765-4E11-8F59-A204B8A8BA93}">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8FD138E5-35F5-4F23-80FE-6DE64A271331}">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B696EFAD-9186-4E85-8CBD-1E404BA8A188}">
      <text>
        <r>
          <rPr>
            <b/>
            <sz val="9"/>
            <color indexed="81"/>
            <rFont val="Tahoma"/>
            <family val="2"/>
          </rPr>
          <t>cmcneil:</t>
        </r>
        <r>
          <rPr>
            <sz val="9"/>
            <color indexed="81"/>
            <rFont val="Tahoma"/>
            <family val="2"/>
          </rPr>
          <t xml:space="preserve">
Density of sample. Calculated from the mass/volume</t>
        </r>
      </text>
    </comment>
    <comment ref="Q10" authorId="0" shapeId="0" xr:uid="{FFB7F263-919E-4746-9294-16BDB8EDC69E}">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89F89FD7-D77E-41AC-A540-F53D5F371C2C}">
      <text>
        <r>
          <rPr>
            <b/>
            <sz val="9"/>
            <color indexed="81"/>
            <rFont val="Tahoma"/>
            <family val="2"/>
          </rPr>
          <t>cmcneil:</t>
        </r>
        <r>
          <rPr>
            <sz val="9"/>
            <color indexed="81"/>
            <rFont val="Tahoma"/>
            <family val="2"/>
          </rPr>
          <t xml:space="preserve">
Cummulative s.w.e. of from surface to the depth of each sample</t>
        </r>
      </text>
    </comment>
    <comment ref="S10" authorId="0" shapeId="0" xr:uid="{7B9823D5-F3CC-48D8-9C6A-E22482BA49C4}">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823EFC80-C938-4F6B-B49A-B65618136C97}">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75B431AC-1125-4CFA-A6ED-25FFA753A9D4}">
      <text>
        <r>
          <rPr>
            <b/>
            <sz val="9"/>
            <color indexed="81"/>
            <rFont val="Tahoma"/>
            <family val="2"/>
          </rPr>
          <t>cmcneil:</t>
        </r>
        <r>
          <rPr>
            <sz val="9"/>
            <color indexed="81"/>
            <rFont val="Tahoma"/>
            <family val="2"/>
          </rPr>
          <t xml:space="preserve">
What was used to measure snow depth</t>
        </r>
      </text>
    </comment>
    <comment ref="V10" authorId="0" shapeId="0" xr:uid="{A10AA7DD-1F9F-4A02-B005-846FA56B2846}">
      <text>
        <r>
          <rPr>
            <b/>
            <sz val="9"/>
            <color indexed="81"/>
            <rFont val="Tahoma"/>
            <family val="2"/>
          </rPr>
          <t>cmcneil:</t>
        </r>
        <r>
          <rPr>
            <sz val="9"/>
            <color indexed="81"/>
            <rFont val="Tahoma"/>
            <family val="2"/>
          </rPr>
          <t xml:space="preserve">
snow depth observed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FF945C04-6D10-4E18-AD53-A118BF03B13E}">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C605A44C-0BB5-474B-9E13-DE190C05FC6B}">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1CF07A37-6C39-40B5-B869-8BB7DB9923A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3D9C2447-3AAE-40C8-AE84-33AEE70C6FB9}">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1353488-92B2-416A-A7C2-8F4246DACDE7}">
      <text>
        <r>
          <rPr>
            <sz val="8"/>
            <color indexed="81"/>
            <rFont val="Tahoma"/>
            <family val="2"/>
          </rPr>
          <t xml:space="preserve">Sipre coring auger=45.6cm2 
large tube 41.05 cm2       
small tube 25.6   cm2          
Snow Metrics 1000 cm^3
</t>
        </r>
      </text>
    </comment>
    <comment ref="D9" authorId="0" shapeId="0" xr:uid="{C302CCA0-2A8D-4D1E-89C3-A13659452C5A}">
      <text>
        <r>
          <rPr>
            <b/>
            <sz val="9"/>
            <color indexed="81"/>
            <rFont val="Tahoma"/>
            <family val="2"/>
          </rPr>
          <t>cmcneil:</t>
        </r>
        <r>
          <rPr>
            <sz val="9"/>
            <color indexed="81"/>
            <rFont val="Tahoma"/>
            <family val="2"/>
          </rPr>
          <t xml:space="preserve">
Measurements of core lengths.</t>
        </r>
      </text>
    </comment>
    <comment ref="H9" authorId="0" shapeId="0" xr:uid="{BBA0134C-442E-4E98-93FA-2E697272D171}">
      <text>
        <r>
          <rPr>
            <b/>
            <sz val="9"/>
            <color indexed="81"/>
            <rFont val="Tahoma"/>
            <family val="2"/>
          </rPr>
          <t>cmcneil:</t>
        </r>
        <r>
          <rPr>
            <sz val="9"/>
            <color indexed="81"/>
            <rFont val="Tahoma"/>
            <family val="2"/>
          </rPr>
          <t xml:space="preserve">
Measurements of core diameter</t>
        </r>
      </text>
    </comment>
    <comment ref="A10" authorId="0" shapeId="0" xr:uid="{DE1BE119-2046-4E67-8A59-EB25E98A1052}">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4C989BF-C171-495A-8551-499C58F0A30B}">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829FF7C8-682A-4AD4-A640-149A020EDE45}">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07FECB06-62A7-46B6-B08E-874D346BB020}">
      <text>
        <r>
          <rPr>
            <b/>
            <sz val="9"/>
            <color indexed="81"/>
            <rFont val="Tahoma"/>
            <family val="2"/>
          </rPr>
          <t>cmcneil:</t>
        </r>
        <r>
          <rPr>
            <sz val="9"/>
            <color indexed="81"/>
            <rFont val="Tahoma"/>
            <family val="2"/>
          </rPr>
          <t xml:space="preserve">
Average of all measured lengths of core section</t>
        </r>
      </text>
    </comment>
    <comment ref="L10" authorId="0" shapeId="0" xr:uid="{5124B2B2-01DB-4F9E-ADD0-EA3C0737B500}">
      <text>
        <r>
          <rPr>
            <b/>
            <sz val="9"/>
            <color indexed="81"/>
            <rFont val="Tahoma"/>
            <family val="2"/>
          </rPr>
          <t>cmcneil:</t>
        </r>
        <r>
          <rPr>
            <sz val="9"/>
            <color indexed="81"/>
            <rFont val="Tahoma"/>
            <family val="2"/>
          </rPr>
          <t xml:space="preserve">
Average of all diameters measured for each core section</t>
        </r>
      </text>
    </comment>
    <comment ref="M10" authorId="0" shapeId="0" xr:uid="{4190C9AD-5DCB-4868-ACC3-27E5F6D939CF}">
      <text>
        <r>
          <rPr>
            <b/>
            <sz val="9"/>
            <color indexed="81"/>
            <rFont val="Tahoma"/>
            <family val="2"/>
          </rPr>
          <t>cmcneil:</t>
        </r>
        <r>
          <rPr>
            <sz val="9"/>
            <color indexed="81"/>
            <rFont val="Tahoma"/>
            <family val="2"/>
          </rPr>
          <t xml:space="preserve">
Volume of sample taken</t>
        </r>
      </text>
    </comment>
    <comment ref="N10" authorId="0" shapeId="0" xr:uid="{F838F798-0567-4A51-8DEE-E656379A8395}">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AC3CBAD2-7E36-4070-96E9-5D0F09BA11A7}">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87F8BBEA-28D2-40B3-9A49-C6061F4429C6}">
      <text>
        <r>
          <rPr>
            <b/>
            <sz val="9"/>
            <color indexed="81"/>
            <rFont val="Tahoma"/>
            <family val="2"/>
          </rPr>
          <t>cmcneil:</t>
        </r>
        <r>
          <rPr>
            <sz val="9"/>
            <color indexed="81"/>
            <rFont val="Tahoma"/>
            <family val="2"/>
          </rPr>
          <t xml:space="preserve">
Density of sample. Calculated from the mass/volume</t>
        </r>
      </text>
    </comment>
    <comment ref="Q10" authorId="0" shapeId="0" xr:uid="{6B167544-27C0-44C3-BFE5-39481B06EDC3}">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39690466-FE43-4BF2-94B0-E05E8C554839}">
      <text>
        <r>
          <rPr>
            <b/>
            <sz val="9"/>
            <color indexed="81"/>
            <rFont val="Tahoma"/>
            <family val="2"/>
          </rPr>
          <t>cmcneil:</t>
        </r>
        <r>
          <rPr>
            <sz val="9"/>
            <color indexed="81"/>
            <rFont val="Tahoma"/>
            <family val="2"/>
          </rPr>
          <t xml:space="preserve">
Cummulative s.w.e. of from surface to the depth of each sample</t>
        </r>
      </text>
    </comment>
    <comment ref="S10" authorId="0" shapeId="0" xr:uid="{9AA7C838-49C9-4A6A-87D3-ED73B937DA9D}">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C7BA74D3-93D6-4D4B-BCD3-09446EAB9648}">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69C18985-3C81-471A-9DD1-1EB3732C8BB6}">
      <text>
        <r>
          <rPr>
            <b/>
            <sz val="9"/>
            <color indexed="81"/>
            <rFont val="Tahoma"/>
            <family val="2"/>
          </rPr>
          <t>cmcneil:</t>
        </r>
        <r>
          <rPr>
            <sz val="9"/>
            <color indexed="81"/>
            <rFont val="Tahoma"/>
            <family val="2"/>
          </rPr>
          <t xml:space="preserve">
What was used to measure snow depth</t>
        </r>
      </text>
    </comment>
    <comment ref="V10" authorId="0" shapeId="0" xr:uid="{4EA862A3-0D81-4FFB-A9F4-F922E43096F6}">
      <text>
        <r>
          <rPr>
            <b/>
            <sz val="9"/>
            <color indexed="81"/>
            <rFont val="Tahoma"/>
            <family val="2"/>
          </rPr>
          <t>cmcneil:</t>
        </r>
        <r>
          <rPr>
            <sz val="9"/>
            <color indexed="81"/>
            <rFont val="Tahoma"/>
            <family val="2"/>
          </rPr>
          <t xml:space="preserve">
snow depth observed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BC0230C0-2805-42BD-9BDC-3DC886B47CC5}">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39C19E12-791A-4A6A-9D0D-06C1ECAC253C}">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471173C-72B9-4A40-A0C2-A3BC4E4B6078}">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63D4DAB6-573D-462F-B09C-F7385828CF5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24C4AEAD-58C1-4872-B72E-C0E87C6B5672}">
      <text>
        <r>
          <rPr>
            <sz val="8"/>
            <color indexed="81"/>
            <rFont val="Tahoma"/>
            <family val="2"/>
          </rPr>
          <t xml:space="preserve">Sipre coring auger=45.6cm2 
large tube 41.05 cm2       
small tube 25.6   cm2          
Snow Metrics 1000 cm^3
</t>
        </r>
      </text>
    </comment>
    <comment ref="D9" authorId="0" shapeId="0" xr:uid="{91638139-F096-46C6-9583-E3BDC8EC87CA}">
      <text>
        <r>
          <rPr>
            <b/>
            <sz val="9"/>
            <color indexed="81"/>
            <rFont val="Tahoma"/>
            <family val="2"/>
          </rPr>
          <t>cmcneil:</t>
        </r>
        <r>
          <rPr>
            <sz val="9"/>
            <color indexed="81"/>
            <rFont val="Tahoma"/>
            <family val="2"/>
          </rPr>
          <t xml:space="preserve">
Measurements of core lengths.</t>
        </r>
      </text>
    </comment>
    <comment ref="H9" authorId="0" shapeId="0" xr:uid="{1910F7C5-8220-4EDC-BE1C-DC1938D7CC0A}">
      <text>
        <r>
          <rPr>
            <b/>
            <sz val="9"/>
            <color indexed="81"/>
            <rFont val="Tahoma"/>
            <family val="2"/>
          </rPr>
          <t>cmcneil:</t>
        </r>
        <r>
          <rPr>
            <sz val="9"/>
            <color indexed="81"/>
            <rFont val="Tahoma"/>
            <family val="2"/>
          </rPr>
          <t xml:space="preserve">
Measurements of core diameter</t>
        </r>
      </text>
    </comment>
    <comment ref="A10" authorId="0" shapeId="0" xr:uid="{70C48D2E-CF19-402F-8EC8-9649B4DEC813}">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ECD31AAA-6548-4018-A7AB-7E102A5EC097}">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B32DC83C-978F-4831-84AE-FB40D34B025B}">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2D8A4842-862C-4E0B-A92D-21836D1C015E}">
      <text>
        <r>
          <rPr>
            <b/>
            <sz val="9"/>
            <color indexed="81"/>
            <rFont val="Tahoma"/>
            <family val="2"/>
          </rPr>
          <t>cmcneil:</t>
        </r>
        <r>
          <rPr>
            <sz val="9"/>
            <color indexed="81"/>
            <rFont val="Tahoma"/>
            <family val="2"/>
          </rPr>
          <t xml:space="preserve">
Average of all measured lengths of core section</t>
        </r>
      </text>
    </comment>
    <comment ref="L10" authorId="0" shapeId="0" xr:uid="{D111D54F-593C-4125-8616-6D8AEE4E240C}">
      <text>
        <r>
          <rPr>
            <b/>
            <sz val="9"/>
            <color indexed="81"/>
            <rFont val="Tahoma"/>
            <family val="2"/>
          </rPr>
          <t>cmcneil:</t>
        </r>
        <r>
          <rPr>
            <sz val="9"/>
            <color indexed="81"/>
            <rFont val="Tahoma"/>
            <family val="2"/>
          </rPr>
          <t xml:space="preserve">
Average of all diameters measured for each core section</t>
        </r>
      </text>
    </comment>
    <comment ref="M10" authorId="0" shapeId="0" xr:uid="{ED6B456E-B0F3-46B9-9FF7-706EFCE78EE7}">
      <text>
        <r>
          <rPr>
            <b/>
            <sz val="9"/>
            <color indexed="81"/>
            <rFont val="Tahoma"/>
            <family val="2"/>
          </rPr>
          <t>cmcneil:</t>
        </r>
        <r>
          <rPr>
            <sz val="9"/>
            <color indexed="81"/>
            <rFont val="Tahoma"/>
            <family val="2"/>
          </rPr>
          <t xml:space="preserve">
Volume of sample taken</t>
        </r>
      </text>
    </comment>
    <comment ref="N10" authorId="0" shapeId="0" xr:uid="{F726C76C-8E9B-4514-8213-00D39F2C31CC}">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EA84E0DF-A71E-4008-8B85-1CA8CE88ED16}">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1CCBCFE5-5E91-4166-A811-33176D2B7694}">
      <text>
        <r>
          <rPr>
            <b/>
            <sz val="9"/>
            <color indexed="81"/>
            <rFont val="Tahoma"/>
            <family val="2"/>
          </rPr>
          <t>cmcneil:</t>
        </r>
        <r>
          <rPr>
            <sz val="9"/>
            <color indexed="81"/>
            <rFont val="Tahoma"/>
            <family val="2"/>
          </rPr>
          <t xml:space="preserve">
Density of sample. Calculated from the mass/volume</t>
        </r>
      </text>
    </comment>
    <comment ref="Q10" authorId="0" shapeId="0" xr:uid="{01371BF3-527F-4E10-BA6A-447033D7E9DB}">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BEE75011-6217-4EB0-B6BF-23968DB35A3D}">
      <text>
        <r>
          <rPr>
            <b/>
            <sz val="9"/>
            <color indexed="81"/>
            <rFont val="Tahoma"/>
            <family val="2"/>
          </rPr>
          <t>cmcneil:</t>
        </r>
        <r>
          <rPr>
            <sz val="9"/>
            <color indexed="81"/>
            <rFont val="Tahoma"/>
            <family val="2"/>
          </rPr>
          <t xml:space="preserve">
Cummulative s.w.e. of from surface to the depth of each sample</t>
        </r>
      </text>
    </comment>
    <comment ref="S10" authorId="0" shapeId="0" xr:uid="{E5064243-DF41-4E8F-AE5A-B7D01FB40949}">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F88C22C9-90C1-4647-B0FC-4A05F7B2E933}">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1DC06C85-80F3-4698-802F-1A9A1CFB04D7}">
      <text>
        <r>
          <rPr>
            <b/>
            <sz val="9"/>
            <color indexed="81"/>
            <rFont val="Tahoma"/>
            <family val="2"/>
          </rPr>
          <t>cmcneil:</t>
        </r>
        <r>
          <rPr>
            <sz val="9"/>
            <color indexed="81"/>
            <rFont val="Tahoma"/>
            <family val="2"/>
          </rPr>
          <t xml:space="preserve">
What was used to measure snow depth</t>
        </r>
      </text>
    </comment>
    <comment ref="V10" authorId="0" shapeId="0" xr:uid="{B813FCE9-01B0-45FE-BC37-E9CCD114EB83}">
      <text>
        <r>
          <rPr>
            <b/>
            <sz val="9"/>
            <color indexed="81"/>
            <rFont val="Tahoma"/>
            <family val="2"/>
          </rPr>
          <t>cmcneil:</t>
        </r>
        <r>
          <rPr>
            <sz val="9"/>
            <color indexed="81"/>
            <rFont val="Tahoma"/>
            <family val="2"/>
          </rPr>
          <t xml:space="preserve">
snow depth observed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E6F87BD-DD6F-4C75-BA30-306ACBCCE021}">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D7402541-39E3-48BC-AB5D-06BB471C3455}">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FE34E1A0-5EE9-46E0-9D87-049750093C3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4C29413D-2B5F-4158-B90E-BB2238D5758D}">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B3002870-FC1A-4854-958A-B2A7E85247BD}">
      <text>
        <r>
          <rPr>
            <sz val="8"/>
            <color indexed="81"/>
            <rFont val="Tahoma"/>
            <family val="2"/>
          </rPr>
          <t xml:space="preserve">Sipre coring auger=45.6cm2 
large tube 41.05 cm2       
small tube 25.6   cm2          
Snow Metrics 1000 cm^3
</t>
        </r>
      </text>
    </comment>
    <comment ref="A10" authorId="0" shapeId="0" xr:uid="{952D3740-DFE7-44CA-8B59-A647BC8E9105}">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A6E55661-E639-49E8-BEE5-BCDE982C9697}">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47CB546-AE3E-4930-AFEC-723EA7279BEB}">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396E761B-2199-40FB-8FC6-CA1E8FCB5270}">
      <text>
        <r>
          <rPr>
            <b/>
            <sz val="9"/>
            <color indexed="81"/>
            <rFont val="Tahoma"/>
            <family val="2"/>
          </rPr>
          <t>cmcneil:</t>
        </r>
        <r>
          <rPr>
            <sz val="9"/>
            <color indexed="81"/>
            <rFont val="Tahoma"/>
            <family val="2"/>
          </rPr>
          <t xml:space="preserve">
Volume of sample taken</t>
        </r>
      </text>
    </comment>
    <comment ref="E10" authorId="0" shapeId="0" xr:uid="{FD1CECCF-C001-4B34-AF6B-41781B957D43}">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8ADA7EBB-C7BA-4CB7-A6D7-0017048BEC9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8228DB30-6326-4B7D-8A50-3E6A03837C8D}">
      <text>
        <r>
          <rPr>
            <b/>
            <sz val="9"/>
            <color indexed="81"/>
            <rFont val="Tahoma"/>
            <family val="2"/>
          </rPr>
          <t>cmcneil:</t>
        </r>
        <r>
          <rPr>
            <sz val="9"/>
            <color indexed="81"/>
            <rFont val="Tahoma"/>
            <family val="2"/>
          </rPr>
          <t xml:space="preserve">
Density of sample. Calculated from the mass/volume</t>
        </r>
      </text>
    </comment>
    <comment ref="H10" authorId="0" shapeId="0" xr:uid="{099A2634-A513-406A-85B4-CC3DA952BCAD}">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7B5CB91D-3C34-4433-AA21-CAFFAE6B2285}">
      <text>
        <r>
          <rPr>
            <b/>
            <sz val="9"/>
            <color indexed="81"/>
            <rFont val="Tahoma"/>
            <family val="2"/>
          </rPr>
          <t>cmcneil:</t>
        </r>
        <r>
          <rPr>
            <sz val="9"/>
            <color indexed="81"/>
            <rFont val="Tahoma"/>
            <family val="2"/>
          </rPr>
          <t xml:space="preserve">
Cummulative s.w.e. of from surface to the depth of each sample</t>
        </r>
      </text>
    </comment>
    <comment ref="J10" authorId="0" shapeId="0" xr:uid="{57F38FFD-3637-4FFB-A8AD-F0DF6138E423}">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5E6B97BC-D4D9-4A2E-AA7B-EE5E43625C08}">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4CC1CA24-6673-4A3B-8139-664CF4860B88}">
      <text>
        <r>
          <rPr>
            <b/>
            <sz val="9"/>
            <color indexed="81"/>
            <rFont val="Tahoma"/>
            <family val="2"/>
          </rPr>
          <t>cmcneil:</t>
        </r>
        <r>
          <rPr>
            <sz val="9"/>
            <color indexed="81"/>
            <rFont val="Tahoma"/>
            <family val="2"/>
          </rPr>
          <t xml:space="preserve">
What was used to measure snow depth</t>
        </r>
      </text>
    </comment>
    <comment ref="M10" authorId="0" shapeId="0" xr:uid="{AA1BC316-6CA8-4385-A79B-E77FBF83B25A}">
      <text>
        <r>
          <rPr>
            <b/>
            <sz val="9"/>
            <color indexed="81"/>
            <rFont val="Tahoma"/>
            <family val="2"/>
          </rPr>
          <t>cmcneil:</t>
        </r>
        <r>
          <rPr>
            <sz val="9"/>
            <color indexed="81"/>
            <rFont val="Tahoma"/>
            <family val="2"/>
          </rPr>
          <t xml:space="preserve">
snow depth observed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A65BB2E3-FE32-434F-AD2E-B63A59BDF56A}">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702CD602-CE2E-4363-98EF-1E23B7A9DE4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A13D433-7008-4CFB-A972-EB4682B0FDD9}">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A809674-E54A-47E0-8F7E-7BB92E63B14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7DE3CB7-4401-4EFA-9D22-E3E02955124E}">
      <text>
        <r>
          <rPr>
            <sz val="8"/>
            <color indexed="81"/>
            <rFont val="Tahoma"/>
            <family val="2"/>
          </rPr>
          <t xml:space="preserve">Sipre coring auger=45.6cm2 
large tube 41.05 cm2       
small tube 25.6   cm2          
Snow Metrics 1000 cm^3
</t>
        </r>
      </text>
    </comment>
    <comment ref="A10" authorId="0" shapeId="0" xr:uid="{4AB51C38-4851-4EF3-8295-41E584908B73}">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2C31AABB-9225-49C9-99F7-AF9605F630AB}">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62673EFF-AC3C-4CED-BC15-8DADF4F982A8}">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94F0008E-F7BD-451B-86B7-88810E84F379}">
      <text>
        <r>
          <rPr>
            <b/>
            <sz val="9"/>
            <color indexed="81"/>
            <rFont val="Tahoma"/>
            <family val="2"/>
          </rPr>
          <t>cmcneil:</t>
        </r>
        <r>
          <rPr>
            <sz val="9"/>
            <color indexed="81"/>
            <rFont val="Tahoma"/>
            <family val="2"/>
          </rPr>
          <t xml:space="preserve">
Volume of sample taken</t>
        </r>
      </text>
    </comment>
    <comment ref="E10" authorId="0" shapeId="0" xr:uid="{B9F3DDC3-D4A9-47E3-BC13-62CFD2700E9E}">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AB5260BE-A366-4EA2-AE74-27D727F29E9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515914F8-CBA0-4CEB-AED2-F685A6A221E9}">
      <text>
        <r>
          <rPr>
            <b/>
            <sz val="9"/>
            <color indexed="81"/>
            <rFont val="Tahoma"/>
            <family val="2"/>
          </rPr>
          <t>cmcneil:</t>
        </r>
        <r>
          <rPr>
            <sz val="9"/>
            <color indexed="81"/>
            <rFont val="Tahoma"/>
            <family val="2"/>
          </rPr>
          <t xml:space="preserve">
Density of sample. Calculated from the mass/volume</t>
        </r>
      </text>
    </comment>
    <comment ref="H10" authorId="0" shapeId="0" xr:uid="{10910851-FE2F-4942-AA0C-EEEBF78B5794}">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9833DC0E-017A-4791-A5DB-06F22F67DCA1}">
      <text>
        <r>
          <rPr>
            <b/>
            <sz val="9"/>
            <color indexed="81"/>
            <rFont val="Tahoma"/>
            <family val="2"/>
          </rPr>
          <t>cmcneil:</t>
        </r>
        <r>
          <rPr>
            <sz val="9"/>
            <color indexed="81"/>
            <rFont val="Tahoma"/>
            <family val="2"/>
          </rPr>
          <t xml:space="preserve">
Cummulative s.w.e. of from surface to the depth of each sample</t>
        </r>
      </text>
    </comment>
    <comment ref="J10" authorId="0" shapeId="0" xr:uid="{965FF42F-BBD1-4EF8-B2DF-8B486001CF03}">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5826769F-5B57-4AD5-B93F-3100DFE8AA8C}">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43FB08C6-9A02-4EDA-8D10-DD98ECF209F2}">
      <text>
        <r>
          <rPr>
            <b/>
            <sz val="9"/>
            <color indexed="81"/>
            <rFont val="Tahoma"/>
            <family val="2"/>
          </rPr>
          <t>cmcneil:</t>
        </r>
        <r>
          <rPr>
            <sz val="9"/>
            <color indexed="81"/>
            <rFont val="Tahoma"/>
            <family val="2"/>
          </rPr>
          <t xml:space="preserve">
What was used to measure snow depth</t>
        </r>
      </text>
    </comment>
    <comment ref="M10" authorId="0" shapeId="0" xr:uid="{C84E60A8-2A4D-4FCC-9610-A901CE265BFA}">
      <text>
        <r>
          <rPr>
            <b/>
            <sz val="9"/>
            <color indexed="81"/>
            <rFont val="Tahoma"/>
            <family val="2"/>
          </rPr>
          <t>cmcneil:</t>
        </r>
        <r>
          <rPr>
            <sz val="9"/>
            <color indexed="81"/>
            <rFont val="Tahoma"/>
            <family val="2"/>
          </rPr>
          <t xml:space="preserve">
snow depth observed</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D2A38E9-0663-49E9-A4AC-F862585DB336}">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I1" authorId="0" shapeId="0" xr:uid="{BBBD1FC6-AF03-4F7E-BEDC-DCBB1982033A}">
      <text>
        <r>
          <rPr>
            <b/>
            <sz val="9"/>
            <color indexed="81"/>
            <rFont val="Tahoma"/>
            <family val="2"/>
          </rPr>
          <t>cmcneil:</t>
        </r>
        <r>
          <rPr>
            <sz val="9"/>
            <color indexed="81"/>
            <rFont val="Tahoma"/>
            <family val="2"/>
          </rPr>
          <t xml:space="preserve">
Do not enter value. Link it to the last core sample SBD</t>
        </r>
      </text>
    </comment>
    <comment ref="H2" authorId="0" shapeId="0" xr:uid="{9316D889-580B-4EF2-BF5C-4D9CB5039272}">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6102DD1-476B-4461-BFA4-26C00CF91538}">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C4E8B6C3-0D78-4516-B3AB-3EDD0905D12D}">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88902057-8062-489F-9912-4D7706B4814D}">
      <text>
        <r>
          <rPr>
            <sz val="8"/>
            <color indexed="81"/>
            <rFont val="Tahoma"/>
            <family val="2"/>
          </rPr>
          <t xml:space="preserve">Sipre coring auger=45.6cm2 
large tube 41.05 cm2       
small tube 25.6   cm2          
Snow Metrics 1000 cm^3
</t>
        </r>
      </text>
    </comment>
    <comment ref="D9" authorId="0" shapeId="0" xr:uid="{70E24CB4-0604-4720-9E82-6E3FB26F959B}">
      <text>
        <r>
          <rPr>
            <b/>
            <sz val="9"/>
            <color indexed="81"/>
            <rFont val="Tahoma"/>
            <family val="2"/>
          </rPr>
          <t>cmcneil:</t>
        </r>
        <r>
          <rPr>
            <sz val="9"/>
            <color indexed="81"/>
            <rFont val="Tahoma"/>
            <family val="2"/>
          </rPr>
          <t xml:space="preserve">
Measurements of core lengths.</t>
        </r>
      </text>
    </comment>
    <comment ref="H9" authorId="0" shapeId="0" xr:uid="{0CBD17EC-EF20-4E62-9611-D7155DC58C2E}">
      <text>
        <r>
          <rPr>
            <b/>
            <sz val="9"/>
            <color indexed="81"/>
            <rFont val="Tahoma"/>
            <family val="2"/>
          </rPr>
          <t>cmcneil:</t>
        </r>
        <r>
          <rPr>
            <sz val="9"/>
            <color indexed="81"/>
            <rFont val="Tahoma"/>
            <family val="2"/>
          </rPr>
          <t xml:space="preserve">
Measurements of core diameter</t>
        </r>
      </text>
    </comment>
    <comment ref="A10" authorId="0" shapeId="0" xr:uid="{556869AD-4EC9-4DAA-9A2D-E907BCE7F25D}">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EFA4CAE2-1900-4F9C-92CD-3669174D4E58}">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F537668D-D4C5-443E-A497-B97EE490A8C6}">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D90DDED8-BA95-4529-88D8-ED29D31FE665}">
      <text>
        <r>
          <rPr>
            <b/>
            <sz val="9"/>
            <color indexed="81"/>
            <rFont val="Tahoma"/>
            <family val="2"/>
          </rPr>
          <t>cmcneil:</t>
        </r>
        <r>
          <rPr>
            <sz val="9"/>
            <color indexed="81"/>
            <rFont val="Tahoma"/>
            <family val="2"/>
          </rPr>
          <t xml:space="preserve">
Average of all measured lengths of core section</t>
        </r>
      </text>
    </comment>
    <comment ref="L10" authorId="0" shapeId="0" xr:uid="{7B539755-82C9-40FC-82ED-FF400780D37B}">
      <text>
        <r>
          <rPr>
            <b/>
            <sz val="9"/>
            <color indexed="81"/>
            <rFont val="Tahoma"/>
            <family val="2"/>
          </rPr>
          <t>cmcneil:</t>
        </r>
        <r>
          <rPr>
            <sz val="9"/>
            <color indexed="81"/>
            <rFont val="Tahoma"/>
            <family val="2"/>
          </rPr>
          <t xml:space="preserve">
Average of all diameters measured for each core section</t>
        </r>
      </text>
    </comment>
    <comment ref="M10" authorId="0" shapeId="0" xr:uid="{9A0FD4B6-E93C-4A94-84C9-5B3C065EA9ED}">
      <text>
        <r>
          <rPr>
            <b/>
            <sz val="9"/>
            <color indexed="81"/>
            <rFont val="Tahoma"/>
            <family val="2"/>
          </rPr>
          <t>cmcneil:</t>
        </r>
        <r>
          <rPr>
            <sz val="9"/>
            <color indexed="81"/>
            <rFont val="Tahoma"/>
            <family val="2"/>
          </rPr>
          <t xml:space="preserve">
Volume of sample taken</t>
        </r>
      </text>
    </comment>
    <comment ref="N10" authorId="0" shapeId="0" xr:uid="{6DD723CC-AFB3-4576-940B-55EB9C858B8F}">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D22016CD-74D7-4435-BC41-8266399FF4AE}">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D2634AD6-2E99-473D-B15F-CC0F549F5A5F}">
      <text>
        <r>
          <rPr>
            <b/>
            <sz val="9"/>
            <color indexed="81"/>
            <rFont val="Tahoma"/>
            <family val="2"/>
          </rPr>
          <t>cmcneil:</t>
        </r>
        <r>
          <rPr>
            <sz val="9"/>
            <color indexed="81"/>
            <rFont val="Tahoma"/>
            <family val="2"/>
          </rPr>
          <t xml:space="preserve">
Density of sample. Calculated from the mass/volume</t>
        </r>
      </text>
    </comment>
    <comment ref="Q10" authorId="0" shapeId="0" xr:uid="{D5AD0106-5C94-4B3D-AA16-88D2D0042708}">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47586A87-56D0-4F4C-83BC-5D7CC7467F4E}">
      <text>
        <r>
          <rPr>
            <b/>
            <sz val="9"/>
            <color indexed="81"/>
            <rFont val="Tahoma"/>
            <family val="2"/>
          </rPr>
          <t>cmcneil:</t>
        </r>
        <r>
          <rPr>
            <sz val="9"/>
            <color indexed="81"/>
            <rFont val="Tahoma"/>
            <family val="2"/>
          </rPr>
          <t xml:space="preserve">
Cummulative s.w.e. of from surface to the depth of each sample</t>
        </r>
      </text>
    </comment>
    <comment ref="S10" authorId="0" shapeId="0" xr:uid="{1768FB7D-D5E7-4392-A612-7F04F2FD657A}">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CB23F82C-AC46-4B14-948D-1D53F096F7C5}">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U10" authorId="0" shapeId="0" xr:uid="{8A4F3D72-DDB0-4D59-83E9-21243F304B2F}">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V10" authorId="0" shapeId="0" xr:uid="{6FDF3F26-9253-45AE-95A0-1CB2F52987CC}">
      <text>
        <r>
          <rPr>
            <b/>
            <sz val="9"/>
            <color indexed="81"/>
            <rFont val="Tahoma"/>
            <family val="2"/>
          </rPr>
          <t>cmcneil:</t>
        </r>
        <r>
          <rPr>
            <sz val="9"/>
            <color indexed="81"/>
            <rFont val="Tahoma"/>
            <family val="2"/>
          </rPr>
          <t xml:space="preserve">
Volume of ice in core</t>
        </r>
      </text>
    </comment>
    <comment ref="W10" authorId="0" shapeId="0" xr:uid="{836C7C00-3D8B-4FC8-B7E2-82E3C582093D}">
      <text>
        <r>
          <rPr>
            <b/>
            <sz val="9"/>
            <color indexed="81"/>
            <rFont val="Tahoma"/>
            <family val="2"/>
          </rPr>
          <t>cmcneil:</t>
        </r>
        <r>
          <rPr>
            <sz val="9"/>
            <color indexed="81"/>
            <rFont val="Tahoma"/>
            <family val="2"/>
          </rPr>
          <t xml:space="preserve">
estimated density of core without ice</t>
        </r>
      </text>
    </comment>
    <comment ref="X10" authorId="0" shapeId="0" xr:uid="{A27BB821-6465-46C9-AEEC-B9388B3F5922}">
      <text>
        <r>
          <rPr>
            <b/>
            <sz val="9"/>
            <color indexed="81"/>
            <rFont val="Tahoma"/>
            <family val="2"/>
          </rPr>
          <t>cmcneil:</t>
        </r>
        <r>
          <rPr>
            <sz val="9"/>
            <color indexed="81"/>
            <rFont val="Tahoma"/>
            <family val="2"/>
          </rPr>
          <t xml:space="preserve">
height of observed annual layer from bottom of core section</t>
        </r>
      </text>
    </comment>
    <comment ref="Y10" authorId="0" shapeId="0" xr:uid="{FBAFDCC2-E8A7-4EA5-AC73-526D7AB2ABBE}">
      <text>
        <r>
          <rPr>
            <b/>
            <sz val="9"/>
            <color indexed="81"/>
            <rFont val="Tahoma"/>
            <family val="2"/>
          </rPr>
          <t>cmcneil:</t>
        </r>
        <r>
          <rPr>
            <sz val="9"/>
            <color indexed="81"/>
            <rFont val="Tahoma"/>
            <family val="2"/>
          </rPr>
          <t xml:space="preserve">
Depth of annual layer from surface. Calculated by subracting height from SBD(column x) from SBD (column C)</t>
        </r>
      </text>
    </comment>
    <comment ref="Z10" authorId="0" shapeId="0" xr:uid="{F75C8C35-0C0E-43A0-B40C-43EBE6E7FC83}">
      <text>
        <r>
          <rPr>
            <b/>
            <sz val="9"/>
            <color indexed="81"/>
            <rFont val="Tahoma"/>
            <family val="2"/>
          </rPr>
          <t>cmcneil:</t>
        </r>
        <r>
          <rPr>
            <sz val="9"/>
            <color indexed="81"/>
            <rFont val="Tahoma"/>
            <family val="2"/>
          </rPr>
          <t xml:space="preserve">
Any observation about a given sample. Cutting dog bites, dirty layers, ice lenses, etc...</t>
        </r>
      </text>
    </comment>
    <comment ref="AA10" authorId="0" shapeId="0" xr:uid="{D8FC3AE5-F120-4647-8029-4A190A1A1955}">
      <text>
        <r>
          <rPr>
            <b/>
            <sz val="9"/>
            <color indexed="81"/>
            <rFont val="Tahoma"/>
            <family val="2"/>
          </rPr>
          <t>cmcneil:</t>
        </r>
        <r>
          <rPr>
            <sz val="9"/>
            <color indexed="81"/>
            <rFont val="Tahoma"/>
            <family val="2"/>
          </rPr>
          <t xml:space="preserve">
What was used to measure snow depth</t>
        </r>
      </text>
    </comment>
    <comment ref="AB10" authorId="0" shapeId="0" xr:uid="{9B653AD1-CE22-44AB-B22C-9ABFB92CA9DB}">
      <text>
        <r>
          <rPr>
            <b/>
            <sz val="9"/>
            <color indexed="81"/>
            <rFont val="Tahoma"/>
            <family val="2"/>
          </rPr>
          <t>cmcneil:</t>
        </r>
        <r>
          <rPr>
            <sz val="9"/>
            <color indexed="81"/>
            <rFont val="Tahoma"/>
            <family val="2"/>
          </rPr>
          <t xml:space="preserve">
snow depth observed</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DB6A3560-F500-43B0-B584-26A4027704A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F83200E7-8E2B-4755-9A5E-5AAD3E29EF26}">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3B8DEA74-11F5-4C77-9A62-578E18DA3BDF}">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30506AC4-B135-4FF9-94A3-75A7B5234E6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39C6BE07-1544-4201-8DDD-3EEB0B91FAD6}">
      <text>
        <r>
          <rPr>
            <sz val="8"/>
            <color indexed="81"/>
            <rFont val="Tahoma"/>
            <family val="2"/>
          </rPr>
          <t xml:space="preserve">Sipre coring auger=45.6cm2 
large tube 41.05 cm2       
small tube 25.6   cm2          
Snow Metrics 1000 cm^3
</t>
        </r>
      </text>
    </comment>
    <comment ref="A10" authorId="0" shapeId="0" xr:uid="{9844B7AA-F4D5-4FE5-8AA6-32A6B0E85EB8}">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E1956A0C-0A0E-4434-B4FF-19BBB965B0E8}">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33817D24-8AAF-4225-A2D0-C97C4B2C6247}">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3FB4D5CD-2CAD-487B-A893-17DD1085B10B}">
      <text>
        <r>
          <rPr>
            <b/>
            <sz val="9"/>
            <color indexed="81"/>
            <rFont val="Tahoma"/>
            <family val="2"/>
          </rPr>
          <t>cmcneil:</t>
        </r>
        <r>
          <rPr>
            <sz val="9"/>
            <color indexed="81"/>
            <rFont val="Tahoma"/>
            <family val="2"/>
          </rPr>
          <t xml:space="preserve">
Volume of sample taken</t>
        </r>
      </text>
    </comment>
    <comment ref="E10" authorId="0" shapeId="0" xr:uid="{0186DDBD-C68F-43FB-9CF0-6AAAD49CE455}">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D6AA538E-B57E-4B17-B7B3-A1D96491F127}">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95FA50BC-E3FC-458B-84C0-A02A2BFA3307}">
      <text>
        <r>
          <rPr>
            <b/>
            <sz val="9"/>
            <color indexed="81"/>
            <rFont val="Tahoma"/>
            <family val="2"/>
          </rPr>
          <t>cmcneil:</t>
        </r>
        <r>
          <rPr>
            <sz val="9"/>
            <color indexed="81"/>
            <rFont val="Tahoma"/>
            <family val="2"/>
          </rPr>
          <t xml:space="preserve">
Density of sample. Calculated from the mass/volume</t>
        </r>
      </text>
    </comment>
    <comment ref="H10" authorId="0" shapeId="0" xr:uid="{87A9B71C-A271-417B-8565-E9FD09E0890D}">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1B911BA9-2D69-49E1-B8FF-CB96D8C5FF27}">
      <text>
        <r>
          <rPr>
            <b/>
            <sz val="9"/>
            <color indexed="81"/>
            <rFont val="Tahoma"/>
            <family val="2"/>
          </rPr>
          <t>cmcneil:</t>
        </r>
        <r>
          <rPr>
            <sz val="9"/>
            <color indexed="81"/>
            <rFont val="Tahoma"/>
            <family val="2"/>
          </rPr>
          <t xml:space="preserve">
Cummulative s.w.e. of from surface to the depth of each sample</t>
        </r>
      </text>
    </comment>
    <comment ref="J10" authorId="0" shapeId="0" xr:uid="{7F20BCFB-4E81-4224-8007-21D263B14853}">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69DC52E8-99BA-4639-A860-DB921CEC938B}">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01F2844D-3126-43ED-8654-3732032C0482}">
      <text>
        <r>
          <rPr>
            <b/>
            <sz val="9"/>
            <color indexed="81"/>
            <rFont val="Tahoma"/>
            <family val="2"/>
          </rPr>
          <t>cmcneil:</t>
        </r>
        <r>
          <rPr>
            <sz val="9"/>
            <color indexed="81"/>
            <rFont val="Tahoma"/>
            <family val="2"/>
          </rPr>
          <t xml:space="preserve">
What was used to measure snow depth</t>
        </r>
      </text>
    </comment>
    <comment ref="M10" authorId="0" shapeId="0" xr:uid="{C109ED26-3127-4275-9E50-6E0EB627CD24}">
      <text>
        <r>
          <rPr>
            <b/>
            <sz val="9"/>
            <color indexed="81"/>
            <rFont val="Tahoma"/>
            <family val="2"/>
          </rPr>
          <t>cmcneil:</t>
        </r>
        <r>
          <rPr>
            <sz val="9"/>
            <color indexed="81"/>
            <rFont val="Tahoma"/>
            <family val="2"/>
          </rPr>
          <t xml:space="preserve">
snow depth observed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lsass</author>
  </authors>
  <commentList>
    <comment ref="A4" authorId="0" shapeId="0" xr:uid="{00000000-0006-0000-0200-000001000000}">
      <text>
        <r>
          <rPr>
            <b/>
            <sz val="9"/>
            <color indexed="81"/>
            <rFont val="Tahoma"/>
            <family val="2"/>
          </rPr>
          <t>cmcneil:</t>
        </r>
        <r>
          <rPr>
            <sz val="9"/>
            <color indexed="81"/>
            <rFont val="Tahoma"/>
            <family val="2"/>
          </rPr>
          <t xml:space="preserve">
Date of site visit</t>
        </r>
      </text>
    </comment>
    <comment ref="B4" authorId="0" shapeId="0" xr:uid="{00000000-0006-0000-02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200-000003000000}">
      <text>
        <r>
          <rPr>
            <b/>
            <sz val="9"/>
            <color indexed="81"/>
            <rFont val="Tahoma"/>
            <family val="2"/>
          </rPr>
          <t>cmcneil:</t>
        </r>
        <r>
          <rPr>
            <sz val="9"/>
            <color indexed="81"/>
            <rFont val="Tahoma"/>
            <family val="2"/>
          </rPr>
          <t xml:space="preserve">
Name of the stake, eg. 17AU</t>
        </r>
      </text>
    </comment>
    <comment ref="D4" authorId="0" shapeId="0" xr:uid="{00000000-0006-0000-02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200-000005000000}">
      <text>
        <r>
          <rPr>
            <b/>
            <sz val="9"/>
            <color indexed="81"/>
            <rFont val="Tahoma"/>
            <family val="2"/>
          </rPr>
          <t>cmcneil:</t>
        </r>
        <r>
          <rPr>
            <sz val="9"/>
            <color indexed="81"/>
            <rFont val="Tahoma"/>
            <family val="2"/>
          </rPr>
          <t xml:space="preserve">
Total length of stake</t>
        </r>
      </text>
    </comment>
    <comment ref="F4" authorId="0" shapeId="0" xr:uid="{00000000-0006-0000-02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2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2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2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2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2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2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2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2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2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2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2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2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2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2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2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2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2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E7" authorId="1" shapeId="0" xr:uid="{AD33EE76-DF37-4A54-940F-C5C131433B84}">
      <text>
        <r>
          <rPr>
            <b/>
            <sz val="9"/>
            <color indexed="81"/>
            <rFont val="Tahoma"/>
            <family val="2"/>
          </rPr>
          <t>lsass:</t>
        </r>
        <r>
          <rPr>
            <sz val="9"/>
            <color indexed="81"/>
            <rFont val="Tahoma"/>
            <family val="2"/>
          </rPr>
          <t xml:space="preserve">
no note if this was extended</t>
        </r>
      </text>
    </comment>
    <comment ref="K22" authorId="1" shapeId="0" xr:uid="{F495A1D8-C784-4E96-940E-4ABF94F10C4E}">
      <text>
        <r>
          <rPr>
            <b/>
            <sz val="9"/>
            <color indexed="81"/>
            <rFont val="Tahoma"/>
            <family val="2"/>
          </rPr>
          <t>lsass:</t>
        </r>
        <r>
          <rPr>
            <sz val="9"/>
            <color indexed="81"/>
            <rFont val="Tahoma"/>
            <family val="2"/>
          </rPr>
          <t xml:space="preserve">
estimated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tc={6DEC573B-3448-4676-BA90-E8E18DB407A8}</author>
    <author>lsass</author>
    <author>Baker, Emily Hewitt</author>
    <author>tc={3AFE9357-A66D-4E3F-BF34-D1040BC5DBAB}</author>
  </authors>
  <commentList>
    <comment ref="A4" authorId="0" shapeId="0" xr:uid="{00000000-0006-0000-0300-000001000000}">
      <text>
        <r>
          <rPr>
            <b/>
            <sz val="9"/>
            <color indexed="81"/>
            <rFont val="Tahoma"/>
            <family val="2"/>
          </rPr>
          <t>cmcneil:</t>
        </r>
        <r>
          <rPr>
            <sz val="9"/>
            <color indexed="81"/>
            <rFont val="Tahoma"/>
            <family val="2"/>
          </rPr>
          <t xml:space="preserve">
Date of site visit</t>
        </r>
      </text>
    </comment>
    <comment ref="B4" authorId="0" shapeId="0" xr:uid="{00000000-0006-0000-03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300-000003000000}">
      <text>
        <r>
          <rPr>
            <b/>
            <sz val="9"/>
            <color indexed="81"/>
            <rFont val="Tahoma"/>
            <family val="2"/>
          </rPr>
          <t>cmcneil:</t>
        </r>
        <r>
          <rPr>
            <sz val="9"/>
            <color indexed="81"/>
            <rFont val="Tahoma"/>
            <family val="2"/>
          </rPr>
          <t xml:space="preserve">
Name of the stake, eg. 17AU</t>
        </r>
      </text>
    </comment>
    <comment ref="D4" authorId="0" shapeId="0" xr:uid="{00000000-0006-0000-03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300-000005000000}">
      <text>
        <r>
          <rPr>
            <b/>
            <sz val="9"/>
            <color indexed="81"/>
            <rFont val="Tahoma"/>
            <family val="2"/>
          </rPr>
          <t>cmcneil:</t>
        </r>
        <r>
          <rPr>
            <sz val="9"/>
            <color indexed="81"/>
            <rFont val="Tahoma"/>
            <family val="2"/>
          </rPr>
          <t xml:space="preserve">
Total length of stake</t>
        </r>
      </text>
    </comment>
    <comment ref="F4" authorId="0" shapeId="0" xr:uid="{00000000-0006-0000-03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3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3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3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3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3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3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3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3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3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3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3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3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3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3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3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3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3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I21" authorId="1" shapeId="0" xr:uid="{6DEC573B-3448-4676-BA90-E8E18DB407A8}">
      <text>
        <t>[Threaded comment]
Your version of Excel allows you to read this threaded comment; however, any edits to it will get removed if the file is opened in a newer version of Excel. Learn more: https://go.microsoft.com/fwlink/?linkid=870924
Comment:
    Need to add these from Annikah</t>
      </text>
    </comment>
    <comment ref="I22" authorId="2" shapeId="0" xr:uid="{0E13031B-FCED-4716-8C63-447B84B31EB4}">
      <text>
        <r>
          <rPr>
            <b/>
            <sz val="9"/>
            <color indexed="81"/>
            <rFont val="Tahoma"/>
            <family val="2"/>
          </rPr>
          <t>lsass:</t>
        </r>
        <r>
          <rPr>
            <sz val="9"/>
            <color indexed="81"/>
            <rFont val="Tahoma"/>
            <family val="2"/>
          </rPr>
          <t xml:space="preserve">
measured along the stake, badly bent, not a good estimate of snow depth
</t>
        </r>
      </text>
    </comment>
    <comment ref="E30" authorId="3" shapeId="0" xr:uid="{CFE2C604-4126-4E72-8414-41A98C343526}">
      <text>
        <r>
          <rPr>
            <b/>
            <sz val="9"/>
            <color indexed="81"/>
            <rFont val="Tahoma"/>
            <family val="2"/>
          </rPr>
          <t>Baker, Emily Hewitt:</t>
        </r>
        <r>
          <rPr>
            <sz val="9"/>
            <color indexed="81"/>
            <rFont val="Tahoma"/>
            <family val="2"/>
          </rPr>
          <t xml:space="preserve">
arrival and depatrue - no changes made to stake length. Has orange wand.
</t>
        </r>
      </text>
    </comment>
    <comment ref="R32" authorId="4" shapeId="0" xr:uid="{3AFE9357-A66D-4E3F-BF34-D1040BC5DBAB}">
      <text>
        <t>[Threaded comment]
Your version of Excel allows you to read this threaded comment; however, any edits to it will get removed if the file is opened in a newer version of Excel. Learn more: https://go.microsoft.com/fwlink/?linkid=870924
Comment:
    Needs to be revised based on probes around stake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Bollen, Katherine Eleanore</author>
    <author>tc={9E68F2AE-AB3B-4A1D-9BE9-1E9EC58F2986}</author>
    <author>tc={EDFFF642-B5B5-49CD-806C-BF6F077D2B96}</author>
  </authors>
  <commentList>
    <comment ref="A4" authorId="0" shapeId="0" xr:uid="{00000000-0006-0000-0400-000001000000}">
      <text>
        <r>
          <rPr>
            <b/>
            <sz val="9"/>
            <color indexed="81"/>
            <rFont val="Tahoma"/>
            <family val="2"/>
          </rPr>
          <t>cmcneil:</t>
        </r>
        <r>
          <rPr>
            <sz val="9"/>
            <color indexed="81"/>
            <rFont val="Tahoma"/>
            <family val="2"/>
          </rPr>
          <t xml:space="preserve">
Date of site visit</t>
        </r>
      </text>
    </comment>
    <comment ref="B4" authorId="0" shapeId="0" xr:uid="{00000000-0006-0000-04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400-000003000000}">
      <text>
        <r>
          <rPr>
            <b/>
            <sz val="9"/>
            <color indexed="81"/>
            <rFont val="Tahoma"/>
            <family val="2"/>
          </rPr>
          <t>cmcneil:</t>
        </r>
        <r>
          <rPr>
            <sz val="9"/>
            <color indexed="81"/>
            <rFont val="Tahoma"/>
            <family val="2"/>
          </rPr>
          <t xml:space="preserve">
Name of the stake, eg. 17AU</t>
        </r>
      </text>
    </comment>
    <comment ref="D4" authorId="0" shapeId="0" xr:uid="{00000000-0006-0000-04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400-000005000000}">
      <text>
        <r>
          <rPr>
            <b/>
            <sz val="9"/>
            <color indexed="81"/>
            <rFont val="Tahoma"/>
            <family val="2"/>
          </rPr>
          <t>cmcneil:</t>
        </r>
        <r>
          <rPr>
            <sz val="9"/>
            <color indexed="81"/>
            <rFont val="Tahoma"/>
            <family val="2"/>
          </rPr>
          <t xml:space="preserve">
Total length of stake</t>
        </r>
      </text>
    </comment>
    <comment ref="F4" authorId="0" shapeId="0" xr:uid="{00000000-0006-0000-04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4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4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4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4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4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4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4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4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4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4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4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4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4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4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4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4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4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19" authorId="1" shapeId="0" xr:uid="{B6E1D4EE-930D-49EB-BDE9-213E629254BE}">
      <text>
        <r>
          <rPr>
            <b/>
            <sz val="9"/>
            <color indexed="81"/>
            <rFont val="Tahoma"/>
            <family val="2"/>
          </rPr>
          <t>Bollen, Katherine Eleanore:</t>
        </r>
        <r>
          <rPr>
            <sz val="9"/>
            <color indexed="81"/>
            <rFont val="Tahoma"/>
            <family val="2"/>
          </rPr>
          <t xml:space="preserve">
estimated</t>
        </r>
      </text>
    </comment>
    <comment ref="E44" authorId="2" shapeId="0" xr:uid="{9E68F2AE-AB3B-4A1D-9BE9-1E9EC58F2986}">
      <text>
        <t>[Threaded comment]
Your version of Excel allows you to read this threaded comment; however, any edits to it will get removed if the file is opened in a newer version of Excel. Learn more: https://go.microsoft.com/fwlink/?linkid=870924
Comment:
    Removed 6.10m section and was unable to get it back on to coupler in drill hole...</t>
      </text>
    </comment>
    <comment ref="E47" authorId="3" shapeId="0" xr:uid="{EDFFF642-B5B5-49CD-806C-BF6F077D2B96}">
      <text>
        <t>[Threaded comment]
Your version of Excel allows you to read this threaded comment; however, any edits to it will get removed if the file is opened in a newer version of Excel. Learn more: https://go.microsoft.com/fwlink/?linkid=870924
Comment:
    The data for this stake were initially entered incorrectly. The data from 23B were entered instead of 23S. The corrected inputs changed the 23S annual balance from 0 mwe to -0.79 mwe.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tc={C631F6AD-C92B-4EA9-A958-FAE8B8AAD9F0}</author>
    <author>tc={5077E546-3F87-486E-82E4-74B6B4F54646}</author>
    <author>tc={77DD3D06-12DC-4A1D-B3C2-49CE10B3DA51}</author>
    <author>Baker, Emily Hewitt</author>
  </authors>
  <commentList>
    <comment ref="A4" authorId="0" shapeId="0" xr:uid="{00000000-0006-0000-0500-000001000000}">
      <text>
        <r>
          <rPr>
            <b/>
            <sz val="9"/>
            <color indexed="81"/>
            <rFont val="Tahoma"/>
            <family val="2"/>
          </rPr>
          <t>cmcneil:</t>
        </r>
        <r>
          <rPr>
            <sz val="9"/>
            <color indexed="81"/>
            <rFont val="Tahoma"/>
            <family val="2"/>
          </rPr>
          <t xml:space="preserve">
Date of site visit</t>
        </r>
      </text>
    </comment>
    <comment ref="B4" authorId="0" shapeId="0" xr:uid="{00000000-0006-0000-05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500-000003000000}">
      <text>
        <r>
          <rPr>
            <b/>
            <sz val="9"/>
            <color indexed="81"/>
            <rFont val="Tahoma"/>
            <family val="2"/>
          </rPr>
          <t>cmcneil:</t>
        </r>
        <r>
          <rPr>
            <sz val="9"/>
            <color indexed="81"/>
            <rFont val="Tahoma"/>
            <family val="2"/>
          </rPr>
          <t xml:space="preserve">
Name of the stake, eg. 17AU</t>
        </r>
      </text>
    </comment>
    <comment ref="D4" authorId="0" shapeId="0" xr:uid="{00000000-0006-0000-05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500-000005000000}">
      <text>
        <r>
          <rPr>
            <b/>
            <sz val="9"/>
            <color indexed="81"/>
            <rFont val="Tahoma"/>
            <family val="2"/>
          </rPr>
          <t>cmcneil:</t>
        </r>
        <r>
          <rPr>
            <sz val="9"/>
            <color indexed="81"/>
            <rFont val="Tahoma"/>
            <family val="2"/>
          </rPr>
          <t xml:space="preserve">
Total length of stake</t>
        </r>
      </text>
    </comment>
    <comment ref="F4" authorId="0" shapeId="0" xr:uid="{00000000-0006-0000-05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5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5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5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5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5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5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5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5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5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5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5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5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5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5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5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5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5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G12" authorId="1" shapeId="0" xr:uid="{C631F6AD-C92B-4EA9-A958-FAE8B8AAD9F0}">
      <text>
        <t>[Threaded comment]
Your version of Excel allows you to read this threaded comment; however, any edits to it will get removed if the file is opened in a newer version of Excel. Learn more: https://go.microsoft.com/fwlink/?linkid=870924
Comment:
    stake bent</t>
      </text>
    </comment>
    <comment ref="R13" authorId="2" shapeId="0" xr:uid="{5077E546-3F87-486E-82E4-74B6B4F54646}">
      <text>
        <t>[Threaded comment]
Your version of Excel allows you to read this threaded comment; however, any edits to it will get removed if the file is opened in a newer version of Excel. Learn more: https://go.microsoft.com/fwlink/?linkid=870924
Comment:
    Stake bent several times over the winter, so not a valid measure of winter ablation. Will need to measure in the fall.</t>
      </text>
    </comment>
    <comment ref="G17" authorId="3" shapeId="0" xr:uid="{77DD3D06-12DC-4A1D-B3C2-49CE10B3DA51}">
      <text>
        <t>[Threaded comment]
Your version of Excel allows you to read this threaded comment; however, any edits to it will get removed if the file is opened in a newer version of Excel. Learn more: https://go.microsoft.com/fwlink/?linkid=870924
Comment:
    stake bent</t>
      </text>
    </comment>
    <comment ref="G26" authorId="4" shapeId="0" xr:uid="{20B5DA9B-3FFA-4144-AD1D-0F015FBAB7AC}">
      <text>
        <r>
          <rPr>
            <b/>
            <sz val="9"/>
            <color indexed="81"/>
            <rFont val="Tahoma"/>
            <family val="2"/>
          </rPr>
          <t>Baker, Emily Hewitt:</t>
        </r>
        <r>
          <rPr>
            <sz val="9"/>
            <color indexed="81"/>
            <rFont val="Tahoma"/>
            <family val="2"/>
          </rPr>
          <t xml:space="preserve">
stake bent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Baker, Emily Hewitt</author>
    <author>lsass</author>
  </authors>
  <commentList>
    <comment ref="A4" authorId="0" shapeId="0" xr:uid="{00000000-0006-0000-0600-000001000000}">
      <text>
        <r>
          <rPr>
            <b/>
            <sz val="9"/>
            <color indexed="81"/>
            <rFont val="Tahoma"/>
            <family val="2"/>
          </rPr>
          <t>cmcneil:</t>
        </r>
        <r>
          <rPr>
            <sz val="9"/>
            <color indexed="81"/>
            <rFont val="Tahoma"/>
            <family val="2"/>
          </rPr>
          <t xml:space="preserve">
Date of site visit</t>
        </r>
      </text>
    </comment>
    <comment ref="B4" authorId="0" shapeId="0" xr:uid="{00000000-0006-0000-06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600-000003000000}">
      <text>
        <r>
          <rPr>
            <b/>
            <sz val="9"/>
            <color indexed="81"/>
            <rFont val="Tahoma"/>
            <family val="2"/>
          </rPr>
          <t>cmcneil:</t>
        </r>
        <r>
          <rPr>
            <sz val="9"/>
            <color indexed="81"/>
            <rFont val="Tahoma"/>
            <family val="2"/>
          </rPr>
          <t xml:space="preserve">
Name of the stake, eg. 17AU</t>
        </r>
      </text>
    </comment>
    <comment ref="D4" authorId="0" shapeId="0" xr:uid="{00000000-0006-0000-06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600-000005000000}">
      <text>
        <r>
          <rPr>
            <b/>
            <sz val="9"/>
            <color indexed="81"/>
            <rFont val="Tahoma"/>
            <family val="2"/>
          </rPr>
          <t>cmcneil:</t>
        </r>
        <r>
          <rPr>
            <sz val="9"/>
            <color indexed="81"/>
            <rFont val="Tahoma"/>
            <family val="2"/>
          </rPr>
          <t xml:space="preserve">
Total length of stake</t>
        </r>
      </text>
    </comment>
    <comment ref="F4" authorId="0" shapeId="0" xr:uid="{00000000-0006-0000-06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6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6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6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6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6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6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6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6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6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6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6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6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6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6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6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6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6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E11" authorId="1" shapeId="0" xr:uid="{517DCADD-0EF9-41F5-A683-06DE8CC91ACA}">
      <text>
        <r>
          <rPr>
            <b/>
            <sz val="9"/>
            <color indexed="81"/>
            <rFont val="Tahoma"/>
            <family val="2"/>
          </rPr>
          <t>Baker, Emily Hewitt:</t>
        </r>
        <r>
          <rPr>
            <sz val="9"/>
            <color indexed="81"/>
            <rFont val="Tahoma"/>
            <family val="2"/>
          </rPr>
          <t xml:space="preserve">
Upon arrival
</t>
        </r>
      </text>
    </comment>
    <comment ref="E12" authorId="1" shapeId="0" xr:uid="{B27BF6BD-10E3-46DA-85ED-F72FE306A281}">
      <text>
        <r>
          <rPr>
            <b/>
            <sz val="9"/>
            <color indexed="81"/>
            <rFont val="Tahoma"/>
            <family val="2"/>
          </rPr>
          <t>Baker, Emily Hewitt:</t>
        </r>
        <r>
          <rPr>
            <sz val="9"/>
            <color indexed="81"/>
            <rFont val="Tahoma"/>
            <family val="2"/>
          </rPr>
          <t xml:space="preserve">
After un-bending
</t>
        </r>
      </text>
    </comment>
    <comment ref="E13" authorId="1" shapeId="0" xr:uid="{2D102544-C539-43D2-BC14-EE5863FEDCFC}">
      <text>
        <r>
          <rPr>
            <b/>
            <sz val="9"/>
            <color indexed="81"/>
            <rFont val="Tahoma"/>
            <family val="2"/>
          </rPr>
          <t>Baker, Emily Hewitt:</t>
        </r>
        <r>
          <rPr>
            <sz val="9"/>
            <color indexed="81"/>
            <rFont val="Tahoma"/>
            <family val="2"/>
          </rPr>
          <t xml:space="preserve">
upon departure
</t>
        </r>
      </text>
    </comment>
    <comment ref="E16" authorId="2" shapeId="0" xr:uid="{BD5FEBF5-A42C-41CD-AEEB-7E02F19E0F75}">
      <text>
        <r>
          <rPr>
            <b/>
            <sz val="9"/>
            <color indexed="81"/>
            <rFont val="Tahoma"/>
            <family val="2"/>
          </rPr>
          <t>lsass:</t>
        </r>
        <r>
          <rPr>
            <sz val="9"/>
            <color indexed="81"/>
            <rFont val="Tahoma"/>
            <family val="2"/>
          </rPr>
          <t xml:space="preserve">
Not clear if this was actually 12.00 or 12.20. Notes say 12.20…
9.15 was the measured section, but not clear wheather 12.20 or 12 was left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Baker, Emily Hewitt</author>
    <author>tc={8F2C332E-9F91-45A9-99C1-E19D5BDA90A1}</author>
    <author>lsass</author>
  </authors>
  <commentList>
    <comment ref="A4" authorId="0" shapeId="0" xr:uid="{00000000-0006-0000-0700-000001000000}">
      <text>
        <r>
          <rPr>
            <b/>
            <sz val="9"/>
            <color indexed="81"/>
            <rFont val="Tahoma"/>
            <family val="2"/>
          </rPr>
          <t>cmcneil:</t>
        </r>
        <r>
          <rPr>
            <sz val="9"/>
            <color indexed="81"/>
            <rFont val="Tahoma"/>
            <family val="2"/>
          </rPr>
          <t xml:space="preserve">
Date of site visit</t>
        </r>
      </text>
    </comment>
    <comment ref="B4" authorId="0" shapeId="0" xr:uid="{00000000-0006-0000-07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700-000003000000}">
      <text>
        <r>
          <rPr>
            <b/>
            <sz val="9"/>
            <color indexed="81"/>
            <rFont val="Tahoma"/>
            <family val="2"/>
          </rPr>
          <t>cmcneil:</t>
        </r>
        <r>
          <rPr>
            <sz val="9"/>
            <color indexed="81"/>
            <rFont val="Tahoma"/>
            <family val="2"/>
          </rPr>
          <t xml:space="preserve">
Name of the stake, eg. 17AU</t>
        </r>
      </text>
    </comment>
    <comment ref="D4" authorId="0" shapeId="0" xr:uid="{00000000-0006-0000-07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700-000005000000}">
      <text>
        <r>
          <rPr>
            <b/>
            <sz val="9"/>
            <color indexed="81"/>
            <rFont val="Tahoma"/>
            <family val="2"/>
          </rPr>
          <t>cmcneil:</t>
        </r>
        <r>
          <rPr>
            <sz val="9"/>
            <color indexed="81"/>
            <rFont val="Tahoma"/>
            <family val="2"/>
          </rPr>
          <t xml:space="preserve">
Total length of stake</t>
        </r>
      </text>
    </comment>
    <comment ref="F4" authorId="0" shapeId="0" xr:uid="{00000000-0006-0000-07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7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7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7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7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7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7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7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7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7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7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7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7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7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7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7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7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7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F11" authorId="1" shapeId="0" xr:uid="{5E51861E-2D4C-4FD2-A3A9-D854B383B503}">
      <text>
        <r>
          <rPr>
            <b/>
            <sz val="9"/>
            <color indexed="81"/>
            <rFont val="Tahoma"/>
            <family val="2"/>
          </rPr>
          <t>Baker, Emily Hewitt:</t>
        </r>
        <r>
          <rPr>
            <sz val="9"/>
            <color indexed="81"/>
            <rFont val="Tahoma"/>
            <family val="2"/>
          </rPr>
          <t xml:space="preserve">
Upon arrival
</t>
        </r>
      </text>
    </comment>
    <comment ref="F12" authorId="1" shapeId="0" xr:uid="{7A0EB1A6-C8DA-40BA-952E-E7436914C3E1}">
      <text>
        <r>
          <rPr>
            <b/>
            <sz val="9"/>
            <color indexed="81"/>
            <rFont val="Tahoma"/>
            <family val="2"/>
          </rPr>
          <t>Baker, Emily Hewitt:</t>
        </r>
        <r>
          <rPr>
            <sz val="9"/>
            <color indexed="81"/>
            <rFont val="Tahoma"/>
            <family val="2"/>
          </rPr>
          <t xml:space="preserve">
After straightening
</t>
        </r>
      </text>
    </comment>
    <comment ref="F13" authorId="1" shapeId="0" xr:uid="{6EC1AA01-FBCD-4C6B-B1E3-D07DDA48F4C0}">
      <text>
        <r>
          <rPr>
            <b/>
            <sz val="9"/>
            <color indexed="81"/>
            <rFont val="Tahoma"/>
            <family val="2"/>
          </rPr>
          <t>Baker, Emily Hewitt:</t>
        </r>
        <r>
          <rPr>
            <sz val="9"/>
            <color indexed="81"/>
            <rFont val="Tahoma"/>
            <family val="2"/>
          </rPr>
          <t xml:space="preserve">
Upon Departure; has additional orange wand</t>
        </r>
      </text>
    </comment>
    <comment ref="I14" authorId="2" shapeId="0" xr:uid="{8F2C332E-9F91-45A9-99C1-E19D5BDA90A1}">
      <text>
        <t>[Threaded comment]
Your version of Excel allows you to read this threaded comment; however, any edits to it will get removed if the file is opened in a newer version of Excel. Learn more: https://go.microsoft.com/fwlink/?linkid=870924
Comment:
    Stake is slightly upstream of index site in a region of incrreasing snow thickness</t>
      </text>
    </comment>
    <comment ref="J14" authorId="3" shapeId="0" xr:uid="{07E73A74-8D39-4B3D-BB1B-A824A60DDC27}">
      <text>
        <r>
          <rPr>
            <b/>
            <sz val="9"/>
            <color indexed="81"/>
            <rFont val="Tahoma"/>
            <family val="2"/>
          </rPr>
          <t>lsass:</t>
        </r>
        <r>
          <rPr>
            <sz val="9"/>
            <color indexed="81"/>
            <rFont val="Tahoma"/>
            <family val="2"/>
          </rPr>
          <t xml:space="preserve">
downstream of stake, snow thickness increases significantly as you go upglacier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lsass</author>
    <author>Baker, Emily Hewitt</author>
    <author>tc={0E8E9BE7-10D4-4951-B75D-85A19FF3C800}</author>
    <author>tc={9D08F942-0CD8-4002-BE9C-DF47276B7C42}</author>
  </authors>
  <commentList>
    <comment ref="A4" authorId="0" shapeId="0" xr:uid="{5CEDD8F1-7700-4E85-9DBD-30B35B34DE39}">
      <text>
        <r>
          <rPr>
            <b/>
            <sz val="9"/>
            <color indexed="81"/>
            <rFont val="Tahoma"/>
            <family val="2"/>
          </rPr>
          <t>cmcneil:</t>
        </r>
        <r>
          <rPr>
            <sz val="9"/>
            <color indexed="81"/>
            <rFont val="Tahoma"/>
            <family val="2"/>
          </rPr>
          <t xml:space="preserve">
Date of site visit</t>
        </r>
      </text>
    </comment>
    <comment ref="B4" authorId="0" shapeId="0" xr:uid="{7A525E5F-C2A8-4EE3-AFA6-A4F9D7A303DA}">
      <text>
        <r>
          <rPr>
            <b/>
            <sz val="9"/>
            <color indexed="81"/>
            <rFont val="Tahoma"/>
            <family val="2"/>
          </rPr>
          <t>cmcneil:</t>
        </r>
        <r>
          <rPr>
            <sz val="9"/>
            <color indexed="81"/>
            <rFont val="Tahoma"/>
            <family val="2"/>
          </rPr>
          <t xml:space="preserve">
Notebook field data can be found in</t>
        </r>
      </text>
    </comment>
    <comment ref="C4" authorId="0" shapeId="0" xr:uid="{9580DA2A-3C1D-4708-BB34-2DF00FD04744}">
      <text>
        <r>
          <rPr>
            <b/>
            <sz val="9"/>
            <color indexed="81"/>
            <rFont val="Tahoma"/>
            <family val="2"/>
          </rPr>
          <t>cmcneil:</t>
        </r>
        <r>
          <rPr>
            <sz val="9"/>
            <color indexed="81"/>
            <rFont val="Tahoma"/>
            <family val="2"/>
          </rPr>
          <t xml:space="preserve">
Name of the stake, eg. 17AU</t>
        </r>
      </text>
    </comment>
    <comment ref="D4" authorId="0" shapeId="0" xr:uid="{0098EC44-770C-4FEC-A302-525745B5968C}">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5D1111F9-6C1B-4E42-8F92-E3395ED4CEE7}">
      <text>
        <r>
          <rPr>
            <b/>
            <sz val="9"/>
            <color indexed="81"/>
            <rFont val="Tahoma"/>
            <family val="2"/>
          </rPr>
          <t>cmcneil:</t>
        </r>
        <r>
          <rPr>
            <sz val="9"/>
            <color indexed="81"/>
            <rFont val="Tahoma"/>
            <family val="2"/>
          </rPr>
          <t xml:space="preserve">
Total length of stake</t>
        </r>
      </text>
    </comment>
    <comment ref="F4" authorId="0" shapeId="0" xr:uid="{F85FD7C8-6CDD-4C0B-9B7C-8DC44979991B}">
      <text>
        <r>
          <rPr>
            <b/>
            <sz val="9"/>
            <color indexed="81"/>
            <rFont val="Tahoma"/>
            <family val="2"/>
          </rPr>
          <t>cmcneil:</t>
        </r>
        <r>
          <rPr>
            <sz val="9"/>
            <color indexed="81"/>
            <rFont val="Tahoma"/>
            <family val="2"/>
          </rPr>
          <t xml:space="preserve">
Length of stake above the surface noted in column D</t>
        </r>
      </text>
    </comment>
    <comment ref="G4" authorId="0" shapeId="0" xr:uid="{71F9F043-BF32-4E9D-9907-7C135DD5EBF2}">
      <text>
        <r>
          <rPr>
            <b/>
            <sz val="9"/>
            <color indexed="81"/>
            <rFont val="Tahoma"/>
            <family val="2"/>
          </rPr>
          <t>cmcneil:</t>
        </r>
        <r>
          <rPr>
            <sz val="9"/>
            <color indexed="81"/>
            <rFont val="Tahoma"/>
            <family val="2"/>
          </rPr>
          <t xml:space="preserve">
Length of stake still below the surface noted in column D</t>
        </r>
      </text>
    </comment>
    <comment ref="H4" authorId="0" shapeId="0" xr:uid="{4C5A4FBC-7A99-445C-BE1F-5BD689DCBF2C}">
      <text>
        <r>
          <rPr>
            <b/>
            <sz val="9"/>
            <color indexed="81"/>
            <rFont val="Tahoma"/>
            <family val="2"/>
          </rPr>
          <t>cmcneil:</t>
        </r>
        <r>
          <rPr>
            <sz val="9"/>
            <color indexed="81"/>
            <rFont val="Tahoma"/>
            <family val="2"/>
          </rPr>
          <t xml:space="preserve">
Change in stake since previous site visits</t>
        </r>
      </text>
    </comment>
    <comment ref="I4" authorId="0" shapeId="0" xr:uid="{B5D91CE1-C7BE-461C-9E1C-22C3CDB99E32}">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80B0B776-B5EF-4D83-9D33-FA0EE921AC6B}">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4317D0-F0F0-45B3-84C5-32C52E5F69DA}">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4773EDBF-2219-47D3-B2C1-1973D41E806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A294B6D9-B134-4ACC-822D-754C86381741}">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A017EE88-88D3-4AD1-B361-BC0A71EEFA58}">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DFB0404B-5E80-41D3-A971-22F9FF96CFA6}">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9F095C0C-7EC5-473A-B993-5CFA4012B90D}">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C7BD8DD1-3D5A-4D2E-90AB-17A239267E8D}">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4734EE93-2319-45C8-A9AC-384946A1DD6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FED44ADD-2B14-4F96-BF25-4E9A645D9B3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8AB20CC0-3E8E-4E07-B4FB-1A487B95669A}">
      <text>
        <r>
          <rPr>
            <b/>
            <sz val="9"/>
            <color indexed="81"/>
            <rFont val="Tahoma"/>
            <family val="2"/>
          </rPr>
          <t>cmcneil:</t>
        </r>
        <r>
          <rPr>
            <sz val="9"/>
            <color indexed="81"/>
            <rFont val="Tahoma"/>
            <family val="2"/>
          </rPr>
          <t xml:space="preserve">
UTM easting of stake measured with GPS</t>
        </r>
      </text>
    </comment>
    <comment ref="U4" authorId="0" shapeId="0" xr:uid="{79A06154-D155-470E-BD5B-37222784D9C2}">
      <text>
        <r>
          <rPr>
            <b/>
            <sz val="9"/>
            <color indexed="81"/>
            <rFont val="Tahoma"/>
            <family val="2"/>
          </rPr>
          <t>cmcneil:</t>
        </r>
        <r>
          <rPr>
            <sz val="9"/>
            <color indexed="81"/>
            <rFont val="Tahoma"/>
            <family val="2"/>
          </rPr>
          <t xml:space="preserve">
UTM Northing of stake measured with GPS</t>
        </r>
      </text>
    </comment>
    <comment ref="V4" authorId="0" shapeId="0" xr:uid="{63322134-503E-44D2-B4DC-E4145016B1B2}">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EE144189-C961-42D7-AB35-E7FBC56ED312}">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I7" authorId="1" shapeId="0" xr:uid="{E035A898-2071-4407-9334-FCB988943A54}">
      <text>
        <r>
          <rPr>
            <b/>
            <sz val="9"/>
            <color indexed="81"/>
            <rFont val="Tahoma"/>
            <family val="2"/>
          </rPr>
          <t>lsass:</t>
        </r>
        <r>
          <rPr>
            <sz val="9"/>
            <color indexed="81"/>
            <rFont val="Tahoma"/>
            <family val="2"/>
          </rPr>
          <t xml:space="preserve">
This is just from the stake - suggesting some drilling. Remeasure of core hole from spring suggests 4.54 m ablation, which works out to 1.59 remaining snow.
This checks out with the fall core and the 2016 stake.</t>
        </r>
      </text>
    </comment>
    <comment ref="J8" authorId="1" shapeId="0" xr:uid="{30722D28-AF7C-45A4-8D47-19B92B6D7149}">
      <text>
        <r>
          <rPr>
            <b/>
            <sz val="9"/>
            <color indexed="81"/>
            <rFont val="Tahoma"/>
            <family val="2"/>
          </rPr>
          <t>lsass:</t>
        </r>
        <r>
          <rPr>
            <sz val="9"/>
            <color indexed="81"/>
            <rFont val="Tahoma"/>
            <family val="2"/>
          </rPr>
          <t xml:space="preserve">
from the core
</t>
        </r>
      </text>
    </comment>
    <comment ref="F22" authorId="2" shapeId="0" xr:uid="{7993712F-E922-47CD-B301-1392670CDB6F}">
      <text>
        <r>
          <rPr>
            <b/>
            <sz val="9"/>
            <color indexed="81"/>
            <rFont val="Tahoma"/>
            <family val="2"/>
          </rPr>
          <t>Baker, Emily Hewitt:</t>
        </r>
        <r>
          <rPr>
            <sz val="9"/>
            <color indexed="81"/>
            <rFont val="Tahoma"/>
            <family val="2"/>
          </rPr>
          <t xml:space="preserve">
Upon arrival, before straightening</t>
        </r>
      </text>
    </comment>
    <comment ref="F23" authorId="2" shapeId="0" xr:uid="{F71E5C48-64A0-44E6-B958-187F0E56D3B1}">
      <text>
        <r>
          <rPr>
            <b/>
            <sz val="9"/>
            <color indexed="81"/>
            <rFont val="Tahoma"/>
            <family val="2"/>
          </rPr>
          <t>Baker, Emily Hewitt:</t>
        </r>
        <r>
          <rPr>
            <sz val="9"/>
            <color indexed="81"/>
            <rFont val="Tahoma"/>
            <family val="2"/>
          </rPr>
          <t xml:space="preserve">
After Straightening</t>
        </r>
      </text>
    </comment>
    <comment ref="F24" authorId="2" shapeId="0" xr:uid="{C0EA5C40-D3FB-4A11-8D0B-88B4986DA0F9}">
      <text>
        <r>
          <rPr>
            <b/>
            <sz val="9"/>
            <color indexed="81"/>
            <rFont val="Tahoma"/>
            <family val="2"/>
          </rPr>
          <t>Baker, Emily Hewitt:</t>
        </r>
        <r>
          <rPr>
            <sz val="9"/>
            <color indexed="81"/>
            <rFont val="Tahoma"/>
            <family val="2"/>
          </rPr>
          <t xml:space="preserve">
Upon departure; has additional orange wand</t>
        </r>
      </text>
    </comment>
    <comment ref="I25" authorId="3" shapeId="0" xr:uid="{0E8E9BE7-10D4-4951-B75D-85A19FF3C800}">
      <text>
        <t>[Threaded comment]
Your version of Excel allows you to read this threaded comment; however, any edits to it will get removed if the file is opened in a newer version of Excel. Learn more: https://go.microsoft.com/fwlink/?linkid=870924
Comment:
    this suggests a serious bend</t>
      </text>
    </comment>
    <comment ref="E37" authorId="1" shapeId="0" xr:uid="{0784CDF5-4DC9-41B1-9BFE-858BDA4C7DD2}">
      <text>
        <r>
          <rPr>
            <b/>
            <sz val="9"/>
            <color indexed="81"/>
            <rFont val="Tahoma"/>
            <family val="2"/>
          </rPr>
          <t>lsass:</t>
        </r>
        <r>
          <rPr>
            <sz val="9"/>
            <color indexed="81"/>
            <rFont val="Tahoma"/>
            <family val="2"/>
          </rPr>
          <t xml:space="preserve">
sfc should be ~13.60, suggests that it is bent
</t>
        </r>
      </text>
    </comment>
    <comment ref="I44" authorId="4" shapeId="0" xr:uid="{9D08F942-0CD8-4002-BE9C-DF47276B7C42}">
      <text>
        <t>[Threaded comment]
Your version of Excel allows you to read this threaded comment; however, any edits to it will get removed if the file is opened in a newer version of Excel. Learn more: https://go.microsoft.com/fwlink/?linkid=870924
Comment:
    Not entirely certain about the source of the discrepancy here. The core was unequivocal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E08D251-99D5-4E11-AFA2-C0CAC4233F88}">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I1" authorId="0" shapeId="0" xr:uid="{CEB1E35D-1945-4A0D-8614-E594ED6D19C5}">
      <text>
        <r>
          <rPr>
            <b/>
            <sz val="9"/>
            <color indexed="81"/>
            <rFont val="Tahoma"/>
            <family val="2"/>
          </rPr>
          <t>cmcneil:</t>
        </r>
        <r>
          <rPr>
            <sz val="9"/>
            <color indexed="81"/>
            <rFont val="Tahoma"/>
            <family val="2"/>
          </rPr>
          <t xml:space="preserve">
Do not enter value. Link it to the last core sample SBD</t>
        </r>
      </text>
    </comment>
    <comment ref="H2" authorId="0" shapeId="0" xr:uid="{A5232AE2-096D-41E8-9960-203CB43020BF}">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4E72F8B-EA92-49D3-9755-4D6805526E58}">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F64F4AC6-9882-4DA9-AF84-31AE8B122D6E}">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ADE4E94E-C2BF-4CC9-B97D-73F4FF89E254}">
      <text>
        <r>
          <rPr>
            <sz val="8"/>
            <color indexed="81"/>
            <rFont val="Tahoma"/>
            <family val="2"/>
          </rPr>
          <t xml:space="preserve">Sipre coring auger=45.6cm2 
large tube 41.05 cm2       
small tube 25.6   cm2          
Snow Metrics 1000 cm^3
</t>
        </r>
      </text>
    </comment>
    <comment ref="D9" authorId="0" shapeId="0" xr:uid="{75D0F005-DD13-444B-8B42-0E0AB0397136}">
      <text>
        <r>
          <rPr>
            <b/>
            <sz val="9"/>
            <color indexed="81"/>
            <rFont val="Tahoma"/>
            <family val="2"/>
          </rPr>
          <t>cmcneil:</t>
        </r>
        <r>
          <rPr>
            <sz val="9"/>
            <color indexed="81"/>
            <rFont val="Tahoma"/>
            <family val="2"/>
          </rPr>
          <t xml:space="preserve">
Measurements of core lengths.</t>
        </r>
      </text>
    </comment>
    <comment ref="H9" authorId="0" shapeId="0" xr:uid="{044D9F0D-1AA2-4824-83DB-00902B957A8E}">
      <text>
        <r>
          <rPr>
            <b/>
            <sz val="9"/>
            <color indexed="81"/>
            <rFont val="Tahoma"/>
            <family val="2"/>
          </rPr>
          <t>cmcneil:</t>
        </r>
        <r>
          <rPr>
            <sz val="9"/>
            <color indexed="81"/>
            <rFont val="Tahoma"/>
            <family val="2"/>
          </rPr>
          <t xml:space="preserve">
Measurements of core diameter</t>
        </r>
      </text>
    </comment>
    <comment ref="A10" authorId="0" shapeId="0" xr:uid="{923339BD-DA2C-4EAB-A91B-2EB3380F398C}">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C6D1CBC0-0DF1-4A90-A0B9-CD10A62108D8}">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813DD5CB-7FDC-4C60-A1D9-77AA2084303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E5BDFC19-CB4C-47E1-B485-73C04CA440A6}">
      <text>
        <r>
          <rPr>
            <b/>
            <sz val="9"/>
            <color indexed="81"/>
            <rFont val="Tahoma"/>
            <family val="2"/>
          </rPr>
          <t>cmcneil:</t>
        </r>
        <r>
          <rPr>
            <sz val="9"/>
            <color indexed="81"/>
            <rFont val="Tahoma"/>
            <family val="2"/>
          </rPr>
          <t xml:space="preserve">
Average of all measured lengths of core section</t>
        </r>
      </text>
    </comment>
    <comment ref="L10" authorId="0" shapeId="0" xr:uid="{99B0427D-DDAB-4BD6-AF05-DD004D4A1484}">
      <text>
        <r>
          <rPr>
            <b/>
            <sz val="9"/>
            <color indexed="81"/>
            <rFont val="Tahoma"/>
            <family val="2"/>
          </rPr>
          <t>cmcneil:</t>
        </r>
        <r>
          <rPr>
            <sz val="9"/>
            <color indexed="81"/>
            <rFont val="Tahoma"/>
            <family val="2"/>
          </rPr>
          <t xml:space="preserve">
Average of all diameters measured for each core section</t>
        </r>
      </text>
    </comment>
    <comment ref="M10" authorId="0" shapeId="0" xr:uid="{73CAAC90-9AC5-4281-9635-D8D8C1C28F96}">
      <text>
        <r>
          <rPr>
            <b/>
            <sz val="9"/>
            <color indexed="81"/>
            <rFont val="Tahoma"/>
            <family val="2"/>
          </rPr>
          <t>cmcneil:</t>
        </r>
        <r>
          <rPr>
            <sz val="9"/>
            <color indexed="81"/>
            <rFont val="Tahoma"/>
            <family val="2"/>
          </rPr>
          <t xml:space="preserve">
Volume of sample taken</t>
        </r>
      </text>
    </comment>
    <comment ref="N10" authorId="0" shapeId="0" xr:uid="{35D7F6D1-7CAF-49BF-8362-252A7EEE90E5}">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9A6A0A3E-3653-4E26-ADEE-8AD682EAC8A4}">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74E750D5-64CE-42AA-AFC1-31D11D1D8A09}">
      <text>
        <r>
          <rPr>
            <b/>
            <sz val="9"/>
            <color indexed="81"/>
            <rFont val="Tahoma"/>
            <family val="2"/>
          </rPr>
          <t>cmcneil:</t>
        </r>
        <r>
          <rPr>
            <sz val="9"/>
            <color indexed="81"/>
            <rFont val="Tahoma"/>
            <family val="2"/>
          </rPr>
          <t xml:space="preserve">
Density of sample. Calculated from the mass/volume</t>
        </r>
      </text>
    </comment>
    <comment ref="Q10" authorId="0" shapeId="0" xr:uid="{55013F33-2DDF-4D67-9742-7AF0EEE1EC72}">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3EC49BC3-A934-4130-9300-F5C216D13741}">
      <text>
        <r>
          <rPr>
            <b/>
            <sz val="9"/>
            <color indexed="81"/>
            <rFont val="Tahoma"/>
            <family val="2"/>
          </rPr>
          <t>cmcneil:</t>
        </r>
        <r>
          <rPr>
            <sz val="9"/>
            <color indexed="81"/>
            <rFont val="Tahoma"/>
            <family val="2"/>
          </rPr>
          <t xml:space="preserve">
Cummulative s.w.e. of from surface to the depth of each sample</t>
        </r>
      </text>
    </comment>
    <comment ref="S10" authorId="0" shapeId="0" xr:uid="{8AEAC15B-1B95-4F7B-9AE6-CC561F23A22A}">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2323BF9F-3B94-4C4D-8A21-5B4B61C76543}">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U10" authorId="0" shapeId="0" xr:uid="{71892419-ECA8-49B3-9BA0-D75F22864064}">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V10" authorId="0" shapeId="0" xr:uid="{A99EAB99-62E0-4B05-BBF6-9BB0DB0F9253}">
      <text>
        <r>
          <rPr>
            <b/>
            <sz val="9"/>
            <color indexed="81"/>
            <rFont val="Tahoma"/>
            <family val="2"/>
          </rPr>
          <t>cmcneil:</t>
        </r>
        <r>
          <rPr>
            <sz val="9"/>
            <color indexed="81"/>
            <rFont val="Tahoma"/>
            <family val="2"/>
          </rPr>
          <t xml:space="preserve">
Volume of ice in core</t>
        </r>
      </text>
    </comment>
    <comment ref="W10" authorId="0" shapeId="0" xr:uid="{88438406-BC9B-46BF-BDE8-3DD2650E3E2A}">
      <text>
        <r>
          <rPr>
            <b/>
            <sz val="9"/>
            <color indexed="81"/>
            <rFont val="Tahoma"/>
            <family val="2"/>
          </rPr>
          <t>cmcneil:</t>
        </r>
        <r>
          <rPr>
            <sz val="9"/>
            <color indexed="81"/>
            <rFont val="Tahoma"/>
            <family val="2"/>
          </rPr>
          <t xml:space="preserve">
estimated density of core without ice</t>
        </r>
      </text>
    </comment>
    <comment ref="X10" authorId="0" shapeId="0" xr:uid="{9BD1760E-AB27-4BA1-91E0-A02C687C4974}">
      <text>
        <r>
          <rPr>
            <b/>
            <sz val="9"/>
            <color indexed="81"/>
            <rFont val="Tahoma"/>
            <family val="2"/>
          </rPr>
          <t>cmcneil:</t>
        </r>
        <r>
          <rPr>
            <sz val="9"/>
            <color indexed="81"/>
            <rFont val="Tahoma"/>
            <family val="2"/>
          </rPr>
          <t xml:space="preserve">
height of observed annual layer from bottom of core section</t>
        </r>
      </text>
    </comment>
    <comment ref="Y10" authorId="0" shapeId="0" xr:uid="{5931910B-F9BB-45D2-9AF3-50D823FADA00}">
      <text>
        <r>
          <rPr>
            <b/>
            <sz val="9"/>
            <color indexed="81"/>
            <rFont val="Tahoma"/>
            <family val="2"/>
          </rPr>
          <t>cmcneil:</t>
        </r>
        <r>
          <rPr>
            <sz val="9"/>
            <color indexed="81"/>
            <rFont val="Tahoma"/>
            <family val="2"/>
          </rPr>
          <t xml:space="preserve">
Depth of annual layer from surface. Calculated by subracting height from SBD(column x) from SBD (column C)</t>
        </r>
      </text>
    </comment>
    <comment ref="Z10" authorId="0" shapeId="0" xr:uid="{C4D98F33-D407-4DD1-8D4E-CED31EB07DB5}">
      <text>
        <r>
          <rPr>
            <b/>
            <sz val="9"/>
            <color indexed="81"/>
            <rFont val="Tahoma"/>
            <family val="2"/>
          </rPr>
          <t>cmcneil:</t>
        </r>
        <r>
          <rPr>
            <sz val="9"/>
            <color indexed="81"/>
            <rFont val="Tahoma"/>
            <family val="2"/>
          </rPr>
          <t xml:space="preserve">
Any observation about a given sample. Cutting dog bites, dirty layers, ice lenses, etc...</t>
        </r>
      </text>
    </comment>
    <comment ref="AA10" authorId="0" shapeId="0" xr:uid="{142EA816-48B3-4081-8663-11306B826B7C}">
      <text>
        <r>
          <rPr>
            <b/>
            <sz val="9"/>
            <color indexed="81"/>
            <rFont val="Tahoma"/>
            <family val="2"/>
          </rPr>
          <t>cmcneil:</t>
        </r>
        <r>
          <rPr>
            <sz val="9"/>
            <color indexed="81"/>
            <rFont val="Tahoma"/>
            <family val="2"/>
          </rPr>
          <t xml:space="preserve">
What was used to measure snow depth</t>
        </r>
      </text>
    </comment>
    <comment ref="AB10" authorId="0" shapeId="0" xr:uid="{E74C2B23-2D74-471A-B0DE-90508FBFABE3}">
      <text>
        <r>
          <rPr>
            <b/>
            <sz val="9"/>
            <color indexed="81"/>
            <rFont val="Tahoma"/>
            <family val="2"/>
          </rPr>
          <t>cmcneil:</t>
        </r>
        <r>
          <rPr>
            <sz val="9"/>
            <color indexed="81"/>
            <rFont val="Tahoma"/>
            <family val="2"/>
          </rPr>
          <t xml:space="preserve">
snow depth observed</t>
        </r>
      </text>
    </comment>
  </commentList>
</comments>
</file>

<file path=xl/sharedStrings.xml><?xml version="1.0" encoding="utf-8"?>
<sst xmlns="http://schemas.openxmlformats.org/spreadsheetml/2006/main" count="2747" uniqueCount="285">
  <si>
    <t>Input table for GUI</t>
  </si>
  <si>
    <t>Site</t>
  </si>
  <si>
    <t>Elevation</t>
  </si>
  <si>
    <t>Spring Date</t>
  </si>
  <si>
    <t>Fall Date</t>
  </si>
  <si>
    <t>bw</t>
  </si>
  <si>
    <t>ba</t>
  </si>
  <si>
    <t>Winter Ablation</t>
  </si>
  <si>
    <t>Summer Accumulation</t>
  </si>
  <si>
    <t>Stake  Location</t>
  </si>
  <si>
    <t>UTM(WGS84)</t>
  </si>
  <si>
    <t>Stake Lengths</t>
  </si>
  <si>
    <t>Zone 6 North</t>
  </si>
  <si>
    <t>Date</t>
  </si>
  <si>
    <t>Notebook</t>
  </si>
  <si>
    <t>Stake Name</t>
  </si>
  <si>
    <t>Surface Type</t>
  </si>
  <si>
    <t>Total</t>
  </si>
  <si>
    <t>Above Surface</t>
  </si>
  <si>
    <t>Below Surface</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</si>
  <si>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</si>
  <si>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</si>
  <si>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</si>
  <si>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</si>
  <si>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</si>
  <si>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</si>
  <si>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</si>
  <si>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</si>
  <si>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</si>
  <si>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</si>
  <si>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Easting</t>
  </si>
  <si>
    <t>Northing</t>
  </si>
  <si>
    <t>Comments</t>
  </si>
  <si>
    <t>(mm/dd/yyyy)</t>
  </si>
  <si>
    <t>(meters)</t>
  </si>
  <si>
    <t>(g/cm^3)</t>
  </si>
  <si>
    <t>(m w.e.)</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</si>
  <si>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</si>
  <si>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</si>
  <si>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</si>
  <si>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</si>
  <si>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</si>
  <si>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</si>
  <si>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</si>
  <si>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</si>
  <si>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</si>
  <si>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</si>
  <si>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</si>
  <si>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</si>
  <si>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</si>
  <si>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</si>
  <si>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C</t>
  </si>
  <si>
    <t>snow</t>
  </si>
  <si>
    <t>ice</t>
  </si>
  <si>
    <t>18CM</t>
  </si>
  <si>
    <t>NaN</t>
  </si>
  <si>
    <t>18N</t>
  </si>
  <si>
    <t>N</t>
  </si>
  <si>
    <t>B</t>
  </si>
  <si>
    <t>S</t>
  </si>
  <si>
    <t>Y</t>
  </si>
  <si>
    <t>18B</t>
  </si>
  <si>
    <t>old snow</t>
  </si>
  <si>
    <t>EC</t>
  </si>
  <si>
    <t>18EC</t>
  </si>
  <si>
    <t>19CM</t>
  </si>
  <si>
    <t>19B</t>
  </si>
  <si>
    <t>not found</t>
  </si>
  <si>
    <t>19S</t>
  </si>
  <si>
    <t>19LS</t>
  </si>
  <si>
    <t>19EC</t>
  </si>
  <si>
    <t>20CM</t>
  </si>
  <si>
    <t>20LS</t>
  </si>
  <si>
    <t>20B</t>
  </si>
  <si>
    <t>TU</t>
  </si>
  <si>
    <t>Not Found</t>
  </si>
  <si>
    <t>20TU</t>
  </si>
  <si>
    <t>20N</t>
  </si>
  <si>
    <t>20EHB</t>
  </si>
  <si>
    <t>20Y</t>
  </si>
  <si>
    <t>20EC</t>
  </si>
  <si>
    <t>NOT FOUND</t>
  </si>
  <si>
    <t>Snow</t>
  </si>
  <si>
    <t>20S</t>
  </si>
  <si>
    <t>Year</t>
  </si>
  <si>
    <t>Found at 9.15, not 12.20</t>
  </si>
  <si>
    <t>1.5m wand</t>
  </si>
  <si>
    <t>firn</t>
  </si>
  <si>
    <t>Found at 6.10, not 9.15. 1.5m wand</t>
  </si>
  <si>
    <t>21EHB</t>
  </si>
  <si>
    <t>10 degree lean to west</t>
  </si>
  <si>
    <t>20-30 degree bend to west</t>
  </si>
  <si>
    <t>Leaning 60 degrees to west upon arrival; almost completely buried</t>
  </si>
  <si>
    <t>21LS</t>
  </si>
  <si>
    <t>21C</t>
  </si>
  <si>
    <t>21Y</t>
  </si>
  <si>
    <t>21EC</t>
  </si>
  <si>
    <t>21TU</t>
  </si>
  <si>
    <t>not measured directly</t>
  </si>
  <si>
    <t>21N</t>
  </si>
  <si>
    <t>21S</t>
  </si>
  <si>
    <t>21B</t>
  </si>
  <si>
    <t>???</t>
  </si>
  <si>
    <t>21KB</t>
  </si>
  <si>
    <t>21MAX</t>
  </si>
  <si>
    <t>21RA</t>
  </si>
  <si>
    <t>from gps</t>
  </si>
  <si>
    <t>stake not found</t>
  </si>
  <si>
    <t>22KB</t>
  </si>
  <si>
    <t>22CM</t>
  </si>
  <si>
    <t>22N</t>
  </si>
  <si>
    <t>22EBH</t>
  </si>
  <si>
    <t>22B</t>
  </si>
  <si>
    <t>21CM</t>
  </si>
  <si>
    <t>22S</t>
  </si>
  <si>
    <t>22C</t>
  </si>
  <si>
    <t>22Y</t>
  </si>
  <si>
    <t>22TU</t>
  </si>
  <si>
    <t>22EC</t>
  </si>
  <si>
    <t>22AUU</t>
  </si>
  <si>
    <t>22LS</t>
  </si>
  <si>
    <t>new snow</t>
  </si>
  <si>
    <t>22EHB</t>
  </si>
  <si>
    <t>Not found</t>
  </si>
  <si>
    <t>new snwo</t>
  </si>
  <si>
    <t>23EHB</t>
  </si>
  <si>
    <t>23TU</t>
  </si>
  <si>
    <t>23CM</t>
  </si>
  <si>
    <t>23Y</t>
  </si>
  <si>
    <t>23EC</t>
  </si>
  <si>
    <t>23S</t>
  </si>
  <si>
    <t>23B</t>
  </si>
  <si>
    <t>23N</t>
  </si>
  <si>
    <t xml:space="preserve"> Glacier:</t>
  </si>
  <si>
    <t>Total Core Depth(cm):</t>
  </si>
  <si>
    <t>Location:</t>
  </si>
  <si>
    <t>Depth of Previous Year's Summer Surface (cm):</t>
  </si>
  <si>
    <t xml:space="preserve">    Date:</t>
  </si>
  <si>
    <t>Average Snow Depth (m):</t>
  </si>
  <si>
    <t xml:space="preserve">  Notebook:</t>
  </si>
  <si>
    <t>Column Average Density (g/cm^3):</t>
  </si>
  <si>
    <t>Sampler Type</t>
  </si>
  <si>
    <t>Snow Metrics</t>
  </si>
  <si>
    <t>Field Data</t>
  </si>
  <si>
    <t>Analysis</t>
  </si>
  <si>
    <t>Layer Values</t>
  </si>
  <si>
    <t>Cumulative  Values</t>
  </si>
  <si>
    <t>Additional snow depth measurements</t>
  </si>
  <si>
    <t>Core Lengths</t>
  </si>
  <si>
    <t>Core Diameters</t>
  </si>
  <si>
    <t>Layer Boundary</t>
  </si>
  <si>
    <t>C+S</t>
  </si>
  <si>
    <t>SBD</t>
  </si>
  <si>
    <t>Length 1</t>
  </si>
  <si>
    <t>Length 2</t>
  </si>
  <si>
    <t>Length 3</t>
  </si>
  <si>
    <t>Average Length</t>
  </si>
  <si>
    <t>Diameter 1</t>
  </si>
  <si>
    <t>Diameter 2</t>
  </si>
  <si>
    <t>Diameter 3</t>
  </si>
  <si>
    <t>Diameter 4</t>
  </si>
  <si>
    <t>Average Diameter</t>
  </si>
  <si>
    <t>Volume</t>
  </si>
  <si>
    <t>Top</t>
  </si>
  <si>
    <t>Bottom</t>
  </si>
  <si>
    <t>Density</t>
  </si>
  <si>
    <t>SWE</t>
  </si>
  <si>
    <t xml:space="preserve"> Comments</t>
  </si>
  <si>
    <t>Type of meaasurement</t>
  </si>
  <si>
    <t>Snow Depth</t>
  </si>
  <si>
    <t>gm</t>
  </si>
  <si>
    <t>cm</t>
  </si>
  <si>
    <t>(cm)</t>
  </si>
  <si>
    <r>
      <t>cm</t>
    </r>
    <r>
      <rPr>
        <vertAlign val="superscript"/>
        <sz val="8"/>
        <rFont val="Arial"/>
        <family val="2"/>
      </rPr>
      <t>3</t>
    </r>
  </si>
  <si>
    <r>
      <t>gm/cm</t>
    </r>
    <r>
      <rPr>
        <vertAlign val="superscript"/>
        <sz val="8"/>
        <rFont val="Arial"/>
        <family val="2"/>
      </rPr>
      <t>3</t>
    </r>
  </si>
  <si>
    <t>m w.e.</t>
  </si>
  <si>
    <r>
      <t>(g/cm</t>
    </r>
    <r>
      <rPr>
        <vertAlign val="superscript"/>
        <sz val="8"/>
        <rFont val="Arial"/>
        <family val="2"/>
      </rPr>
      <t>3)</t>
    </r>
  </si>
  <si>
    <t>Pit Data</t>
  </si>
  <si>
    <t>—</t>
  </si>
  <si>
    <t>Pit</t>
  </si>
  <si>
    <t>Probe</t>
  </si>
  <si>
    <t xml:space="preserve"> </t>
  </si>
  <si>
    <t>Core Data</t>
  </si>
  <si>
    <t>Average =</t>
  </si>
  <si>
    <t>Stdev. =</t>
  </si>
  <si>
    <t>Only insert/delete rows from within the table above. This maintains the functionality of the spreadsheet</t>
  </si>
  <si>
    <t>Std.Err.Mean =</t>
  </si>
  <si>
    <t>Maximum =</t>
  </si>
  <si>
    <t>Minimum =</t>
  </si>
  <si>
    <t>Wolverine</t>
  </si>
  <si>
    <t>Site C</t>
  </si>
  <si>
    <t>dog bits</t>
  </si>
  <si>
    <t>Site TU</t>
  </si>
  <si>
    <t>drilled into crack</t>
  </si>
  <si>
    <t>suspected 2022 ss</t>
  </si>
  <si>
    <t>23LS</t>
  </si>
  <si>
    <t>23C</t>
  </si>
  <si>
    <t>Site Y</t>
  </si>
  <si>
    <t>spiral cut with dogs</t>
  </si>
  <si>
    <t>2022 ss @ 476cm</t>
  </si>
  <si>
    <t>Site B</t>
  </si>
  <si>
    <t>2022 ss @ 439cm</t>
  </si>
  <si>
    <t>core</t>
  </si>
  <si>
    <t>Probe 21C</t>
  </si>
  <si>
    <t>Probe 22C</t>
  </si>
  <si>
    <t>Probe 20B N</t>
  </si>
  <si>
    <t>Probe 20B W</t>
  </si>
  <si>
    <t>Probe 20B S</t>
  </si>
  <si>
    <t>Probe 20B E</t>
  </si>
  <si>
    <t>Total snowpit depth(cm):</t>
  </si>
  <si>
    <t>Depth of previous years' summer surface (cm):</t>
  </si>
  <si>
    <t>Average snow Depth (m):</t>
  </si>
  <si>
    <t>Column average density (g/cm^3):</t>
  </si>
  <si>
    <t>Probe 23S N</t>
  </si>
  <si>
    <t>Probe 23S W</t>
  </si>
  <si>
    <t>Probe 23S S</t>
  </si>
  <si>
    <t>Probe 23S E</t>
  </si>
  <si>
    <t>Probe 23B N</t>
  </si>
  <si>
    <t>Probe 23B W</t>
  </si>
  <si>
    <t>Probe 23B S</t>
  </si>
  <si>
    <t>Probe 23B E</t>
  </si>
  <si>
    <t>Probe 22B N</t>
  </si>
  <si>
    <t>Probe 22B W</t>
  </si>
  <si>
    <t>Probe 22B S</t>
  </si>
  <si>
    <t>Probe 22B E</t>
  </si>
  <si>
    <t>Probe 21N N</t>
  </si>
  <si>
    <t>Probe 21N W</t>
  </si>
  <si>
    <t>Probe 21N S</t>
  </si>
  <si>
    <t>Probe 21N E</t>
  </si>
  <si>
    <t>Probe 22N N</t>
  </si>
  <si>
    <t>Probe 22N W</t>
  </si>
  <si>
    <t>Probe 22N S</t>
  </si>
  <si>
    <t>Probe 22N E</t>
  </si>
  <si>
    <t>Probe 23N N</t>
  </si>
  <si>
    <t>Probe 23N W</t>
  </si>
  <si>
    <t>Probe 23N S</t>
  </si>
  <si>
    <t>Probe 23N E</t>
  </si>
  <si>
    <t>Ice Lenses</t>
  </si>
  <si>
    <t>Annual Layers</t>
  </si>
  <si>
    <t>Height from SBD</t>
  </si>
  <si>
    <t>Thickness</t>
  </si>
  <si>
    <t>Ice volume</t>
  </si>
  <si>
    <t>Density w/o ice</t>
  </si>
  <si>
    <t>Depth</t>
  </si>
  <si>
    <r>
      <t>(cm</t>
    </r>
    <r>
      <rPr>
        <vertAlign val="superscript"/>
        <sz val="8"/>
        <color theme="1"/>
        <rFont val="Arial"/>
        <family val="2"/>
      </rPr>
      <t>3</t>
    </r>
    <r>
      <rPr>
        <sz val="8"/>
        <color theme="1"/>
        <rFont val="Arial"/>
        <family val="2"/>
      </rPr>
      <t>)</t>
    </r>
  </si>
  <si>
    <r>
      <t>(cm</t>
    </r>
    <r>
      <rPr>
        <vertAlign val="superscript"/>
        <sz val="8"/>
        <rFont val="Arial"/>
        <family val="2"/>
      </rPr>
      <t>3</t>
    </r>
    <r>
      <rPr>
        <sz val="8"/>
        <rFont val="Arial"/>
        <family val="2"/>
      </rPr>
      <t>)</t>
    </r>
  </si>
  <si>
    <r>
      <t>(g/cm</t>
    </r>
    <r>
      <rPr>
        <vertAlign val="superscript"/>
        <sz val="8"/>
        <rFont val="Arial"/>
        <family val="2"/>
      </rPr>
      <t>3</t>
    </r>
    <r>
      <rPr>
        <sz val="8"/>
        <rFont val="Arial"/>
        <family val="2"/>
      </rPr>
      <t>)</t>
    </r>
  </si>
  <si>
    <t>Site S</t>
  </si>
  <si>
    <t>Site N</t>
  </si>
  <si>
    <t>2022 ss @ 284, ice</t>
  </si>
  <si>
    <t>AUU</t>
  </si>
  <si>
    <t>dirt layer</t>
  </si>
  <si>
    <t>dryish</t>
  </si>
  <si>
    <t>wet again</t>
  </si>
  <si>
    <t>not able to sample</t>
  </si>
  <si>
    <r>
      <t>wet snow to 50cm, the</t>
    </r>
    <r>
      <rPr>
        <sz val="8"/>
        <color rgb="FF0000FF"/>
        <rFont val="Arial"/>
        <family val="2"/>
      </rPr>
      <t>n mixed wet/dry</t>
    </r>
  </si>
  <si>
    <t>Core</t>
  </si>
  <si>
    <t>summer sfc, small ice lense @ 542cm, 2mm facets above</t>
  </si>
  <si>
    <t>small ice lense 6cm above SBD</t>
  </si>
  <si>
    <t>coarse grains, no stratigraphy</t>
  </si>
  <si>
    <t>dog cuts, narrower core</t>
  </si>
  <si>
    <t>dirt @ 1041</t>
  </si>
  <si>
    <t>thin layer of coarse grains</t>
  </si>
  <si>
    <t>multiple lenses</t>
  </si>
  <si>
    <t>multiple ice lenses</t>
  </si>
  <si>
    <t>faint dirst @ 1717</t>
  </si>
  <si>
    <t>it's all pretty icy here</t>
  </si>
  <si>
    <t>mostly ice</t>
  </si>
  <si>
    <t>more like firn, more pore space</t>
  </si>
  <si>
    <t>dirt 64cm from SBD</t>
  </si>
  <si>
    <t>dirt 31cm from SBD</t>
  </si>
  <si>
    <t>7cm fairly icy @ SBD</t>
  </si>
  <si>
    <t>23EB</t>
  </si>
  <si>
    <t>CM23</t>
  </si>
  <si>
    <t>2022 ss soft with large grains</t>
  </si>
  <si>
    <t xml:space="preserve">very firm </t>
  </si>
  <si>
    <t>possilbe 2021 ss?</t>
  </si>
  <si>
    <t>Likely 2021 ss @341 very soft</t>
  </si>
  <si>
    <t>14cm dog bites</t>
  </si>
  <si>
    <t>Large grains at bottom of core</t>
  </si>
  <si>
    <t>all ice</t>
  </si>
  <si>
    <t>btm 5cm broken</t>
  </si>
  <si>
    <t xml:space="preserve">dirt/ash layer @1532cm, same as found in spring core </t>
  </si>
  <si>
    <t>Bad suction from here until last core measurement</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</si>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</sst>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dd/yyyy"/>
    <numFmt numFmtId="165" formatCode="?,??0.00"/>
    <numFmt numFmtId="166" formatCode="0.000"/>
    <numFmt numFmtId="167" formatCode="??0"/>
    <numFmt numFmtId="168" formatCode="0.0"/>
    <numFmt numFmtId="169" formatCode="??0.0"/>
    <numFmt numFmtId="170" formatCode="??0.00"/>
  </numFmts>
  <fonts count="47">
    <font>
      <sz val="11"/>
      <color theme="1"/>
      <name val="Calibri"/>
      <family val="2"/>
      <scheme val="minor"/>
    </font>
    <font>
      <sz val="11"/>
      <color theme="1"/>
      <name val="Calibri"/>
      <family val="2"/>
      <scheme val="minor"/>
    </font>
    <font>
      <b/>
      <sz val="10"/>
      <name val="Arial"/>
      <family val="2"/>
    </font>
    <font>
      <b/>
      <sz val="10"/>
      <color rgb="FF00FFFF"/>
      <name val="Arial"/>
      <family val="2"/>
    </font>
    <font>
      <b/>
      <sz val="10"/>
      <color rgb="FF000000"/>
      <name val="Arial"/>
      <family val="2"/>
    </font>
    <font>
      <sz val="10"/>
      <color rgb="FF000000"/>
      <name val="Arial"/>
      <family val="2"/>
    </font>
    <font>
      <b/>
      <u/>
      <sz val="10"/>
      <color rgb="FF000000"/>
      <name val="Arial"/>
      <family val="2"/>
    </font>
    <font>
      <b/>
      <sz val="10"/>
      <color theme="1"/>
      <name val="Arial"/>
      <family val="2"/>
    </font>
    <font>
      <b/>
      <u/>
      <sz val="10"/>
      <name val="Arial"/>
      <family val="2"/>
    </font>
    <font>
      <b/>
      <vertAlign val="subscript"/>
      <sz val="10"/>
      <color rgb="FF000000"/>
      <name val="Arial"/>
      <family val="2"/>
    </font>
    <font>
      <sz val="10"/>
      <color theme="1"/>
      <name val="Arial"/>
      <family val="2"/>
    </font>
    <font>
      <sz val="10"/>
      <name val="Arial"/>
      <family val="2"/>
    </font>
    <font>
      <sz val="10"/>
      <color rgb="FF000000"/>
      <name val="Calibri"/>
      <family val="2"/>
    </font>
    <font>
      <sz val="10"/>
      <color rgb="FF000000"/>
      <name val="AvantGarde"/>
      <family val="2"/>
    </font>
    <font>
      <b/>
      <u/>
      <sz val="18"/>
      <color rgb="FF000000"/>
      <name val="Calibri"/>
      <family val="2"/>
    </font>
    <font>
      <b/>
      <sz val="10"/>
      <color rgb="FF000000"/>
      <name val="Calibri"/>
      <family val="2"/>
    </font>
    <font>
      <sz val="10"/>
      <color theme="1"/>
      <name val="Calibri"/>
      <family val="2"/>
      <scheme val="minor"/>
    </font>
    <font>
      <b/>
      <sz val="9"/>
      <color indexed="81"/>
      <name val="Tahoma"/>
      <family val="2"/>
    </font>
    <font>
      <sz val="9"/>
      <color indexed="81"/>
      <name val="Tahoma"/>
      <family val="2"/>
    </font>
    <font>
      <b/>
      <sz val="8"/>
      <name val="Arial"/>
      <family val="2"/>
    </font>
    <font>
      <sz val="8"/>
      <name val="Arial"/>
      <family val="2"/>
    </font>
    <font>
      <sz val="8"/>
      <color indexed="12"/>
      <name val="Arial"/>
      <family val="2"/>
    </font>
    <font>
      <sz val="8"/>
      <name val="Helv"/>
    </font>
    <font>
      <sz val="8"/>
      <color indexed="8"/>
      <name val="Arial"/>
      <family val="2"/>
    </font>
    <font>
      <sz val="10"/>
      <name val="Arial"/>
      <family val="2"/>
    </font>
    <font>
      <sz val="11"/>
      <name val="Calibri"/>
      <family val="2"/>
      <scheme val="minor"/>
    </font>
    <font>
      <b/>
      <sz val="11"/>
      <color theme="1"/>
      <name val="Calibri"/>
      <family val="2"/>
      <scheme val="minor"/>
    </font>
    <font>
      <sz val="10"/>
      <name val="Calibri"/>
      <family val="2"/>
    </font>
    <font>
      <sz val="10"/>
      <color theme="1"/>
      <name val="Segoe UI"/>
      <family val="2"/>
    </font>
    <font>
      <sz val="10"/>
      <color rgb="FF000000"/>
      <name val="Segoe UI"/>
      <family val="2"/>
    </font>
    <font>
      <sz val="10"/>
      <color indexed="12"/>
      <name val="Arial"/>
      <family val="2"/>
    </font>
    <font>
      <sz val="10"/>
      <color rgb="FF0066FF"/>
      <name val="Arial"/>
      <family val="2"/>
    </font>
    <font>
      <b/>
      <u/>
      <sz val="8"/>
      <name val="Arial"/>
      <family val="2"/>
    </font>
    <font>
      <i/>
      <sz val="8"/>
      <name val="Arial"/>
      <family val="2"/>
    </font>
    <font>
      <b/>
      <u/>
      <sz val="8"/>
      <color theme="1"/>
      <name val="Arial"/>
      <family val="2"/>
    </font>
    <font>
      <b/>
      <sz val="8"/>
      <color theme="1"/>
      <name val="Arial"/>
      <family val="2"/>
    </font>
    <font>
      <sz val="8"/>
      <color theme="1"/>
      <name val="Arial"/>
      <family val="2"/>
    </font>
    <font>
      <vertAlign val="superscript"/>
      <sz val="8"/>
      <name val="Arial"/>
      <family val="2"/>
    </font>
    <font>
      <sz val="8"/>
      <name val="Calibri"/>
      <family val="2"/>
    </font>
    <font>
      <sz val="8"/>
      <color indexed="16"/>
      <name val="Arial"/>
      <family val="2"/>
    </font>
    <font>
      <b/>
      <sz val="8"/>
      <color theme="5"/>
      <name val="Arial"/>
      <family val="2"/>
    </font>
    <font>
      <sz val="8"/>
      <color theme="5"/>
      <name val="Arial"/>
      <family val="2"/>
    </font>
    <font>
      <sz val="8"/>
      <color indexed="81"/>
      <name val="Tahoma"/>
      <family val="2"/>
    </font>
    <font>
      <u/>
      <sz val="8"/>
      <color indexed="12"/>
      <name val="Arial"/>
      <family val="2"/>
    </font>
    <font>
      <b/>
      <sz val="8"/>
      <color indexed="12"/>
      <name val="Arial"/>
      <family val="2"/>
    </font>
    <font>
      <vertAlign val="superscript"/>
      <sz val="8"/>
      <color theme="1"/>
      <name val="Arial"/>
      <family val="2"/>
    </font>
    <font>
      <sz val="8"/>
      <color rgb="FF0000FF"/>
      <name val="Arial"/>
      <family val="2"/>
    </font>
  </fonts>
  <fills count="19">
    <fill>
      <patternFill patternType="none"/>
    </fill>
    <fill>
      <patternFill patternType="gray125"/>
    </fill>
    <fill>
      <patternFill patternType="solid">
        <fgColor theme="4" tint="0.59999389629810485"/>
        <bgColor indexed="64"/>
      </patternFill>
    </fill>
    <fill>
      <patternFill patternType="solid">
        <fgColor rgb="FFFFFF00"/>
        <bgColor rgb="FFFFFF00"/>
      </patternFill>
    </fill>
    <fill>
      <patternFill patternType="solid">
        <fgColor rgb="FFFFFF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0" tint="-0.14999847407452621"/>
        <bgColor rgb="FFC2D69B"/>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39997558519241921"/>
        <bgColor rgb="FFC2D69B"/>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66FF"/>
        <bgColor indexed="64"/>
      </patternFill>
    </fill>
    <fill>
      <patternFill patternType="solid">
        <fgColor rgb="FFCC99FF"/>
        <bgColor indexed="64"/>
      </patternFill>
    </fill>
    <fill>
      <patternFill patternType="solid">
        <fgColor rgb="FFFFCCFF"/>
        <bgColor indexed="64"/>
      </patternFill>
    </fill>
    <fill>
      <patternFill patternType="solid">
        <fgColor rgb="FFFFCCCC"/>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14">
    <xf numFmtId="0" fontId="0" fillId="0" borderId="0"/>
    <xf numFmtId="0" fontId="19" fillId="0" borderId="0" applyNumberFormat="0" applyFill="0" applyBorder="0" applyAlignment="0" applyProtection="0">
      <alignment horizontal="left"/>
      <protection locked="0"/>
    </xf>
    <xf numFmtId="0" fontId="20" fillId="0" borderId="0" applyNumberFormat="0" applyFill="0" applyBorder="0" applyAlignment="0" applyProtection="0">
      <protection locked="0"/>
    </xf>
    <xf numFmtId="0" fontId="21" fillId="0" borderId="0" applyNumberFormat="0" applyFill="0" applyBorder="0" applyAlignment="0" applyProtection="0">
      <alignment horizontal="left"/>
      <protection locked="0"/>
    </xf>
    <xf numFmtId="166" fontId="22" fillId="0" borderId="0" applyFont="0" applyFill="0" applyBorder="0" applyAlignment="0" applyProtection="0"/>
    <xf numFmtId="0" fontId="20" fillId="0" borderId="0" applyNumberFormat="0" applyFill="0" applyBorder="0" applyAlignment="0" applyProtection="0">
      <alignment horizontal="left" vertical="top" wrapText="1"/>
      <protection locked="0"/>
    </xf>
    <xf numFmtId="0" fontId="20" fillId="0" borderId="0" applyNumberFormat="0" applyFill="0" applyBorder="0" applyAlignment="0" applyProtection="0">
      <alignment horizontal="left" vertical="top" wrapText="1"/>
      <protection locked="0"/>
    </xf>
    <xf numFmtId="0" fontId="1" fillId="0" borderId="0"/>
    <xf numFmtId="167" fontId="22" fillId="0" borderId="0" applyFont="0" applyFill="0" applyBorder="0" applyAlignment="0" applyProtection="0">
      <alignment horizontal="left"/>
      <protection locked="0"/>
    </xf>
    <xf numFmtId="0" fontId="23" fillId="0" borderId="0" applyNumberFormat="0" applyFill="0" applyBorder="0" applyAlignment="0" applyProtection="0">
      <alignment horizontal="center" vertical="top" wrapText="1"/>
      <protection locked="0"/>
    </xf>
    <xf numFmtId="0" fontId="21" fillId="0" borderId="0" applyNumberFormat="0" applyFill="0" applyBorder="0" applyAlignment="0" applyProtection="0">
      <alignment horizontal="center" vertical="top" wrapText="1"/>
    </xf>
    <xf numFmtId="0" fontId="24" fillId="0" borderId="0"/>
    <xf numFmtId="0" fontId="1" fillId="0" borderId="0"/>
    <xf numFmtId="0" fontId="20" fillId="0" borderId="0" applyNumberFormat="0" applyFill="0" applyBorder="0" applyAlignment="0" applyProtection="0">
      <protection locked="0"/>
    </xf>
  </cellStyleXfs>
  <cellXfs count="969">
    <xf numFmtId="0" fontId="0" fillId="0" borderId="0" xfId="0"/>
    <xf numFmtId="0" fontId="0" fillId="0" borderId="4" xfId="0" applyBorder="1"/>
    <xf numFmtId="0" fontId="0" fillId="0" borderId="0" xfId="0" applyBorder="1"/>
    <xf numFmtId="2" fontId="0" fillId="0" borderId="0" xfId="0" applyNumberFormat="1" applyBorder="1"/>
    <xf numFmtId="0" fontId="0" fillId="0" borderId="5" xfId="0" applyBorder="1"/>
    <xf numFmtId="164" fontId="3" fillId="0" borderId="1" xfId="0" applyNumberFormat="1" applyFont="1" applyBorder="1" applyAlignment="1">
      <alignment horizontal="center" vertical="top"/>
    </xf>
    <xf numFmtId="0" fontId="4" fillId="0" borderId="2" xfId="0" applyFont="1" applyBorder="1" applyAlignment="1">
      <alignment horizontal="center" vertical="top"/>
    </xf>
    <xf numFmtId="0" fontId="4" fillId="0" borderId="9" xfId="0" applyFont="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2" xfId="0" applyFont="1" applyBorder="1" applyAlignment="1">
      <alignment horizontal="center"/>
    </xf>
    <xf numFmtId="4" fontId="4" fillId="0" borderId="2" xfId="0" applyNumberFormat="1" applyFont="1" applyBorder="1" applyAlignment="1">
      <alignment horizontal="center" vertical="top"/>
    </xf>
    <xf numFmtId="4" fontId="4" fillId="0" borderId="12" xfId="0" applyNumberFormat="1" applyFont="1" applyBorder="1" applyAlignment="1">
      <alignment horizontal="center" vertical="top"/>
    </xf>
    <xf numFmtId="4" fontId="6" fillId="0" borderId="2" xfId="0" applyNumberFormat="1" applyFont="1" applyBorder="1" applyAlignment="1">
      <alignment horizontal="center"/>
    </xf>
    <xf numFmtId="0" fontId="0" fillId="0" borderId="13" xfId="0" applyBorder="1"/>
    <xf numFmtId="0" fontId="2" fillId="0" borderId="0" xfId="0" applyFont="1" applyBorder="1" applyAlignment="1">
      <alignment horizontal="center"/>
    </xf>
    <xf numFmtId="4" fontId="4" fillId="0" borderId="1" xfId="0" applyNumberFormat="1" applyFont="1" applyBorder="1" applyAlignment="1">
      <alignment horizontal="center" vertical="top"/>
    </xf>
    <xf numFmtId="4" fontId="5" fillId="0" borderId="2" xfId="0" applyNumberFormat="1" applyFont="1" applyBorder="1" applyAlignment="1">
      <alignment horizontal="center"/>
    </xf>
    <xf numFmtId="4" fontId="4" fillId="0" borderId="3" xfId="0" applyNumberFormat="1" applyFont="1" applyBorder="1" applyAlignment="1">
      <alignment horizontal="center"/>
    </xf>
    <xf numFmtId="0" fontId="5" fillId="0" borderId="9" xfId="0" applyFont="1" applyBorder="1" applyAlignment="1">
      <alignment horizontal="center"/>
    </xf>
    <xf numFmtId="164" fontId="3" fillId="0" borderId="4" xfId="0" applyNumberFormat="1" applyFont="1" applyBorder="1" applyAlignment="1">
      <alignment horizontal="center" vertical="top"/>
    </xf>
    <xf numFmtId="0" fontId="4" fillId="0" borderId="0" xfId="0" applyFont="1" applyBorder="1" applyAlignment="1">
      <alignment horizontal="center" vertical="top"/>
    </xf>
    <xf numFmtId="0" fontId="4" fillId="0" borderId="14" xfId="0" applyFont="1" applyBorder="1" applyAlignment="1">
      <alignment horizontal="center" vertical="top"/>
    </xf>
    <xf numFmtId="0" fontId="5" fillId="0" borderId="15" xfId="0" applyFont="1" applyBorder="1" applyAlignment="1">
      <alignment horizontal="center"/>
    </xf>
    <xf numFmtId="4" fontId="4" fillId="0" borderId="0" xfId="0" applyNumberFormat="1" applyFont="1" applyBorder="1" applyAlignment="1">
      <alignment horizontal="center" vertical="top"/>
    </xf>
    <xf numFmtId="4" fontId="4" fillId="0" borderId="16" xfId="0" applyNumberFormat="1" applyFont="1" applyBorder="1" applyAlignment="1">
      <alignment horizontal="center" vertical="top"/>
    </xf>
    <xf numFmtId="4" fontId="4" fillId="0" borderId="0" xfId="0" applyNumberFormat="1" applyFont="1" applyBorder="1" applyAlignment="1">
      <alignment horizontal="center"/>
    </xf>
    <xf numFmtId="0" fontId="5" fillId="0" borderId="0" xfId="0" applyFont="1" applyBorder="1" applyAlignment="1">
      <alignment horizontal="center"/>
    </xf>
    <xf numFmtId="4" fontId="6" fillId="0" borderId="13" xfId="0" applyNumberFormat="1" applyFont="1" applyBorder="1" applyAlignment="1">
      <alignment horizontal="center" vertical="top"/>
    </xf>
    <xf numFmtId="4" fontId="6" fillId="0" borderId="0" xfId="0" applyNumberFormat="1" applyFont="1" applyBorder="1" applyAlignment="1">
      <alignment horizontal="center" vertical="top"/>
    </xf>
    <xf numFmtId="0" fontId="5"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4" fontId="6" fillId="0" borderId="13" xfId="0" applyNumberFormat="1" applyFont="1" applyBorder="1" applyAlignment="1">
      <alignment horizontal="center"/>
    </xf>
    <xf numFmtId="4" fontId="6" fillId="0" borderId="0" xfId="0" applyNumberFormat="1" applyFont="1" applyBorder="1" applyAlignment="1">
      <alignment horizontal="center"/>
    </xf>
    <xf numFmtId="4" fontId="4" fillId="0" borderId="4" xfId="0" applyNumberFormat="1" applyFont="1" applyBorder="1" applyAlignment="1">
      <alignment horizontal="center"/>
    </xf>
    <xf numFmtId="4" fontId="7" fillId="0" borderId="0" xfId="0" applyNumberFormat="1" applyFont="1" applyBorder="1" applyAlignment="1">
      <alignment horizontal="center"/>
    </xf>
    <xf numFmtId="4" fontId="7" fillId="0" borderId="5" xfId="0" applyNumberFormat="1" applyFont="1" applyBorder="1" applyAlignment="1">
      <alignment horizontal="center"/>
    </xf>
    <xf numFmtId="0" fontId="4" fillId="0" borderId="14" xfId="0" applyFont="1" applyBorder="1" applyAlignment="1">
      <alignment horizontal="center"/>
    </xf>
    <xf numFmtId="164" fontId="4" fillId="0" borderId="4" xfId="0" applyNumberFormat="1" applyFont="1" applyBorder="1" applyAlignment="1">
      <alignment horizontal="center" vertical="center"/>
    </xf>
    <xf numFmtId="0" fontId="4" fillId="0" borderId="0"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3" xfId="0" applyFont="1" applyBorder="1" applyAlignment="1">
      <alignment horizontal="center" vertical="center"/>
    </xf>
    <xf numFmtId="4" fontId="4" fillId="0" borderId="0" xfId="0" applyNumberFormat="1" applyFont="1" applyBorder="1" applyAlignment="1">
      <alignment horizontal="center" vertical="center"/>
    </xf>
    <xf numFmtId="4" fontId="4" fillId="0" borderId="16" xfId="0" applyNumberFormat="1" applyFont="1" applyBorder="1" applyAlignment="1">
      <alignment horizontal="center" vertical="center"/>
    </xf>
    <xf numFmtId="4" fontId="6" fillId="0" borderId="13" xfId="0" applyNumberFormat="1" applyFont="1" applyBorder="1" applyAlignment="1">
      <alignment horizontal="center" vertical="center" wrapText="1"/>
    </xf>
    <xf numFmtId="4" fontId="4" fillId="0" borderId="4" xfId="0" applyNumberFormat="1" applyFont="1" applyBorder="1" applyAlignment="1">
      <alignment horizontal="center" vertical="center"/>
    </xf>
    <xf numFmtId="4" fontId="7" fillId="0" borderId="0" xfId="0" applyNumberFormat="1" applyFont="1" applyBorder="1" applyAlignment="1">
      <alignment horizontal="center" vertical="center"/>
    </xf>
    <xf numFmtId="4" fontId="7" fillId="0" borderId="5" xfId="0" applyNumberFormat="1" applyFont="1" applyBorder="1" applyAlignment="1">
      <alignment horizontal="center" vertical="center"/>
    </xf>
    <xf numFmtId="2" fontId="2" fillId="0" borderId="0" xfId="0" applyNumberFormat="1" applyFont="1" applyBorder="1" applyAlignment="1">
      <alignment horizontal="center" vertical="center"/>
    </xf>
    <xf numFmtId="165" fontId="2" fillId="0" borderId="5" xfId="0" applyNumberFormat="1" applyFont="1" applyBorder="1" applyAlignment="1">
      <alignment horizontal="center" vertical="center"/>
    </xf>
    <xf numFmtId="0" fontId="0" fillId="0" borderId="0" xfId="0" applyBorder="1" applyAlignment="1">
      <alignment vertical="center"/>
    </xf>
    <xf numFmtId="164" fontId="5" fillId="0" borderId="6" xfId="0" applyNumberFormat="1" applyFont="1" applyBorder="1" applyAlignment="1">
      <alignment horizontal="center" vertical="top"/>
    </xf>
    <xf numFmtId="0" fontId="5" fillId="0" borderId="7" xfId="0" applyFont="1" applyBorder="1" applyAlignment="1">
      <alignment horizontal="center" vertical="top"/>
    </xf>
    <xf numFmtId="0" fontId="5" fillId="0" borderId="17" xfId="0" applyFont="1" applyBorder="1" applyAlignment="1">
      <alignment horizontal="center" vertical="top"/>
    </xf>
    <xf numFmtId="0" fontId="5" fillId="0" borderId="18" xfId="0" applyFont="1" applyBorder="1" applyAlignment="1">
      <alignment horizontal="center"/>
    </xf>
    <xf numFmtId="4" fontId="0" fillId="0" borderId="7" xfId="0" applyNumberFormat="1" applyFont="1" applyBorder="1" applyAlignment="1">
      <alignment horizontal="center"/>
    </xf>
    <xf numFmtId="0" fontId="5" fillId="0" borderId="7" xfId="0" applyFont="1" applyBorder="1" applyAlignment="1">
      <alignment horizontal="center"/>
    </xf>
    <xf numFmtId="4" fontId="5" fillId="0" borderId="19" xfId="0" applyNumberFormat="1" applyFont="1" applyBorder="1" applyAlignment="1">
      <alignment horizontal="center" vertical="top"/>
    </xf>
    <xf numFmtId="4" fontId="5" fillId="0" borderId="7" xfId="0" applyNumberFormat="1" applyFont="1" applyBorder="1" applyAlignment="1">
      <alignment horizontal="center" vertical="top"/>
    </xf>
    <xf numFmtId="4" fontId="5" fillId="0" borderId="6" xfId="0" applyNumberFormat="1" applyFont="1" applyBorder="1" applyAlignment="1">
      <alignment horizontal="center"/>
    </xf>
    <xf numFmtId="4" fontId="5" fillId="0" borderId="7" xfId="0" applyNumberFormat="1" applyFont="1" applyBorder="1" applyAlignment="1">
      <alignment horizontal="center"/>
    </xf>
    <xf numFmtId="4" fontId="10" fillId="0" borderId="7" xfId="0" applyNumberFormat="1" applyFont="1" applyBorder="1" applyAlignment="1">
      <alignment horizontal="center"/>
    </xf>
    <xf numFmtId="4" fontId="10" fillId="0" borderId="8" xfId="0" applyNumberFormat="1" applyFont="1" applyBorder="1" applyAlignment="1">
      <alignment horizontal="center"/>
    </xf>
    <xf numFmtId="2" fontId="0" fillId="0" borderId="7" xfId="0" applyNumberFormat="1" applyFont="1" applyBorder="1" applyAlignment="1">
      <alignment horizontal="center"/>
    </xf>
    <xf numFmtId="0" fontId="5" fillId="0" borderId="8" xfId="0" applyFont="1" applyBorder="1" applyAlignment="1">
      <alignment horizontal="center"/>
    </xf>
    <xf numFmtId="0" fontId="5" fillId="0" borderId="17" xfId="0" applyFont="1" applyBorder="1" applyAlignment="1">
      <alignment horizontal="center"/>
    </xf>
    <xf numFmtId="0" fontId="12" fillId="0" borderId="0" xfId="0" applyFont="1" applyFill="1" applyBorder="1"/>
    <xf numFmtId="0" fontId="12" fillId="0" borderId="5" xfId="0" applyFont="1" applyFill="1" applyBorder="1"/>
    <xf numFmtId="0" fontId="0" fillId="0" borderId="0" xfId="0" applyFill="1" applyBorder="1"/>
    <xf numFmtId="14" fontId="10" fillId="2" borderId="4" xfId="0" applyNumberFormat="1" applyFont="1" applyFill="1" applyBorder="1" applyAlignment="1">
      <alignment horizontal="center"/>
    </xf>
    <xf numFmtId="0" fontId="10" fillId="2" borderId="0" xfId="0" applyFont="1" applyFill="1" applyBorder="1" applyAlignment="1">
      <alignment horizontal="center"/>
    </xf>
    <xf numFmtId="0" fontId="10" fillId="2" borderId="14" xfId="0" applyFont="1" applyFill="1" applyBorder="1" applyAlignment="1">
      <alignment horizontal="center"/>
    </xf>
    <xf numFmtId="0" fontId="10" fillId="2" borderId="15" xfId="0" applyFont="1" applyFill="1" applyBorder="1" applyAlignment="1">
      <alignment horizontal="center"/>
    </xf>
    <xf numFmtId="0" fontId="10" fillId="2" borderId="13" xfId="0" applyFont="1" applyFill="1" applyBorder="1" applyAlignment="1">
      <alignment horizontal="center"/>
    </xf>
    <xf numFmtId="4" fontId="10" fillId="2" borderId="0" xfId="0" applyNumberFormat="1" applyFont="1" applyFill="1" applyBorder="1" applyAlignment="1">
      <alignment horizontal="center"/>
    </xf>
    <xf numFmtId="4" fontId="10" fillId="2" borderId="16" xfId="0" applyNumberFormat="1" applyFont="1" applyFill="1" applyBorder="1" applyAlignment="1">
      <alignment horizontal="center"/>
    </xf>
    <xf numFmtId="4" fontId="10" fillId="2" borderId="13" xfId="0" applyNumberFormat="1" applyFont="1" applyFill="1" applyBorder="1" applyAlignment="1">
      <alignment horizontal="center"/>
    </xf>
    <xf numFmtId="4" fontId="10" fillId="2" borderId="4" xfId="0" applyNumberFormat="1" applyFont="1" applyFill="1" applyBorder="1" applyAlignment="1">
      <alignment horizontal="center"/>
    </xf>
    <xf numFmtId="0" fontId="10" fillId="2" borderId="0" xfId="0" applyFont="1" applyFill="1" applyBorder="1"/>
    <xf numFmtId="0" fontId="12" fillId="2" borderId="5" xfId="0" applyFont="1" applyFill="1" applyBorder="1"/>
    <xf numFmtId="4" fontId="10" fillId="2" borderId="14" xfId="0" applyNumberFormat="1" applyFont="1" applyFill="1" applyBorder="1" applyAlignment="1">
      <alignment horizontal="center"/>
    </xf>
    <xf numFmtId="14" fontId="13" fillId="2" borderId="4" xfId="0" applyNumberFormat="1" applyFont="1" applyFill="1" applyBorder="1" applyAlignment="1">
      <alignment horizontal="center"/>
    </xf>
    <xf numFmtId="0" fontId="13" fillId="2" borderId="0" xfId="0" applyFont="1" applyFill="1" applyBorder="1" applyAlignment="1">
      <alignment horizontal="center"/>
    </xf>
    <xf numFmtId="0" fontId="13" fillId="2" borderId="14" xfId="0" applyFont="1" applyFill="1" applyBorder="1" applyAlignment="1">
      <alignment horizontal="center"/>
    </xf>
    <xf numFmtId="0" fontId="13" fillId="2" borderId="15" xfId="0" applyFont="1" applyFill="1" applyBorder="1" applyAlignment="1">
      <alignment horizontal="center"/>
    </xf>
    <xf numFmtId="2" fontId="13" fillId="2" borderId="13" xfId="0" applyNumberFormat="1" applyFont="1" applyFill="1" applyBorder="1" applyAlignment="1">
      <alignment horizontal="center"/>
    </xf>
    <xf numFmtId="2" fontId="13" fillId="2" borderId="0" xfId="0" applyNumberFormat="1" applyFont="1" applyFill="1" applyBorder="1" applyAlignment="1">
      <alignment horizontal="center"/>
    </xf>
    <xf numFmtId="14" fontId="10" fillId="0" borderId="4" xfId="0" applyNumberFormat="1" applyFont="1" applyFill="1" applyBorder="1" applyAlignment="1">
      <alignment horizontal="center"/>
    </xf>
    <xf numFmtId="0" fontId="10" fillId="0" borderId="0" xfId="0" applyFont="1" applyFill="1" applyBorder="1" applyAlignment="1">
      <alignment horizontal="center"/>
    </xf>
    <xf numFmtId="0" fontId="10" fillId="0" borderId="14" xfId="0" applyFont="1" applyFill="1" applyBorder="1" applyAlignment="1">
      <alignment horizontal="center"/>
    </xf>
    <xf numFmtId="0" fontId="10" fillId="0" borderId="15" xfId="0" applyFont="1" applyFill="1" applyBorder="1" applyAlignment="1">
      <alignment horizontal="center"/>
    </xf>
    <xf numFmtId="0" fontId="10" fillId="0" borderId="13" xfId="0" applyFont="1" applyFill="1" applyBorder="1" applyAlignment="1">
      <alignment horizontal="center"/>
    </xf>
    <xf numFmtId="4" fontId="10" fillId="0" borderId="0" xfId="0" applyNumberFormat="1" applyFont="1" applyFill="1" applyBorder="1" applyAlignment="1">
      <alignment horizontal="center"/>
    </xf>
    <xf numFmtId="4" fontId="10" fillId="0" borderId="16" xfId="0" applyNumberFormat="1" applyFont="1" applyFill="1" applyBorder="1" applyAlignment="1">
      <alignment horizontal="center"/>
    </xf>
    <xf numFmtId="4" fontId="10" fillId="0" borderId="13" xfId="0" applyNumberFormat="1" applyFont="1" applyFill="1" applyBorder="1" applyAlignment="1">
      <alignment horizontal="center"/>
    </xf>
    <xf numFmtId="4" fontId="10" fillId="0" borderId="4" xfId="0" applyNumberFormat="1" applyFont="1" applyFill="1" applyBorder="1" applyAlignment="1">
      <alignment horizontal="center"/>
    </xf>
    <xf numFmtId="0" fontId="10" fillId="0" borderId="0" xfId="0" applyFont="1" applyFill="1" applyBorder="1"/>
    <xf numFmtId="4" fontId="10" fillId="0" borderId="14" xfId="0" applyNumberFormat="1" applyFont="1" applyFill="1" applyBorder="1" applyAlignment="1">
      <alignment horizontal="center"/>
    </xf>
    <xf numFmtId="0" fontId="12" fillId="0" borderId="0" xfId="0" applyFont="1" applyBorder="1" applyAlignment="1">
      <alignment horizontal="center"/>
    </xf>
    <xf numFmtId="2" fontId="12" fillId="0" borderId="0" xfId="0" applyNumberFormat="1" applyFont="1" applyBorder="1" applyAlignment="1">
      <alignment horizontal="center"/>
    </xf>
    <xf numFmtId="0" fontId="12" fillId="0" borderId="0" xfId="0" applyFont="1" applyBorder="1"/>
    <xf numFmtId="4" fontId="2" fillId="4" borderId="2" xfId="0" applyNumberFormat="1" applyFont="1" applyFill="1" applyBorder="1" applyAlignment="1">
      <alignment horizontal="center"/>
    </xf>
    <xf numFmtId="0" fontId="2" fillId="4" borderId="2" xfId="0" applyFont="1" applyFill="1" applyBorder="1"/>
    <xf numFmtId="4" fontId="2" fillId="4" borderId="3" xfId="0" applyNumberFormat="1" applyFont="1" applyFill="1" applyBorder="1" applyAlignment="1">
      <alignment horizontal="center"/>
    </xf>
    <xf numFmtId="0" fontId="15" fillId="3" borderId="23" xfId="0" applyFont="1" applyFill="1" applyBorder="1"/>
    <xf numFmtId="164" fontId="15" fillId="3" borderId="23" xfId="0" applyNumberFormat="1" applyFont="1" applyFill="1" applyBorder="1"/>
    <xf numFmtId="0" fontId="15" fillId="3" borderId="23" xfId="0" applyFont="1" applyFill="1" applyBorder="1" applyAlignment="1">
      <alignment horizontal="center"/>
    </xf>
    <xf numFmtId="164" fontId="2" fillId="4" borderId="23" xfId="0" applyNumberFormat="1" applyFont="1" applyFill="1" applyBorder="1"/>
    <xf numFmtId="14" fontId="15" fillId="3" borderId="24" xfId="0" applyNumberFormat="1" applyFont="1" applyFill="1" applyBorder="1"/>
    <xf numFmtId="0" fontId="5" fillId="0" borderId="0" xfId="0" applyFont="1" applyFill="1" applyBorder="1"/>
    <xf numFmtId="0" fontId="5" fillId="3" borderId="4" xfId="0" applyFont="1" applyFill="1" applyBorder="1"/>
    <xf numFmtId="0" fontId="5" fillId="3" borderId="14" xfId="0" applyFont="1" applyFill="1" applyBorder="1" applyAlignment="1">
      <alignment horizontal="right"/>
    </xf>
    <xf numFmtId="2" fontId="5" fillId="3" borderId="0" xfId="0" applyNumberFormat="1" applyFont="1" applyFill="1" applyBorder="1"/>
    <xf numFmtId="0" fontId="5" fillId="3" borderId="0" xfId="0" applyFont="1" applyFill="1" applyBorder="1"/>
    <xf numFmtId="0" fontId="0" fillId="4" borderId="0" xfId="0" applyFill="1" applyBorder="1"/>
    <xf numFmtId="0" fontId="5" fillId="3" borderId="5" xfId="0" applyFont="1" applyFill="1" applyBorder="1"/>
    <xf numFmtId="0" fontId="10" fillId="4" borderId="14" xfId="0" applyFont="1" applyFill="1" applyBorder="1" applyAlignment="1">
      <alignment horizontal="right"/>
    </xf>
    <xf numFmtId="0" fontId="16" fillId="4" borderId="14" xfId="0" applyFont="1" applyFill="1" applyBorder="1" applyAlignment="1">
      <alignment horizontal="right"/>
    </xf>
    <xf numFmtId="0" fontId="5" fillId="3" borderId="6" xfId="0" applyFont="1" applyFill="1" applyBorder="1"/>
    <xf numFmtId="0" fontId="16" fillId="4" borderId="17" xfId="0" applyFont="1" applyFill="1" applyBorder="1" applyAlignment="1">
      <alignment horizontal="right"/>
    </xf>
    <xf numFmtId="2" fontId="5" fillId="3" borderId="7" xfId="0" applyNumberFormat="1" applyFont="1" applyFill="1" applyBorder="1"/>
    <xf numFmtId="0" fontId="5" fillId="3" borderId="7" xfId="0" applyFont="1" applyFill="1" applyBorder="1"/>
    <xf numFmtId="4" fontId="5" fillId="3" borderId="7" xfId="0" applyNumberFormat="1" applyFont="1" applyFill="1" applyBorder="1"/>
    <xf numFmtId="0" fontId="5" fillId="3" borderId="8" xfId="0" applyFont="1" applyFill="1" applyBorder="1"/>
    <xf numFmtId="2" fontId="4" fillId="0" borderId="2" xfId="0" applyNumberFormat="1" applyFont="1" applyBorder="1" applyAlignment="1">
      <alignment horizontal="center" vertical="top"/>
    </xf>
    <xf numFmtId="2" fontId="4" fillId="0" borderId="0" xfId="0" applyNumberFormat="1" applyFont="1" applyBorder="1" applyAlignment="1">
      <alignment horizontal="center" vertical="top"/>
    </xf>
    <xf numFmtId="2" fontId="4" fillId="0" borderId="0" xfId="0" applyNumberFormat="1" applyFont="1" applyBorder="1" applyAlignment="1">
      <alignment horizontal="center"/>
    </xf>
    <xf numFmtId="2" fontId="4" fillId="0" borderId="0" xfId="0" applyNumberFormat="1" applyFont="1" applyBorder="1" applyAlignment="1">
      <alignment horizontal="center" vertical="center"/>
    </xf>
    <xf numFmtId="2" fontId="10" fillId="2" borderId="0" xfId="0" applyNumberFormat="1" applyFont="1" applyFill="1" applyBorder="1" applyAlignment="1">
      <alignment horizontal="center"/>
    </xf>
    <xf numFmtId="2" fontId="10" fillId="0" borderId="0" xfId="0" applyNumberFormat="1" applyFont="1" applyFill="1" applyBorder="1" applyAlignment="1">
      <alignment horizontal="center"/>
    </xf>
    <xf numFmtId="2" fontId="2" fillId="4" borderId="3" xfId="0" applyNumberFormat="1" applyFont="1" applyFill="1" applyBorder="1" applyAlignment="1">
      <alignment horizontal="center"/>
    </xf>
    <xf numFmtId="2" fontId="5" fillId="3" borderId="5" xfId="0" applyNumberFormat="1" applyFont="1" applyFill="1" applyBorder="1"/>
    <xf numFmtId="2" fontId="5" fillId="3" borderId="8" xfId="0" applyNumberFormat="1" applyFont="1" applyFill="1" applyBorder="1"/>
    <xf numFmtId="2" fontId="12" fillId="0" borderId="0" xfId="0" applyNumberFormat="1" applyFont="1" applyBorder="1"/>
    <xf numFmtId="0" fontId="0" fillId="0" borderId="13"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vertical="center"/>
    </xf>
    <xf numFmtId="0" fontId="12" fillId="0" borderId="0" xfId="0" applyFont="1" applyFill="1" applyBorder="1" applyAlignment="1">
      <alignment horizontal="center"/>
    </xf>
    <xf numFmtId="0" fontId="12" fillId="0" borderId="5" xfId="0" applyFont="1" applyFill="1" applyBorder="1" applyAlignment="1">
      <alignment horizontal="center"/>
    </xf>
    <xf numFmtId="0" fontId="0" fillId="0" borderId="0" xfId="0" applyFill="1" applyBorder="1" applyAlignment="1">
      <alignment horizontal="center"/>
    </xf>
    <xf numFmtId="0" fontId="12" fillId="2" borderId="5" xfId="0" applyFont="1" applyFill="1" applyBorder="1" applyAlignment="1">
      <alignment horizontal="center"/>
    </xf>
    <xf numFmtId="0" fontId="2" fillId="4" borderId="2" xfId="0" applyFont="1" applyFill="1" applyBorder="1" applyAlignment="1">
      <alignment horizontal="center"/>
    </xf>
    <xf numFmtId="164" fontId="2" fillId="4" borderId="23" xfId="0" applyNumberFormat="1" applyFont="1" applyFill="1" applyBorder="1" applyAlignment="1">
      <alignment horizontal="center"/>
    </xf>
    <xf numFmtId="14" fontId="15" fillId="3" borderId="24" xfId="0" applyNumberFormat="1" applyFont="1" applyFill="1" applyBorder="1" applyAlignment="1">
      <alignment horizontal="center"/>
    </xf>
    <xf numFmtId="0" fontId="5" fillId="0" borderId="0" xfId="0" applyFont="1" applyFill="1" applyBorder="1" applyAlignment="1">
      <alignment horizontal="center"/>
    </xf>
    <xf numFmtId="0" fontId="5" fillId="3" borderId="4" xfId="0" applyFont="1" applyFill="1" applyBorder="1" applyAlignment="1">
      <alignment horizontal="center"/>
    </xf>
    <xf numFmtId="2" fontId="5" fillId="3" borderId="0" xfId="0" applyNumberFormat="1" applyFont="1" applyFill="1" applyBorder="1" applyAlignment="1">
      <alignment horizontal="center"/>
    </xf>
    <xf numFmtId="0" fontId="5" fillId="3" borderId="0" xfId="0" applyFont="1" applyFill="1" applyBorder="1" applyAlignment="1">
      <alignment horizontal="center"/>
    </xf>
    <xf numFmtId="0" fontId="0" fillId="4" borderId="0" xfId="0" applyFill="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2" fontId="5" fillId="3" borderId="7" xfId="0" applyNumberFormat="1" applyFont="1" applyFill="1" applyBorder="1" applyAlignment="1">
      <alignment horizontal="center"/>
    </xf>
    <xf numFmtId="0" fontId="5" fillId="3" borderId="7" xfId="0" applyFont="1" applyFill="1" applyBorder="1" applyAlignment="1">
      <alignment horizontal="center"/>
    </xf>
    <xf numFmtId="4" fontId="5" fillId="3" borderId="7" xfId="0" applyNumberFormat="1" applyFont="1" applyFill="1" applyBorder="1" applyAlignment="1">
      <alignment horizontal="center"/>
    </xf>
    <xf numFmtId="0" fontId="5" fillId="3" borderId="8" xfId="0" applyFont="1" applyFill="1" applyBorder="1" applyAlignment="1">
      <alignment horizontal="center"/>
    </xf>
    <xf numFmtId="0" fontId="4" fillId="0" borderId="13"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14" fontId="10" fillId="5" borderId="4" xfId="0" applyNumberFormat="1" applyFont="1" applyFill="1" applyBorder="1" applyAlignment="1">
      <alignment horizontal="center"/>
    </xf>
    <xf numFmtId="0" fontId="10" fillId="5" borderId="0" xfId="0" applyFont="1" applyFill="1" applyBorder="1" applyAlignment="1">
      <alignment horizontal="center"/>
    </xf>
    <xf numFmtId="0" fontId="10" fillId="5" borderId="14" xfId="0" applyFont="1" applyFill="1" applyBorder="1" applyAlignment="1">
      <alignment horizontal="center"/>
    </xf>
    <xf numFmtId="0" fontId="10" fillId="5" borderId="15" xfId="0" applyFont="1" applyFill="1" applyBorder="1" applyAlignment="1">
      <alignment horizontal="center"/>
    </xf>
    <xf numFmtId="4" fontId="10" fillId="5" borderId="0" xfId="0" applyNumberFormat="1" applyFont="1" applyFill="1" applyBorder="1" applyAlignment="1">
      <alignment horizontal="center"/>
    </xf>
    <xf numFmtId="4" fontId="10" fillId="5" borderId="16" xfId="0" applyNumberFormat="1" applyFont="1" applyFill="1" applyBorder="1" applyAlignment="1">
      <alignment horizontal="center"/>
    </xf>
    <xf numFmtId="2" fontId="10" fillId="5" borderId="0" xfId="0" applyNumberFormat="1" applyFont="1" applyFill="1" applyBorder="1" applyAlignment="1">
      <alignment horizontal="center"/>
    </xf>
    <xf numFmtId="4" fontId="10" fillId="5" borderId="13" xfId="0" applyNumberFormat="1" applyFont="1" applyFill="1" applyBorder="1" applyAlignment="1">
      <alignment horizontal="center"/>
    </xf>
    <xf numFmtId="4" fontId="10" fillId="5" borderId="4" xfId="0" applyNumberFormat="1" applyFont="1" applyFill="1" applyBorder="1" applyAlignment="1">
      <alignment horizontal="center"/>
    </xf>
    <xf numFmtId="0" fontId="10" fillId="5" borderId="0" xfId="0" applyFont="1" applyFill="1" applyBorder="1"/>
    <xf numFmtId="0" fontId="12" fillId="5" borderId="5" xfId="0" applyFont="1" applyFill="1" applyBorder="1"/>
    <xf numFmtId="4" fontId="10" fillId="5" borderId="14" xfId="0" applyNumberFormat="1" applyFont="1" applyFill="1" applyBorder="1" applyAlignment="1">
      <alignment horizontal="center"/>
    </xf>
    <xf numFmtId="0" fontId="25" fillId="9" borderId="0" xfId="0" applyFont="1" applyFill="1" applyBorder="1"/>
    <xf numFmtId="0" fontId="0" fillId="11" borderId="0" xfId="0" applyFill="1" applyBorder="1"/>
    <xf numFmtId="0" fontId="0" fillId="0" borderId="14" xfId="0" applyBorder="1"/>
    <xf numFmtId="0" fontId="0" fillId="0" borderId="15" xfId="0" applyBorder="1"/>
    <xf numFmtId="2" fontId="5" fillId="0" borderId="11" xfId="0" applyNumberFormat="1" applyFont="1" applyBorder="1" applyAlignment="1">
      <alignment horizontal="center"/>
    </xf>
    <xf numFmtId="2" fontId="4" fillId="0" borderId="13" xfId="0" applyNumberFormat="1" applyFont="1" applyBorder="1" applyAlignment="1">
      <alignment horizontal="center"/>
    </xf>
    <xf numFmtId="2" fontId="4" fillId="0" borderId="13" xfId="0" applyNumberFormat="1" applyFont="1" applyBorder="1" applyAlignment="1">
      <alignment horizontal="center" vertical="center"/>
    </xf>
    <xf numFmtId="2" fontId="10" fillId="2" borderId="13" xfId="0" applyNumberFormat="1" applyFont="1" applyFill="1" applyBorder="1" applyAlignment="1">
      <alignment horizontal="center"/>
    </xf>
    <xf numFmtId="2" fontId="10" fillId="0" borderId="13" xfId="0" applyNumberFormat="1" applyFont="1" applyFill="1" applyBorder="1" applyAlignment="1">
      <alignment horizontal="center"/>
    </xf>
    <xf numFmtId="2" fontId="10" fillId="5" borderId="13" xfId="0" applyNumberFormat="1" applyFont="1" applyFill="1" applyBorder="1" applyAlignment="1">
      <alignment horizontal="center"/>
    </xf>
    <xf numFmtId="2" fontId="2" fillId="4" borderId="2" xfId="0" applyNumberFormat="1" applyFont="1" applyFill="1" applyBorder="1" applyAlignment="1">
      <alignment horizontal="center"/>
    </xf>
    <xf numFmtId="14" fontId="15" fillId="3" borderId="23" xfId="0" applyNumberFormat="1" applyFont="1" applyFill="1" applyBorder="1"/>
    <xf numFmtId="14" fontId="25" fillId="9" borderId="0" xfId="0" applyNumberFormat="1" applyFont="1" applyFill="1" applyBorder="1" applyAlignment="1">
      <alignment horizontal="center"/>
    </xf>
    <xf numFmtId="0" fontId="25" fillId="9" borderId="0" xfId="0" applyFont="1" applyFill="1" applyBorder="1" applyAlignment="1">
      <alignment horizontal="center"/>
    </xf>
    <xf numFmtId="14" fontId="0" fillId="10" borderId="0" xfId="0" applyNumberFormat="1" applyFill="1" applyBorder="1" applyAlignment="1">
      <alignment horizontal="center"/>
    </xf>
    <xf numFmtId="0" fontId="0" fillId="10" borderId="0" xfId="0" applyFill="1" applyBorder="1" applyAlignment="1">
      <alignment horizontal="center"/>
    </xf>
    <xf numFmtId="2" fontId="0" fillId="10" borderId="0" xfId="0" applyNumberFormat="1" applyFill="1" applyBorder="1" applyAlignment="1">
      <alignment horizontal="center"/>
    </xf>
    <xf numFmtId="14" fontId="13" fillId="11" borderId="0" xfId="0" applyNumberFormat="1" applyFont="1" applyFill="1" applyBorder="1" applyAlignment="1">
      <alignment horizontal="center"/>
    </xf>
    <xf numFmtId="0" fontId="13" fillId="11" borderId="0" xfId="0" applyFont="1" applyFill="1" applyBorder="1" applyAlignment="1">
      <alignment horizontal="center"/>
    </xf>
    <xf numFmtId="2" fontId="13" fillId="11" borderId="0" xfId="0" applyNumberFormat="1" applyFont="1" applyFill="1" applyBorder="1" applyAlignment="1">
      <alignment horizontal="center"/>
    </xf>
    <xf numFmtId="2" fontId="13" fillId="12" borderId="0" xfId="0" applyNumberFormat="1" applyFont="1" applyFill="1" applyBorder="1" applyAlignment="1">
      <alignment horizontal="center"/>
    </xf>
    <xf numFmtId="0" fontId="13" fillId="12" borderId="0" xfId="0" applyFont="1" applyFill="1" applyBorder="1" applyAlignment="1">
      <alignment horizontal="center"/>
    </xf>
    <xf numFmtId="0" fontId="12" fillId="12" borderId="0" xfId="0" applyFont="1" applyFill="1" applyBorder="1"/>
    <xf numFmtId="14" fontId="13" fillId="5" borderId="0" xfId="0" applyNumberFormat="1" applyFont="1" applyFill="1" applyBorder="1" applyAlignment="1">
      <alignment horizontal="center"/>
    </xf>
    <xf numFmtId="0" fontId="13" fillId="5" borderId="0" xfId="0" applyFont="1" applyFill="1" applyBorder="1" applyAlignment="1">
      <alignment horizontal="center"/>
    </xf>
    <xf numFmtId="2" fontId="13" fillId="5" borderId="0" xfId="0" applyNumberFormat="1" applyFont="1" applyFill="1" applyBorder="1" applyAlignment="1">
      <alignment horizontal="center"/>
    </xf>
    <xf numFmtId="2" fontId="13" fillId="8" borderId="0" xfId="0" applyNumberFormat="1" applyFont="1" applyFill="1" applyBorder="1" applyAlignment="1">
      <alignment horizontal="center"/>
    </xf>
    <xf numFmtId="0" fontId="13" fillId="8" borderId="0" xfId="0" applyFont="1" applyFill="1" applyBorder="1" applyAlignment="1">
      <alignment horizontal="center"/>
    </xf>
    <xf numFmtId="0" fontId="12" fillId="8" borderId="0" xfId="0" applyFont="1" applyFill="1" applyBorder="1"/>
    <xf numFmtId="14" fontId="13" fillId="5" borderId="4" xfId="0" applyNumberFormat="1" applyFont="1" applyFill="1" applyBorder="1" applyAlignment="1">
      <alignment horizontal="center"/>
    </xf>
    <xf numFmtId="0" fontId="13" fillId="5" borderId="14" xfId="0" applyFont="1" applyFill="1" applyBorder="1" applyAlignment="1">
      <alignment horizontal="center"/>
    </xf>
    <xf numFmtId="0" fontId="13" fillId="5" borderId="15" xfId="0" applyFont="1" applyFill="1" applyBorder="1" applyAlignment="1">
      <alignment horizontal="center"/>
    </xf>
    <xf numFmtId="2" fontId="13" fillId="5" borderId="13" xfId="0" applyNumberFormat="1" applyFont="1" applyFill="1" applyBorder="1" applyAlignment="1">
      <alignment horizontal="center"/>
    </xf>
    <xf numFmtId="2" fontId="13" fillId="8" borderId="16" xfId="0" applyNumberFormat="1" applyFont="1" applyFill="1" applyBorder="1" applyAlignment="1">
      <alignment horizontal="center"/>
    </xf>
    <xf numFmtId="2" fontId="13" fillId="8" borderId="13" xfId="0" applyNumberFormat="1" applyFont="1" applyFill="1" applyBorder="1" applyAlignment="1">
      <alignment horizontal="center"/>
    </xf>
    <xf numFmtId="0" fontId="12" fillId="8" borderId="4" xfId="0" applyFont="1" applyFill="1" applyBorder="1"/>
    <xf numFmtId="0" fontId="12" fillId="8" borderId="5" xfId="0" applyFont="1" applyFill="1" applyBorder="1"/>
    <xf numFmtId="0" fontId="12" fillId="8" borderId="14" xfId="0" applyFont="1" applyFill="1" applyBorder="1"/>
    <xf numFmtId="2" fontId="13" fillId="8" borderId="14" xfId="0" applyNumberFormat="1" applyFont="1" applyFill="1" applyBorder="1" applyAlignment="1">
      <alignment horizontal="center"/>
    </xf>
    <xf numFmtId="4" fontId="0" fillId="0" borderId="6" xfId="0" applyNumberFormat="1" applyFont="1" applyBorder="1" applyAlignment="1">
      <alignment horizontal="center"/>
    </xf>
    <xf numFmtId="2" fontId="13" fillId="5" borderId="5" xfId="0" applyNumberFormat="1" applyFont="1" applyFill="1" applyBorder="1" applyAlignment="1">
      <alignment horizontal="center"/>
    </xf>
    <xf numFmtId="0" fontId="0" fillId="0" borderId="16" xfId="0" applyBorder="1"/>
    <xf numFmtId="0" fontId="13" fillId="8" borderId="5" xfId="0" applyFont="1" applyFill="1" applyBorder="1" applyAlignment="1">
      <alignment horizontal="center"/>
    </xf>
    <xf numFmtId="2" fontId="0" fillId="0" borderId="6" xfId="0" applyNumberFormat="1" applyFont="1" applyBorder="1" applyAlignment="1">
      <alignment horizontal="center"/>
    </xf>
    <xf numFmtId="0" fontId="25" fillId="9" borderId="14" xfId="0" applyFont="1" applyFill="1" applyBorder="1" applyAlignment="1">
      <alignment horizontal="center"/>
    </xf>
    <xf numFmtId="0" fontId="25" fillId="9" borderId="14" xfId="0" applyFont="1" applyFill="1" applyBorder="1"/>
    <xf numFmtId="0" fontId="25" fillId="9" borderId="15" xfId="0" applyFont="1" applyFill="1" applyBorder="1" applyAlignment="1">
      <alignment horizontal="center"/>
    </xf>
    <xf numFmtId="2" fontId="25" fillId="9" borderId="14" xfId="0" applyNumberFormat="1" applyFont="1" applyFill="1" applyBorder="1" applyAlignment="1">
      <alignment horizontal="center"/>
    </xf>
    <xf numFmtId="0" fontId="25" fillId="9" borderId="16" xfId="0" applyFont="1" applyFill="1" applyBorder="1" applyAlignment="1">
      <alignment horizontal="center"/>
    </xf>
    <xf numFmtId="0" fontId="25" fillId="9" borderId="16" xfId="0" applyFont="1" applyFill="1" applyBorder="1"/>
    <xf numFmtId="0" fontId="25" fillId="9" borderId="5" xfId="0" applyFont="1" applyFill="1" applyBorder="1" applyAlignment="1">
      <alignment horizontal="center"/>
    </xf>
    <xf numFmtId="0" fontId="25" fillId="9" borderId="5" xfId="0" applyFont="1" applyFill="1" applyBorder="1"/>
    <xf numFmtId="4" fontId="0" fillId="0" borderId="8" xfId="0" applyNumberFormat="1" applyFont="1" applyBorder="1" applyAlignment="1">
      <alignment horizontal="center"/>
    </xf>
    <xf numFmtId="4" fontId="0" fillId="0" borderId="20" xfId="0" applyNumberFormat="1" applyFont="1" applyBorder="1" applyAlignment="1">
      <alignment horizontal="center"/>
    </xf>
    <xf numFmtId="0" fontId="25" fillId="9" borderId="26" xfId="0" applyFont="1" applyFill="1" applyBorder="1" applyAlignment="1">
      <alignment horizontal="center"/>
    </xf>
    <xf numFmtId="0" fontId="25" fillId="9" borderId="26" xfId="0" applyFont="1" applyFill="1" applyBorder="1"/>
    <xf numFmtId="4" fontId="5" fillId="0" borderId="18" xfId="0" applyNumberFormat="1" applyFont="1" applyBorder="1" applyAlignment="1">
      <alignment horizontal="center" vertical="top"/>
    </xf>
    <xf numFmtId="0" fontId="12" fillId="0" borderId="0"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2" fontId="12" fillId="0" borderId="0" xfId="0" applyNumberFormat="1" applyFont="1" applyBorder="1" applyAlignment="1">
      <alignment horizontal="center" vertical="center"/>
    </xf>
    <xf numFmtId="0" fontId="12" fillId="0" borderId="5" xfId="0" applyFont="1" applyBorder="1" applyAlignment="1">
      <alignment horizontal="center" vertical="center"/>
    </xf>
    <xf numFmtId="0" fontId="12" fillId="0" borderId="16" xfId="0" applyFont="1" applyBorder="1" applyAlignment="1">
      <alignment horizontal="center" vertical="center"/>
    </xf>
    <xf numFmtId="0" fontId="0" fillId="6" borderId="0" xfId="0" applyFill="1" applyBorder="1" applyAlignment="1">
      <alignment horizontal="center" vertical="center"/>
    </xf>
    <xf numFmtId="0" fontId="0" fillId="6" borderId="5" xfId="0" applyFill="1" applyBorder="1" applyAlignment="1">
      <alignment horizontal="center" vertical="center"/>
    </xf>
    <xf numFmtId="0" fontId="0" fillId="0" borderId="5" xfId="0" applyBorder="1" applyAlignment="1">
      <alignment horizontal="center" vertical="center"/>
    </xf>
    <xf numFmtId="2" fontId="13" fillId="11" borderId="5" xfId="0" applyNumberFormat="1" applyFont="1" applyFill="1" applyBorder="1" applyAlignment="1">
      <alignment horizontal="center"/>
    </xf>
    <xf numFmtId="0" fontId="13" fillId="12" borderId="16" xfId="0" applyFont="1" applyFill="1" applyBorder="1" applyAlignment="1">
      <alignment horizontal="center"/>
    </xf>
    <xf numFmtId="2" fontId="13" fillId="12" borderId="16" xfId="0" applyNumberFormat="1" applyFont="1" applyFill="1" applyBorder="1" applyAlignment="1">
      <alignment horizontal="center"/>
    </xf>
    <xf numFmtId="0" fontId="13" fillId="12" borderId="5" xfId="0" applyFont="1" applyFill="1" applyBorder="1" applyAlignment="1">
      <alignment horizontal="center"/>
    </xf>
    <xf numFmtId="0" fontId="12" fillId="12" borderId="5" xfId="0" applyFont="1" applyFill="1" applyBorder="1"/>
    <xf numFmtId="0" fontId="13" fillId="11" borderId="14" xfId="0" applyFont="1" applyFill="1" applyBorder="1" applyAlignment="1">
      <alignment horizontal="center"/>
    </xf>
    <xf numFmtId="2" fontId="13" fillId="12" borderId="14" xfId="0" applyNumberFormat="1" applyFont="1" applyFill="1" applyBorder="1" applyAlignment="1">
      <alignment horizontal="center"/>
    </xf>
    <xf numFmtId="164" fontId="5" fillId="0" borderId="6" xfId="0" applyNumberFormat="1" applyFont="1" applyBorder="1" applyAlignment="1">
      <alignment horizontal="center" vertical="center"/>
    </xf>
    <xf numFmtId="0" fontId="5" fillId="0" borderId="7"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4" fontId="0" fillId="0" borderId="7" xfId="0" applyNumberFormat="1" applyFont="1" applyBorder="1" applyAlignment="1">
      <alignment horizontal="center" vertical="center"/>
    </xf>
    <xf numFmtId="4" fontId="0" fillId="0" borderId="8" xfId="0" applyNumberFormat="1" applyFont="1" applyBorder="1" applyAlignment="1">
      <alignment horizontal="center" vertical="center"/>
    </xf>
    <xf numFmtId="4" fontId="0" fillId="0" borderId="20" xfId="0" applyNumberFormat="1" applyFont="1" applyBorder="1" applyAlignment="1">
      <alignment horizontal="center" vertical="center"/>
    </xf>
    <xf numFmtId="4" fontId="5" fillId="0" borderId="18" xfId="0" applyNumberFormat="1" applyFont="1" applyBorder="1" applyAlignment="1">
      <alignment horizontal="center" vertical="center"/>
    </xf>
    <xf numFmtId="4" fontId="5" fillId="0" borderId="7" xfId="0" applyNumberFormat="1" applyFont="1" applyBorder="1" applyAlignment="1">
      <alignment horizontal="center" vertical="center"/>
    </xf>
    <xf numFmtId="4" fontId="5" fillId="0" borderId="6" xfId="0" applyNumberFormat="1" applyFont="1" applyBorder="1" applyAlignment="1">
      <alignment horizontal="center" vertical="center"/>
    </xf>
    <xf numFmtId="4" fontId="10" fillId="0" borderId="7" xfId="0" applyNumberFormat="1" applyFont="1" applyBorder="1" applyAlignment="1">
      <alignment horizontal="center" vertical="center"/>
    </xf>
    <xf numFmtId="4" fontId="10" fillId="0" borderId="8" xfId="0" applyNumberFormat="1" applyFont="1" applyBorder="1" applyAlignment="1">
      <alignment horizontal="center" vertical="center"/>
    </xf>
    <xf numFmtId="2" fontId="0" fillId="0" borderId="7" xfId="0" applyNumberFormat="1" applyFont="1" applyBorder="1" applyAlignment="1">
      <alignment horizontal="center" vertical="center"/>
    </xf>
    <xf numFmtId="0" fontId="5" fillId="0" borderId="8" xfId="0" applyFont="1" applyBorder="1" applyAlignment="1">
      <alignment horizontal="center" vertical="center"/>
    </xf>
    <xf numFmtId="0" fontId="0" fillId="10" borderId="5" xfId="0" applyFill="1" applyBorder="1" applyAlignment="1">
      <alignment horizontal="center"/>
    </xf>
    <xf numFmtId="0" fontId="0" fillId="0" borderId="16" xfId="0" applyBorder="1" applyAlignment="1">
      <alignment horizontal="center"/>
    </xf>
    <xf numFmtId="0" fontId="0" fillId="10" borderId="16" xfId="0" applyFill="1" applyBorder="1" applyAlignment="1">
      <alignment horizontal="center"/>
    </xf>
    <xf numFmtId="0" fontId="0" fillId="0" borderId="14" xfId="0" applyBorder="1" applyAlignment="1">
      <alignment horizontal="center"/>
    </xf>
    <xf numFmtId="0" fontId="0" fillId="10" borderId="14" xfId="0" applyFill="1" applyBorder="1" applyAlignment="1">
      <alignment horizontal="center"/>
    </xf>
    <xf numFmtId="0" fontId="0" fillId="0" borderId="15" xfId="0" applyBorder="1" applyAlignment="1">
      <alignment horizontal="center"/>
    </xf>
    <xf numFmtId="0" fontId="0" fillId="10" borderId="15" xfId="0" applyFill="1" applyBorder="1" applyAlignment="1">
      <alignment horizontal="center"/>
    </xf>
    <xf numFmtId="2" fontId="0" fillId="10" borderId="14" xfId="0" applyNumberFormat="1" applyFill="1" applyBorder="1" applyAlignment="1">
      <alignment horizontal="center"/>
    </xf>
    <xf numFmtId="2" fontId="0" fillId="0" borderId="0" xfId="0" applyNumberFormat="1" applyBorder="1" applyAlignment="1">
      <alignment horizontal="center"/>
    </xf>
    <xf numFmtId="0" fontId="0" fillId="13" borderId="0" xfId="0" applyFill="1" applyBorder="1"/>
    <xf numFmtId="14" fontId="0" fillId="13" borderId="0" xfId="0" applyNumberFormat="1" applyFill="1" applyBorder="1" applyAlignment="1">
      <alignment horizontal="center"/>
    </xf>
    <xf numFmtId="0" fontId="0" fillId="13" borderId="0" xfId="0" applyFill="1" applyBorder="1" applyAlignment="1">
      <alignment horizontal="center"/>
    </xf>
    <xf numFmtId="2" fontId="0" fillId="13" borderId="0" xfId="0" applyNumberFormat="1" applyFill="1" applyBorder="1" applyAlignment="1">
      <alignment horizontal="center"/>
    </xf>
    <xf numFmtId="0" fontId="0" fillId="13" borderId="14" xfId="0" applyFill="1" applyBorder="1" applyAlignment="1">
      <alignment horizontal="center"/>
    </xf>
    <xf numFmtId="0" fontId="0" fillId="13" borderId="15" xfId="0" applyFill="1" applyBorder="1" applyAlignment="1">
      <alignment horizontal="center"/>
    </xf>
    <xf numFmtId="2" fontId="0" fillId="13" borderId="14" xfId="0" applyNumberFormat="1" applyFill="1" applyBorder="1" applyAlignment="1">
      <alignment horizontal="center"/>
    </xf>
    <xf numFmtId="2" fontId="0" fillId="13" borderId="5" xfId="0" applyNumberFormat="1" applyFill="1" applyBorder="1" applyAlignment="1">
      <alignment horizontal="center"/>
    </xf>
    <xf numFmtId="0" fontId="0" fillId="13" borderId="5" xfId="0" applyFill="1" applyBorder="1" applyAlignment="1">
      <alignment horizontal="center"/>
    </xf>
    <xf numFmtId="0" fontId="0" fillId="13" borderId="5" xfId="0" applyFill="1" applyBorder="1"/>
    <xf numFmtId="0" fontId="0" fillId="13" borderId="16" xfId="0" applyFill="1" applyBorder="1" applyAlignment="1">
      <alignment horizontal="center"/>
    </xf>
    <xf numFmtId="2" fontId="10" fillId="2" borderId="4" xfId="0" applyNumberFormat="1" applyFont="1" applyFill="1" applyBorder="1" applyAlignment="1">
      <alignment horizontal="center"/>
    </xf>
    <xf numFmtId="2" fontId="10" fillId="0" borderId="4" xfId="0" applyNumberFormat="1" applyFont="1" applyFill="1" applyBorder="1" applyAlignment="1">
      <alignment horizontal="center"/>
    </xf>
    <xf numFmtId="2" fontId="10" fillId="5" borderId="4" xfId="0" applyNumberFormat="1" applyFont="1" applyFill="1" applyBorder="1" applyAlignment="1">
      <alignment horizontal="center"/>
    </xf>
    <xf numFmtId="2" fontId="13" fillId="8" borderId="4" xfId="0" applyNumberFormat="1" applyFont="1" applyFill="1" applyBorder="1" applyAlignment="1">
      <alignment horizontal="center"/>
    </xf>
    <xf numFmtId="14"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5" xfId="0" applyFont="1" applyFill="1" applyBorder="1" applyAlignment="1">
      <alignment horizontal="center" vertical="center"/>
    </xf>
    <xf numFmtId="2" fontId="12" fillId="0" borderId="0"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12" fillId="0" borderId="5" xfId="0" applyFont="1" applyFill="1" applyBorder="1" applyAlignment="1">
      <alignment horizontal="center" vertical="center"/>
    </xf>
    <xf numFmtId="0" fontId="0" fillId="0" borderId="5" xfId="0" applyFill="1" applyBorder="1" applyAlignment="1">
      <alignment horizontal="center" vertical="center"/>
    </xf>
    <xf numFmtId="0" fontId="0" fillId="0" borderId="0" xfId="0" applyFill="1" applyBorder="1" applyAlignment="1">
      <alignment horizontal="center" vertical="center"/>
    </xf>
    <xf numFmtId="14" fontId="12" fillId="6" borderId="0" xfId="0" applyNumberFormat="1" applyFont="1" applyFill="1" applyBorder="1" applyAlignment="1">
      <alignment horizontal="center" vertical="center"/>
    </xf>
    <xf numFmtId="0" fontId="12" fillId="6" borderId="0" xfId="0" applyFont="1" applyFill="1" applyBorder="1" applyAlignment="1">
      <alignment horizontal="center" vertical="center"/>
    </xf>
    <xf numFmtId="0" fontId="12" fillId="6" borderId="14" xfId="0" applyFont="1" applyFill="1" applyBorder="1" applyAlignment="1">
      <alignment horizontal="center" vertical="center"/>
    </xf>
    <xf numFmtId="0" fontId="12" fillId="6" borderId="15" xfId="0" applyFont="1" applyFill="1" applyBorder="1" applyAlignment="1">
      <alignment horizontal="center" vertical="center"/>
    </xf>
    <xf numFmtId="2" fontId="12" fillId="6" borderId="0" xfId="0" applyNumberFormat="1" applyFont="1" applyFill="1" applyBorder="1" applyAlignment="1">
      <alignment horizontal="center" vertical="center"/>
    </xf>
    <xf numFmtId="2" fontId="12" fillId="6" borderId="5" xfId="0" applyNumberFormat="1" applyFont="1" applyFill="1" applyBorder="1" applyAlignment="1">
      <alignment horizontal="center" vertical="center"/>
    </xf>
    <xf numFmtId="0" fontId="12" fillId="6" borderId="16" xfId="0" applyFont="1" applyFill="1" applyBorder="1" applyAlignment="1">
      <alignment horizontal="center" vertical="center"/>
    </xf>
    <xf numFmtId="2" fontId="12" fillId="6" borderId="14" xfId="0" applyNumberFormat="1" applyFont="1" applyFill="1" applyBorder="1" applyAlignment="1">
      <alignment horizontal="center" vertical="center"/>
    </xf>
    <xf numFmtId="2" fontId="12" fillId="6" borderId="15" xfId="0" applyNumberFormat="1" applyFont="1" applyFill="1" applyBorder="1" applyAlignment="1">
      <alignment horizontal="center" vertical="center"/>
    </xf>
    <xf numFmtId="0" fontId="12" fillId="6" borderId="5" xfId="0" applyFont="1" applyFill="1" applyBorder="1" applyAlignment="1">
      <alignment horizontal="center" vertical="center"/>
    </xf>
    <xf numFmtId="14" fontId="10" fillId="7" borderId="0" xfId="0" applyNumberFormat="1" applyFont="1" applyFill="1" applyBorder="1" applyAlignment="1">
      <alignment horizontal="center"/>
    </xf>
    <xf numFmtId="0" fontId="10" fillId="7" borderId="0" xfId="0" applyFont="1" applyFill="1" applyBorder="1" applyAlignment="1">
      <alignment horizontal="center"/>
    </xf>
    <xf numFmtId="4" fontId="10" fillId="7" borderId="0" xfId="0" applyNumberFormat="1" applyFont="1" applyFill="1" applyBorder="1" applyAlignment="1">
      <alignment horizontal="center"/>
    </xf>
    <xf numFmtId="0" fontId="12" fillId="14" borderId="0" xfId="0" applyFont="1" applyFill="1" applyBorder="1" applyAlignment="1">
      <alignment horizontal="center"/>
    </xf>
    <xf numFmtId="2" fontId="12" fillId="14" borderId="0" xfId="0" applyNumberFormat="1" applyFont="1" applyFill="1" applyBorder="1" applyAlignment="1">
      <alignment horizontal="center"/>
    </xf>
    <xf numFmtId="0" fontId="12" fillId="14" borderId="0" xfId="0" applyFont="1" applyFill="1" applyBorder="1"/>
    <xf numFmtId="0" fontId="0" fillId="14" borderId="0" xfId="0" applyFill="1" applyBorder="1"/>
    <xf numFmtId="14" fontId="12" fillId="14" borderId="0" xfId="0" applyNumberFormat="1" applyFont="1" applyFill="1" applyBorder="1" applyAlignment="1">
      <alignment horizontal="center"/>
    </xf>
    <xf numFmtId="2" fontId="25" fillId="9" borderId="0" xfId="0" applyNumberFormat="1" applyFont="1" applyFill="1" applyBorder="1" applyAlignment="1">
      <alignment horizontal="center"/>
    </xf>
    <xf numFmtId="2" fontId="25" fillId="9" borderId="0" xfId="0" applyNumberFormat="1" applyFont="1" applyFill="1" applyBorder="1"/>
    <xf numFmtId="2" fontId="25" fillId="9" borderId="14" xfId="0" applyNumberFormat="1" applyFont="1" applyFill="1" applyBorder="1"/>
    <xf numFmtId="0" fontId="2" fillId="0" borderId="0" xfId="0" applyFont="1" applyFill="1" applyBorder="1" applyAlignment="1"/>
    <xf numFmtId="0" fontId="11" fillId="0" borderId="0" xfId="0" applyFont="1" applyBorder="1"/>
    <xf numFmtId="0" fontId="11" fillId="0" borderId="0" xfId="0" applyFont="1" applyBorder="1" applyAlignment="1">
      <alignment horizontal="center"/>
    </xf>
    <xf numFmtId="14" fontId="0" fillId="0" borderId="0" xfId="0" applyNumberFormat="1" applyBorder="1" applyAlignment="1">
      <alignment horizontal="center"/>
    </xf>
    <xf numFmtId="4" fontId="0" fillId="0" borderId="0" xfId="0" applyNumberFormat="1" applyBorder="1" applyAlignment="1">
      <alignment horizontal="center"/>
    </xf>
    <xf numFmtId="0" fontId="26" fillId="0" borderId="13" xfId="0" applyFont="1" applyBorder="1" applyAlignment="1">
      <alignment horizontal="center"/>
    </xf>
    <xf numFmtId="0" fontId="2" fillId="0" borderId="14" xfId="0" applyFont="1" applyBorder="1" applyAlignment="1">
      <alignment horizontal="center"/>
    </xf>
    <xf numFmtId="2" fontId="0" fillId="0" borderId="14" xfId="0" applyNumberFormat="1" applyBorder="1" applyAlignment="1">
      <alignment horizontal="center"/>
    </xf>
    <xf numFmtId="0" fontId="0" fillId="0" borderId="23" xfId="0" applyBorder="1" applyAlignment="1">
      <alignment horizontal="center"/>
    </xf>
    <xf numFmtId="14" fontId="0" fillId="0" borderId="23" xfId="0" applyNumberFormat="1" applyBorder="1" applyAlignment="1">
      <alignment horizontal="center"/>
    </xf>
    <xf numFmtId="2" fontId="0" fillId="0" borderId="23" xfId="0" applyNumberFormat="1" applyBorder="1" applyAlignment="1">
      <alignment horizontal="center"/>
    </xf>
    <xf numFmtId="2" fontId="0" fillId="0" borderId="22" xfId="0" applyNumberFormat="1" applyBorder="1" applyAlignment="1">
      <alignment horizontal="center"/>
    </xf>
    <xf numFmtId="2" fontId="13" fillId="12" borderId="5" xfId="0" applyNumberFormat="1" applyFont="1" applyFill="1" applyBorder="1" applyAlignment="1">
      <alignment horizontal="center"/>
    </xf>
    <xf numFmtId="14" fontId="27" fillId="13" borderId="0" xfId="0" applyNumberFormat="1" applyFont="1" applyFill="1" applyBorder="1" applyAlignment="1">
      <alignment horizontal="center"/>
    </xf>
    <xf numFmtId="0" fontId="27" fillId="13" borderId="0" xfId="0" applyFont="1" applyFill="1" applyBorder="1" applyAlignment="1">
      <alignment horizontal="center"/>
    </xf>
    <xf numFmtId="2" fontId="27" fillId="13" borderId="0" xfId="0" applyNumberFormat="1" applyFont="1" applyFill="1" applyBorder="1" applyAlignment="1">
      <alignment horizontal="center"/>
    </xf>
    <xf numFmtId="0" fontId="27" fillId="13" borderId="0" xfId="0" applyFont="1" applyFill="1" applyBorder="1"/>
    <xf numFmtId="0" fontId="25" fillId="13" borderId="0" xfId="0" applyFont="1" applyFill="1" applyBorder="1"/>
    <xf numFmtId="0" fontId="27" fillId="13" borderId="15" xfId="0" applyFont="1" applyFill="1" applyBorder="1" applyAlignment="1">
      <alignment horizontal="center"/>
    </xf>
    <xf numFmtId="0" fontId="27" fillId="13" borderId="14" xfId="0" applyFont="1" applyFill="1" applyBorder="1" applyAlignment="1">
      <alignment horizontal="center"/>
    </xf>
    <xf numFmtId="2" fontId="27" fillId="13" borderId="5" xfId="0" applyNumberFormat="1" applyFont="1" applyFill="1" applyBorder="1" applyAlignment="1">
      <alignment horizontal="center"/>
    </xf>
    <xf numFmtId="0" fontId="27" fillId="13" borderId="16" xfId="0" applyFont="1" applyFill="1" applyBorder="1" applyAlignment="1">
      <alignment horizontal="center"/>
    </xf>
    <xf numFmtId="0" fontId="27" fillId="13" borderId="5" xfId="0" applyFont="1" applyFill="1" applyBorder="1" applyAlignment="1">
      <alignment horizontal="center"/>
    </xf>
    <xf numFmtId="2" fontId="27" fillId="13" borderId="15" xfId="0" applyNumberFormat="1" applyFont="1" applyFill="1" applyBorder="1" applyAlignment="1">
      <alignment horizontal="center"/>
    </xf>
    <xf numFmtId="0" fontId="27" fillId="13" borderId="5" xfId="0" applyFont="1" applyFill="1" applyBorder="1"/>
    <xf numFmtId="0" fontId="0" fillId="0" borderId="5" xfId="0" applyFill="1" applyBorder="1"/>
    <xf numFmtId="0" fontId="25" fillId="13" borderId="5" xfId="0" applyFont="1" applyFill="1" applyBorder="1"/>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5" xfId="0" applyFill="1" applyBorder="1" applyAlignment="1">
      <alignment horizontal="center"/>
    </xf>
    <xf numFmtId="0" fontId="0" fillId="2" borderId="16" xfId="0" applyFill="1" applyBorder="1" applyAlignment="1">
      <alignment horizontal="center"/>
    </xf>
    <xf numFmtId="2" fontId="0" fillId="2" borderId="14" xfId="0" applyNumberFormat="1" applyFill="1" applyBorder="1" applyAlignment="1">
      <alignment horizontal="center"/>
    </xf>
    <xf numFmtId="2" fontId="0" fillId="2" borderId="0" xfId="0" applyNumberFormat="1" applyFill="1" applyBorder="1" applyAlignment="1">
      <alignment horizontal="center"/>
    </xf>
    <xf numFmtId="0" fontId="0" fillId="2" borderId="0" xfId="0" applyFill="1" applyBorder="1"/>
    <xf numFmtId="0" fontId="12" fillId="0" borderId="5" xfId="0" applyFont="1" applyBorder="1" applyAlignment="1">
      <alignment horizontal="center"/>
    </xf>
    <xf numFmtId="0" fontId="12" fillId="14" borderId="5" xfId="0" applyFont="1" applyFill="1" applyBorder="1" applyAlignment="1">
      <alignment horizontal="center"/>
    </xf>
    <xf numFmtId="2" fontId="12" fillId="14" borderId="5" xfId="0" applyNumberFormat="1" applyFont="1" applyFill="1" applyBorder="1" applyAlignment="1">
      <alignment horizontal="center"/>
    </xf>
    <xf numFmtId="0" fontId="12" fillId="0" borderId="16" xfId="0" applyFont="1" applyBorder="1" applyAlignment="1">
      <alignment horizontal="center"/>
    </xf>
    <xf numFmtId="0" fontId="12" fillId="14" borderId="16" xfId="0" applyFont="1" applyFill="1" applyBorder="1" applyAlignment="1">
      <alignment horizontal="center"/>
    </xf>
    <xf numFmtId="0" fontId="12" fillId="0" borderId="5" xfId="0" applyFont="1" applyBorder="1"/>
    <xf numFmtId="0" fontId="12" fillId="14" borderId="5" xfId="0" applyFont="1" applyFill="1" applyBorder="1"/>
    <xf numFmtId="0" fontId="0" fillId="14" borderId="5" xfId="0" applyFill="1" applyBorder="1"/>
    <xf numFmtId="0" fontId="12" fillId="0" borderId="14" xfId="0" applyFont="1" applyBorder="1" applyAlignment="1">
      <alignment horizontal="center"/>
    </xf>
    <xf numFmtId="0" fontId="12" fillId="14" borderId="14" xfId="0" applyFont="1" applyFill="1" applyBorder="1" applyAlignment="1">
      <alignment horizontal="center"/>
    </xf>
    <xf numFmtId="0" fontId="12" fillId="0" borderId="15" xfId="0" applyFont="1" applyBorder="1" applyAlignment="1">
      <alignment horizontal="center"/>
    </xf>
    <xf numFmtId="0" fontId="12" fillId="14" borderId="15" xfId="0" applyFont="1" applyFill="1" applyBorder="1" applyAlignment="1">
      <alignment horizontal="center"/>
    </xf>
    <xf numFmtId="2" fontId="12" fillId="14" borderId="14" xfId="0" applyNumberFormat="1" applyFont="1" applyFill="1" applyBorder="1" applyAlignment="1">
      <alignment horizontal="center"/>
    </xf>
    <xf numFmtId="14" fontId="0" fillId="14" borderId="0" xfId="0" applyNumberFormat="1" applyFill="1" applyBorder="1" applyAlignment="1">
      <alignment horizontal="center"/>
    </xf>
    <xf numFmtId="0" fontId="0" fillId="14" borderId="0" xfId="0" applyFill="1" applyBorder="1" applyAlignment="1">
      <alignment horizontal="center"/>
    </xf>
    <xf numFmtId="0" fontId="0" fillId="14" borderId="14" xfId="0" applyFill="1" applyBorder="1" applyAlignment="1">
      <alignment horizontal="center"/>
    </xf>
    <xf numFmtId="0" fontId="0" fillId="14" borderId="15" xfId="0" applyFill="1" applyBorder="1" applyAlignment="1">
      <alignment horizontal="center"/>
    </xf>
    <xf numFmtId="0" fontId="0" fillId="14" borderId="5" xfId="0" applyFill="1" applyBorder="1" applyAlignment="1">
      <alignment horizontal="center"/>
    </xf>
    <xf numFmtId="0" fontId="0" fillId="14" borderId="16" xfId="0" applyFill="1" applyBorder="1" applyAlignment="1">
      <alignment horizontal="center"/>
    </xf>
    <xf numFmtId="2" fontId="0" fillId="14" borderId="14" xfId="0" applyNumberFormat="1" applyFill="1" applyBorder="1" applyAlignment="1">
      <alignment horizontal="center"/>
    </xf>
    <xf numFmtId="2" fontId="0" fillId="14" borderId="0" xfId="0" applyNumberFormat="1" applyFill="1" applyBorder="1" applyAlignment="1">
      <alignment horizontal="center"/>
    </xf>
    <xf numFmtId="14" fontId="12" fillId="15" borderId="0" xfId="0" applyNumberFormat="1" applyFont="1" applyFill="1" applyBorder="1" applyAlignment="1">
      <alignment horizontal="center" vertical="center"/>
    </xf>
    <xf numFmtId="0" fontId="12" fillId="15" borderId="0" xfId="0" applyFont="1" applyFill="1" applyBorder="1" applyAlignment="1">
      <alignment horizontal="center" vertical="center"/>
    </xf>
    <xf numFmtId="0" fontId="12" fillId="15" borderId="14" xfId="0" applyFont="1" applyFill="1" applyBorder="1" applyAlignment="1">
      <alignment horizontal="center" vertical="center"/>
    </xf>
    <xf numFmtId="0" fontId="12" fillId="15" borderId="15" xfId="0" applyFont="1" applyFill="1" applyBorder="1" applyAlignment="1">
      <alignment horizontal="center" vertical="center"/>
    </xf>
    <xf numFmtId="2" fontId="12" fillId="15" borderId="0" xfId="0" applyNumberFormat="1" applyFont="1" applyFill="1" applyBorder="1" applyAlignment="1">
      <alignment horizontal="center" vertical="center"/>
    </xf>
    <xf numFmtId="2" fontId="12" fillId="15" borderId="5" xfId="0" applyNumberFormat="1" applyFont="1" applyFill="1" applyBorder="1" applyAlignment="1">
      <alignment horizontal="center" vertical="center"/>
    </xf>
    <xf numFmtId="0" fontId="12" fillId="15" borderId="16" xfId="0" applyFont="1" applyFill="1" applyBorder="1" applyAlignment="1">
      <alignment horizontal="center" vertical="center"/>
    </xf>
    <xf numFmtId="0" fontId="12" fillId="15" borderId="5" xfId="0" applyFont="1" applyFill="1" applyBorder="1" applyAlignment="1">
      <alignment horizontal="center" vertical="center"/>
    </xf>
    <xf numFmtId="0" fontId="0" fillId="15" borderId="5" xfId="0" applyFill="1" applyBorder="1" applyAlignment="1">
      <alignment horizontal="center" vertical="center"/>
    </xf>
    <xf numFmtId="0" fontId="0" fillId="15" borderId="0" xfId="0" applyFill="1" applyBorder="1" applyAlignment="1">
      <alignment horizontal="center" vertical="center"/>
    </xf>
    <xf numFmtId="2" fontId="12" fillId="6" borderId="16" xfId="0" applyNumberFormat="1" applyFont="1" applyFill="1" applyBorder="1" applyAlignment="1">
      <alignment horizontal="center" vertical="center"/>
    </xf>
    <xf numFmtId="0" fontId="12" fillId="0" borderId="17" xfId="0" applyFont="1" applyBorder="1" applyAlignment="1">
      <alignment horizontal="center"/>
    </xf>
    <xf numFmtId="2" fontId="0" fillId="13" borderId="16" xfId="0" applyNumberFormat="1" applyFill="1" applyBorder="1" applyAlignment="1">
      <alignment horizontal="center"/>
    </xf>
    <xf numFmtId="14" fontId="10" fillId="0" borderId="0" xfId="0" applyNumberFormat="1" applyFont="1" applyFill="1" applyBorder="1" applyAlignment="1">
      <alignment horizontal="center"/>
    </xf>
    <xf numFmtId="14" fontId="10" fillId="11" borderId="0" xfId="0" applyNumberFormat="1" applyFont="1" applyFill="1" applyBorder="1" applyAlignment="1">
      <alignment horizontal="center"/>
    </xf>
    <xf numFmtId="0" fontId="10" fillId="11" borderId="0" xfId="0" applyFont="1" applyFill="1" applyBorder="1" applyAlignment="1">
      <alignment horizontal="center"/>
    </xf>
    <xf numFmtId="4" fontId="10" fillId="11" borderId="0" xfId="0" applyNumberFormat="1" applyFont="1" applyFill="1" applyBorder="1" applyAlignment="1">
      <alignment horizontal="center"/>
    </xf>
    <xf numFmtId="0" fontId="0" fillId="11" borderId="0" xfId="0" applyFill="1" applyBorder="1" applyAlignment="1">
      <alignment horizontal="center"/>
    </xf>
    <xf numFmtId="0" fontId="10" fillId="7" borderId="5" xfId="0" applyFont="1" applyFill="1" applyBorder="1" applyAlignment="1">
      <alignment horizontal="center"/>
    </xf>
    <xf numFmtId="0" fontId="10" fillId="0" borderId="5" xfId="0" applyFont="1" applyFill="1" applyBorder="1" applyAlignment="1">
      <alignment horizontal="center"/>
    </xf>
    <xf numFmtId="0" fontId="10" fillId="11" borderId="5" xfId="0" applyFont="1" applyFill="1" applyBorder="1" applyAlignment="1">
      <alignment horizontal="center"/>
    </xf>
    <xf numFmtId="4" fontId="10" fillId="7" borderId="5" xfId="0" applyNumberFormat="1" applyFont="1" applyFill="1" applyBorder="1" applyAlignment="1">
      <alignment horizontal="center"/>
    </xf>
    <xf numFmtId="4" fontId="10" fillId="0" borderId="5" xfId="0" applyNumberFormat="1" applyFont="1" applyFill="1" applyBorder="1" applyAlignment="1">
      <alignment horizontal="center"/>
    </xf>
    <xf numFmtId="4" fontId="10" fillId="11" borderId="5" xfId="0" applyNumberFormat="1" applyFont="1" applyFill="1" applyBorder="1" applyAlignment="1">
      <alignment horizontal="center"/>
    </xf>
    <xf numFmtId="4" fontId="10" fillId="7" borderId="16" xfId="0" applyNumberFormat="1" applyFont="1" applyFill="1" applyBorder="1" applyAlignment="1">
      <alignment horizontal="center"/>
    </xf>
    <xf numFmtId="4" fontId="10" fillId="11" borderId="16" xfId="0" applyNumberFormat="1" applyFont="1" applyFill="1" applyBorder="1" applyAlignment="1">
      <alignment horizontal="center"/>
    </xf>
    <xf numFmtId="0" fontId="12" fillId="7" borderId="5" xfId="0" applyFont="1" applyFill="1" applyBorder="1" applyAlignment="1">
      <alignment horizontal="center"/>
    </xf>
    <xf numFmtId="0" fontId="12" fillId="11" borderId="5" xfId="0" applyFont="1" applyFill="1" applyBorder="1" applyAlignment="1">
      <alignment horizontal="center"/>
    </xf>
    <xf numFmtId="0" fontId="10" fillId="7" borderId="14" xfId="0" applyFont="1" applyFill="1" applyBorder="1" applyAlignment="1">
      <alignment horizontal="center"/>
    </xf>
    <xf numFmtId="0" fontId="10" fillId="11" borderId="14" xfId="0" applyFont="1" applyFill="1" applyBorder="1" applyAlignment="1">
      <alignment horizontal="center"/>
    </xf>
    <xf numFmtId="0" fontId="10" fillId="7" borderId="15" xfId="0" applyFont="1" applyFill="1" applyBorder="1" applyAlignment="1">
      <alignment horizontal="center"/>
    </xf>
    <xf numFmtId="0" fontId="10" fillId="11" borderId="15" xfId="0" applyFont="1" applyFill="1" applyBorder="1" applyAlignment="1">
      <alignment horizontal="center"/>
    </xf>
    <xf numFmtId="4" fontId="10" fillId="7" borderId="14" xfId="0" applyNumberFormat="1" applyFont="1" applyFill="1" applyBorder="1" applyAlignment="1">
      <alignment horizontal="center"/>
    </xf>
    <xf numFmtId="4" fontId="10" fillId="11" borderId="14" xfId="0" applyNumberFormat="1" applyFont="1" applyFill="1" applyBorder="1" applyAlignment="1">
      <alignment horizontal="center"/>
    </xf>
    <xf numFmtId="14" fontId="0" fillId="0" borderId="0" xfId="0" applyNumberFormat="1" applyFill="1" applyBorder="1" applyAlignment="1">
      <alignment horizontal="center"/>
    </xf>
    <xf numFmtId="2" fontId="0" fillId="0" borderId="0" xfId="0" applyNumberFormat="1" applyFill="1" applyBorder="1" applyAlignment="1">
      <alignment horizontal="center"/>
    </xf>
    <xf numFmtId="14" fontId="0" fillId="16" borderId="0" xfId="0" applyNumberFormat="1" applyFill="1" applyBorder="1" applyAlignment="1">
      <alignment horizontal="center"/>
    </xf>
    <xf numFmtId="0" fontId="0" fillId="16" borderId="0" xfId="0" applyFill="1" applyBorder="1" applyAlignment="1">
      <alignment horizontal="center"/>
    </xf>
    <xf numFmtId="2" fontId="0" fillId="16" borderId="0" xfId="0" applyNumberFormat="1" applyFill="1" applyBorder="1" applyAlignment="1">
      <alignment horizontal="center"/>
    </xf>
    <xf numFmtId="0" fontId="0" fillId="16" borderId="0" xfId="0" applyFill="1" applyBorder="1"/>
    <xf numFmtId="0" fontId="0" fillId="0" borderId="14" xfId="0" applyFill="1" applyBorder="1" applyAlignment="1">
      <alignment horizontal="center"/>
    </xf>
    <xf numFmtId="0" fontId="0" fillId="16" borderId="14" xfId="0" applyFill="1" applyBorder="1" applyAlignment="1">
      <alignment horizontal="center"/>
    </xf>
    <xf numFmtId="0" fontId="0" fillId="0" borderId="15" xfId="0" applyFill="1" applyBorder="1" applyAlignment="1">
      <alignment horizontal="center"/>
    </xf>
    <xf numFmtId="0" fontId="0" fillId="16" borderId="15" xfId="0" applyFill="1" applyBorder="1" applyAlignment="1">
      <alignment horizontal="center"/>
    </xf>
    <xf numFmtId="2" fontId="0" fillId="0" borderId="14" xfId="0" applyNumberFormat="1" applyFill="1" applyBorder="1" applyAlignment="1">
      <alignment horizontal="center"/>
    </xf>
    <xf numFmtId="2" fontId="0" fillId="16" borderId="14" xfId="0" applyNumberFormat="1" applyFill="1" applyBorder="1" applyAlignment="1">
      <alignment horizontal="center"/>
    </xf>
    <xf numFmtId="0" fontId="0" fillId="0" borderId="5" xfId="0" applyFill="1" applyBorder="1" applyAlignment="1">
      <alignment horizontal="center"/>
    </xf>
    <xf numFmtId="0" fontId="0" fillId="16" borderId="5" xfId="0" applyFill="1" applyBorder="1" applyAlignment="1">
      <alignment horizontal="center"/>
    </xf>
    <xf numFmtId="0" fontId="0" fillId="0" borderId="16" xfId="0" applyFill="1" applyBorder="1" applyAlignment="1">
      <alignment horizontal="center"/>
    </xf>
    <xf numFmtId="0" fontId="0" fillId="16" borderId="16" xfId="0" applyFill="1" applyBorder="1" applyAlignment="1">
      <alignment horizontal="center"/>
    </xf>
    <xf numFmtId="0" fontId="0" fillId="0" borderId="25" xfId="0" applyBorder="1" applyAlignment="1">
      <alignment horizontal="center"/>
    </xf>
    <xf numFmtId="0" fontId="0" fillId="10" borderId="25" xfId="0" applyFill="1" applyBorder="1" applyAlignment="1">
      <alignment horizontal="center"/>
    </xf>
    <xf numFmtId="0" fontId="0" fillId="0" borderId="25" xfId="0" applyFill="1" applyBorder="1" applyAlignment="1">
      <alignment horizontal="center"/>
    </xf>
    <xf numFmtId="0" fontId="0" fillId="16" borderId="25" xfId="0" applyFill="1" applyBorder="1" applyAlignment="1">
      <alignment horizontal="center"/>
    </xf>
    <xf numFmtId="14" fontId="0" fillId="17" borderId="0" xfId="0" applyNumberFormat="1" applyFill="1" applyBorder="1" applyAlignment="1">
      <alignment horizontal="center"/>
    </xf>
    <xf numFmtId="0" fontId="0" fillId="17" borderId="0" xfId="0" applyFill="1" applyBorder="1" applyAlignment="1">
      <alignment horizontal="center"/>
    </xf>
    <xf numFmtId="0" fontId="0" fillId="17" borderId="0" xfId="0" applyFill="1" applyBorder="1"/>
    <xf numFmtId="4" fontId="4" fillId="0" borderId="5" xfId="0" applyNumberFormat="1" applyFont="1" applyBorder="1" applyAlignment="1">
      <alignment horizontal="center" vertical="center"/>
    </xf>
    <xf numFmtId="0" fontId="0" fillId="17" borderId="5" xfId="0" applyFill="1" applyBorder="1" applyAlignment="1">
      <alignment horizontal="center"/>
    </xf>
    <xf numFmtId="0" fontId="0" fillId="0" borderId="16" xfId="0" applyFill="1" applyBorder="1"/>
    <xf numFmtId="0" fontId="0" fillId="17" borderId="16" xfId="0" applyFill="1" applyBorder="1"/>
    <xf numFmtId="0" fontId="0" fillId="17" borderId="5" xfId="0" applyFill="1" applyBorder="1"/>
    <xf numFmtId="0" fontId="0" fillId="17" borderId="14" xfId="0" applyFill="1" applyBorder="1" applyAlignment="1">
      <alignment horizontal="center"/>
    </xf>
    <xf numFmtId="0" fontId="0" fillId="17" borderId="15" xfId="0" applyFill="1" applyBorder="1" applyAlignment="1">
      <alignment horizontal="center"/>
    </xf>
    <xf numFmtId="4" fontId="4" fillId="0" borderId="14" xfId="0" applyNumberFormat="1" applyFont="1" applyBorder="1" applyAlignment="1">
      <alignment horizontal="center"/>
    </xf>
    <xf numFmtId="4" fontId="4" fillId="0" borderId="14" xfId="0" applyNumberFormat="1" applyFont="1" applyBorder="1" applyAlignment="1">
      <alignment horizontal="center" vertical="center"/>
    </xf>
    <xf numFmtId="4" fontId="5" fillId="0" borderId="17" xfId="0" applyNumberFormat="1" applyFont="1" applyBorder="1" applyAlignment="1">
      <alignment horizontal="center"/>
    </xf>
    <xf numFmtId="2" fontId="0" fillId="0" borderId="5" xfId="0" applyNumberFormat="1" applyFill="1" applyBorder="1" applyAlignment="1">
      <alignment horizontal="center"/>
    </xf>
    <xf numFmtId="2" fontId="0" fillId="17" borderId="0" xfId="0" applyNumberFormat="1" applyFill="1" applyBorder="1" applyAlignment="1">
      <alignment horizontal="center"/>
    </xf>
    <xf numFmtId="2" fontId="0" fillId="17" borderId="14" xfId="0" applyNumberFormat="1" applyFill="1" applyBorder="1" applyAlignment="1">
      <alignment horizontal="center"/>
    </xf>
    <xf numFmtId="2" fontId="0" fillId="17" borderId="5" xfId="0" applyNumberFormat="1" applyFill="1" applyBorder="1" applyAlignment="1">
      <alignment horizontal="center"/>
    </xf>
    <xf numFmtId="14" fontId="0" fillId="18" borderId="0" xfId="0" applyNumberFormat="1" applyFill="1" applyBorder="1" applyAlignment="1">
      <alignment horizontal="center"/>
    </xf>
    <xf numFmtId="0" fontId="0" fillId="18" borderId="0" xfId="0" applyFill="1" applyBorder="1" applyAlignment="1">
      <alignment horizontal="center"/>
    </xf>
    <xf numFmtId="0" fontId="0" fillId="18" borderId="14" xfId="0" applyFill="1" applyBorder="1" applyAlignment="1">
      <alignment horizontal="center"/>
    </xf>
    <xf numFmtId="2" fontId="0" fillId="18" borderId="0" xfId="0" applyNumberFormat="1" applyFill="1" applyBorder="1" applyAlignment="1">
      <alignment horizontal="center"/>
    </xf>
    <xf numFmtId="2" fontId="0" fillId="18" borderId="5" xfId="0" applyNumberFormat="1" applyFill="1" applyBorder="1" applyAlignment="1">
      <alignment horizontal="center"/>
    </xf>
    <xf numFmtId="0" fontId="0" fillId="18" borderId="16" xfId="0" applyFill="1" applyBorder="1" applyAlignment="1">
      <alignment horizontal="center"/>
    </xf>
    <xf numFmtId="0" fontId="0" fillId="18" borderId="5" xfId="0" applyFill="1" applyBorder="1" applyAlignment="1">
      <alignment horizontal="center"/>
    </xf>
    <xf numFmtId="2" fontId="12" fillId="15" borderId="16" xfId="0" applyNumberFormat="1" applyFont="1" applyFill="1" applyBorder="1" applyAlignment="1">
      <alignment horizontal="center" vertical="center"/>
    </xf>
    <xf numFmtId="2" fontId="12" fillId="15" borderId="14" xfId="0" applyNumberFormat="1" applyFont="1" applyFill="1" applyBorder="1" applyAlignment="1">
      <alignment horizontal="center" vertical="center"/>
    </xf>
    <xf numFmtId="2" fontId="0" fillId="0" borderId="14" xfId="0" applyNumberFormat="1" applyBorder="1"/>
    <xf numFmtId="2" fontId="12" fillId="0" borderId="14" xfId="0" applyNumberFormat="1" applyFont="1" applyBorder="1" applyAlignment="1">
      <alignment horizontal="center"/>
    </xf>
    <xf numFmtId="2" fontId="12" fillId="15" borderId="15" xfId="0" applyNumberFormat="1" applyFont="1" applyFill="1" applyBorder="1" applyAlignment="1">
      <alignment horizontal="center" vertical="center"/>
    </xf>
    <xf numFmtId="2" fontId="0" fillId="18" borderId="16" xfId="0" applyNumberFormat="1" applyFill="1" applyBorder="1" applyAlignment="1">
      <alignment horizontal="center"/>
    </xf>
    <xf numFmtId="2" fontId="27" fillId="13" borderId="16" xfId="0" applyNumberFormat="1" applyFont="1" applyFill="1" applyBorder="1" applyAlignment="1">
      <alignment horizontal="center"/>
    </xf>
    <xf numFmtId="0" fontId="29" fillId="14" borderId="0" xfId="0" applyFont="1" applyFill="1" applyBorder="1" applyAlignment="1">
      <alignment horizontal="center"/>
    </xf>
    <xf numFmtId="0" fontId="29" fillId="0" borderId="0" xfId="0" applyFont="1" applyBorder="1" applyAlignment="1">
      <alignment horizontal="center"/>
    </xf>
    <xf numFmtId="0" fontId="29" fillId="0" borderId="0" xfId="0" applyFont="1" applyFill="1" applyBorder="1" applyAlignment="1">
      <alignment horizontal="center"/>
    </xf>
    <xf numFmtId="0" fontId="28" fillId="14" borderId="5" xfId="0" applyFont="1" applyFill="1" applyBorder="1" applyAlignment="1">
      <alignment horizontal="center"/>
    </xf>
    <xf numFmtId="0" fontId="28" fillId="14" borderId="0" xfId="0" applyFont="1" applyFill="1" applyAlignment="1">
      <alignment horizontal="center"/>
    </xf>
    <xf numFmtId="0" fontId="28" fillId="0" borderId="0" xfId="0" applyFont="1" applyBorder="1" applyAlignment="1">
      <alignment horizontal="center"/>
    </xf>
    <xf numFmtId="0" fontId="28" fillId="0" borderId="5" xfId="0" applyFont="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14" fontId="0" fillId="6" borderId="0" xfId="0" applyNumberFormat="1" applyFill="1" applyBorder="1" applyAlignment="1">
      <alignment horizontal="center"/>
    </xf>
    <xf numFmtId="0" fontId="0" fillId="6" borderId="0"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5" xfId="0" applyFill="1" applyBorder="1" applyAlignment="1">
      <alignment horizontal="center"/>
    </xf>
    <xf numFmtId="0" fontId="0" fillId="6" borderId="16" xfId="0" applyFill="1" applyBorder="1"/>
    <xf numFmtId="2" fontId="0" fillId="6" borderId="0" xfId="0" applyNumberFormat="1" applyFill="1" applyBorder="1" applyAlignment="1">
      <alignment horizontal="center"/>
    </xf>
    <xf numFmtId="2" fontId="0" fillId="6" borderId="14" xfId="0" applyNumberFormat="1" applyFill="1" applyBorder="1" applyAlignment="1">
      <alignment horizontal="center"/>
    </xf>
    <xf numFmtId="2" fontId="0" fillId="6" borderId="5" xfId="0" applyNumberFormat="1" applyFill="1" applyBorder="1" applyAlignment="1">
      <alignment horizontal="center"/>
    </xf>
    <xf numFmtId="0" fontId="0" fillId="6" borderId="5" xfId="0" applyFill="1" applyBorder="1"/>
    <xf numFmtId="0" fontId="0" fillId="6" borderId="0" xfId="0" applyFill="1" applyBorder="1"/>
    <xf numFmtId="2" fontId="0" fillId="14" borderId="5" xfId="0" applyNumberFormat="1" applyFill="1" applyBorder="1" applyAlignment="1">
      <alignment horizontal="center"/>
    </xf>
    <xf numFmtId="0" fontId="12" fillId="9" borderId="0" xfId="0" applyFont="1" applyFill="1" applyBorder="1" applyAlignment="1">
      <alignment horizontal="center"/>
    </xf>
    <xf numFmtId="2" fontId="12" fillId="9" borderId="0" xfId="0" applyNumberFormat="1" applyFont="1" applyFill="1" applyBorder="1" applyAlignment="1">
      <alignment horizontal="center"/>
    </xf>
    <xf numFmtId="0" fontId="0" fillId="9" borderId="0" xfId="0" applyFill="1" applyBorder="1" applyAlignment="1">
      <alignment horizontal="center"/>
    </xf>
    <xf numFmtId="0" fontId="12" fillId="11" borderId="0" xfId="0" applyFont="1" applyFill="1" applyBorder="1" applyAlignment="1">
      <alignment horizontal="center"/>
    </xf>
    <xf numFmtId="14" fontId="12" fillId="9" borderId="0" xfId="0" applyNumberFormat="1" applyFont="1" applyFill="1" applyBorder="1" applyAlignment="1">
      <alignment horizontal="center"/>
    </xf>
    <xf numFmtId="0" fontId="12" fillId="2" borderId="0" xfId="0" applyFont="1" applyFill="1" applyBorder="1" applyAlignment="1">
      <alignment horizontal="center"/>
    </xf>
    <xf numFmtId="2" fontId="12" fillId="2" borderId="0" xfId="0" applyNumberFormat="1" applyFont="1" applyFill="1" applyBorder="1" applyAlignment="1">
      <alignment horizontal="center"/>
    </xf>
    <xf numFmtId="0" fontId="12" fillId="2" borderId="0" xfId="0" applyFont="1" applyFill="1" applyBorder="1"/>
    <xf numFmtId="14" fontId="12" fillId="2" borderId="0" xfId="0" applyNumberFormat="1" applyFont="1" applyFill="1" applyBorder="1" applyAlignment="1">
      <alignment horizontal="center"/>
    </xf>
    <xf numFmtId="2" fontId="0" fillId="18" borderId="14" xfId="0" applyNumberFormat="1" applyFill="1" applyBorder="1" applyAlignment="1">
      <alignment horizontal="center"/>
    </xf>
    <xf numFmtId="2" fontId="12" fillId="2" borderId="0" xfId="0" applyNumberFormat="1" applyFont="1" applyFill="1" applyBorder="1"/>
    <xf numFmtId="2" fontId="0" fillId="9" borderId="0" xfId="0" applyNumberFormat="1" applyFill="1" applyBorder="1" applyAlignment="1">
      <alignment horizontal="center"/>
    </xf>
    <xf numFmtId="2" fontId="10" fillId="11" borderId="0" xfId="0" applyNumberFormat="1" applyFont="1" applyFill="1" applyBorder="1" applyAlignment="1">
      <alignment horizontal="center"/>
    </xf>
    <xf numFmtId="2" fontId="10" fillId="11" borderId="5" xfId="0" applyNumberFormat="1" applyFont="1" applyFill="1" applyBorder="1" applyAlignment="1">
      <alignment horizontal="center"/>
    </xf>
    <xf numFmtId="2" fontId="27" fillId="13" borderId="14" xfId="0" applyNumberFormat="1" applyFont="1" applyFill="1" applyBorder="1" applyAlignment="1">
      <alignment horizontal="center"/>
    </xf>
    <xf numFmtId="2" fontId="27" fillId="13" borderId="0" xfId="0" applyNumberFormat="1" applyFont="1" applyFill="1" applyBorder="1"/>
    <xf numFmtId="2" fontId="27" fillId="13" borderId="5" xfId="0" applyNumberFormat="1" applyFont="1" applyFill="1" applyBorder="1"/>
    <xf numFmtId="0" fontId="12" fillId="6" borderId="0" xfId="0" applyFont="1" applyFill="1" applyBorder="1" applyAlignment="1">
      <alignment horizontal="center"/>
    </xf>
    <xf numFmtId="2" fontId="12" fillId="6" borderId="0" xfId="0" applyNumberFormat="1" applyFont="1" applyFill="1" applyBorder="1" applyAlignment="1">
      <alignment horizontal="center"/>
    </xf>
    <xf numFmtId="0" fontId="29" fillId="6" borderId="0" xfId="0" applyFont="1" applyFill="1" applyBorder="1" applyAlignment="1">
      <alignment horizontal="center"/>
    </xf>
    <xf numFmtId="0" fontId="28" fillId="2" borderId="0" xfId="0" applyFont="1" applyFill="1" applyBorder="1" applyAlignment="1">
      <alignment horizontal="center" vertical="center"/>
    </xf>
    <xf numFmtId="0" fontId="28" fillId="2" borderId="5" xfId="0" applyFont="1" applyFill="1" applyBorder="1" applyAlignment="1">
      <alignment horizontal="center" vertical="center"/>
    </xf>
    <xf numFmtId="14" fontId="0" fillId="2" borderId="0" xfId="0" applyNumberFormat="1"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2" fontId="0" fillId="2" borderId="0" xfId="0" applyNumberFormat="1" applyFill="1" applyBorder="1" applyAlignment="1">
      <alignment horizontal="center" vertical="center"/>
    </xf>
    <xf numFmtId="2" fontId="0" fillId="2" borderId="14" xfId="0" applyNumberFormat="1" applyFill="1" applyBorder="1" applyAlignment="1">
      <alignment horizontal="center" vertical="center"/>
    </xf>
    <xf numFmtId="14" fontId="12" fillId="6" borderId="0" xfId="0" applyNumberFormat="1" applyFont="1" applyFill="1" applyBorder="1" applyAlignment="1">
      <alignment horizontal="center"/>
    </xf>
    <xf numFmtId="2" fontId="0" fillId="2" borderId="5" xfId="0" applyNumberFormat="1" applyFill="1" applyBorder="1" applyAlignment="1">
      <alignment horizontal="center"/>
    </xf>
    <xf numFmtId="2" fontId="0" fillId="2" borderId="5" xfId="0" applyNumberFormat="1" applyFill="1" applyBorder="1" applyAlignment="1">
      <alignment horizontal="center" vertical="center"/>
    </xf>
    <xf numFmtId="2" fontId="12" fillId="6" borderId="0" xfId="0" applyNumberFormat="1" applyFont="1" applyFill="1" applyBorder="1"/>
    <xf numFmtId="0" fontId="12" fillId="10" borderId="0" xfId="0" applyFont="1" applyFill="1" applyBorder="1" applyAlignment="1">
      <alignment horizontal="center" vertical="center"/>
    </xf>
    <xf numFmtId="2" fontId="12" fillId="10" borderId="0" xfId="0" applyNumberFormat="1" applyFont="1" applyFill="1" applyBorder="1" applyAlignment="1">
      <alignment horizontal="center" vertical="center"/>
    </xf>
    <xf numFmtId="14" fontId="12" fillId="10" borderId="0" xfId="0" applyNumberFormat="1" applyFont="1" applyFill="1" applyBorder="1" applyAlignment="1">
      <alignment horizontal="center" vertical="center"/>
    </xf>
    <xf numFmtId="0" fontId="12" fillId="9" borderId="0" xfId="0" applyFont="1" applyFill="1" applyBorder="1"/>
    <xf numFmtId="0" fontId="0" fillId="9" borderId="0" xfId="0" applyFill="1" applyBorder="1"/>
    <xf numFmtId="0" fontId="4" fillId="0" borderId="0" xfId="0" applyFont="1" applyBorder="1" applyAlignment="1">
      <alignment horizontal="center"/>
    </xf>
    <xf numFmtId="0" fontId="4" fillId="0" borderId="5" xfId="0" applyFont="1" applyBorder="1" applyAlignment="1">
      <alignment horizontal="center"/>
    </xf>
    <xf numFmtId="2" fontId="0" fillId="10" borderId="5" xfId="0" applyNumberFormat="1" applyFill="1" applyBorder="1" applyAlignment="1">
      <alignment horizontal="center"/>
    </xf>
    <xf numFmtId="2" fontId="0" fillId="10" borderId="16" xfId="0" applyNumberFormat="1" applyFill="1" applyBorder="1" applyAlignment="1">
      <alignment horizontal="center"/>
    </xf>
    <xf numFmtId="2" fontId="0" fillId="16" borderId="5" xfId="0" applyNumberFormat="1" applyFill="1" applyBorder="1" applyAlignment="1">
      <alignment horizontal="center"/>
    </xf>
    <xf numFmtId="2" fontId="12" fillId="6" borderId="5" xfId="0" applyNumberFormat="1" applyFont="1" applyFill="1" applyBorder="1" applyAlignment="1">
      <alignment horizontal="center"/>
    </xf>
    <xf numFmtId="0" fontId="12" fillId="6" borderId="5" xfId="0" applyFont="1" applyFill="1" applyBorder="1" applyAlignment="1">
      <alignment horizontal="center"/>
    </xf>
    <xf numFmtId="0" fontId="12" fillId="6" borderId="16" xfId="0" applyFont="1" applyFill="1" applyBorder="1" applyAlignment="1">
      <alignment horizontal="center"/>
    </xf>
    <xf numFmtId="2" fontId="12" fillId="0" borderId="5" xfId="0" applyNumberFormat="1" applyFont="1" applyBorder="1"/>
    <xf numFmtId="2" fontId="12" fillId="6" borderId="5" xfId="0" applyNumberFormat="1" applyFont="1" applyFill="1" applyBorder="1"/>
    <xf numFmtId="0" fontId="28" fillId="6" borderId="5" xfId="0" applyFont="1" applyFill="1" applyBorder="1" applyAlignment="1">
      <alignment horizontal="center"/>
    </xf>
    <xf numFmtId="2" fontId="12" fillId="6" borderId="14" xfId="0" applyNumberFormat="1" applyFont="1" applyFill="1" applyBorder="1" applyAlignment="1">
      <alignment horizontal="center"/>
    </xf>
    <xf numFmtId="0" fontId="12" fillId="6" borderId="14" xfId="0" applyFont="1" applyFill="1" applyBorder="1" applyAlignment="1">
      <alignment horizontal="center"/>
    </xf>
    <xf numFmtId="0" fontId="12" fillId="6" borderId="15" xfId="0" applyFont="1" applyFill="1" applyBorder="1" applyAlignment="1">
      <alignment horizontal="center"/>
    </xf>
    <xf numFmtId="0" fontId="12" fillId="10" borderId="14" xfId="0" applyFont="1" applyFill="1" applyBorder="1" applyAlignment="1">
      <alignment horizontal="center" vertical="center"/>
    </xf>
    <xf numFmtId="0" fontId="12" fillId="10" borderId="15" xfId="0" applyFont="1" applyFill="1" applyBorder="1" applyAlignment="1">
      <alignment horizontal="center" vertical="center"/>
    </xf>
    <xf numFmtId="2" fontId="12" fillId="10"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0" fontId="12" fillId="10" borderId="16" xfId="0" applyFont="1" applyFill="1" applyBorder="1" applyAlignment="1">
      <alignment horizontal="center" vertical="center"/>
    </xf>
    <xf numFmtId="2" fontId="12" fillId="0" borderId="5" xfId="0" applyNumberFormat="1" applyFont="1" applyBorder="1" applyAlignment="1">
      <alignment horizontal="center" vertical="center"/>
    </xf>
    <xf numFmtId="0" fontId="0" fillId="10" borderId="5" xfId="0" applyFill="1" applyBorder="1" applyAlignment="1">
      <alignment horizontal="center" vertical="center"/>
    </xf>
    <xf numFmtId="2" fontId="12" fillId="10" borderId="14" xfId="0" applyNumberFormat="1" applyFont="1" applyFill="1" applyBorder="1" applyAlignment="1">
      <alignment horizontal="center" vertical="center"/>
    </xf>
    <xf numFmtId="2" fontId="12" fillId="10" borderId="15" xfId="0" applyNumberFormat="1" applyFont="1" applyFill="1" applyBorder="1" applyAlignment="1">
      <alignment horizontal="center" vertical="center"/>
    </xf>
    <xf numFmtId="2" fontId="12" fillId="2" borderId="14" xfId="0" applyNumberFormat="1" applyFont="1" applyFill="1" applyBorder="1" applyAlignment="1">
      <alignment horizontal="center"/>
    </xf>
    <xf numFmtId="0" fontId="12" fillId="2" borderId="14" xfId="0" applyFont="1" applyFill="1" applyBorder="1" applyAlignment="1">
      <alignment horizontal="center"/>
    </xf>
    <xf numFmtId="2" fontId="12" fillId="2" borderId="15" xfId="0" applyNumberFormat="1" applyFont="1" applyFill="1" applyBorder="1" applyAlignment="1">
      <alignment horizontal="center"/>
    </xf>
    <xf numFmtId="0" fontId="12" fillId="2" borderId="15" xfId="0" applyFont="1" applyFill="1" applyBorder="1" applyAlignment="1">
      <alignment horizontal="center"/>
    </xf>
    <xf numFmtId="2" fontId="12" fillId="2" borderId="5" xfId="0" applyNumberFormat="1" applyFont="1" applyFill="1" applyBorder="1" applyAlignment="1">
      <alignment horizontal="center"/>
    </xf>
    <xf numFmtId="0" fontId="12" fillId="2" borderId="16" xfId="0" applyFont="1" applyFill="1" applyBorder="1" applyAlignment="1">
      <alignment horizontal="center"/>
    </xf>
    <xf numFmtId="2" fontId="12" fillId="2" borderId="5" xfId="0" applyNumberFormat="1" applyFont="1" applyFill="1" applyBorder="1"/>
    <xf numFmtId="0" fontId="0" fillId="2" borderId="5" xfId="0" applyFill="1" applyBorder="1"/>
    <xf numFmtId="2" fontId="12" fillId="0" borderId="14" xfId="0" applyNumberFormat="1" applyFont="1" applyBorder="1"/>
    <xf numFmtId="2" fontId="12" fillId="2" borderId="14" xfId="0" applyNumberFormat="1" applyFont="1" applyFill="1" applyBorder="1"/>
    <xf numFmtId="0" fontId="12" fillId="0" borderId="14" xfId="0" applyFont="1" applyBorder="1"/>
    <xf numFmtId="0" fontId="12" fillId="2" borderId="14" xfId="0" applyFont="1" applyFill="1" applyBorder="1"/>
    <xf numFmtId="2" fontId="0" fillId="16" borderId="16" xfId="0" applyNumberFormat="1" applyFill="1" applyBorder="1" applyAlignment="1">
      <alignment horizontal="center"/>
    </xf>
    <xf numFmtId="0" fontId="12" fillId="0" borderId="25" xfId="0" applyFont="1" applyBorder="1"/>
    <xf numFmtId="0" fontId="12" fillId="2" borderId="25" xfId="0" applyFont="1" applyFill="1" applyBorder="1"/>
    <xf numFmtId="2" fontId="12" fillId="10" borderId="16" xfId="0" applyNumberFormat="1" applyFont="1" applyFill="1" applyBorder="1" applyAlignment="1">
      <alignment horizontal="center" vertical="center"/>
    </xf>
    <xf numFmtId="2" fontId="12" fillId="2" borderId="16" xfId="0" applyNumberFormat="1" applyFont="1" applyFill="1" applyBorder="1" applyAlignment="1">
      <alignment horizontal="center"/>
    </xf>
    <xf numFmtId="0" fontId="12" fillId="13" borderId="0" xfId="0" applyFont="1" applyFill="1" applyBorder="1" applyAlignment="1">
      <alignment horizontal="center" vertical="center"/>
    </xf>
    <xf numFmtId="2" fontId="12" fillId="13" borderId="0" xfId="0" applyNumberFormat="1" applyFont="1" applyFill="1" applyBorder="1" applyAlignment="1">
      <alignment horizontal="center" vertical="center"/>
    </xf>
    <xf numFmtId="0" fontId="0" fillId="13" borderId="0" xfId="0" applyFill="1" applyBorder="1" applyAlignment="1">
      <alignment horizontal="center" vertical="center"/>
    </xf>
    <xf numFmtId="0" fontId="12" fillId="13" borderId="14" xfId="0" applyFont="1" applyFill="1" applyBorder="1" applyAlignment="1">
      <alignment horizontal="center" vertical="center"/>
    </xf>
    <xf numFmtId="0" fontId="12" fillId="13" borderId="15" xfId="0" applyFont="1" applyFill="1" applyBorder="1" applyAlignment="1">
      <alignment horizontal="center" vertical="center"/>
    </xf>
    <xf numFmtId="0" fontId="12" fillId="13" borderId="5" xfId="0" applyFont="1" applyFill="1" applyBorder="1" applyAlignment="1">
      <alignment horizontal="center" vertical="center"/>
    </xf>
    <xf numFmtId="0" fontId="12" fillId="13" borderId="16" xfId="0" applyFont="1" applyFill="1" applyBorder="1" applyAlignment="1">
      <alignment horizontal="center" vertical="center"/>
    </xf>
    <xf numFmtId="2" fontId="12" fillId="13" borderId="5" xfId="0" applyNumberFormat="1" applyFont="1" applyFill="1" applyBorder="1" applyAlignment="1">
      <alignment horizontal="center" vertical="center"/>
    </xf>
    <xf numFmtId="0" fontId="0" fillId="13" borderId="5" xfId="0" applyFill="1" applyBorder="1" applyAlignment="1">
      <alignment horizontal="center" vertical="center"/>
    </xf>
    <xf numFmtId="0" fontId="12" fillId="13" borderId="0" xfId="0" applyFont="1" applyFill="1" applyBorder="1" applyAlignment="1">
      <alignment horizontal="center"/>
    </xf>
    <xf numFmtId="2" fontId="12" fillId="13" borderId="0" xfId="0" applyNumberFormat="1" applyFont="1" applyFill="1" applyBorder="1" applyAlignment="1">
      <alignment horizontal="center"/>
    </xf>
    <xf numFmtId="0" fontId="12" fillId="13" borderId="0" xfId="0" applyFont="1" applyFill="1" applyBorder="1"/>
    <xf numFmtId="0" fontId="29" fillId="13" borderId="0" xfId="0" applyFont="1" applyFill="1" applyBorder="1" applyAlignment="1">
      <alignment horizontal="center"/>
    </xf>
    <xf numFmtId="0" fontId="28" fillId="13" borderId="0" xfId="0" applyFont="1" applyFill="1" applyBorder="1" applyAlignment="1">
      <alignment horizontal="center"/>
    </xf>
    <xf numFmtId="14" fontId="12" fillId="13" borderId="0" xfId="0" applyNumberFormat="1" applyFont="1" applyFill="1" applyBorder="1" applyAlignment="1">
      <alignment horizontal="center"/>
    </xf>
    <xf numFmtId="0" fontId="12" fillId="17" borderId="0" xfId="0" applyFont="1" applyFill="1" applyBorder="1" applyAlignment="1">
      <alignment horizontal="center"/>
    </xf>
    <xf numFmtId="2" fontId="12" fillId="17" borderId="0" xfId="0" applyNumberFormat="1" applyFont="1" applyFill="1" applyBorder="1" applyAlignment="1">
      <alignment horizontal="center"/>
    </xf>
    <xf numFmtId="0" fontId="12" fillId="17" borderId="0" xfId="0" applyFont="1" applyFill="1" applyBorder="1"/>
    <xf numFmtId="14" fontId="12" fillId="17" borderId="0" xfId="0" applyNumberFormat="1" applyFont="1" applyFill="1" applyBorder="1" applyAlignment="1">
      <alignment horizontal="center"/>
    </xf>
    <xf numFmtId="0" fontId="2" fillId="0" borderId="2" xfId="1" applyFont="1" applyBorder="1" applyAlignment="1" applyProtection="1">
      <alignment horizontal="right"/>
    </xf>
    <xf numFmtId="0" fontId="2" fillId="0" borderId="0" xfId="2" applyFont="1" applyProtection="1"/>
    <xf numFmtId="1" fontId="30" fillId="0" borderId="2" xfId="3" applyNumberFormat="1" applyFont="1" applyBorder="1" applyAlignment="1" applyProtection="1">
      <alignment horizontal="left"/>
      <protection locked="0"/>
    </xf>
    <xf numFmtId="1" fontId="30" fillId="0" borderId="2" xfId="3" applyNumberFormat="1" applyFont="1" applyBorder="1" applyAlignment="1" applyProtection="1">
      <alignment horizontal="left"/>
    </xf>
    <xf numFmtId="166" fontId="11" fillId="0" borderId="2" xfId="4" applyFont="1" applyBorder="1"/>
    <xf numFmtId="1" fontId="2" fillId="0" borderId="2" xfId="5" applyNumberFormat="1" applyFont="1" applyBorder="1" applyAlignment="1" applyProtection="1">
      <alignment horizontal="right"/>
    </xf>
    <xf numFmtId="1" fontId="11" fillId="0" borderId="2" xfId="5" applyNumberFormat="1" applyFont="1" applyBorder="1" applyAlignment="1" applyProtection="1">
      <alignment horizontal="center"/>
      <protection locked="0"/>
    </xf>
    <xf numFmtId="166" fontId="11" fillId="0" borderId="2" xfId="4" applyFont="1" applyFill="1" applyBorder="1" applyAlignment="1" applyProtection="1">
      <alignment horizontal="center"/>
    </xf>
    <xf numFmtId="0" fontId="19" fillId="0" borderId="0" xfId="2" applyFont="1" applyProtection="1"/>
    <xf numFmtId="0" fontId="19" fillId="0" borderId="0" xfId="2" applyFont="1" applyBorder="1" applyProtection="1"/>
    <xf numFmtId="2" fontId="19" fillId="0" borderId="0" xfId="2" applyNumberFormat="1" applyFont="1" applyProtection="1"/>
    <xf numFmtId="0" fontId="2" fillId="0" borderId="0" xfId="1" applyFont="1" applyBorder="1" applyAlignment="1" applyProtection="1">
      <alignment horizontal="right"/>
    </xf>
    <xf numFmtId="1" fontId="30" fillId="0" borderId="0" xfId="3" applyNumberFormat="1" applyFont="1" applyBorder="1" applyAlignment="1" applyProtection="1">
      <alignment horizontal="left"/>
      <protection locked="0"/>
    </xf>
    <xf numFmtId="1" fontId="30" fillId="0" borderId="0" xfId="3" applyNumberFormat="1" applyFont="1" applyBorder="1" applyAlignment="1" applyProtection="1">
      <alignment horizontal="left"/>
    </xf>
    <xf numFmtId="166" fontId="11" fillId="0" borderId="0" xfId="4" applyFont="1" applyBorder="1"/>
    <xf numFmtId="1" fontId="2" fillId="0" borderId="0" xfId="5" applyNumberFormat="1" applyFont="1" applyBorder="1" applyAlignment="1" applyProtection="1">
      <alignment horizontal="right"/>
    </xf>
    <xf numFmtId="1" fontId="11" fillId="0" borderId="0" xfId="5" applyNumberFormat="1" applyFont="1" applyAlignment="1" applyProtection="1">
      <alignment horizontal="center"/>
    </xf>
    <xf numFmtId="166" fontId="11" fillId="0" borderId="0" xfId="4" applyFont="1" applyFill="1" applyBorder="1" applyAlignment="1" applyProtection="1">
      <alignment horizontal="center"/>
    </xf>
    <xf numFmtId="0" fontId="19" fillId="0" borderId="0" xfId="2" applyFont="1" applyBorder="1" applyAlignment="1" applyProtection="1">
      <alignment horizontal="left"/>
    </xf>
    <xf numFmtId="2" fontId="2" fillId="0" borderId="0" xfId="1" applyNumberFormat="1" applyFont="1" applyBorder="1" applyAlignment="1" applyProtection="1">
      <alignment horizontal="right"/>
    </xf>
    <xf numFmtId="0" fontId="2" fillId="0" borderId="0" xfId="2" applyFont="1" applyBorder="1" applyProtection="1"/>
    <xf numFmtId="0" fontId="11" fillId="0" borderId="0" xfId="5" applyFont="1" applyAlignment="1" applyProtection="1">
      <alignment horizontal="center"/>
    </xf>
    <xf numFmtId="0" fontId="20" fillId="0" borderId="0" xfId="6" applyAlignment="1" applyProtection="1">
      <alignment vertical="top"/>
    </xf>
    <xf numFmtId="0" fontId="20" fillId="0" borderId="0" xfId="6" applyBorder="1" applyAlignment="1" applyProtection="1">
      <alignment vertical="top"/>
    </xf>
    <xf numFmtId="2" fontId="20" fillId="0" borderId="0" xfId="6" applyNumberFormat="1" applyAlignment="1" applyProtection="1">
      <alignment vertical="top"/>
    </xf>
    <xf numFmtId="2" fontId="11" fillId="0" borderId="0" xfId="5" applyNumberFormat="1" applyFont="1" applyAlignment="1" applyProtection="1">
      <alignment horizontal="center"/>
    </xf>
    <xf numFmtId="0" fontId="31" fillId="0" borderId="0" xfId="3" applyFont="1" applyFill="1" applyBorder="1" applyAlignment="1" applyProtection="1">
      <alignment horizontal="left"/>
      <protection locked="0"/>
    </xf>
    <xf numFmtId="0" fontId="10" fillId="0" borderId="0" xfId="7" applyFont="1" applyAlignment="1">
      <alignment horizontal="center"/>
    </xf>
    <xf numFmtId="0" fontId="19" fillId="0" borderId="0" xfId="1" applyBorder="1" applyAlignment="1" applyProtection="1"/>
    <xf numFmtId="0" fontId="19" fillId="0" borderId="0" xfId="1" applyAlignment="1" applyProtection="1"/>
    <xf numFmtId="2" fontId="19" fillId="0" borderId="0" xfId="1" applyNumberFormat="1" applyAlignment="1" applyProtection="1"/>
    <xf numFmtId="0" fontId="2" fillId="0" borderId="0" xfId="6" applyFont="1" applyBorder="1" applyAlignment="1" applyProtection="1">
      <alignment horizontal="right" vertical="top"/>
    </xf>
    <xf numFmtId="0" fontId="11" fillId="0" borderId="0" xfId="6" applyFont="1" applyAlignment="1" applyProtection="1">
      <alignment vertical="top"/>
    </xf>
    <xf numFmtId="1" fontId="30" fillId="0" borderId="0" xfId="6" applyNumberFormat="1" applyFont="1" applyBorder="1" applyAlignment="1" applyProtection="1">
      <alignment vertical="top"/>
      <protection locked="0"/>
    </xf>
    <xf numFmtId="1" fontId="11" fillId="0" borderId="0" xfId="6" applyNumberFormat="1" applyFont="1" applyBorder="1" applyAlignment="1" applyProtection="1">
      <alignment vertical="top"/>
    </xf>
    <xf numFmtId="166" fontId="11" fillId="0" borderId="0" xfId="6" applyNumberFormat="1" applyFont="1" applyBorder="1" applyAlignment="1" applyProtection="1">
      <alignment vertical="top"/>
    </xf>
    <xf numFmtId="2" fontId="11" fillId="0" borderId="0" xfId="6" applyNumberFormat="1" applyFont="1" applyBorder="1" applyAlignment="1" applyProtection="1">
      <alignment vertical="top"/>
    </xf>
    <xf numFmtId="0" fontId="11" fillId="0" borderId="0" xfId="6" applyFont="1" applyBorder="1" applyAlignment="1" applyProtection="1">
      <alignment vertical="top"/>
      <protection locked="0"/>
    </xf>
    <xf numFmtId="0" fontId="19" fillId="0" borderId="0" xfId="1" applyBorder="1" applyAlignment="1" applyProtection="1">
      <alignment horizontal="centerContinuous"/>
    </xf>
    <xf numFmtId="2" fontId="19" fillId="0" borderId="0" xfId="1" applyNumberFormat="1" applyBorder="1" applyAlignment="1" applyProtection="1"/>
    <xf numFmtId="0" fontId="32" fillId="0" borderId="2" xfId="1" applyFont="1" applyBorder="1" applyAlignment="1" applyProtection="1">
      <alignment horizontal="center"/>
    </xf>
    <xf numFmtId="2" fontId="32" fillId="0" borderId="2" xfId="4" applyNumberFormat="1" applyFont="1" applyBorder="1" applyAlignment="1" applyProtection="1">
      <alignment horizontal="centerContinuous"/>
    </xf>
    <xf numFmtId="2" fontId="32" fillId="0" borderId="3" xfId="4" applyNumberFormat="1" applyFont="1" applyBorder="1" applyAlignment="1" applyProtection="1">
      <alignment horizontal="centerContinuous"/>
    </xf>
    <xf numFmtId="0" fontId="33" fillId="0" borderId="12" xfId="2" applyFont="1" applyBorder="1" applyAlignment="1" applyProtection="1">
      <alignment horizontal="right"/>
    </xf>
    <xf numFmtId="0" fontId="32" fillId="0" borderId="4" xfId="1" applyFont="1" applyBorder="1" applyAlignment="1" applyProtection="1">
      <alignment horizontal="centerContinuous"/>
    </xf>
    <xf numFmtId="1" fontId="19" fillId="0" borderId="0" xfId="1" applyNumberFormat="1" applyBorder="1" applyAlignment="1" applyProtection="1">
      <alignment horizontal="centerContinuous"/>
    </xf>
    <xf numFmtId="0" fontId="34" fillId="0" borderId="13" xfId="13" applyFont="1" applyBorder="1" applyAlignment="1" applyProtection="1">
      <alignment horizontal="centerContinuous"/>
    </xf>
    <xf numFmtId="0" fontId="34" fillId="0" borderId="0" xfId="13" applyFont="1" applyBorder="1" applyAlignment="1" applyProtection="1">
      <alignment horizontal="centerContinuous"/>
    </xf>
    <xf numFmtId="0" fontId="34" fillId="0" borderId="14" xfId="13" applyFont="1" applyBorder="1" applyAlignment="1" applyProtection="1">
      <alignment horizontal="centerContinuous"/>
    </xf>
    <xf numFmtId="0" fontId="34" fillId="0" borderId="15" xfId="13" applyFont="1" applyBorder="1" applyAlignment="1" applyProtection="1">
      <alignment horizontal="center"/>
    </xf>
    <xf numFmtId="168" fontId="34" fillId="0" borderId="0" xfId="13" applyNumberFormat="1" applyFont="1" applyBorder="1" applyAlignment="1" applyProtection="1">
      <alignment horizontal="centerContinuous"/>
    </xf>
    <xf numFmtId="168" fontId="34" fillId="0" borderId="13" xfId="13" applyNumberFormat="1" applyFont="1" applyBorder="1" applyAlignment="1" applyProtection="1">
      <alignment horizontal="centerContinuous"/>
    </xf>
    <xf numFmtId="168" fontId="34" fillId="0" borderId="4" xfId="13" applyNumberFormat="1" applyFont="1" applyBorder="1" applyAlignment="1" applyProtection="1">
      <alignment horizontal="centerContinuous"/>
    </xf>
    <xf numFmtId="1" fontId="19" fillId="0" borderId="13" xfId="1" applyNumberFormat="1" applyBorder="1" applyAlignment="1" applyProtection="1">
      <alignment horizontal="centerContinuous"/>
    </xf>
    <xf numFmtId="1" fontId="19" fillId="0" borderId="5" xfId="1" applyNumberFormat="1" applyBorder="1" applyAlignment="1" applyProtection="1">
      <alignment horizontal="centerContinuous"/>
    </xf>
    <xf numFmtId="2" fontId="19" fillId="0" borderId="0" xfId="4" applyNumberFormat="1" applyFont="1" applyBorder="1" applyAlignment="1" applyProtection="1">
      <alignment horizontal="center"/>
    </xf>
    <xf numFmtId="2" fontId="19" fillId="0" borderId="5" xfId="4" applyNumberFormat="1" applyFont="1" applyBorder="1" applyAlignment="1" applyProtection="1">
      <alignment horizontal="center"/>
    </xf>
    <xf numFmtId="0" fontId="33" fillId="0" borderId="16" xfId="1" applyFont="1" applyBorder="1" applyAlignment="1" applyProtection="1">
      <alignment horizontal="right"/>
    </xf>
    <xf numFmtId="0" fontId="19" fillId="0" borderId="5" xfId="1" applyBorder="1" applyAlignment="1" applyProtection="1"/>
    <xf numFmtId="2" fontId="19" fillId="0" borderId="0" xfId="1" applyNumberFormat="1" applyBorder="1" applyAlignment="1" applyProtection="1">
      <alignment horizontal="center" vertical="center" wrapText="1"/>
    </xf>
    <xf numFmtId="0" fontId="19" fillId="0" borderId="0" xfId="1" applyBorder="1" applyAlignment="1" applyProtection="1">
      <alignment vertical="center"/>
    </xf>
    <xf numFmtId="0" fontId="19" fillId="0" borderId="4" xfId="1" applyBorder="1" applyAlignment="1" applyProtection="1"/>
    <xf numFmtId="1" fontId="19" fillId="0" borderId="0" xfId="1" applyNumberFormat="1" applyBorder="1" applyAlignment="1" applyProtection="1"/>
    <xf numFmtId="168" fontId="35" fillId="0" borderId="15" xfId="13" applyNumberFormat="1" applyFont="1" applyBorder="1" applyAlignment="1" applyProtection="1">
      <alignment horizontal="center"/>
    </xf>
    <xf numFmtId="168" fontId="35" fillId="0" borderId="13" xfId="13" applyNumberFormat="1" applyFont="1" applyBorder="1" applyAlignment="1" applyProtection="1">
      <alignment horizontal="center"/>
    </xf>
    <xf numFmtId="168" fontId="35" fillId="0" borderId="4" xfId="13" applyNumberFormat="1" applyFont="1" applyBorder="1" applyAlignment="1" applyProtection="1">
      <alignment horizontal="center"/>
    </xf>
    <xf numFmtId="2" fontId="20" fillId="0" borderId="0" xfId="2" applyNumberFormat="1" applyBorder="1" applyProtection="1"/>
    <xf numFmtId="0" fontId="19" fillId="0" borderId="5" xfId="1" applyBorder="1" applyAlignment="1" applyProtection="1">
      <alignment horizontal="center"/>
    </xf>
    <xf numFmtId="14" fontId="19" fillId="0" borderId="5" xfId="1" applyNumberFormat="1" applyBorder="1" applyAlignment="1" applyProtection="1">
      <alignment horizontal="centerContinuous"/>
    </xf>
    <xf numFmtId="2" fontId="20" fillId="0" borderId="0" xfId="2" applyNumberFormat="1" applyBorder="1" applyAlignment="1" applyProtection="1">
      <alignment horizontal="center" vertical="center" wrapText="1"/>
    </xf>
    <xf numFmtId="0" fontId="20" fillId="0" borderId="0" xfId="2" applyBorder="1" applyAlignment="1" applyProtection="1">
      <alignment vertical="center" wrapText="1"/>
    </xf>
    <xf numFmtId="0" fontId="20" fillId="0" borderId="0" xfId="2" applyAlignment="1" applyProtection="1">
      <alignment vertical="center" wrapText="1"/>
    </xf>
    <xf numFmtId="0" fontId="19" fillId="0" borderId="4" xfId="1" applyBorder="1" applyAlignment="1" applyProtection="1">
      <alignment horizontal="center"/>
    </xf>
    <xf numFmtId="0" fontId="19" fillId="0" borderId="0" xfId="1" applyBorder="1" applyAlignment="1" applyProtection="1">
      <alignment horizontal="center"/>
    </xf>
    <xf numFmtId="167" fontId="19" fillId="0" borderId="0" xfId="8" applyFont="1" applyBorder="1" applyAlignment="1" applyProtection="1">
      <alignment horizontal="center"/>
    </xf>
    <xf numFmtId="0" fontId="35" fillId="0" borderId="13" xfId="13" applyFont="1" applyBorder="1" applyAlignment="1" applyProtection="1"/>
    <xf numFmtId="0" fontId="35" fillId="0" borderId="0" xfId="13" applyFont="1" applyBorder="1" applyAlignment="1" applyProtection="1"/>
    <xf numFmtId="0" fontId="35" fillId="0" borderId="14" xfId="13" applyFont="1" applyBorder="1" applyAlignment="1" applyProtection="1"/>
    <xf numFmtId="168" fontId="35" fillId="0" borderId="0" xfId="13" applyNumberFormat="1" applyFont="1" applyBorder="1" applyAlignment="1" applyProtection="1">
      <alignment horizontal="center"/>
    </xf>
    <xf numFmtId="167" fontId="19" fillId="0" borderId="4" xfId="8" applyFont="1" applyBorder="1" applyAlignment="1" applyProtection="1">
      <alignment horizontal="center"/>
    </xf>
    <xf numFmtId="167" fontId="19" fillId="0" borderId="13" xfId="8" applyFont="1" applyBorder="1" applyAlignment="1" applyProtection="1">
      <alignment horizontal="center"/>
    </xf>
    <xf numFmtId="167" fontId="19" fillId="0" borderId="5" xfId="8" applyFont="1" applyBorder="1" applyAlignment="1" applyProtection="1">
      <alignment horizontal="center"/>
    </xf>
    <xf numFmtId="166" fontId="19" fillId="0" borderId="0" xfId="4" applyFont="1" applyBorder="1" applyAlignment="1" applyProtection="1">
      <alignment horizontal="center"/>
    </xf>
    <xf numFmtId="0" fontId="19" fillId="0" borderId="16" xfId="1" applyBorder="1" applyAlignment="1" applyProtection="1">
      <alignment horizontal="center" vertical="center"/>
    </xf>
    <xf numFmtId="2" fontId="23" fillId="0" borderId="0" xfId="9" applyNumberFormat="1" applyBorder="1" applyAlignment="1" applyProtection="1">
      <alignment horizontal="center" vertical="center"/>
    </xf>
    <xf numFmtId="0" fontId="20" fillId="0" borderId="6" xfId="1" applyFont="1" applyBorder="1" applyAlignment="1" applyProtection="1">
      <alignment horizontal="center" vertical="center"/>
    </xf>
    <xf numFmtId="0" fontId="20" fillId="0" borderId="7" xfId="1" applyFont="1" applyBorder="1" applyAlignment="1" applyProtection="1">
      <alignment horizontal="center" vertical="center"/>
    </xf>
    <xf numFmtId="167" fontId="20" fillId="0" borderId="7" xfId="8" applyFont="1" applyBorder="1" applyAlignment="1" applyProtection="1">
      <alignment horizontal="center" vertical="center"/>
    </xf>
    <xf numFmtId="0" fontId="36" fillId="0" borderId="13" xfId="13" applyFont="1" applyBorder="1" applyAlignment="1" applyProtection="1">
      <alignment horizontal="center"/>
    </xf>
    <xf numFmtId="0" fontId="36" fillId="0" borderId="0" xfId="13" applyFont="1" applyBorder="1" applyAlignment="1" applyProtection="1">
      <alignment horizontal="center"/>
    </xf>
    <xf numFmtId="0" fontId="36" fillId="0" borderId="14" xfId="13" applyFont="1" applyBorder="1" applyAlignment="1" applyProtection="1">
      <alignment horizontal="center"/>
    </xf>
    <xf numFmtId="168" fontId="36" fillId="0" borderId="15" xfId="13" applyNumberFormat="1" applyFont="1" applyBorder="1" applyAlignment="1" applyProtection="1">
      <alignment horizontal="center"/>
    </xf>
    <xf numFmtId="168" fontId="36" fillId="0" borderId="0" xfId="13" applyNumberFormat="1" applyFont="1" applyBorder="1" applyAlignment="1" applyProtection="1">
      <alignment horizontal="center"/>
    </xf>
    <xf numFmtId="168" fontId="36" fillId="0" borderId="13" xfId="13" applyNumberFormat="1" applyFont="1" applyBorder="1" applyAlignment="1" applyProtection="1">
      <alignment horizontal="center"/>
    </xf>
    <xf numFmtId="167" fontId="20" fillId="0" borderId="6" xfId="8" applyFont="1" applyBorder="1" applyAlignment="1" applyProtection="1">
      <alignment horizontal="center" vertical="center"/>
    </xf>
    <xf numFmtId="167" fontId="20" fillId="0" borderId="19" xfId="8" applyFont="1" applyBorder="1" applyAlignment="1" applyProtection="1">
      <alignment horizontal="center" vertical="center"/>
    </xf>
    <xf numFmtId="167" fontId="20" fillId="0" borderId="8" xfId="8" applyFont="1" applyBorder="1" applyAlignment="1" applyProtection="1">
      <alignment horizontal="center" vertical="center"/>
    </xf>
    <xf numFmtId="166" fontId="20" fillId="0" borderId="7" xfId="4" applyFont="1" applyBorder="1" applyAlignment="1" applyProtection="1">
      <alignment horizontal="center" vertical="center"/>
    </xf>
    <xf numFmtId="2" fontId="20" fillId="0" borderId="8" xfId="4" applyNumberFormat="1" applyFont="1" applyBorder="1" applyAlignment="1" applyProtection="1">
      <alignment horizontal="center" vertical="center"/>
    </xf>
    <xf numFmtId="2" fontId="20" fillId="0" borderId="7" xfId="4" applyNumberFormat="1" applyFont="1" applyBorder="1" applyAlignment="1" applyProtection="1">
      <alignment horizontal="center" vertical="center"/>
    </xf>
    <xf numFmtId="0" fontId="20" fillId="0" borderId="20" xfId="2" applyBorder="1" applyAlignment="1" applyProtection="1">
      <alignment vertical="center" wrapText="1"/>
    </xf>
    <xf numFmtId="0" fontId="19" fillId="0" borderId="8" xfId="1" applyBorder="1" applyAlignment="1" applyProtection="1">
      <alignment horizontal="center" vertical="center" wrapText="1"/>
    </xf>
    <xf numFmtId="0" fontId="20" fillId="0" borderId="8" xfId="1" applyFont="1" applyBorder="1" applyAlignment="1" applyProtection="1">
      <alignment horizontal="center" vertical="center"/>
    </xf>
    <xf numFmtId="0" fontId="19" fillId="0" borderId="1" xfId="3" applyFont="1" applyBorder="1" applyAlignment="1" applyProtection="1">
      <alignment horizontal="center" vertical="center" wrapText="1"/>
      <protection locked="0"/>
    </xf>
    <xf numFmtId="0" fontId="20" fillId="0" borderId="2" xfId="3" applyFont="1" applyBorder="1" applyAlignment="1" applyProtection="1">
      <alignment horizontal="center" vertical="center" wrapText="1"/>
      <protection locked="0"/>
    </xf>
    <xf numFmtId="167" fontId="20" fillId="0" borderId="2" xfId="8" applyFont="1" applyBorder="1" applyAlignment="1" applyProtection="1">
      <alignment horizontal="center" vertical="center" wrapText="1"/>
      <protection locked="0"/>
    </xf>
    <xf numFmtId="167" fontId="38" fillId="0" borderId="11" xfId="8" applyFont="1" applyBorder="1" applyAlignment="1" applyProtection="1">
      <alignment horizontal="center" vertical="center" wrapText="1"/>
      <protection locked="0"/>
    </xf>
    <xf numFmtId="167" fontId="38" fillId="0" borderId="2" xfId="8" applyFont="1" applyBorder="1" applyAlignment="1" applyProtection="1">
      <alignment horizontal="center" vertical="center" wrapText="1"/>
      <protection locked="0"/>
    </xf>
    <xf numFmtId="167" fontId="38" fillId="0" borderId="9" xfId="8" applyFont="1" applyBorder="1" applyAlignment="1" applyProtection="1">
      <alignment horizontal="center" vertical="center" wrapText="1"/>
      <protection locked="0"/>
    </xf>
    <xf numFmtId="167" fontId="38" fillId="0" borderId="10" xfId="8" applyFont="1" applyBorder="1" applyAlignment="1" applyProtection="1">
      <alignment horizontal="center" vertical="center" wrapText="1"/>
      <protection locked="0"/>
    </xf>
    <xf numFmtId="167" fontId="38" fillId="0" borderId="30" xfId="8" applyFont="1" applyBorder="1" applyAlignment="1" applyProtection="1">
      <alignment horizontal="center" vertical="center" wrapText="1"/>
      <protection locked="0"/>
    </xf>
    <xf numFmtId="167" fontId="20" fillId="0" borderId="0" xfId="8" applyFont="1" applyBorder="1" applyAlignment="1" applyProtection="1">
      <alignment horizontal="center" vertical="center" wrapText="1"/>
      <protection locked="0"/>
    </xf>
    <xf numFmtId="167" fontId="21" fillId="0" borderId="13" xfId="8" applyFont="1" applyBorder="1" applyAlignment="1" applyProtection="1">
      <alignment horizontal="center" vertical="center" wrapText="1"/>
    </xf>
    <xf numFmtId="167" fontId="21" fillId="0" borderId="0" xfId="8" applyFont="1" applyBorder="1" applyAlignment="1" applyProtection="1">
      <alignment horizontal="center" vertical="center" wrapText="1"/>
    </xf>
    <xf numFmtId="2" fontId="21" fillId="0" borderId="1" xfId="4" applyNumberFormat="1" applyFont="1" applyBorder="1" applyAlignment="1" applyProtection="1">
      <alignment horizontal="center" vertical="center" wrapText="1"/>
    </xf>
    <xf numFmtId="2" fontId="20" fillId="0" borderId="2" xfId="4" applyNumberFormat="1" applyFont="1" applyBorder="1" applyAlignment="1" applyProtection="1">
      <alignment horizontal="center" vertical="center" wrapText="1"/>
    </xf>
    <xf numFmtId="2" fontId="20" fillId="0" borderId="1" xfId="4" applyNumberFormat="1" applyFont="1" applyBorder="1" applyAlignment="1" applyProtection="1">
      <alignment horizontal="center" vertical="center" wrapText="1"/>
    </xf>
    <xf numFmtId="2" fontId="20" fillId="0" borderId="3" xfId="4" applyNumberFormat="1" applyFont="1" applyBorder="1" applyAlignment="1" applyProtection="1">
      <alignment horizontal="center" vertical="center" wrapText="1"/>
    </xf>
    <xf numFmtId="0" fontId="21" fillId="0" borderId="3" xfId="2" applyFont="1" applyBorder="1" applyAlignment="1" applyProtection="1">
      <alignment horizontal="left" vertical="center" wrapText="1"/>
      <protection locked="0"/>
    </xf>
    <xf numFmtId="0" fontId="23" fillId="0" borderId="9" xfId="9" applyNumberFormat="1" applyBorder="1" applyAlignment="1" applyProtection="1">
      <alignment horizontal="center" vertical="center" wrapText="1"/>
      <protection locked="0"/>
    </xf>
    <xf numFmtId="167" fontId="20" fillId="0" borderId="3" xfId="2" applyNumberFormat="1" applyBorder="1" applyAlignment="1" applyProtection="1">
      <alignment horizontal="center" vertical="center" wrapText="1"/>
    </xf>
    <xf numFmtId="2" fontId="21" fillId="0" borderId="0" xfId="10" applyNumberFormat="1" applyBorder="1" applyAlignment="1">
      <alignment horizontal="center" vertical="center" wrapText="1"/>
    </xf>
    <xf numFmtId="0" fontId="20" fillId="0" borderId="4" xfId="3" applyFont="1" applyBorder="1" applyAlignment="1" applyProtection="1">
      <alignment horizontal="center" vertical="center" wrapText="1"/>
      <protection locked="0"/>
    </xf>
    <xf numFmtId="0" fontId="20" fillId="0" borderId="0" xfId="3" applyFont="1" applyBorder="1" applyAlignment="1" applyProtection="1">
      <alignment horizontal="center" vertical="center" wrapText="1"/>
      <protection locked="0"/>
    </xf>
    <xf numFmtId="167" fontId="38" fillId="0" borderId="13" xfId="8" applyFont="1" applyBorder="1" applyAlignment="1" applyProtection="1">
      <alignment horizontal="center" vertical="center" wrapText="1"/>
      <protection locked="0"/>
    </xf>
    <xf numFmtId="167" fontId="38" fillId="0" borderId="0" xfId="8" applyFont="1" applyBorder="1" applyAlignment="1" applyProtection="1">
      <alignment horizontal="center" vertical="center" wrapText="1"/>
      <protection locked="0"/>
    </xf>
    <xf numFmtId="167" fontId="38" fillId="0" borderId="14" xfId="8" applyFont="1" applyBorder="1" applyAlignment="1" applyProtection="1">
      <alignment horizontal="center" vertical="center" wrapText="1"/>
      <protection locked="0"/>
    </xf>
    <xf numFmtId="167" fontId="38" fillId="0" borderId="15" xfId="8" applyFont="1" applyBorder="1" applyAlignment="1" applyProtection="1">
      <alignment horizontal="center" vertical="center" wrapText="1"/>
      <protection locked="0"/>
    </xf>
    <xf numFmtId="167" fontId="38" fillId="0" borderId="25" xfId="8" applyFont="1" applyBorder="1" applyAlignment="1" applyProtection="1">
      <alignment horizontal="center" vertical="center" wrapText="1"/>
      <protection locked="0"/>
    </xf>
    <xf numFmtId="167" fontId="20" fillId="0" borderId="13" xfId="6" applyNumberFormat="1" applyBorder="1" applyAlignment="1" applyProtection="1">
      <alignment horizontal="center" vertical="center" wrapText="1"/>
    </xf>
    <xf numFmtId="167" fontId="20" fillId="0" borderId="0" xfId="6" applyNumberFormat="1" applyBorder="1" applyAlignment="1" applyProtection="1">
      <alignment horizontal="center" vertical="center" wrapText="1"/>
    </xf>
    <xf numFmtId="2" fontId="23" fillId="0" borderId="4" xfId="4" applyNumberFormat="1" applyFont="1" applyBorder="1" applyAlignment="1" applyProtection="1">
      <alignment horizontal="center" vertical="center" wrapText="1"/>
    </xf>
    <xf numFmtId="2" fontId="20" fillId="0" borderId="0" xfId="4" applyNumberFormat="1" applyFont="1" applyBorder="1" applyAlignment="1" applyProtection="1">
      <alignment horizontal="center" vertical="center" wrapText="1"/>
    </xf>
    <xf numFmtId="2" fontId="20" fillId="0" borderId="4" xfId="4" applyNumberFormat="1" applyFont="1" applyBorder="1" applyAlignment="1" applyProtection="1">
      <alignment horizontal="center" vertical="center" wrapText="1"/>
    </xf>
    <xf numFmtId="2" fontId="20" fillId="0" borderId="5" xfId="6" applyNumberFormat="1" applyBorder="1" applyAlignment="1" applyProtection="1">
      <alignment horizontal="center" vertical="center" wrapText="1"/>
    </xf>
    <xf numFmtId="0" fontId="21" fillId="0" borderId="5" xfId="2" applyFont="1" applyBorder="1" applyAlignment="1" applyProtection="1">
      <alignment horizontal="left" vertical="center" wrapText="1"/>
      <protection locked="0"/>
    </xf>
    <xf numFmtId="0" fontId="23" fillId="0" borderId="14" xfId="9" applyNumberFormat="1" applyBorder="1" applyAlignment="1" applyProtection="1">
      <alignment horizontal="center" vertical="center" wrapText="1"/>
      <protection locked="0"/>
    </xf>
    <xf numFmtId="167" fontId="20" fillId="0" borderId="5" xfId="2" applyNumberFormat="1" applyBorder="1" applyAlignment="1" applyProtection="1">
      <alignment horizontal="center" vertical="center"/>
    </xf>
    <xf numFmtId="167" fontId="20" fillId="0" borderId="5" xfId="2" applyNumberFormat="1" applyBorder="1" applyAlignment="1" applyProtection="1">
      <alignment horizontal="center" vertical="center" wrapText="1"/>
    </xf>
    <xf numFmtId="0" fontId="20" fillId="0" borderId="4" xfId="3" applyFont="1" applyFill="1" applyBorder="1" applyAlignment="1" applyProtection="1">
      <alignment horizontal="center" vertical="center" wrapText="1"/>
      <protection locked="0"/>
    </xf>
    <xf numFmtId="0" fontId="20" fillId="0" borderId="5" xfId="2" applyBorder="1" applyAlignment="1" applyProtection="1">
      <alignment horizontal="left" vertical="center" wrapText="1"/>
    </xf>
    <xf numFmtId="2" fontId="20" fillId="0" borderId="0" xfId="10" applyNumberFormat="1" applyFont="1" applyBorder="1" applyAlignment="1">
      <alignment horizontal="center" vertical="center" wrapText="1"/>
    </xf>
    <xf numFmtId="2" fontId="20" fillId="0" borderId="0" xfId="10" applyNumberFormat="1" applyFont="1" applyBorder="1" applyAlignment="1">
      <alignment horizontal="center" vertical="center"/>
    </xf>
    <xf numFmtId="169" fontId="20" fillId="0" borderId="5" xfId="6" applyNumberFormat="1" applyBorder="1" applyAlignment="1" applyProtection="1">
      <alignment horizontal="left" vertical="center" wrapText="1"/>
      <protection locked="0"/>
    </xf>
    <xf numFmtId="0" fontId="20" fillId="0" borderId="0" xfId="2" applyAlignment="1" applyProtection="1">
      <alignment vertical="center"/>
    </xf>
    <xf numFmtId="0" fontId="39" fillId="0" borderId="5" xfId="2" applyNumberFormat="1" applyFont="1" applyBorder="1" applyAlignment="1" applyProtection="1">
      <alignment horizontal="left" vertical="center"/>
    </xf>
    <xf numFmtId="167" fontId="20" fillId="0" borderId="5" xfId="10" applyNumberFormat="1" applyFont="1" applyBorder="1" applyAlignment="1">
      <alignment horizontal="center" vertical="center" wrapText="1"/>
    </xf>
    <xf numFmtId="0" fontId="20" fillId="0" borderId="6" xfId="3" applyFont="1" applyFill="1" applyBorder="1" applyAlignment="1" applyProtection="1">
      <alignment horizontal="center" vertical="center" wrapText="1"/>
      <protection locked="0"/>
    </xf>
    <xf numFmtId="0" fontId="20" fillId="0" borderId="7" xfId="3" applyFont="1" applyBorder="1" applyAlignment="1" applyProtection="1">
      <alignment horizontal="center" vertical="center" wrapText="1"/>
      <protection locked="0"/>
    </xf>
    <xf numFmtId="167" fontId="20" fillId="0" borderId="7" xfId="8" applyFont="1" applyBorder="1" applyAlignment="1" applyProtection="1">
      <alignment horizontal="center" vertical="center" wrapText="1"/>
      <protection locked="0"/>
    </xf>
    <xf numFmtId="167" fontId="20" fillId="0" borderId="19" xfId="8" applyFont="1" applyBorder="1" applyAlignment="1" applyProtection="1">
      <alignment horizontal="center" vertical="center" wrapText="1"/>
      <protection locked="0"/>
    </xf>
    <xf numFmtId="167" fontId="20" fillId="0" borderId="17" xfId="8" applyFont="1" applyBorder="1" applyAlignment="1" applyProtection="1">
      <alignment horizontal="center" vertical="center" wrapText="1"/>
      <protection locked="0"/>
    </xf>
    <xf numFmtId="167" fontId="20" fillId="0" borderId="18" xfId="8" applyFont="1" applyBorder="1" applyAlignment="1" applyProtection="1">
      <alignment horizontal="center" vertical="center" wrapText="1"/>
      <protection locked="0"/>
    </xf>
    <xf numFmtId="167" fontId="20" fillId="0" borderId="31" xfId="8" applyFont="1" applyBorder="1" applyAlignment="1" applyProtection="1">
      <alignment horizontal="center" vertical="center" wrapText="1"/>
      <protection locked="0"/>
    </xf>
    <xf numFmtId="167" fontId="20" fillId="0" borderId="19" xfId="6" applyNumberFormat="1" applyBorder="1" applyAlignment="1" applyProtection="1">
      <alignment horizontal="center" vertical="center" wrapText="1"/>
    </xf>
    <xf numFmtId="167" fontId="20" fillId="0" borderId="7" xfId="6" applyNumberFormat="1" applyBorder="1" applyAlignment="1" applyProtection="1">
      <alignment horizontal="center" vertical="center" wrapText="1"/>
    </xf>
    <xf numFmtId="2" fontId="23" fillId="0" borderId="6" xfId="4" applyNumberFormat="1" applyFont="1" applyBorder="1" applyAlignment="1" applyProtection="1">
      <alignment horizontal="center" vertical="center" wrapText="1"/>
    </xf>
    <xf numFmtId="2" fontId="20" fillId="0" borderId="7" xfId="4" applyNumberFormat="1" applyFont="1" applyBorder="1" applyAlignment="1" applyProtection="1">
      <alignment horizontal="center" vertical="center" wrapText="1"/>
    </xf>
    <xf numFmtId="2" fontId="20" fillId="0" borderId="6" xfId="4" applyNumberFormat="1" applyFont="1" applyBorder="1" applyAlignment="1" applyProtection="1">
      <alignment horizontal="center" vertical="center" wrapText="1"/>
    </xf>
    <xf numFmtId="2" fontId="20" fillId="0" borderId="8" xfId="6" applyNumberFormat="1" applyBorder="1" applyAlignment="1" applyProtection="1">
      <alignment horizontal="center" vertical="center" wrapText="1"/>
    </xf>
    <xf numFmtId="0" fontId="39" fillId="0" borderId="8" xfId="2" applyNumberFormat="1" applyFont="1" applyBorder="1" applyAlignment="1" applyProtection="1">
      <alignment horizontal="left" vertical="center"/>
    </xf>
    <xf numFmtId="167" fontId="20" fillId="0" borderId="5" xfId="10" applyNumberFormat="1" applyFont="1" applyBorder="1" applyAlignment="1">
      <alignment horizontal="center" vertical="center"/>
    </xf>
    <xf numFmtId="2" fontId="20" fillId="0" borderId="0" xfId="2" applyNumberFormat="1" applyBorder="1" applyAlignment="1" applyProtection="1">
      <alignment horizontal="center" vertical="center"/>
    </xf>
    <xf numFmtId="0" fontId="19" fillId="0" borderId="4" xfId="3" applyFont="1" applyFill="1" applyBorder="1" applyAlignment="1" applyProtection="1">
      <alignment horizontal="center" vertical="center" wrapText="1"/>
      <protection locked="0"/>
    </xf>
    <xf numFmtId="167" fontId="20" fillId="0" borderId="13" xfId="8" applyFont="1" applyBorder="1" applyAlignment="1" applyProtection="1">
      <alignment horizontal="center" vertical="center" wrapText="1"/>
      <protection locked="0"/>
    </xf>
    <xf numFmtId="167" fontId="20" fillId="0" borderId="14" xfId="8" applyFont="1" applyBorder="1" applyAlignment="1" applyProtection="1">
      <alignment horizontal="center" vertical="center" wrapText="1"/>
      <protection locked="0"/>
    </xf>
    <xf numFmtId="167" fontId="20" fillId="0" borderId="15" xfId="8" applyFont="1" applyBorder="1" applyAlignment="1" applyProtection="1">
      <alignment horizontal="center" vertical="center" wrapText="1"/>
      <protection locked="0"/>
    </xf>
    <xf numFmtId="167" fontId="20" fillId="0" borderId="25" xfId="8" applyFont="1" applyBorder="1" applyAlignment="1" applyProtection="1">
      <alignment horizontal="center" vertical="center" wrapText="1"/>
      <protection locked="0"/>
    </xf>
    <xf numFmtId="168" fontId="20" fillId="0" borderId="13" xfId="8" applyNumberFormat="1" applyFont="1" applyBorder="1" applyAlignment="1" applyProtection="1">
      <alignment horizontal="center" vertical="center" wrapText="1"/>
      <protection locked="0"/>
    </xf>
    <xf numFmtId="168" fontId="20" fillId="0" borderId="0" xfId="8" applyNumberFormat="1" applyFont="1" applyBorder="1" applyAlignment="1" applyProtection="1">
      <alignment horizontal="center" vertical="center" wrapText="1"/>
      <protection locked="0"/>
    </xf>
    <xf numFmtId="168" fontId="20" fillId="0" borderId="14" xfId="8" applyNumberFormat="1" applyFont="1" applyBorder="1" applyAlignment="1" applyProtection="1">
      <alignment horizontal="center" vertical="center" wrapText="1"/>
      <protection locked="0"/>
    </xf>
    <xf numFmtId="168" fontId="20" fillId="0" borderId="15" xfId="8" applyNumberFormat="1" applyFont="1" applyBorder="1" applyAlignment="1" applyProtection="1">
      <alignment horizontal="center" vertical="center" wrapText="1"/>
      <protection locked="0"/>
    </xf>
    <xf numFmtId="168" fontId="20" fillId="0" borderId="25" xfId="8" applyNumberFormat="1" applyFont="1" applyBorder="1" applyAlignment="1" applyProtection="1">
      <alignment horizontal="center" vertical="center" wrapText="1"/>
      <protection locked="0"/>
    </xf>
    <xf numFmtId="0" fontId="20" fillId="0" borderId="0" xfId="2" applyProtection="1"/>
    <xf numFmtId="4" fontId="20" fillId="0" borderId="0" xfId="2" applyNumberFormat="1" applyBorder="1" applyAlignment="1" applyProtection="1">
      <alignment horizontal="center"/>
    </xf>
    <xf numFmtId="4" fontId="19" fillId="0" borderId="0" xfId="2" applyNumberFormat="1" applyFont="1" applyFill="1" applyBorder="1" applyAlignment="1" applyProtection="1">
      <alignment horizontal="center"/>
    </xf>
    <xf numFmtId="0" fontId="20" fillId="0" borderId="0" xfId="2" applyFill="1" applyProtection="1"/>
    <xf numFmtId="0" fontId="19" fillId="0" borderId="0" xfId="2" applyFont="1" applyFill="1" applyProtection="1"/>
    <xf numFmtId="2" fontId="19" fillId="0" borderId="0" xfId="2" applyNumberFormat="1" applyFont="1" applyFill="1" applyAlignment="1" applyProtection="1">
      <alignment horizontal="center"/>
    </xf>
    <xf numFmtId="2" fontId="20" fillId="0" borderId="0" xfId="2" applyNumberFormat="1" applyFill="1" applyBorder="1" applyAlignment="1" applyProtection="1">
      <alignment horizontal="center"/>
    </xf>
    <xf numFmtId="2" fontId="20" fillId="0" borderId="0" xfId="2" applyNumberFormat="1" applyBorder="1" applyAlignment="1" applyProtection="1">
      <alignment horizontal="center"/>
    </xf>
    <xf numFmtId="2" fontId="20" fillId="0" borderId="0" xfId="2" applyNumberFormat="1" applyAlignment="1" applyProtection="1">
      <alignment horizontal="center"/>
    </xf>
    <xf numFmtId="167" fontId="20" fillId="0" borderId="5" xfId="2" applyNumberFormat="1" applyBorder="1" applyAlignment="1" applyProtection="1">
      <alignment horizontal="center"/>
    </xf>
    <xf numFmtId="0" fontId="19" fillId="0" borderId="2" xfId="2" applyFont="1" applyBorder="1" applyProtection="1"/>
    <xf numFmtId="167" fontId="19" fillId="0" borderId="3" xfId="2" applyNumberFormat="1" applyFont="1" applyFill="1" applyBorder="1" applyAlignment="1" applyProtection="1">
      <alignment horizontal="center"/>
    </xf>
    <xf numFmtId="0" fontId="20" fillId="0" borderId="0" xfId="2" applyBorder="1" applyProtection="1"/>
    <xf numFmtId="0" fontId="40" fillId="5" borderId="4" xfId="3" applyFont="1" applyFill="1" applyBorder="1" applyAlignment="1" applyProtection="1">
      <alignment horizontal="left" vertical="center"/>
      <protection locked="0"/>
    </xf>
    <xf numFmtId="0" fontId="41" fillId="5" borderId="0" xfId="3" applyFont="1" applyFill="1" applyBorder="1" applyAlignment="1" applyProtection="1">
      <alignment horizontal="center" vertical="center" wrapText="1"/>
      <protection locked="0"/>
    </xf>
    <xf numFmtId="167" fontId="41" fillId="5" borderId="0" xfId="8" applyFont="1" applyFill="1" applyBorder="1" applyAlignment="1" applyProtection="1">
      <alignment horizontal="center" vertical="center" wrapText="1"/>
      <protection locked="0"/>
    </xf>
    <xf numFmtId="167" fontId="41" fillId="5" borderId="15" xfId="8" applyFont="1" applyFill="1" applyBorder="1" applyAlignment="1" applyProtection="1">
      <alignment horizontal="center" vertical="center" wrapText="1"/>
      <protection locked="0"/>
    </xf>
    <xf numFmtId="167" fontId="41" fillId="5" borderId="25" xfId="8" applyFont="1" applyFill="1" applyBorder="1" applyAlignment="1" applyProtection="1">
      <alignment horizontal="center" vertical="center" wrapText="1"/>
      <protection locked="0"/>
    </xf>
    <xf numFmtId="167" fontId="20" fillId="5" borderId="13" xfId="6" applyNumberFormat="1" applyFill="1" applyBorder="1" applyAlignment="1" applyProtection="1">
      <alignment horizontal="center" vertical="center" wrapText="1"/>
    </xf>
    <xf numFmtId="167" fontId="20" fillId="5" borderId="0" xfId="6" applyNumberFormat="1" applyFill="1" applyBorder="1" applyAlignment="1" applyProtection="1">
      <alignment horizontal="center" vertical="center" wrapText="1"/>
    </xf>
    <xf numFmtId="2" fontId="23" fillId="5" borderId="4" xfId="4" applyNumberFormat="1" applyFont="1" applyFill="1" applyBorder="1" applyAlignment="1" applyProtection="1">
      <alignment horizontal="center" vertical="center" wrapText="1"/>
    </xf>
    <xf numFmtId="2" fontId="20" fillId="5" borderId="0" xfId="4" applyNumberFormat="1" applyFont="1" applyFill="1" applyBorder="1" applyAlignment="1" applyProtection="1">
      <alignment horizontal="center" vertical="center" wrapText="1"/>
    </xf>
    <xf numFmtId="2" fontId="20" fillId="5" borderId="4" xfId="4" applyNumberFormat="1" applyFont="1" applyFill="1" applyBorder="1" applyAlignment="1" applyProtection="1">
      <alignment horizontal="center" vertical="center" wrapText="1"/>
    </xf>
    <xf numFmtId="2" fontId="20" fillId="5" borderId="5" xfId="6" applyNumberFormat="1" applyFill="1" applyBorder="1" applyAlignment="1" applyProtection="1">
      <alignment horizontal="center" vertical="center" wrapText="1"/>
    </xf>
    <xf numFmtId="0" fontId="39" fillId="5" borderId="5" xfId="2" applyNumberFormat="1" applyFont="1" applyFill="1" applyBorder="1" applyAlignment="1" applyProtection="1">
      <alignment horizontal="left" vertical="center"/>
    </xf>
    <xf numFmtId="0" fontId="21" fillId="5" borderId="4" xfId="3" applyFill="1" applyBorder="1" applyAlignment="1" applyProtection="1">
      <alignment horizontal="center" vertical="center"/>
    </xf>
    <xf numFmtId="0" fontId="21" fillId="5" borderId="0" xfId="3" applyFill="1" applyBorder="1" applyAlignment="1" applyProtection="1">
      <alignment horizontal="center" vertical="center"/>
    </xf>
    <xf numFmtId="167" fontId="21" fillId="5" borderId="0" xfId="8" applyFont="1" applyFill="1" applyBorder="1" applyAlignment="1" applyProtection="1">
      <alignment horizontal="center" vertical="center"/>
    </xf>
    <xf numFmtId="167" fontId="21" fillId="5" borderId="15" xfId="8" applyFont="1" applyFill="1" applyBorder="1" applyAlignment="1" applyProtection="1">
      <alignment horizontal="center" vertical="center"/>
    </xf>
    <xf numFmtId="167" fontId="21" fillId="5" borderId="25" xfId="8" applyFont="1" applyFill="1" applyBorder="1" applyAlignment="1" applyProtection="1">
      <alignment horizontal="center" vertical="center"/>
    </xf>
    <xf numFmtId="167" fontId="20" fillId="5" borderId="13" xfId="6" applyNumberFormat="1" applyFill="1" applyBorder="1" applyAlignment="1" applyProtection="1">
      <alignment horizontal="center" vertical="center"/>
    </xf>
    <xf numFmtId="167" fontId="20" fillId="5" borderId="0" xfId="6" applyNumberFormat="1" applyFill="1" applyBorder="1" applyAlignment="1" applyProtection="1">
      <alignment horizontal="center" vertical="center"/>
    </xf>
    <xf numFmtId="2" fontId="21" fillId="5" borderId="4" xfId="4" applyNumberFormat="1" applyFont="1" applyFill="1" applyBorder="1" applyAlignment="1" applyProtection="1">
      <alignment horizontal="center" vertical="center"/>
    </xf>
    <xf numFmtId="2" fontId="20" fillId="5" borderId="0" xfId="4" applyNumberFormat="1" applyFont="1" applyFill="1" applyBorder="1" applyAlignment="1" applyProtection="1">
      <alignment horizontal="center" vertical="center"/>
    </xf>
    <xf numFmtId="2" fontId="20" fillId="5" borderId="4" xfId="4" applyNumberFormat="1" applyFont="1" applyFill="1" applyBorder="1" applyAlignment="1" applyProtection="1">
      <alignment horizontal="center" vertical="center"/>
    </xf>
    <xf numFmtId="2" fontId="20" fillId="5" borderId="5" xfId="4" applyNumberFormat="1" applyFont="1" applyFill="1" applyBorder="1" applyAlignment="1" applyProtection="1">
      <alignment horizontal="center" vertical="center"/>
    </xf>
    <xf numFmtId="0" fontId="20" fillId="5" borderId="5" xfId="2" applyFill="1" applyBorder="1" applyAlignment="1" applyProtection="1">
      <alignment horizontal="left" vertical="center"/>
    </xf>
    <xf numFmtId="0" fontId="21" fillId="5" borderId="6" xfId="3" applyFill="1" applyBorder="1" applyAlignment="1" applyProtection="1">
      <alignment horizontal="center" vertical="center"/>
    </xf>
    <xf numFmtId="0" fontId="21" fillId="5" borderId="7" xfId="3" applyFill="1" applyBorder="1" applyAlignment="1" applyProtection="1">
      <alignment horizontal="center" vertical="center"/>
    </xf>
    <xf numFmtId="167" fontId="21" fillId="5" borderId="7" xfId="8" applyFont="1" applyFill="1" applyBorder="1" applyAlignment="1" applyProtection="1">
      <alignment horizontal="center" vertical="center"/>
    </xf>
    <xf numFmtId="167" fontId="21" fillId="5" borderId="18" xfId="8" applyFont="1" applyFill="1" applyBorder="1" applyAlignment="1" applyProtection="1">
      <alignment horizontal="center" vertical="center"/>
    </xf>
    <xf numFmtId="167" fontId="21" fillId="5" borderId="31" xfId="8" applyFont="1" applyFill="1" applyBorder="1" applyAlignment="1" applyProtection="1">
      <alignment horizontal="center" vertical="center"/>
    </xf>
    <xf numFmtId="167" fontId="20" fillId="5" borderId="19" xfId="6" applyNumberFormat="1" applyFill="1" applyBorder="1" applyAlignment="1" applyProtection="1">
      <alignment horizontal="center" vertical="center"/>
    </xf>
    <xf numFmtId="167" fontId="20" fillId="5" borderId="7" xfId="6" applyNumberFormat="1" applyFill="1" applyBorder="1" applyAlignment="1" applyProtection="1">
      <alignment horizontal="center" vertical="center"/>
    </xf>
    <xf numFmtId="2" fontId="21" fillId="5" borderId="6" xfId="4" applyNumberFormat="1" applyFont="1" applyFill="1" applyBorder="1" applyAlignment="1" applyProtection="1">
      <alignment horizontal="center" vertical="center"/>
    </xf>
    <xf numFmtId="2" fontId="20" fillId="5" borderId="7" xfId="4" applyNumberFormat="1" applyFont="1" applyFill="1" applyBorder="1" applyAlignment="1" applyProtection="1">
      <alignment horizontal="center" vertical="center"/>
    </xf>
    <xf numFmtId="2" fontId="20" fillId="5" borderId="6" xfId="4" applyNumberFormat="1" applyFont="1" applyFill="1" applyBorder="1" applyAlignment="1" applyProtection="1">
      <alignment horizontal="center" vertical="center"/>
    </xf>
    <xf numFmtId="2" fontId="20" fillId="5" borderId="8" xfId="4" applyNumberFormat="1" applyFont="1" applyFill="1" applyBorder="1" applyAlignment="1" applyProtection="1">
      <alignment horizontal="center" vertical="center"/>
    </xf>
    <xf numFmtId="0" fontId="20" fillId="5" borderId="8" xfId="2" applyFill="1" applyBorder="1" applyAlignment="1" applyProtection="1">
      <alignment horizontal="left" vertical="center"/>
    </xf>
    <xf numFmtId="0" fontId="19" fillId="0" borderId="7" xfId="2" applyFont="1" applyBorder="1" applyAlignment="1" applyProtection="1">
      <alignment horizontal="left"/>
    </xf>
    <xf numFmtId="167" fontId="20" fillId="0" borderId="8" xfId="2" applyNumberFormat="1" applyBorder="1" applyAlignment="1" applyProtection="1">
      <alignment horizontal="center"/>
    </xf>
    <xf numFmtId="0" fontId="21" fillId="0" borderId="0" xfId="3" applyBorder="1" applyAlignment="1" applyProtection="1">
      <alignment horizontal="center"/>
    </xf>
    <xf numFmtId="167" fontId="21" fillId="0" borderId="0" xfId="8" applyFont="1" applyBorder="1" applyAlignment="1" applyProtection="1">
      <alignment horizontal="center"/>
    </xf>
    <xf numFmtId="167" fontId="20" fillId="0" borderId="0" xfId="6" applyNumberFormat="1" applyBorder="1" applyAlignment="1" applyProtection="1">
      <alignment horizontal="center"/>
    </xf>
    <xf numFmtId="166" fontId="21" fillId="0" borderId="0" xfId="4" applyFont="1" applyBorder="1" applyAlignment="1" applyProtection="1">
      <alignment horizontal="center"/>
    </xf>
    <xf numFmtId="2" fontId="20" fillId="0" borderId="0" xfId="4" applyNumberFormat="1" applyFont="1" applyBorder="1" applyAlignment="1" applyProtection="1">
      <alignment horizontal="center"/>
    </xf>
    <xf numFmtId="166" fontId="20" fillId="0" borderId="0" xfId="4" applyFont="1" applyBorder="1" applyAlignment="1" applyProtection="1">
      <alignment horizontal="center"/>
    </xf>
    <xf numFmtId="167" fontId="20" fillId="0" borderId="0" xfId="8" applyFont="1" applyAlignment="1" applyProtection="1">
      <alignment horizontal="center"/>
    </xf>
    <xf numFmtId="0" fontId="20" fillId="0" borderId="0" xfId="2" applyBorder="1" applyAlignment="1" applyProtection="1">
      <alignment horizontal="left"/>
    </xf>
    <xf numFmtId="0" fontId="19" fillId="0" borderId="0" xfId="2" applyFont="1" applyAlignment="1" applyProtection="1">
      <alignment horizontal="right"/>
    </xf>
    <xf numFmtId="2" fontId="20" fillId="0" borderId="0" xfId="2" applyNumberFormat="1" applyProtection="1"/>
    <xf numFmtId="1" fontId="20" fillId="0" borderId="0" xfId="2" applyNumberFormat="1" applyBorder="1" applyProtection="1"/>
    <xf numFmtId="0" fontId="20" fillId="0" borderId="0" xfId="2" applyBorder="1" applyAlignment="1" applyProtection="1">
      <alignment horizontal="center"/>
    </xf>
    <xf numFmtId="166" fontId="20" fillId="0" borderId="0" xfId="4" applyFont="1" applyAlignment="1" applyProtection="1">
      <alignment horizontal="center"/>
    </xf>
    <xf numFmtId="0" fontId="20" fillId="0" borderId="0" xfId="2" applyAlignment="1" applyProtection="1">
      <alignment horizontal="center"/>
    </xf>
    <xf numFmtId="166" fontId="19" fillId="0" borderId="0" xfId="4" applyFont="1" applyAlignment="1" applyProtection="1">
      <alignment horizontal="center"/>
    </xf>
    <xf numFmtId="2" fontId="20" fillId="0" borderId="0" xfId="4" applyNumberFormat="1" applyFont="1" applyAlignment="1" applyProtection="1">
      <alignment horizontal="center"/>
    </xf>
    <xf numFmtId="1" fontId="20" fillId="0" borderId="0" xfId="2" applyNumberFormat="1" applyProtection="1"/>
    <xf numFmtId="14" fontId="2" fillId="0" borderId="0" xfId="2" applyNumberFormat="1" applyFont="1" applyBorder="1" applyProtection="1"/>
    <xf numFmtId="0" fontId="12" fillId="17" borderId="14" xfId="0" applyFont="1" applyFill="1" applyBorder="1" applyAlignment="1">
      <alignment horizontal="center"/>
    </xf>
    <xf numFmtId="0" fontId="12" fillId="17" borderId="5" xfId="0" applyFont="1" applyFill="1" applyBorder="1" applyAlignment="1">
      <alignment horizontal="center"/>
    </xf>
    <xf numFmtId="0" fontId="12" fillId="17" borderId="16" xfId="0" applyFont="1" applyFill="1" applyBorder="1" applyAlignment="1">
      <alignment horizontal="center"/>
    </xf>
    <xf numFmtId="0" fontId="12" fillId="17" borderId="15" xfId="0" applyFont="1" applyFill="1" applyBorder="1" applyAlignment="1">
      <alignment horizontal="center"/>
    </xf>
    <xf numFmtId="0" fontId="12" fillId="17" borderId="5" xfId="0" applyFont="1" applyFill="1" applyBorder="1"/>
    <xf numFmtId="2" fontId="12" fillId="17" borderId="5" xfId="0" applyNumberFormat="1" applyFont="1" applyFill="1" applyBorder="1" applyAlignment="1">
      <alignment horizontal="center"/>
    </xf>
    <xf numFmtId="170" fontId="11" fillId="0" borderId="0" xfId="5" applyNumberFormat="1" applyFont="1" applyAlignment="1" applyProtection="1">
      <alignment horizontal="center"/>
    </xf>
    <xf numFmtId="0" fontId="2" fillId="0" borderId="1" xfId="1" applyFont="1" applyBorder="1" applyAlignment="1" applyProtection="1">
      <alignment horizontal="right"/>
    </xf>
    <xf numFmtId="0" fontId="2" fillId="0" borderId="2" xfId="2" applyFont="1" applyBorder="1" applyProtection="1"/>
    <xf numFmtId="0" fontId="19" fillId="0" borderId="3" xfId="2" applyFont="1" applyBorder="1" applyProtection="1"/>
    <xf numFmtId="0" fontId="2" fillId="0" borderId="4" xfId="1" applyFont="1" applyBorder="1" applyAlignment="1" applyProtection="1">
      <alignment horizontal="right"/>
    </xf>
    <xf numFmtId="1" fontId="11" fillId="0" borderId="0" xfId="5" applyNumberFormat="1" applyFont="1" applyBorder="1" applyAlignment="1" applyProtection="1">
      <alignment horizontal="center"/>
    </xf>
    <xf numFmtId="0" fontId="19" fillId="0" borderId="5" xfId="2" applyFont="1" applyBorder="1" applyProtection="1"/>
    <xf numFmtId="2" fontId="2" fillId="0" borderId="4" xfId="1" applyNumberFormat="1" applyFont="1" applyBorder="1" applyAlignment="1" applyProtection="1">
      <alignment horizontal="right"/>
    </xf>
    <xf numFmtId="2" fontId="11" fillId="0" borderId="0" xfId="5" applyNumberFormat="1" applyFont="1" applyBorder="1" applyAlignment="1" applyProtection="1">
      <alignment horizontal="center"/>
    </xf>
    <xf numFmtId="0" fontId="20" fillId="0" borderId="5" xfId="6" applyBorder="1" applyAlignment="1" applyProtection="1">
      <alignment vertical="top"/>
    </xf>
    <xf numFmtId="0" fontId="2" fillId="0" borderId="6" xfId="6" applyFont="1" applyBorder="1" applyAlignment="1" applyProtection="1">
      <alignment horizontal="right" vertical="top"/>
    </xf>
    <xf numFmtId="0" fontId="11" fillId="0" borderId="7" xfId="6" applyFont="1" applyBorder="1" applyAlignment="1" applyProtection="1">
      <alignment vertical="top"/>
    </xf>
    <xf numFmtId="1" fontId="30" fillId="0" borderId="7" xfId="6" applyNumberFormat="1" applyFont="1" applyBorder="1" applyAlignment="1" applyProtection="1">
      <alignment vertical="top"/>
      <protection locked="0"/>
    </xf>
    <xf numFmtId="1" fontId="11" fillId="0" borderId="7" xfId="6" applyNumberFormat="1" applyFont="1" applyBorder="1" applyAlignment="1" applyProtection="1">
      <alignment vertical="top"/>
    </xf>
    <xf numFmtId="166" fontId="11" fillId="0" borderId="7" xfId="6" applyNumberFormat="1" applyFont="1" applyBorder="1" applyAlignment="1" applyProtection="1">
      <alignment vertical="top"/>
    </xf>
    <xf numFmtId="2" fontId="11" fillId="0" borderId="7" xfId="6" applyNumberFormat="1" applyFont="1" applyBorder="1" applyAlignment="1" applyProtection="1">
      <alignment vertical="top"/>
    </xf>
    <xf numFmtId="0" fontId="11" fillId="0" borderId="7" xfId="6" applyFont="1" applyBorder="1" applyAlignment="1" applyProtection="1">
      <alignment vertical="top"/>
      <protection locked="0"/>
    </xf>
    <xf numFmtId="0" fontId="11" fillId="0" borderId="0" xfId="6" applyFont="1" applyBorder="1" applyAlignment="1" applyProtection="1">
      <alignment vertical="top"/>
    </xf>
    <xf numFmtId="0" fontId="19" fillId="0" borderId="8" xfId="1" applyBorder="1" applyAlignment="1" applyProtection="1">
      <alignment horizontal="centerContinuous"/>
    </xf>
    <xf numFmtId="0" fontId="32" fillId="0" borderId="1" xfId="1" applyFont="1" applyBorder="1" applyAlignment="1" applyProtection="1">
      <alignment horizontal="centerContinuous"/>
    </xf>
    <xf numFmtId="1" fontId="43" fillId="0" borderId="3" xfId="3" applyNumberFormat="1" applyFont="1" applyBorder="1" applyAlignment="1" applyProtection="1">
      <alignment horizontal="centerContinuous"/>
    </xf>
    <xf numFmtId="1" fontId="43" fillId="0" borderId="2" xfId="3" applyNumberFormat="1" applyFont="1" applyBorder="1" applyAlignment="1" applyProtection="1">
      <alignment horizontal="centerContinuous"/>
      <protection locked="0"/>
    </xf>
    <xf numFmtId="1" fontId="43" fillId="0" borderId="3" xfId="3" applyNumberFormat="1" applyFont="1" applyBorder="1" applyAlignment="1" applyProtection="1">
      <alignment horizontal="centerContinuous"/>
      <protection locked="0"/>
    </xf>
    <xf numFmtId="1" fontId="32" fillId="0" borderId="1" xfId="3" applyNumberFormat="1" applyFont="1" applyBorder="1" applyAlignment="1" applyProtection="1">
      <alignment horizontal="centerContinuous"/>
    </xf>
    <xf numFmtId="2" fontId="32" fillId="0" borderId="1" xfId="4" applyNumberFormat="1" applyFont="1" applyBorder="1" applyAlignment="1" applyProtection="1">
      <alignment horizontal="centerContinuous"/>
    </xf>
    <xf numFmtId="166" fontId="32" fillId="0" borderId="2" xfId="4" applyFont="1" applyBorder="1" applyAlignment="1" applyProtection="1">
      <alignment horizontal="centerContinuous"/>
    </xf>
    <xf numFmtId="1" fontId="19" fillId="0" borderId="4" xfId="1" applyNumberFormat="1" applyBorder="1" applyAlignment="1" applyProtection="1">
      <alignment horizontal="centerContinuous"/>
    </xf>
    <xf numFmtId="166" fontId="19" fillId="0" borderId="4" xfId="4" applyFont="1" applyBorder="1" applyAlignment="1" applyProtection="1">
      <alignment horizontal="center"/>
    </xf>
    <xf numFmtId="1" fontId="19" fillId="0" borderId="5" xfId="1" applyNumberFormat="1" applyBorder="1" applyAlignment="1" applyProtection="1"/>
    <xf numFmtId="166" fontId="20" fillId="0" borderId="6" xfId="4" applyFont="1" applyBorder="1" applyAlignment="1" applyProtection="1">
      <alignment horizontal="center" vertical="center"/>
    </xf>
    <xf numFmtId="167" fontId="20" fillId="0" borderId="5" xfId="8" applyFont="1" applyBorder="1" applyAlignment="1" applyProtection="1">
      <alignment horizontal="center" vertical="center" wrapText="1"/>
      <protection locked="0"/>
    </xf>
    <xf numFmtId="167" fontId="21" fillId="0" borderId="4" xfId="8" applyFont="1" applyBorder="1" applyAlignment="1" applyProtection="1">
      <alignment horizontal="center" vertical="center" wrapText="1"/>
    </xf>
    <xf numFmtId="167" fontId="21" fillId="0" borderId="5" xfId="8" applyFont="1" applyBorder="1" applyAlignment="1" applyProtection="1">
      <alignment horizontal="center" vertical="center" wrapText="1"/>
    </xf>
    <xf numFmtId="166" fontId="21" fillId="0" borderId="4" xfId="4" applyFont="1" applyBorder="1" applyAlignment="1" applyProtection="1">
      <alignment horizontal="center" vertical="center" wrapText="1"/>
    </xf>
    <xf numFmtId="166" fontId="20" fillId="0" borderId="1" xfId="4" applyFont="1" applyBorder="1" applyAlignment="1" applyProtection="1">
      <alignment horizontal="center" vertical="center" wrapText="1"/>
    </xf>
    <xf numFmtId="166" fontId="20" fillId="0" borderId="3" xfId="4" applyFont="1" applyBorder="1" applyAlignment="1" applyProtection="1">
      <alignment horizontal="center" vertical="center" wrapText="1"/>
    </xf>
    <xf numFmtId="167" fontId="20" fillId="0" borderId="4" xfId="6" applyNumberFormat="1" applyBorder="1" applyAlignment="1" applyProtection="1">
      <alignment horizontal="center" vertical="center" wrapText="1"/>
    </xf>
    <xf numFmtId="167" fontId="20" fillId="0" borderId="5" xfId="6" applyNumberFormat="1" applyBorder="1" applyAlignment="1" applyProtection="1">
      <alignment horizontal="center" vertical="center" wrapText="1"/>
    </xf>
    <xf numFmtId="166" fontId="20" fillId="0" borderId="0" xfId="4" applyFont="1" applyBorder="1" applyAlignment="1" applyProtection="1">
      <alignment horizontal="center" vertical="center" wrapText="1"/>
    </xf>
    <xf numFmtId="166" fontId="20" fillId="0" borderId="4" xfId="4" applyFont="1" applyBorder="1" applyAlignment="1" applyProtection="1">
      <alignment horizontal="center" vertical="center" wrapText="1"/>
    </xf>
    <xf numFmtId="0" fontId="44" fillId="0" borderId="5" xfId="2" applyFont="1" applyBorder="1" applyAlignment="1" applyProtection="1">
      <alignment horizontal="left" vertical="center" wrapText="1"/>
      <protection locked="0"/>
    </xf>
    <xf numFmtId="0" fontId="20" fillId="0" borderId="5" xfId="2" applyBorder="1" applyAlignment="1" applyProtection="1">
      <alignment horizontal="left" vertical="center" wrapText="1"/>
      <protection locked="0"/>
    </xf>
    <xf numFmtId="0" fontId="39" fillId="0" borderId="5" xfId="2" applyFont="1" applyBorder="1" applyAlignment="1" applyProtection="1">
      <alignment horizontal="left" vertical="center"/>
      <protection locked="0"/>
    </xf>
    <xf numFmtId="167" fontId="41" fillId="5" borderId="5" xfId="8" applyFont="1" applyFill="1" applyBorder="1" applyAlignment="1" applyProtection="1">
      <alignment horizontal="center" vertical="center" wrapText="1"/>
      <protection locked="0"/>
    </xf>
    <xf numFmtId="167" fontId="20" fillId="5" borderId="4" xfId="6" applyNumberFormat="1" applyFill="1" applyBorder="1" applyAlignment="1" applyProtection="1">
      <alignment horizontal="center" vertical="center" wrapText="1"/>
    </xf>
    <xf numFmtId="167" fontId="20" fillId="5" borderId="5" xfId="6" applyNumberFormat="1" applyFill="1" applyBorder="1" applyAlignment="1" applyProtection="1">
      <alignment horizontal="center" vertical="center" wrapText="1"/>
    </xf>
    <xf numFmtId="166" fontId="20" fillId="5" borderId="0" xfId="4" applyFont="1" applyFill="1" applyBorder="1" applyAlignment="1" applyProtection="1">
      <alignment horizontal="center" vertical="center" wrapText="1"/>
    </xf>
    <xf numFmtId="166" fontId="20" fillId="5" borderId="4" xfId="4" applyFont="1" applyFill="1" applyBorder="1" applyAlignment="1" applyProtection="1">
      <alignment horizontal="center" vertical="center" wrapText="1"/>
    </xf>
    <xf numFmtId="167" fontId="21" fillId="5" borderId="5" xfId="8" applyFont="1" applyFill="1" applyBorder="1" applyAlignment="1" applyProtection="1">
      <alignment horizontal="center" vertical="center"/>
    </xf>
    <xf numFmtId="167" fontId="20" fillId="5" borderId="4" xfId="6" applyNumberFormat="1" applyFill="1" applyBorder="1" applyAlignment="1" applyProtection="1">
      <alignment horizontal="center" vertical="center"/>
    </xf>
    <xf numFmtId="167" fontId="20" fillId="5" borderId="5" xfId="6" applyNumberFormat="1" applyFill="1" applyBorder="1" applyAlignment="1" applyProtection="1">
      <alignment horizontal="center" vertical="center"/>
    </xf>
    <xf numFmtId="166" fontId="21" fillId="5" borderId="4" xfId="4" applyFont="1" applyFill="1" applyBorder="1" applyAlignment="1" applyProtection="1">
      <alignment horizontal="center" vertical="center"/>
    </xf>
    <xf numFmtId="166" fontId="20" fillId="5" borderId="4" xfId="4" applyFont="1" applyFill="1" applyBorder="1" applyAlignment="1" applyProtection="1">
      <alignment horizontal="center" vertical="center"/>
    </xf>
    <xf numFmtId="166" fontId="20" fillId="5" borderId="5" xfId="4" applyFont="1" applyFill="1" applyBorder="1" applyAlignment="1" applyProtection="1">
      <alignment horizontal="center" vertical="center"/>
    </xf>
    <xf numFmtId="167" fontId="21" fillId="5" borderId="8" xfId="8" applyFont="1" applyFill="1" applyBorder="1" applyAlignment="1" applyProtection="1">
      <alignment horizontal="center" vertical="center"/>
    </xf>
    <xf numFmtId="167" fontId="20" fillId="5" borderId="6" xfId="6" applyNumberFormat="1" applyFill="1" applyBorder="1" applyAlignment="1" applyProtection="1">
      <alignment horizontal="center" vertical="center"/>
    </xf>
    <xf numFmtId="167" fontId="20" fillId="5" borderId="8" xfId="6" applyNumberFormat="1" applyFill="1" applyBorder="1" applyAlignment="1" applyProtection="1">
      <alignment horizontal="center" vertical="center"/>
    </xf>
    <xf numFmtId="166" fontId="21" fillId="5" borderId="6" xfId="4" applyFont="1" applyFill="1" applyBorder="1" applyAlignment="1" applyProtection="1">
      <alignment horizontal="center" vertical="center"/>
    </xf>
    <xf numFmtId="166" fontId="20" fillId="5" borderId="6" xfId="4" applyFont="1" applyFill="1" applyBorder="1" applyAlignment="1" applyProtection="1">
      <alignment horizontal="center" vertical="center"/>
    </xf>
    <xf numFmtId="166" fontId="20" fillId="5" borderId="8" xfId="4" applyFont="1" applyFill="1" applyBorder="1" applyAlignment="1" applyProtection="1">
      <alignment horizontal="center" vertical="center"/>
    </xf>
    <xf numFmtId="170" fontId="19" fillId="0" borderId="3" xfId="2" applyNumberFormat="1" applyFont="1" applyFill="1" applyBorder="1" applyAlignment="1" applyProtection="1">
      <alignment horizontal="center"/>
    </xf>
    <xf numFmtId="1" fontId="32" fillId="0" borderId="2" xfId="3" applyNumberFormat="1" applyFont="1" applyBorder="1" applyAlignment="1" applyProtection="1">
      <alignment horizontal="centerContinuous"/>
    </xf>
    <xf numFmtId="1" fontId="43" fillId="0" borderId="2" xfId="3" applyNumberFormat="1" applyFont="1" applyBorder="1" applyAlignment="1" applyProtection="1">
      <alignment horizontal="centerContinuous"/>
    </xf>
    <xf numFmtId="0" fontId="33" fillId="0" borderId="3" xfId="2" applyFont="1" applyBorder="1" applyAlignment="1" applyProtection="1">
      <alignment horizontal="right"/>
    </xf>
    <xf numFmtId="168" fontId="34" fillId="0" borderId="25" xfId="13" applyNumberFormat="1" applyFont="1" applyBorder="1" applyAlignment="1" applyProtection="1">
      <alignment horizontal="centerContinuous"/>
    </xf>
    <xf numFmtId="2" fontId="19" fillId="0" borderId="4" xfId="4" applyNumberFormat="1" applyFont="1" applyBorder="1" applyAlignment="1" applyProtection="1">
      <alignment horizontal="center"/>
    </xf>
    <xf numFmtId="0" fontId="33" fillId="0" borderId="5" xfId="1" applyFont="1" applyBorder="1" applyAlignment="1" applyProtection="1">
      <alignment horizontal="right"/>
    </xf>
    <xf numFmtId="2" fontId="20" fillId="0" borderId="4" xfId="2" applyNumberFormat="1" applyBorder="1" applyProtection="1"/>
    <xf numFmtId="2" fontId="20" fillId="0" borderId="5" xfId="2" applyNumberFormat="1" applyBorder="1" applyProtection="1"/>
    <xf numFmtId="0" fontId="20" fillId="0" borderId="4" xfId="1" applyFont="1" applyBorder="1" applyAlignment="1" applyProtection="1">
      <alignment horizontal="center" vertical="center"/>
    </xf>
    <xf numFmtId="0" fontId="20" fillId="0" borderId="0" xfId="1" applyFont="1" applyBorder="1" applyAlignment="1" applyProtection="1">
      <alignment horizontal="center" vertical="center"/>
    </xf>
    <xf numFmtId="167" fontId="20" fillId="0" borderId="0" xfId="8" applyFont="1" applyBorder="1" applyAlignment="1" applyProtection="1">
      <alignment horizontal="center" vertical="center"/>
    </xf>
    <xf numFmtId="168" fontId="36" fillId="0" borderId="25" xfId="13" applyNumberFormat="1" applyFont="1" applyBorder="1" applyAlignment="1" applyProtection="1">
      <alignment horizontal="center"/>
    </xf>
    <xf numFmtId="168" fontId="36" fillId="0" borderId="7" xfId="13" applyNumberFormat="1" applyFont="1" applyBorder="1" applyAlignment="1" applyProtection="1">
      <alignment horizontal="center"/>
    </xf>
    <xf numFmtId="2" fontId="20" fillId="0" borderId="6" xfId="4" applyNumberFormat="1" applyFont="1" applyBorder="1" applyAlignment="1" applyProtection="1">
      <alignment horizontal="center" vertical="center"/>
    </xf>
    <xf numFmtId="0" fontId="20" fillId="0" borderId="8" xfId="2" applyBorder="1" applyAlignment="1" applyProtection="1">
      <alignment vertical="center" wrapText="1"/>
    </xf>
    <xf numFmtId="167" fontId="21" fillId="0" borderId="11" xfId="8" applyFont="1" applyBorder="1" applyAlignment="1" applyProtection="1">
      <alignment horizontal="center" vertical="center" wrapText="1"/>
    </xf>
    <xf numFmtId="167" fontId="21" fillId="0" borderId="2" xfId="8" applyFont="1" applyBorder="1" applyAlignment="1" applyProtection="1">
      <alignment horizontal="center" vertical="center" wrapText="1"/>
    </xf>
    <xf numFmtId="2" fontId="20" fillId="0" borderId="12" xfId="4" applyNumberFormat="1" applyFont="1" applyBorder="1" applyAlignment="1" applyProtection="1">
      <alignment horizontal="center" vertical="center" wrapText="1"/>
    </xf>
    <xf numFmtId="2" fontId="20" fillId="0" borderId="5" xfId="4" applyNumberFormat="1" applyFont="1" applyBorder="1" applyAlignment="1" applyProtection="1">
      <alignment horizontal="center" vertical="center" wrapText="1"/>
    </xf>
    <xf numFmtId="2" fontId="20" fillId="0" borderId="16" xfId="6" applyNumberFormat="1" applyBorder="1" applyAlignment="1" applyProtection="1">
      <alignment horizontal="center" vertical="center" wrapText="1"/>
    </xf>
    <xf numFmtId="2" fontId="20" fillId="0" borderId="20" xfId="6" applyNumberFormat="1" applyBorder="1" applyAlignment="1" applyProtection="1">
      <alignment horizontal="center" vertical="center" wrapText="1"/>
    </xf>
    <xf numFmtId="2" fontId="12" fillId="17" borderId="14" xfId="0" applyNumberFormat="1" applyFont="1" applyFill="1" applyBorder="1" applyAlignment="1">
      <alignment horizontal="center"/>
    </xf>
    <xf numFmtId="14" fontId="12" fillId="13" borderId="0" xfId="0" applyNumberFormat="1" applyFont="1" applyFill="1" applyBorder="1" applyAlignment="1">
      <alignment horizontal="center" vertical="center"/>
    </xf>
    <xf numFmtId="2" fontId="12" fillId="13" borderId="14" xfId="0" applyNumberFormat="1" applyFont="1" applyFill="1" applyBorder="1" applyAlignment="1">
      <alignment horizontal="center" vertical="center"/>
    </xf>
    <xf numFmtId="2" fontId="0" fillId="17" borderId="5" xfId="0" applyNumberFormat="1" applyFill="1" applyBorder="1"/>
    <xf numFmtId="1" fontId="0" fillId="0" borderId="0" xfId="0" applyNumberFormat="1" applyFill="1" applyBorder="1" applyAlignment="1">
      <alignment horizontal="center"/>
    </xf>
    <xf numFmtId="1" fontId="0" fillId="0" borderId="23" xfId="0" applyNumberFormat="1" applyFill="1" applyBorder="1" applyAlignment="1">
      <alignment horizontal="center"/>
    </xf>
    <xf numFmtId="0" fontId="32" fillId="0" borderId="2" xfId="1" applyFont="1" applyBorder="1" applyAlignment="1" applyProtection="1">
      <alignment horizontal="center"/>
    </xf>
    <xf numFmtId="168" fontId="35" fillId="0" borderId="13" xfId="13" applyNumberFormat="1" applyFont="1" applyBorder="1" applyAlignment="1" applyProtection="1">
      <alignment horizontal="center"/>
    </xf>
    <xf numFmtId="168" fontId="35" fillId="0" borderId="0" xfId="13" applyNumberFormat="1" applyFont="1" applyBorder="1" applyAlignment="1" applyProtection="1">
      <alignment horizontal="center"/>
    </xf>
    <xf numFmtId="2" fontId="12" fillId="13" borderId="15" xfId="0" applyNumberFormat="1" applyFont="1" applyFill="1" applyBorder="1" applyAlignment="1">
      <alignment horizontal="center" vertical="center"/>
    </xf>
    <xf numFmtId="2" fontId="5" fillId="0" borderId="2" xfId="0" applyNumberFormat="1" applyFont="1" applyBorder="1" applyAlignment="1">
      <alignment horizontal="center"/>
    </xf>
    <xf numFmtId="2" fontId="5" fillId="0" borderId="7" xfId="0" applyNumberFormat="1" applyFont="1" applyBorder="1" applyAlignment="1">
      <alignment horizontal="center"/>
    </xf>
    <xf numFmtId="2" fontId="10" fillId="7" borderId="0" xfId="0" applyNumberFormat="1" applyFont="1" applyFill="1" applyBorder="1" applyAlignment="1">
      <alignment horizontal="center"/>
    </xf>
    <xf numFmtId="2" fontId="12" fillId="0" borderId="0" xfId="0" applyNumberFormat="1" applyFont="1" applyFill="1" applyBorder="1" applyAlignment="1">
      <alignment horizontal="center"/>
    </xf>
    <xf numFmtId="14" fontId="2" fillId="4" borderId="2" xfId="0" applyNumberFormat="1" applyFont="1" applyFill="1" applyBorder="1" applyAlignment="1">
      <alignment horizontal="center"/>
    </xf>
    <xf numFmtId="14" fontId="5" fillId="3" borderId="0" xfId="0" applyNumberFormat="1" applyFont="1" applyFill="1" applyBorder="1"/>
    <xf numFmtId="14" fontId="5" fillId="3" borderId="7" xfId="0" applyNumberFormat="1" applyFont="1" applyFill="1" applyBorder="1"/>
    <xf numFmtId="14" fontId="15" fillId="3" borderId="23" xfId="0" applyNumberFormat="1" applyFont="1" applyFill="1" applyBorder="1" applyAlignment="1">
      <alignment horizontal="center"/>
    </xf>
    <xf numFmtId="2" fontId="0" fillId="0" borderId="0" xfId="0" applyNumberFormat="1" applyFill="1" applyBorder="1"/>
    <xf numFmtId="2" fontId="12" fillId="0" borderId="0" xfId="0" applyNumberFormat="1" applyFont="1" applyFill="1" applyBorder="1"/>
    <xf numFmtId="2" fontId="6" fillId="0" borderId="2" xfId="0" applyNumberFormat="1" applyFont="1" applyBorder="1" applyAlignment="1">
      <alignment horizontal="center"/>
    </xf>
    <xf numFmtId="2" fontId="12" fillId="17" borderId="15" xfId="0" applyNumberFormat="1" applyFont="1" applyFill="1" applyBorder="1" applyAlignment="1">
      <alignment horizontal="center"/>
    </xf>
    <xf numFmtId="2" fontId="0" fillId="0" borderId="5" xfId="0" applyNumberFormat="1" applyBorder="1" applyAlignment="1">
      <alignment horizontal="center"/>
    </xf>
    <xf numFmtId="2" fontId="12" fillId="0" borderId="5" xfId="0" applyNumberFormat="1" applyFont="1" applyBorder="1" applyAlignment="1">
      <alignment horizontal="center"/>
    </xf>
    <xf numFmtId="14" fontId="2" fillId="0" borderId="0" xfId="2" applyNumberFormat="1" applyFont="1" applyProtection="1"/>
    <xf numFmtId="2" fontId="12" fillId="6" borderId="16" xfId="0" applyNumberFormat="1" applyFont="1" applyFill="1" applyBorder="1" applyAlignment="1">
      <alignment horizontal="center"/>
    </xf>
    <xf numFmtId="0" fontId="2" fillId="0" borderId="27" xfId="0" applyFont="1" applyFill="1" applyBorder="1" applyAlignment="1">
      <alignment horizontal="center"/>
    </xf>
    <xf numFmtId="0" fontId="2" fillId="0" borderId="28" xfId="0" applyFont="1" applyFill="1" applyBorder="1" applyAlignment="1">
      <alignment horizontal="center"/>
    </xf>
    <xf numFmtId="0" fontId="2" fillId="0" borderId="29" xfId="0" applyFont="1" applyFill="1" applyBorder="1" applyAlignment="1">
      <alignment horizontal="center"/>
    </xf>
    <xf numFmtId="0" fontId="4" fillId="0" borderId="13"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165" fontId="8" fillId="0" borderId="4" xfId="0" applyNumberFormat="1" applyFont="1" applyBorder="1" applyAlignment="1">
      <alignment horizontal="center"/>
    </xf>
    <xf numFmtId="165" fontId="8" fillId="0" borderId="0" xfId="0" applyNumberFormat="1" applyFont="1" applyBorder="1" applyAlignment="1">
      <alignment horizontal="center"/>
    </xf>
    <xf numFmtId="0" fontId="14" fillId="3" borderId="1"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21" xfId="0" applyFont="1" applyFill="1" applyBorder="1" applyAlignment="1">
      <alignment horizontal="center" vertical="center"/>
    </xf>
    <xf numFmtId="0" fontId="14" fillId="3" borderId="22" xfId="0" applyFont="1" applyFill="1" applyBorder="1" applyAlignment="1">
      <alignment horizontal="center" vertical="center"/>
    </xf>
    <xf numFmtId="0" fontId="8" fillId="4" borderId="11" xfId="0" applyFont="1" applyFill="1" applyBorder="1" applyAlignment="1">
      <alignment horizontal="center"/>
    </xf>
    <xf numFmtId="0" fontId="8" fillId="4" borderId="2" xfId="0" applyFont="1" applyFill="1"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0" xfId="0" applyFont="1" applyBorder="1" applyAlignment="1">
      <alignment horizontal="center"/>
    </xf>
    <xf numFmtId="2" fontId="32" fillId="0" borderId="1" xfId="4" applyNumberFormat="1" applyFont="1" applyBorder="1" applyAlignment="1" applyProtection="1">
      <alignment horizontal="center"/>
    </xf>
    <xf numFmtId="2" fontId="32" fillId="0" borderId="3" xfId="4" applyNumberFormat="1" applyFont="1" applyBorder="1" applyAlignment="1" applyProtection="1">
      <alignment horizontal="center"/>
    </xf>
    <xf numFmtId="0" fontId="19" fillId="0" borderId="2" xfId="2" applyFont="1" applyBorder="1" applyAlignment="1" applyProtection="1">
      <alignment horizontal="center"/>
    </xf>
    <xf numFmtId="0" fontId="19" fillId="0" borderId="3" xfId="2" applyFont="1" applyBorder="1" applyAlignment="1" applyProtection="1">
      <alignment horizontal="center"/>
    </xf>
    <xf numFmtId="0" fontId="35" fillId="0" borderId="13" xfId="13" applyFont="1" applyBorder="1" applyAlignment="1" applyProtection="1">
      <alignment horizontal="center"/>
    </xf>
    <xf numFmtId="0" fontId="35" fillId="0" borderId="0" xfId="13" applyFont="1" applyBorder="1" applyAlignment="1" applyProtection="1">
      <alignment horizontal="center"/>
    </xf>
    <xf numFmtId="0" fontId="35" fillId="0" borderId="14" xfId="13" applyFont="1" applyBorder="1" applyAlignment="1" applyProtection="1">
      <alignment horizontal="center"/>
    </xf>
    <xf numFmtId="168" fontId="35" fillId="0" borderId="13" xfId="13" applyNumberFormat="1" applyFont="1" applyBorder="1" applyAlignment="1" applyProtection="1">
      <alignment horizontal="center"/>
    </xf>
    <xf numFmtId="168" fontId="35" fillId="0" borderId="0" xfId="13" applyNumberFormat="1" applyFont="1" applyBorder="1" applyAlignment="1" applyProtection="1">
      <alignment horizontal="center"/>
    </xf>
    <xf numFmtId="168" fontId="35" fillId="0" borderId="14" xfId="13" applyNumberFormat="1" applyFont="1" applyBorder="1" applyAlignment="1" applyProtection="1">
      <alignment horizontal="center"/>
    </xf>
    <xf numFmtId="0" fontId="32" fillId="0" borderId="1" xfId="1" applyFont="1" applyBorder="1" applyAlignment="1" applyProtection="1">
      <alignment horizontal="center"/>
    </xf>
    <xf numFmtId="0" fontId="32" fillId="0" borderId="2" xfId="1" applyFont="1" applyBorder="1" applyAlignment="1" applyProtection="1">
      <alignment horizontal="center"/>
    </xf>
    <xf numFmtId="0" fontId="32" fillId="0" borderId="3" xfId="1" applyFont="1" applyBorder="1" applyAlignment="1" applyProtection="1">
      <alignment horizontal="center"/>
    </xf>
    <xf numFmtId="2" fontId="32" fillId="0" borderId="2" xfId="4" applyNumberFormat="1" applyFont="1" applyBorder="1" applyAlignment="1" applyProtection="1">
      <alignment horizontal="center"/>
    </xf>
    <xf numFmtId="1" fontId="32" fillId="0" borderId="1" xfId="3" applyNumberFormat="1" applyFont="1" applyBorder="1" applyAlignment="1" applyProtection="1">
      <alignment horizontal="center"/>
    </xf>
    <xf numFmtId="1" fontId="32" fillId="0" borderId="2" xfId="3" applyNumberFormat="1" applyFont="1" applyBorder="1" applyAlignment="1" applyProtection="1">
      <alignment horizontal="center"/>
    </xf>
    <xf numFmtId="1" fontId="32" fillId="0" borderId="3" xfId="3" applyNumberFormat="1" applyFont="1" applyBorder="1" applyAlignment="1" applyProtection="1">
      <alignment horizontal="center"/>
    </xf>
  </cellXfs>
  <cellStyles count="14">
    <cellStyle name="??0" xfId="8" xr:uid="{00000000-0005-0000-0000-000000000000}"/>
    <cellStyle name="0.000" xfId="4" xr:uid="{00000000-0005-0000-0000-000001000000}"/>
    <cellStyle name="hel8" xfId="5" xr:uid="{00000000-0005-0000-0000-000002000000}"/>
    <cellStyle name="hel8 2" xfId="6" xr:uid="{00000000-0005-0000-0000-000003000000}"/>
    <cellStyle name="hel8 blue" xfId="3" xr:uid="{00000000-0005-0000-0000-000004000000}"/>
    <cellStyle name="hel8b_Snow Pit1" xfId="1" xr:uid="{00000000-0005-0000-0000-000005000000}"/>
    <cellStyle name="McCall" xfId="10" xr:uid="{00000000-0005-0000-0000-000006000000}"/>
    <cellStyle name="Normal" xfId="0" builtinId="0"/>
    <cellStyle name="Normal 2" xfId="11" xr:uid="{8FE63DF2-758E-47F3-8640-7CA91A3FCAA4}"/>
    <cellStyle name="Normal 2 3" xfId="2" xr:uid="{00000000-0005-0000-0000-000008000000}"/>
    <cellStyle name="Normal 4" xfId="7" xr:uid="{00000000-0005-0000-0000-000009000000}"/>
    <cellStyle name="Normal 4 2" xfId="12" xr:uid="{C8F82B9C-A566-49A0-87BF-52C81F8028A8}"/>
    <cellStyle name="Normal_C-snowpits" xfId="13" xr:uid="{8A0A9000-A88C-4027-A89A-AFADC2165C1C}"/>
    <cellStyle name="Probes" xfId="9" xr:uid="{00000000-0005-0000-0000-00000B000000}"/>
  </cellStyles>
  <dxfs count="14">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colors>
    <mruColors>
      <color rgb="FFFFCCFF"/>
      <color rgb="FFFFCCCC"/>
      <color rgb="FFCC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4260717410319E-2"/>
          <c:y val="2.5428331875182269E-2"/>
          <c:w val="0.8585579615048119"/>
          <c:h val="0.8416746864975212"/>
        </c:manualLayout>
      </c:layout>
      <c:scatterChart>
        <c:scatterStyle val="lineMarker"/>
        <c:varyColors val="0"/>
        <c:ser>
          <c:idx val="0"/>
          <c:order val="0"/>
          <c:tx>
            <c:v>bw</c:v>
          </c:tx>
          <c:spPr>
            <a:ln w="25400" cap="rnd">
              <a:noFill/>
              <a:round/>
            </a:ln>
            <a:effectLst/>
          </c:spPr>
          <c:marker>
            <c:symbol val="circle"/>
            <c:size val="5"/>
            <c:spPr>
              <a:solidFill>
                <a:schemeClr val="accent1"/>
              </a:solidFill>
              <a:ln w="9525">
                <a:solidFill>
                  <a:schemeClr val="accent1"/>
                </a:solidFill>
              </a:ln>
              <a:effectLst/>
            </c:spPr>
          </c:marker>
          <c:xVal>
            <c:numRef>
              <c:f>'Stake Summary'!$E$4:$E$12</c:f>
              <c:numCache>
                <c:formatCode>0</c:formatCode>
                <c:ptCount val="9"/>
                <c:pt idx="0">
                  <c:v>656.88400000000001</c:v>
                </c:pt>
                <c:pt idx="1">
                  <c:v>996.995</c:v>
                </c:pt>
                <c:pt idx="2">
                  <c:v>1058.954</c:v>
                </c:pt>
                <c:pt idx="3">
                  <c:v>1234.595</c:v>
                </c:pt>
                <c:pt idx="4">
                  <c:v>1294.9190000000001</c:v>
                </c:pt>
                <c:pt idx="5">
                  <c:v>1349.546</c:v>
                </c:pt>
                <c:pt idx="6">
                  <c:v>1370.59</c:v>
                </c:pt>
                <c:pt idx="7">
                  <c:v>1369.212</c:v>
                </c:pt>
              </c:numCache>
            </c:numRef>
          </c:xVal>
          <c:yVal>
            <c:numRef>
              <c:f>'Stake Summary'!$F$4:$F$12</c:f>
              <c:numCache>
                <c:formatCode>0.00</c:formatCode>
                <c:ptCount val="9"/>
                <c:pt idx="0">
                  <c:v>0.53227743271221528</c:v>
                </c:pt>
                <c:pt idx="1">
                  <c:v>1.0304903001156207</c:v>
                </c:pt>
                <c:pt idx="2">
                  <c:v>1.1702604279904378</c:v>
                </c:pt>
                <c:pt idx="3" formatCode="#,##0.00">
                  <c:v>1.9388890075004446</c:v>
                </c:pt>
                <c:pt idx="4">
                  <c:v>1.8630325900589702</c:v>
                </c:pt>
                <c:pt idx="5">
                  <c:v>2.291221366959157</c:v>
                </c:pt>
                <c:pt idx="6">
                  <c:v>1.6941156964435524</c:v>
                </c:pt>
                <c:pt idx="7">
                  <c:v>2.0154359845947738</c:v>
                </c:pt>
              </c:numCache>
            </c:numRef>
          </c:yVal>
          <c:smooth val="0"/>
          <c:extLst>
            <c:ext xmlns:c16="http://schemas.microsoft.com/office/drawing/2014/chart" uri="{C3380CC4-5D6E-409C-BE32-E72D297353CC}">
              <c16:uniqueId val="{00000000-3A88-4653-815C-2FE376187603}"/>
            </c:ext>
          </c:extLst>
        </c:ser>
        <c:ser>
          <c:idx val="1"/>
          <c:order val="1"/>
          <c:tx>
            <c:v>ba</c:v>
          </c:tx>
          <c:spPr>
            <a:ln w="25400" cap="rnd">
              <a:noFill/>
              <a:round/>
            </a:ln>
            <a:effectLst/>
          </c:spPr>
          <c:marker>
            <c:symbol val="circle"/>
            <c:size val="5"/>
            <c:spPr>
              <a:solidFill>
                <a:schemeClr val="accent2"/>
              </a:solidFill>
              <a:ln w="9525">
                <a:solidFill>
                  <a:schemeClr val="accent2"/>
                </a:solidFill>
              </a:ln>
              <a:effectLst/>
            </c:spPr>
          </c:marker>
          <c:xVal>
            <c:numRef>
              <c:f>'Stake Summary'!$E$4:$E$11</c:f>
              <c:numCache>
                <c:formatCode>0</c:formatCode>
                <c:ptCount val="8"/>
                <c:pt idx="0">
                  <c:v>656.88400000000001</c:v>
                </c:pt>
                <c:pt idx="1">
                  <c:v>996.995</c:v>
                </c:pt>
                <c:pt idx="2">
                  <c:v>1058.954</c:v>
                </c:pt>
                <c:pt idx="3">
                  <c:v>1234.595</c:v>
                </c:pt>
                <c:pt idx="4">
                  <c:v>1294.9190000000001</c:v>
                </c:pt>
                <c:pt idx="5">
                  <c:v>1349.546</c:v>
                </c:pt>
                <c:pt idx="6">
                  <c:v>1370.59</c:v>
                </c:pt>
                <c:pt idx="7">
                  <c:v>1369.212</c:v>
                </c:pt>
              </c:numCache>
            </c:numRef>
          </c:xVal>
          <c:yVal>
            <c:numRef>
              <c:f>'Stake Summary'!$G$4:$G$11</c:f>
              <c:numCache>
                <c:formatCode>0.00</c:formatCode>
                <c:ptCount val="8"/>
                <c:pt idx="0" formatCode="#,##0.00">
                  <c:v>-4.3217999999999996</c:v>
                </c:pt>
                <c:pt idx="1">
                  <c:v>-2.4465000000000008</c:v>
                </c:pt>
                <c:pt idx="2">
                  <c:v>-2.0013750000000012</c:v>
                </c:pt>
                <c:pt idx="3" formatCode="#,##0.00">
                  <c:v>-0.78974999999999962</c:v>
                </c:pt>
                <c:pt idx="4">
                  <c:v>0.20683229813664594</c:v>
                </c:pt>
                <c:pt idx="5">
                  <c:v>0.97451815265841035</c:v>
                </c:pt>
                <c:pt idx="6">
                  <c:v>-5.8299999999999699E-2</c:v>
                </c:pt>
                <c:pt idx="7">
                  <c:v>0.57478515680943643</c:v>
                </c:pt>
              </c:numCache>
            </c:numRef>
          </c:yVal>
          <c:smooth val="0"/>
          <c:extLst>
            <c:ext xmlns:c16="http://schemas.microsoft.com/office/drawing/2014/chart" uri="{C3380CC4-5D6E-409C-BE32-E72D297353CC}">
              <c16:uniqueId val="{00000000-0850-486B-B5B6-D1D40E7BBD72}"/>
            </c:ext>
          </c:extLst>
        </c:ser>
        <c:dLbls>
          <c:showLegendKey val="0"/>
          <c:showVal val="0"/>
          <c:showCatName val="0"/>
          <c:showSerName val="0"/>
          <c:showPercent val="0"/>
          <c:showBubbleSize val="0"/>
        </c:dLbls>
        <c:axId val="641114016"/>
        <c:axId val="641108768"/>
      </c:scatterChart>
      <c:valAx>
        <c:axId val="641114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08768"/>
        <c:crosses val="autoZero"/>
        <c:crossBetween val="midCat"/>
      </c:valAx>
      <c:valAx>
        <c:axId val="641108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14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FC78-4BF5-A69D-8EF5E8F4076B}"/>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strRef>
              <c:f>'20230506_FirnCoreEC'!$AL$28</c:f>
              <c:strCache>
                <c:ptCount val="1"/>
              </c:strCache>
            </c:strRef>
          </c:tx>
          <c:spPr>
            <a:ln w="12700">
              <a:solidFill>
                <a:schemeClr val="tx1"/>
              </a:solidFill>
            </a:ln>
          </c:spPr>
          <c:marker>
            <c:symbol val="circle"/>
            <c:size val="5"/>
            <c:spPr>
              <a:solidFill>
                <a:schemeClr val="tx1"/>
              </a:solidFill>
              <a:ln>
                <a:noFill/>
              </a:ln>
            </c:spPr>
          </c:marker>
          <c:xVal>
            <c:numRef>
              <c:f>'20230506_FirnCoreEC'!$P$13:$P$94</c:f>
              <c:numCache>
                <c:formatCode>0.00</c:formatCode>
                <c:ptCount val="82"/>
                <c:pt idx="0">
                  <c:v>0.17598343685300208</c:v>
                </c:pt>
                <c:pt idx="1">
                  <c:v>0.23809523809523808</c:v>
                </c:pt>
                <c:pt idx="2">
                  <c:v>0.23291925465838509</c:v>
                </c:pt>
                <c:pt idx="3">
                  <c:v>0.2432712215320911</c:v>
                </c:pt>
                <c:pt idx="4">
                  <c:v>0.2639751552795031</c:v>
                </c:pt>
                <c:pt idx="5">
                  <c:v>0.2691511387163561</c:v>
                </c:pt>
                <c:pt idx="6">
                  <c:v>0.3105590062111801</c:v>
                </c:pt>
                <c:pt idx="7">
                  <c:v>0.33126293995859213</c:v>
                </c:pt>
                <c:pt idx="8">
                  <c:v>0.27950310559006208</c:v>
                </c:pt>
                <c:pt idx="12">
                  <c:v>0.39704299681119504</c:v>
                </c:pt>
                <c:pt idx="13">
                  <c:v>0.41891325592797829</c:v>
                </c:pt>
                <c:pt idx="14">
                  <c:v>0.462554668629095</c:v>
                </c:pt>
                <c:pt idx="15">
                  <c:v>0.44721176050299921</c:v>
                </c:pt>
                <c:pt idx="16">
                  <c:v>0.48985824281900686</c:v>
                </c:pt>
                <c:pt idx="17">
                  <c:v>0.48985824281900686</c:v>
                </c:pt>
                <c:pt idx="18">
                  <c:v>0.48360473333621096</c:v>
                </c:pt>
                <c:pt idx="19">
                  <c:v>0.52107997697670183</c:v>
                </c:pt>
                <c:pt idx="20">
                  <c:v>0.42454381044313927</c:v>
                </c:pt>
                <c:pt idx="21">
                  <c:v>0.5124670847952687</c:v>
                </c:pt>
                <c:pt idx="22">
                  <c:v>0.49876475632480699</c:v>
                </c:pt>
                <c:pt idx="23">
                  <c:v>0.56904080809659985</c:v>
                </c:pt>
                <c:pt idx="24">
                  <c:v>0.58238702201815262</c:v>
                </c:pt>
                <c:pt idx="25">
                  <c:v>0.56916862498970322</c:v>
                </c:pt>
                <c:pt idx="26">
                  <c:v>0.55220383735960776</c:v>
                </c:pt>
                <c:pt idx="27">
                  <c:v>0.58305078657481801</c:v>
                </c:pt>
                <c:pt idx="28">
                  <c:v>0.59199889770467207</c:v>
                </c:pt>
                <c:pt idx="29">
                  <c:v>0.64309594954700389</c:v>
                </c:pt>
                <c:pt idx="30">
                  <c:v>0.59610918562763648</c:v>
                </c:pt>
                <c:pt idx="31">
                  <c:v>0.57415942879251036</c:v>
                </c:pt>
                <c:pt idx="32">
                  <c:v>0.61960448010620328</c:v>
                </c:pt>
                <c:pt idx="33">
                  <c:v>0.68938417665793883</c:v>
                </c:pt>
                <c:pt idx="34">
                  <c:v>0.64578495109660616</c:v>
                </c:pt>
                <c:pt idx="35">
                  <c:v>0.64619597988890265</c:v>
                </c:pt>
                <c:pt idx="36">
                  <c:v>0.68580153994660964</c:v>
                </c:pt>
                <c:pt idx="37">
                  <c:v>0.65017548592340912</c:v>
                </c:pt>
                <c:pt idx="38">
                  <c:v>0.67849022288960947</c:v>
                </c:pt>
                <c:pt idx="39">
                  <c:v>0.65780964035695211</c:v>
                </c:pt>
                <c:pt idx="40">
                  <c:v>0.7021301480405765</c:v>
                </c:pt>
                <c:pt idx="41">
                  <c:v>0.71686572119854675</c:v>
                </c:pt>
                <c:pt idx="42">
                  <c:v>0.68807995037832592</c:v>
                </c:pt>
                <c:pt idx="43">
                  <c:v>0.74513648203454563</c:v>
                </c:pt>
                <c:pt idx="44">
                  <c:v>0.64924495466160914</c:v>
                </c:pt>
                <c:pt idx="45">
                  <c:v>0.66094306195280927</c:v>
                </c:pt>
                <c:pt idx="46">
                  <c:v>0.69095794250259923</c:v>
                </c:pt>
                <c:pt idx="47">
                  <c:v>0.71252108046400986</c:v>
                </c:pt>
                <c:pt idx="48">
                  <c:v>0.82471656402961158</c:v>
                </c:pt>
                <c:pt idx="49">
                  <c:v>0.68300234998764398</c:v>
                </c:pt>
                <c:pt idx="50">
                  <c:v>0.68198446272983815</c:v>
                </c:pt>
                <c:pt idx="51">
                  <c:v>0.75018290900282203</c:v>
                </c:pt>
                <c:pt idx="52">
                  <c:v>0.68701106647208865</c:v>
                </c:pt>
                <c:pt idx="53">
                  <c:v>0.68730879607836048</c:v>
                </c:pt>
                <c:pt idx="54">
                  <c:v>0.69774930196658547</c:v>
                </c:pt>
                <c:pt idx="55">
                  <c:v>0.77025985767402461</c:v>
                </c:pt>
                <c:pt idx="56">
                  <c:v>0.80439879873436926</c:v>
                </c:pt>
                <c:pt idx="57">
                  <c:v>0.81258837926447014</c:v>
                </c:pt>
                <c:pt idx="58">
                  <c:v>0.84647504359124393</c:v>
                </c:pt>
                <c:pt idx="59">
                  <c:v>0.83602473441110503</c:v>
                </c:pt>
                <c:pt idx="60">
                  <c:v>0.85575235888381618</c:v>
                </c:pt>
                <c:pt idx="61">
                  <c:v>0.746450655724201</c:v>
                </c:pt>
                <c:pt idx="62">
                  <c:v>0.88928111773296636</c:v>
                </c:pt>
                <c:pt idx="63">
                  <c:v>0.67600437509022948</c:v>
                </c:pt>
                <c:pt idx="64">
                  <c:v>0.75111597232247718</c:v>
                </c:pt>
                <c:pt idx="65">
                  <c:v>0.75242226096999454</c:v>
                </c:pt>
                <c:pt idx="66">
                  <c:v>0.76417885879765068</c:v>
                </c:pt>
                <c:pt idx="67">
                  <c:v>0.84183046173340448</c:v>
                </c:pt>
                <c:pt idx="68">
                  <c:v>0.85133984269234297</c:v>
                </c:pt>
                <c:pt idx="69">
                  <c:v>0.80010179660437786</c:v>
                </c:pt>
                <c:pt idx="70">
                  <c:v>0.77593545662530694</c:v>
                </c:pt>
                <c:pt idx="71">
                  <c:v>0.783773188510411</c:v>
                </c:pt>
                <c:pt idx="72">
                  <c:v>0.79161092039551517</c:v>
                </c:pt>
                <c:pt idx="73">
                  <c:v>0.78377318851041089</c:v>
                </c:pt>
                <c:pt idx="74">
                  <c:v>0.77133234424834085</c:v>
                </c:pt>
                <c:pt idx="75">
                  <c:v>0.79089839931505102</c:v>
                </c:pt>
                <c:pt idx="76">
                  <c:v>0.81576393089859112</c:v>
                </c:pt>
                <c:pt idx="77">
                  <c:v>0.78377318851041111</c:v>
                </c:pt>
                <c:pt idx="78">
                  <c:v>0.78377318851041089</c:v>
                </c:pt>
                <c:pt idx="79">
                  <c:v>0.768700627192903</c:v>
                </c:pt>
                <c:pt idx="80">
                  <c:v>0.79513222022795316</c:v>
                </c:pt>
                <c:pt idx="81">
                  <c:v>0.82920931538057974</c:v>
                </c:pt>
              </c:numCache>
            </c:numRef>
          </c:xVal>
          <c:yVal>
            <c:numRef>
              <c:f>'20230506_FirnCoreEC'!$C$12:$C$94</c:f>
              <c:numCache>
                <c:formatCode>??0</c:formatCode>
                <c:ptCount val="83"/>
                <c:pt idx="0">
                  <c:v>0</c:v>
                </c:pt>
                <c:pt idx="1">
                  <c:v>10</c:v>
                </c:pt>
                <c:pt idx="2">
                  <c:v>20</c:v>
                </c:pt>
                <c:pt idx="3">
                  <c:v>30</c:v>
                </c:pt>
                <c:pt idx="4">
                  <c:v>40</c:v>
                </c:pt>
                <c:pt idx="5">
                  <c:v>50</c:v>
                </c:pt>
                <c:pt idx="6">
                  <c:v>60</c:v>
                </c:pt>
                <c:pt idx="7">
                  <c:v>70</c:v>
                </c:pt>
                <c:pt idx="8">
                  <c:v>80</c:v>
                </c:pt>
                <c:pt idx="9">
                  <c:v>90</c:v>
                </c:pt>
                <c:pt idx="13">
                  <c:v>178</c:v>
                </c:pt>
                <c:pt idx="14">
                  <c:v>237</c:v>
                </c:pt>
                <c:pt idx="15">
                  <c:v>298</c:v>
                </c:pt>
                <c:pt idx="16">
                  <c:v>338</c:v>
                </c:pt>
                <c:pt idx="17">
                  <c:v>388</c:v>
                </c:pt>
                <c:pt idx="18">
                  <c:v>452</c:v>
                </c:pt>
                <c:pt idx="19">
                  <c:v>480.5</c:v>
                </c:pt>
                <c:pt idx="20">
                  <c:v>526</c:v>
                </c:pt>
                <c:pt idx="21">
                  <c:v>544</c:v>
                </c:pt>
                <c:pt idx="22">
                  <c:v>552.5</c:v>
                </c:pt>
                <c:pt idx="23">
                  <c:v>585.5</c:v>
                </c:pt>
                <c:pt idx="24">
                  <c:v>622</c:v>
                </c:pt>
                <c:pt idx="25">
                  <c:v>659</c:v>
                </c:pt>
                <c:pt idx="26">
                  <c:v>701</c:v>
                </c:pt>
                <c:pt idx="27">
                  <c:v>745</c:v>
                </c:pt>
                <c:pt idx="28">
                  <c:v>786</c:v>
                </c:pt>
                <c:pt idx="29">
                  <c:v>835</c:v>
                </c:pt>
                <c:pt idx="30">
                  <c:v>874.5</c:v>
                </c:pt>
                <c:pt idx="31">
                  <c:v>910</c:v>
                </c:pt>
                <c:pt idx="32">
                  <c:v>953</c:v>
                </c:pt>
                <c:pt idx="33">
                  <c:v>990</c:v>
                </c:pt>
                <c:pt idx="34">
                  <c:v>1000</c:v>
                </c:pt>
                <c:pt idx="35">
                  <c:v>1035</c:v>
                </c:pt>
                <c:pt idx="36">
                  <c:v>1082</c:v>
                </c:pt>
                <c:pt idx="37">
                  <c:v>1101.5</c:v>
                </c:pt>
                <c:pt idx="38">
                  <c:v>1123.5</c:v>
                </c:pt>
                <c:pt idx="39">
                  <c:v>1157</c:v>
                </c:pt>
                <c:pt idx="40">
                  <c:v>1196</c:v>
                </c:pt>
                <c:pt idx="41">
                  <c:v>1208</c:v>
                </c:pt>
                <c:pt idx="42">
                  <c:v>1253</c:v>
                </c:pt>
                <c:pt idx="43">
                  <c:v>1296</c:v>
                </c:pt>
                <c:pt idx="44">
                  <c:v>1334.5</c:v>
                </c:pt>
                <c:pt idx="45">
                  <c:v>1368</c:v>
                </c:pt>
                <c:pt idx="46">
                  <c:v>1401</c:v>
                </c:pt>
                <c:pt idx="47">
                  <c:v>1439</c:v>
                </c:pt>
                <c:pt idx="48">
                  <c:v>1466.5</c:v>
                </c:pt>
                <c:pt idx="49">
                  <c:v>1500</c:v>
                </c:pt>
                <c:pt idx="50">
                  <c:v>1536.5</c:v>
                </c:pt>
                <c:pt idx="51">
                  <c:v>1575</c:v>
                </c:pt>
                <c:pt idx="52">
                  <c:v>1607.5</c:v>
                </c:pt>
                <c:pt idx="53">
                  <c:v>1648</c:v>
                </c:pt>
                <c:pt idx="54">
                  <c:v>1683</c:v>
                </c:pt>
                <c:pt idx="55">
                  <c:v>1724</c:v>
                </c:pt>
                <c:pt idx="56">
                  <c:v>1753.5</c:v>
                </c:pt>
                <c:pt idx="57">
                  <c:v>1782</c:v>
                </c:pt>
                <c:pt idx="58">
                  <c:v>1815</c:v>
                </c:pt>
                <c:pt idx="59">
                  <c:v>1839.5</c:v>
                </c:pt>
                <c:pt idx="60">
                  <c:v>1862</c:v>
                </c:pt>
                <c:pt idx="61">
                  <c:v>1884</c:v>
                </c:pt>
                <c:pt idx="62">
                  <c:v>1926</c:v>
                </c:pt>
                <c:pt idx="63">
                  <c:v>1978</c:v>
                </c:pt>
                <c:pt idx="64">
                  <c:v>1998</c:v>
                </c:pt>
                <c:pt idx="65">
                  <c:v>2022</c:v>
                </c:pt>
                <c:pt idx="66">
                  <c:v>2058</c:v>
                </c:pt>
                <c:pt idx="67">
                  <c:v>2078</c:v>
                </c:pt>
                <c:pt idx="68">
                  <c:v>2108</c:v>
                </c:pt>
                <c:pt idx="69">
                  <c:v>2137</c:v>
                </c:pt>
                <c:pt idx="70">
                  <c:v>2161</c:v>
                </c:pt>
                <c:pt idx="71">
                  <c:v>2186</c:v>
                </c:pt>
                <c:pt idx="72">
                  <c:v>2211</c:v>
                </c:pt>
                <c:pt idx="73">
                  <c:v>2236</c:v>
                </c:pt>
                <c:pt idx="74">
                  <c:v>2271.5</c:v>
                </c:pt>
                <c:pt idx="75">
                  <c:v>2303</c:v>
                </c:pt>
                <c:pt idx="76">
                  <c:v>2329.5</c:v>
                </c:pt>
                <c:pt idx="77">
                  <c:v>2354</c:v>
                </c:pt>
                <c:pt idx="78">
                  <c:v>2383.5</c:v>
                </c:pt>
                <c:pt idx="79">
                  <c:v>2407</c:v>
                </c:pt>
                <c:pt idx="80">
                  <c:v>2420</c:v>
                </c:pt>
                <c:pt idx="81">
                  <c:v>2450.5</c:v>
                </c:pt>
                <c:pt idx="82">
                  <c:v>2485</c:v>
                </c:pt>
              </c:numCache>
            </c:numRef>
          </c:yVal>
          <c:smooth val="1"/>
          <c:extLst>
            <c:ext xmlns:c16="http://schemas.microsoft.com/office/drawing/2014/chart" uri="{C3380CC4-5D6E-409C-BE32-E72D297353CC}">
              <c16:uniqueId val="{00000000-FE81-46F0-9260-13E728793467}"/>
            </c:ext>
          </c:extLst>
        </c:ser>
        <c:dLbls>
          <c:showLegendKey val="0"/>
          <c:showVal val="0"/>
          <c:showCatName val="0"/>
          <c:showSerName val="0"/>
          <c:showPercent val="0"/>
          <c:showBubbleSize val="0"/>
        </c:dLbls>
        <c:axId val="169073280"/>
        <c:axId val="169108608"/>
      </c:scatterChart>
      <c:valAx>
        <c:axId val="16907328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108608"/>
        <c:crosses val="autoZero"/>
        <c:crossBetween val="midCat"/>
      </c:valAx>
      <c:valAx>
        <c:axId val="169108608"/>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7328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1FDA-4B85-8DA5-6C306276F075}"/>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strRef>
              <c:f>[2]PitCore_Sheet!$B$2</c:f>
              <c:strCache>
                <c:ptCount val="1"/>
              </c:strCache>
            </c:strRef>
          </c:tx>
          <c:spPr>
            <a:ln w="12700">
              <a:solidFill>
                <a:schemeClr val="tx1"/>
              </a:solidFill>
            </a:ln>
          </c:spPr>
          <c:marker>
            <c:symbol val="circle"/>
            <c:size val="5"/>
            <c:spPr>
              <a:solidFill>
                <a:schemeClr val="tx1"/>
              </a:solidFill>
              <a:ln>
                <a:noFill/>
              </a:ln>
            </c:spPr>
          </c:marker>
          <c:xVal>
            <c:numRef>
              <c:f>[2]PitCore_Sheet!$P$13:$P$22</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[2]PitCore_Sheet!$C$13:$C$22</c:f>
              <c:numCache>
                <c:formatCode>General</c:formatCode>
                <c:ptCount val="10"/>
                <c:pt idx="0">
                  <c:v>10</c:v>
                </c:pt>
                <c:pt idx="1">
                  <c:v>20</c:v>
                </c:pt>
                <c:pt idx="2">
                  <c:v>30</c:v>
                </c:pt>
                <c:pt idx="3">
                  <c:v>40</c:v>
                </c:pt>
                <c:pt idx="4">
                  <c:v>50</c:v>
                </c:pt>
                <c:pt idx="5">
                  <c:v>60</c:v>
                </c:pt>
                <c:pt idx="6">
                  <c:v>70</c:v>
                </c:pt>
                <c:pt idx="7">
                  <c:v>80</c:v>
                </c:pt>
                <c:pt idx="8">
                  <c:v>90</c:v>
                </c:pt>
                <c:pt idx="9">
                  <c:v>100</c:v>
                </c:pt>
              </c:numCache>
            </c:numRef>
          </c:yVal>
          <c:smooth val="1"/>
          <c:extLst>
            <c:ext xmlns:c16="http://schemas.microsoft.com/office/drawing/2014/chart" uri="{C3380CC4-5D6E-409C-BE32-E72D297353CC}">
              <c16:uniqueId val="{00000000-A315-4A4A-ACC7-007C8E7177B9}"/>
            </c:ext>
          </c:extLst>
        </c:ser>
        <c:dLbls>
          <c:showLegendKey val="0"/>
          <c:showVal val="0"/>
          <c:showCatName val="0"/>
          <c:showSerName val="0"/>
          <c:showPercent val="0"/>
          <c:showBubbleSize val="0"/>
        </c:dLbls>
        <c:axId val="169073280"/>
        <c:axId val="169108608"/>
      </c:scatterChart>
      <c:valAx>
        <c:axId val="16907328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69108608"/>
        <c:crosses val="autoZero"/>
        <c:crossBetween val="midCat"/>
      </c:valAx>
      <c:valAx>
        <c:axId val="169108608"/>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6907328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'20230505_PitCoreC'!$P$13:$P$22</c:f>
              <c:numCache>
                <c:formatCode>0.00</c:formatCode>
                <c:ptCount val="10"/>
                <c:pt idx="0">
                  <c:v>0.20703933747412009</c:v>
                </c:pt>
                <c:pt idx="1">
                  <c:v>0.27950310559006208</c:v>
                </c:pt>
                <c:pt idx="2">
                  <c:v>0.2432712215320911</c:v>
                </c:pt>
                <c:pt idx="3">
                  <c:v>0.27432712215320909</c:v>
                </c:pt>
                <c:pt idx="4">
                  <c:v>0.27950310559006208</c:v>
                </c:pt>
                <c:pt idx="5">
                  <c:v>0.3105590062111801</c:v>
                </c:pt>
                <c:pt idx="6">
                  <c:v>0.32608695652173914</c:v>
                </c:pt>
                <c:pt idx="7">
                  <c:v>0.36231884057971014</c:v>
                </c:pt>
              </c:numCache>
            </c:numRef>
          </c:xVal>
          <c:yVal>
            <c:numRef>
              <c:f>'20230505_PitCoreC'!$C$13:$C$22</c:f>
              <c:numCache>
                <c:formatCode>??0</c:formatCode>
                <c:ptCount val="10"/>
                <c:pt idx="0">
                  <c:v>10</c:v>
                </c:pt>
                <c:pt idx="1">
                  <c:v>20</c:v>
                </c:pt>
                <c:pt idx="2">
                  <c:v>30</c:v>
                </c:pt>
                <c:pt idx="3">
                  <c:v>40</c:v>
                </c:pt>
                <c:pt idx="4">
                  <c:v>50</c:v>
                </c:pt>
                <c:pt idx="5">
                  <c:v>60</c:v>
                </c:pt>
                <c:pt idx="6">
                  <c:v>70</c:v>
                </c:pt>
                <c:pt idx="7">
                  <c:v>80</c:v>
                </c:pt>
              </c:numCache>
            </c:numRef>
          </c:yVal>
          <c:smooth val="1"/>
          <c:extLst>
            <c:ext xmlns:c16="http://schemas.microsoft.com/office/drawing/2014/chart" uri="{C3380CC4-5D6E-409C-BE32-E72D297353CC}">
              <c16:uniqueId val="{00000000-559B-4B0A-A307-91165D01B455}"/>
            </c:ext>
          </c:extLst>
        </c:ser>
        <c:ser>
          <c:idx val="1"/>
          <c:order val="1"/>
          <c:tx>
            <c:v>core</c:v>
          </c:tx>
          <c:xVal>
            <c:numRef>
              <c:f>'20230505_PitCoreC'!$P$25:$P$54</c:f>
              <c:numCache>
                <c:formatCode>0.00</c:formatCode>
                <c:ptCount val="30"/>
                <c:pt idx="0">
                  <c:v>0.38380645829118065</c:v>
                </c:pt>
                <c:pt idx="1">
                  <c:v>0.38524444858986301</c:v>
                </c:pt>
                <c:pt idx="2">
                  <c:v>0.38524444858986301</c:v>
                </c:pt>
                <c:pt idx="3">
                  <c:v>0.38546222385757922</c:v>
                </c:pt>
                <c:pt idx="4">
                  <c:v>0.42920912704141556</c:v>
                </c:pt>
                <c:pt idx="5">
                  <c:v>0.44532567529000627</c:v>
                </c:pt>
                <c:pt idx="6">
                  <c:v>0.45426300718163959</c:v>
                </c:pt>
                <c:pt idx="7">
                  <c:v>0.46177719705231224</c:v>
                </c:pt>
                <c:pt idx="8">
                  <c:v>0.47275208195866053</c:v>
                </c:pt>
                <c:pt idx="9">
                  <c:v>0.47687404843103315</c:v>
                </c:pt>
                <c:pt idx="10">
                  <c:v>0.48078679387791412</c:v>
                </c:pt>
                <c:pt idx="11">
                  <c:v>0.47144251940475851</c:v>
                </c:pt>
                <c:pt idx="12">
                  <c:v>0.45217683952523707</c:v>
                </c:pt>
                <c:pt idx="13">
                  <c:v>0.53308102895009579</c:v>
                </c:pt>
                <c:pt idx="14">
                  <c:v>0.53710345405535775</c:v>
                </c:pt>
                <c:pt idx="15">
                  <c:v>0.55145718353277418</c:v>
                </c:pt>
                <c:pt idx="16">
                  <c:v>0.57664994349865073</c:v>
                </c:pt>
              </c:numCache>
            </c:numRef>
          </c:xVal>
          <c:yVal>
            <c:numRef>
              <c:f>'20230505_PitCoreC'!$C$25:$C$54</c:f>
              <c:numCache>
                <c:formatCode>??0</c:formatCode>
                <c:ptCount val="30"/>
                <c:pt idx="0">
                  <c:v>99.800000000000011</c:v>
                </c:pt>
                <c:pt idx="1">
                  <c:v>129.30000000000001</c:v>
                </c:pt>
                <c:pt idx="2">
                  <c:v>158.80000000000001</c:v>
                </c:pt>
                <c:pt idx="3">
                  <c:v>171</c:v>
                </c:pt>
                <c:pt idx="4">
                  <c:v>193.1</c:v>
                </c:pt>
                <c:pt idx="5">
                  <c:v>226.1</c:v>
                </c:pt>
                <c:pt idx="6">
                  <c:v>255</c:v>
                </c:pt>
                <c:pt idx="7">
                  <c:v>286.5</c:v>
                </c:pt>
                <c:pt idx="8">
                  <c:v>318</c:v>
                </c:pt>
                <c:pt idx="9">
                  <c:v>357.8</c:v>
                </c:pt>
                <c:pt idx="10">
                  <c:v>401</c:v>
                </c:pt>
                <c:pt idx="11">
                  <c:v>427.2</c:v>
                </c:pt>
                <c:pt idx="12">
                  <c:v>440.2</c:v>
                </c:pt>
                <c:pt idx="13">
                  <c:v>481</c:v>
                </c:pt>
                <c:pt idx="14">
                  <c:v>503.00000000000006</c:v>
                </c:pt>
                <c:pt idx="15">
                  <c:v>519.70000000000005</c:v>
                </c:pt>
                <c:pt idx="16">
                  <c:v>553</c:v>
                </c:pt>
              </c:numCache>
            </c:numRef>
          </c:yVal>
          <c:smooth val="1"/>
          <c:extLst>
            <c:ext xmlns:c16="http://schemas.microsoft.com/office/drawing/2014/chart" uri="{C3380CC4-5D6E-409C-BE32-E72D297353CC}">
              <c16:uniqueId val="{00000001-559B-4B0A-A307-91165D01B455}"/>
            </c:ext>
          </c:extLst>
        </c:ser>
        <c:ser>
          <c:idx val="2"/>
          <c:order val="2"/>
          <c:tx>
            <c:v>firn</c:v>
          </c:tx>
          <c:xVal>
            <c:numRef>
              <c:f>'20230505_PitCoreC'!$P$52:$P$54</c:f>
              <c:numCache>
                <c:formatCode>0.00</c:formatCode>
                <c:ptCount val="3"/>
              </c:numCache>
            </c:numRef>
          </c:xVal>
          <c:yVal>
            <c:numRef>
              <c:f>'20230505_PitCoreC'!$C$52:$C$54</c:f>
              <c:numCache>
                <c:formatCode>??0</c:formatCode>
                <c:ptCount val="3"/>
              </c:numCache>
            </c:numRef>
          </c:yVal>
          <c:smooth val="1"/>
          <c:extLst>
            <c:ext xmlns:c16="http://schemas.microsoft.com/office/drawing/2014/chart" uri="{C3380CC4-5D6E-409C-BE32-E72D297353CC}">
              <c16:uniqueId val="{00000002-559B-4B0A-A307-91165D01B455}"/>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312D-4C7E-80E2-01B249A75232}"/>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'20230505_PitCoreTU'!$P$13:$P$22</c:f>
              <c:numCache>
                <c:formatCode>0.00</c:formatCode>
                <c:ptCount val="10"/>
                <c:pt idx="0">
                  <c:v>0.19668737060041408</c:v>
                </c:pt>
                <c:pt idx="1">
                  <c:v>0.23809523809523808</c:v>
                </c:pt>
                <c:pt idx="2">
                  <c:v>0.2277432712215321</c:v>
                </c:pt>
                <c:pt idx="3">
                  <c:v>0.28985507246376813</c:v>
                </c:pt>
                <c:pt idx="4">
                  <c:v>0.27432712215320909</c:v>
                </c:pt>
                <c:pt idx="5">
                  <c:v>0.2639751552795031</c:v>
                </c:pt>
                <c:pt idx="6">
                  <c:v>0.3105590062111801</c:v>
                </c:pt>
                <c:pt idx="7">
                  <c:v>0.3105590062111801</c:v>
                </c:pt>
              </c:numCache>
            </c:numRef>
          </c:xVal>
          <c:yVal>
            <c:numRef>
              <c:f>'20230505_PitCoreTU'!$C$13:$C$22</c:f>
              <c:numCache>
                <c:formatCode>??0</c:formatCode>
                <c:ptCount val="10"/>
                <c:pt idx="0">
                  <c:v>10</c:v>
                </c:pt>
                <c:pt idx="1">
                  <c:v>20</c:v>
                </c:pt>
                <c:pt idx="2">
                  <c:v>30</c:v>
                </c:pt>
                <c:pt idx="3">
                  <c:v>40</c:v>
                </c:pt>
                <c:pt idx="4">
                  <c:v>50</c:v>
                </c:pt>
                <c:pt idx="5">
                  <c:v>60</c:v>
                </c:pt>
                <c:pt idx="6">
                  <c:v>70</c:v>
                </c:pt>
                <c:pt idx="7">
                  <c:v>80</c:v>
                </c:pt>
              </c:numCache>
            </c:numRef>
          </c:yVal>
          <c:smooth val="1"/>
          <c:extLst>
            <c:ext xmlns:c16="http://schemas.microsoft.com/office/drawing/2014/chart" uri="{C3380CC4-5D6E-409C-BE32-E72D297353CC}">
              <c16:uniqueId val="{00000000-74C8-467F-BB0A-DF759DB8EA49}"/>
            </c:ext>
          </c:extLst>
        </c:ser>
        <c:ser>
          <c:idx val="1"/>
          <c:order val="1"/>
          <c:tx>
            <c:v>core</c:v>
          </c:tx>
          <c:xVal>
            <c:numRef>
              <c:f>'20230505_PitCoreTU'!$P$25:$P$54</c:f>
              <c:numCache>
                <c:formatCode>0.00</c:formatCode>
                <c:ptCount val="30"/>
                <c:pt idx="0">
                  <c:v>0.38998423214717048</c:v>
                </c:pt>
                <c:pt idx="1">
                  <c:v>0.4062239086791764</c:v>
                </c:pt>
                <c:pt idx="2">
                  <c:v>0.43094058474799229</c:v>
                </c:pt>
                <c:pt idx="3">
                  <c:v>0.46779255620553811</c:v>
                </c:pt>
                <c:pt idx="4">
                  <c:v>0.45324961969018429</c:v>
                </c:pt>
                <c:pt idx="5">
                  <c:v>0.46680609021575947</c:v>
                </c:pt>
                <c:pt idx="6">
                  <c:v>0.48041194061588555</c:v>
                </c:pt>
                <c:pt idx="7">
                  <c:v>0.46940262388810328</c:v>
                </c:pt>
                <c:pt idx="8">
                  <c:v>0.43143478266628127</c:v>
                </c:pt>
                <c:pt idx="9">
                  <c:v>0.44345061981510098</c:v>
                </c:pt>
              </c:numCache>
            </c:numRef>
          </c:xVal>
          <c:yVal>
            <c:numRef>
              <c:f>'20230505_PitCoreTU'!$C$25:$C$54</c:f>
              <c:numCache>
                <c:formatCode>??0</c:formatCode>
                <c:ptCount val="30"/>
                <c:pt idx="0">
                  <c:v>127.8</c:v>
                </c:pt>
                <c:pt idx="1">
                  <c:v>177</c:v>
                </c:pt>
                <c:pt idx="2">
                  <c:v>206.70000000000002</c:v>
                </c:pt>
                <c:pt idx="3">
                  <c:v>228.9</c:v>
                </c:pt>
                <c:pt idx="4">
                  <c:v>257</c:v>
                </c:pt>
                <c:pt idx="5">
                  <c:v>291.7</c:v>
                </c:pt>
                <c:pt idx="6">
                  <c:v>328</c:v>
                </c:pt>
                <c:pt idx="7">
                  <c:v>373.4</c:v>
                </c:pt>
                <c:pt idx="8">
                  <c:v>417</c:v>
                </c:pt>
                <c:pt idx="9">
                  <c:v>436</c:v>
                </c:pt>
              </c:numCache>
            </c:numRef>
          </c:yVal>
          <c:smooth val="1"/>
          <c:extLst>
            <c:ext xmlns:c16="http://schemas.microsoft.com/office/drawing/2014/chart" uri="{C3380CC4-5D6E-409C-BE32-E72D297353CC}">
              <c16:uniqueId val="{00000001-74C8-467F-BB0A-DF759DB8EA49}"/>
            </c:ext>
          </c:extLst>
        </c:ser>
        <c:ser>
          <c:idx val="2"/>
          <c:order val="2"/>
          <c:tx>
            <c:v>firn</c:v>
          </c:tx>
          <c:xVal>
            <c:numRef>
              <c:f>'20230505_PitCoreTU'!$P$52:$P$54</c:f>
              <c:numCache>
                <c:formatCode>0.00</c:formatCode>
                <c:ptCount val="3"/>
              </c:numCache>
            </c:numRef>
          </c:xVal>
          <c:yVal>
            <c:numRef>
              <c:f>'20230505_PitCoreTU'!$C$52:$C$54</c:f>
              <c:numCache>
                <c:formatCode>??0</c:formatCode>
                <c:ptCount val="3"/>
              </c:numCache>
            </c:numRef>
          </c:yVal>
          <c:smooth val="1"/>
          <c:extLst>
            <c:ext xmlns:c16="http://schemas.microsoft.com/office/drawing/2014/chart" uri="{C3380CC4-5D6E-409C-BE32-E72D297353CC}">
              <c16:uniqueId val="{00000002-74C8-467F-BB0A-DF759DB8EA49}"/>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'20230505_PitCoreY'!$P$13:$P$22</c:f>
              <c:numCache>
                <c:formatCode>0.00</c:formatCode>
                <c:ptCount val="10"/>
                <c:pt idx="0">
                  <c:v>0.19151138716356109</c:v>
                </c:pt>
                <c:pt idx="1">
                  <c:v>0.3105590062111801</c:v>
                </c:pt>
                <c:pt idx="2">
                  <c:v>0.2277432712215321</c:v>
                </c:pt>
                <c:pt idx="3">
                  <c:v>0.25879917184265011</c:v>
                </c:pt>
                <c:pt idx="4">
                  <c:v>0.28467908902691513</c:v>
                </c:pt>
                <c:pt idx="5">
                  <c:v>0.25879917184265011</c:v>
                </c:pt>
                <c:pt idx="6">
                  <c:v>0.28985507246376813</c:v>
                </c:pt>
                <c:pt idx="7">
                  <c:v>0.30020703933747411</c:v>
                </c:pt>
                <c:pt idx="8">
                  <c:v>0.32091097308488614</c:v>
                </c:pt>
              </c:numCache>
            </c:numRef>
          </c:xVal>
          <c:yVal>
            <c:numRef>
              <c:f>'20230505_PitCoreY'!$C$13:$C$22</c:f>
              <c:numCache>
                <c:formatCode>??0</c:formatCode>
                <c:ptCount val="10"/>
                <c:pt idx="0">
                  <c:v>10</c:v>
                </c:pt>
                <c:pt idx="1">
                  <c:v>20</c:v>
                </c:pt>
                <c:pt idx="2">
                  <c:v>30</c:v>
                </c:pt>
                <c:pt idx="3">
                  <c:v>40</c:v>
                </c:pt>
                <c:pt idx="4">
                  <c:v>50</c:v>
                </c:pt>
                <c:pt idx="5">
                  <c:v>60</c:v>
                </c:pt>
                <c:pt idx="6">
                  <c:v>70</c:v>
                </c:pt>
                <c:pt idx="7">
                  <c:v>80</c:v>
                </c:pt>
                <c:pt idx="8">
                  <c:v>90</c:v>
                </c:pt>
              </c:numCache>
            </c:numRef>
          </c:yVal>
          <c:smooth val="1"/>
          <c:extLst>
            <c:ext xmlns:c16="http://schemas.microsoft.com/office/drawing/2014/chart" uri="{C3380CC4-5D6E-409C-BE32-E72D297353CC}">
              <c16:uniqueId val="{00000000-0035-4C25-BE15-7970D66380D8}"/>
            </c:ext>
          </c:extLst>
        </c:ser>
        <c:ser>
          <c:idx val="1"/>
          <c:order val="1"/>
          <c:tx>
            <c:v>core</c:v>
          </c:tx>
          <c:xVal>
            <c:numRef>
              <c:f>'20230505_PitCoreY'!$P$25:$P$54</c:f>
              <c:numCache>
                <c:formatCode>0.00</c:formatCode>
                <c:ptCount val="30"/>
                <c:pt idx="0">
                  <c:v>0.3918865942552055</c:v>
                </c:pt>
                <c:pt idx="1">
                  <c:v>0.38698801182701542</c:v>
                </c:pt>
                <c:pt idx="2">
                  <c:v>0.41600269236321819</c:v>
                </c:pt>
                <c:pt idx="3">
                  <c:v>0.4365319024614947</c:v>
                </c:pt>
                <c:pt idx="4">
                  <c:v>0.4685600583486153</c:v>
                </c:pt>
                <c:pt idx="5">
                  <c:v>0.48985824281900681</c:v>
                </c:pt>
                <c:pt idx="6">
                  <c:v>0.48126423855902434</c:v>
                </c:pt>
                <c:pt idx="7">
                  <c:v>0.47256912836657128</c:v>
                </c:pt>
                <c:pt idx="8">
                  <c:v>0.50462109397245647</c:v>
                </c:pt>
                <c:pt idx="9">
                  <c:v>0.3918865942552055</c:v>
                </c:pt>
                <c:pt idx="10">
                  <c:v>0.5388440671009076</c:v>
                </c:pt>
                <c:pt idx="11">
                  <c:v>0.56195058798859654</c:v>
                </c:pt>
                <c:pt idx="12">
                  <c:v>0.57706377615601689</c:v>
                </c:pt>
                <c:pt idx="13">
                  <c:v>0.59536617204156217</c:v>
                </c:pt>
                <c:pt idx="14">
                  <c:v>0.5654363717110823</c:v>
                </c:pt>
              </c:numCache>
            </c:numRef>
          </c:xVal>
          <c:yVal>
            <c:numRef>
              <c:f>'20230505_PitCoreY'!$C$25:$C$54</c:f>
              <c:numCache>
                <c:formatCode>??0</c:formatCode>
                <c:ptCount val="30"/>
                <c:pt idx="0">
                  <c:v>146</c:v>
                </c:pt>
                <c:pt idx="1">
                  <c:v>185.5</c:v>
                </c:pt>
                <c:pt idx="2">
                  <c:v>218</c:v>
                </c:pt>
                <c:pt idx="3">
                  <c:v>258</c:v>
                </c:pt>
                <c:pt idx="4">
                  <c:v>304</c:v>
                </c:pt>
                <c:pt idx="5">
                  <c:v>328</c:v>
                </c:pt>
                <c:pt idx="6">
                  <c:v>386</c:v>
                </c:pt>
                <c:pt idx="7">
                  <c:v>424.5</c:v>
                </c:pt>
                <c:pt idx="8">
                  <c:v>461</c:v>
                </c:pt>
                <c:pt idx="9">
                  <c:v>471</c:v>
                </c:pt>
                <c:pt idx="10">
                  <c:v>488</c:v>
                </c:pt>
                <c:pt idx="11">
                  <c:v>514.5</c:v>
                </c:pt>
                <c:pt idx="12">
                  <c:v>560</c:v>
                </c:pt>
                <c:pt idx="13">
                  <c:v>610</c:v>
                </c:pt>
                <c:pt idx="14">
                  <c:v>645</c:v>
                </c:pt>
              </c:numCache>
            </c:numRef>
          </c:yVal>
          <c:smooth val="1"/>
          <c:extLst>
            <c:ext xmlns:c16="http://schemas.microsoft.com/office/drawing/2014/chart" uri="{C3380CC4-5D6E-409C-BE32-E72D297353CC}">
              <c16:uniqueId val="{00000001-0035-4C25-BE15-7970D66380D8}"/>
            </c:ext>
          </c:extLst>
        </c:ser>
        <c:ser>
          <c:idx val="2"/>
          <c:order val="2"/>
          <c:tx>
            <c:v>firn</c:v>
          </c:tx>
          <c:xVal>
            <c:numRef>
              <c:f>'20230505_PitCoreY'!$P$52:$P$54</c:f>
              <c:numCache>
                <c:formatCode>0.00</c:formatCode>
                <c:ptCount val="3"/>
              </c:numCache>
            </c:numRef>
          </c:xVal>
          <c:yVal>
            <c:numRef>
              <c:f>'20230505_PitCoreY'!$C$52:$C$54</c:f>
              <c:numCache>
                <c:formatCode>??0</c:formatCode>
                <c:ptCount val="3"/>
              </c:numCache>
            </c:numRef>
          </c:yVal>
          <c:smooth val="1"/>
          <c:extLst>
            <c:ext xmlns:c16="http://schemas.microsoft.com/office/drawing/2014/chart" uri="{C3380CC4-5D6E-409C-BE32-E72D297353CC}">
              <c16:uniqueId val="{00000002-0035-4C25-BE15-7970D66380D8}"/>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[2]PitCore_Sheet!$P$13:$P$22</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[2]PitCore_Sheet!$C$13:$C$22</c:f>
              <c:numCache>
                <c:formatCode>General</c:formatCode>
                <c:ptCount val="10"/>
                <c:pt idx="0">
                  <c:v>10</c:v>
                </c:pt>
                <c:pt idx="1">
                  <c:v>20</c:v>
                </c:pt>
                <c:pt idx="2">
                  <c:v>30</c:v>
                </c:pt>
                <c:pt idx="3">
                  <c:v>40</c:v>
                </c:pt>
                <c:pt idx="4">
                  <c:v>50</c:v>
                </c:pt>
                <c:pt idx="5">
                  <c:v>60</c:v>
                </c:pt>
                <c:pt idx="6">
                  <c:v>70</c:v>
                </c:pt>
                <c:pt idx="7">
                  <c:v>80</c:v>
                </c:pt>
                <c:pt idx="8">
                  <c:v>90</c:v>
                </c:pt>
                <c:pt idx="9">
                  <c:v>100</c:v>
                </c:pt>
              </c:numCache>
            </c:numRef>
          </c:yVal>
          <c:smooth val="1"/>
          <c:extLst>
            <c:ext xmlns:c16="http://schemas.microsoft.com/office/drawing/2014/chart" uri="{C3380CC4-5D6E-409C-BE32-E72D297353CC}">
              <c16:uniqueId val="{00000000-6AE2-4BB7-B7A6-7111091B90BF}"/>
            </c:ext>
          </c:extLst>
        </c:ser>
        <c:ser>
          <c:idx val="1"/>
          <c:order val="1"/>
          <c:tx>
            <c:v>core</c:v>
          </c:tx>
          <c:xVal>
            <c:numRef>
              <c:f>[2]PitCore_Sheet!$P$25:$P$54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[2]PitCore_Sheet!$C$25:$C$54</c:f>
              <c:numCache>
                <c:formatCode>General</c:formatCode>
                <c:ptCount val="30"/>
                <c:pt idx="0">
                  <c:v>120</c:v>
                </c:pt>
                <c:pt idx="1">
                  <c:v>140</c:v>
                </c:pt>
                <c:pt idx="2">
                  <c:v>160</c:v>
                </c:pt>
              </c:numCache>
            </c:numRef>
          </c:yVal>
          <c:smooth val="1"/>
          <c:extLst>
            <c:ext xmlns:c16="http://schemas.microsoft.com/office/drawing/2014/chart" uri="{C3380CC4-5D6E-409C-BE32-E72D297353CC}">
              <c16:uniqueId val="{00000001-6AE2-4BB7-B7A6-7111091B90BF}"/>
            </c:ext>
          </c:extLst>
        </c:ser>
        <c:ser>
          <c:idx val="2"/>
          <c:order val="2"/>
          <c:tx>
            <c:v>firn</c:v>
          </c:tx>
          <c:xVal>
            <c:numRef>
              <c:f>[2]PitCore_Sheet!$P$52:$P$54</c:f>
              <c:numCache>
                <c:formatCode>General</c:formatCode>
                <c:ptCount val="3"/>
                <c:pt idx="0">
                  <c:v>0</c:v>
                </c:pt>
                <c:pt idx="1">
                  <c:v>0</c:v>
                </c:pt>
                <c:pt idx="2">
                  <c:v>0</c:v>
                </c:pt>
              </c:numCache>
            </c:numRef>
          </c:xVal>
          <c:yVal>
            <c:numRef>
              <c:f>[2]PitCore_Sheet!$C$52:$C$54</c:f>
              <c:numCache>
                <c:formatCode>General</c:formatCode>
                <c:ptCount val="3"/>
              </c:numCache>
            </c:numRef>
          </c:yVal>
          <c:smooth val="1"/>
          <c:extLst>
            <c:ext xmlns:c16="http://schemas.microsoft.com/office/drawing/2014/chart" uri="{C3380CC4-5D6E-409C-BE32-E72D297353CC}">
              <c16:uniqueId val="{00000002-6AE2-4BB7-B7A6-7111091B90BF}"/>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'20230506_PitCoreB'!$P$13:$P$22</c:f>
              <c:numCache>
                <c:formatCode>0.00</c:formatCode>
                <c:ptCount val="10"/>
                <c:pt idx="0">
                  <c:v>0.18633540372670807</c:v>
                </c:pt>
                <c:pt idx="1">
                  <c:v>0.32091097308488614</c:v>
                </c:pt>
                <c:pt idx="2">
                  <c:v>0.33126293995859213</c:v>
                </c:pt>
                <c:pt idx="3">
                  <c:v>0.33126293995859213</c:v>
                </c:pt>
                <c:pt idx="4">
                  <c:v>0.36749482401656314</c:v>
                </c:pt>
                <c:pt idx="5">
                  <c:v>0.36749482401656314</c:v>
                </c:pt>
                <c:pt idx="6">
                  <c:v>0.38302277432712217</c:v>
                </c:pt>
              </c:numCache>
            </c:numRef>
          </c:xVal>
          <c:yVal>
            <c:numRef>
              <c:f>'20230506_PitCoreB'!$C$13:$C$22</c:f>
              <c:numCache>
                <c:formatCode>??0</c:formatCode>
                <c:ptCount val="10"/>
                <c:pt idx="0">
                  <c:v>10</c:v>
                </c:pt>
                <c:pt idx="1">
                  <c:v>20</c:v>
                </c:pt>
                <c:pt idx="2">
                  <c:v>30</c:v>
                </c:pt>
                <c:pt idx="3">
                  <c:v>40</c:v>
                </c:pt>
                <c:pt idx="4">
                  <c:v>50</c:v>
                </c:pt>
                <c:pt idx="5">
                  <c:v>60</c:v>
                </c:pt>
                <c:pt idx="6">
                  <c:v>70</c:v>
                </c:pt>
              </c:numCache>
            </c:numRef>
          </c:yVal>
          <c:smooth val="1"/>
          <c:extLst>
            <c:ext xmlns:c16="http://schemas.microsoft.com/office/drawing/2014/chart" uri="{C3380CC4-5D6E-409C-BE32-E72D297353CC}">
              <c16:uniqueId val="{00000000-64E4-42F2-BE52-6BF9EB9E9511}"/>
            </c:ext>
          </c:extLst>
        </c:ser>
        <c:ser>
          <c:idx val="1"/>
          <c:order val="1"/>
          <c:tx>
            <c:v>core</c:v>
          </c:tx>
          <c:xVal>
            <c:numRef>
              <c:f>'20230506_PitCoreB'!$P$25:$P$54</c:f>
              <c:numCache>
                <c:formatCode>0.00</c:formatCode>
                <c:ptCount val="30"/>
                <c:pt idx="0">
                  <c:v>0.4290910177604465</c:v>
                </c:pt>
                <c:pt idx="1">
                  <c:v>0.46445818578394732</c:v>
                </c:pt>
                <c:pt idx="2">
                  <c:v>0.493486822395444</c:v>
                </c:pt>
                <c:pt idx="3">
                  <c:v>0.4702639131062466</c:v>
                </c:pt>
                <c:pt idx="4">
                  <c:v>0.50385419261383568</c:v>
                </c:pt>
              </c:numCache>
            </c:numRef>
          </c:xVal>
          <c:yVal>
            <c:numRef>
              <c:f>'20230506_PitCoreB'!$C$25:$C$54</c:f>
              <c:numCache>
                <c:formatCode>??0</c:formatCode>
                <c:ptCount val="30"/>
                <c:pt idx="0">
                  <c:v>155</c:v>
                </c:pt>
                <c:pt idx="1">
                  <c:v>167</c:v>
                </c:pt>
                <c:pt idx="2">
                  <c:v>221</c:v>
                </c:pt>
                <c:pt idx="3">
                  <c:v>246</c:v>
                </c:pt>
                <c:pt idx="4">
                  <c:v>284</c:v>
                </c:pt>
              </c:numCache>
            </c:numRef>
          </c:yVal>
          <c:smooth val="1"/>
          <c:extLst>
            <c:ext xmlns:c16="http://schemas.microsoft.com/office/drawing/2014/chart" uri="{C3380CC4-5D6E-409C-BE32-E72D297353CC}">
              <c16:uniqueId val="{00000001-64E4-42F2-BE52-6BF9EB9E9511}"/>
            </c:ext>
          </c:extLst>
        </c:ser>
        <c:ser>
          <c:idx val="2"/>
          <c:order val="2"/>
          <c:tx>
            <c:v>firn</c:v>
          </c:tx>
          <c:xVal>
            <c:numRef>
              <c:f>'20230506_PitCoreB'!$P$52:$P$54</c:f>
              <c:numCache>
                <c:formatCode>0.00</c:formatCode>
                <c:ptCount val="3"/>
              </c:numCache>
            </c:numRef>
          </c:xVal>
          <c:yVal>
            <c:numRef>
              <c:f>'20230506_PitCoreB'!$C$52:$C$54</c:f>
              <c:numCache>
                <c:formatCode>??0</c:formatCode>
                <c:ptCount val="3"/>
              </c:numCache>
            </c:numRef>
          </c:yVal>
          <c:smooth val="1"/>
          <c:extLst>
            <c:ext xmlns:c16="http://schemas.microsoft.com/office/drawing/2014/chart" uri="{C3380CC4-5D6E-409C-BE32-E72D297353CC}">
              <c16:uniqueId val="{00000002-64E4-42F2-BE52-6BF9EB9E9511}"/>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1414-4B66-9094-854ED97D6051}"/>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571500</xdr:colOff>
      <xdr:row>1</xdr:row>
      <xdr:rowOff>76200</xdr:rowOff>
    </xdr:from>
    <xdr:to>
      <xdr:col>19</xdr:col>
      <xdr:colOff>266700</xdr:colOff>
      <xdr:row>16</xdr:row>
      <xdr:rowOff>76200</xdr:rowOff>
    </xdr:to>
    <xdr:graphicFrame macro="">
      <xdr:nvGraphicFramePr>
        <xdr:cNvPr id="2" name="Chart 1">
          <a:extLst>
            <a:ext uri="{FF2B5EF4-FFF2-40B4-BE49-F238E27FC236}">
              <a16:creationId xmlns:a16="http://schemas.microsoft.com/office/drawing/2014/main" id="{37E5AAC6-BB65-4246-81AD-5F0DCB13F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29</xdr:col>
      <xdr:colOff>22861</xdr:colOff>
      <xdr:row>6</xdr:row>
      <xdr:rowOff>30480</xdr:rowOff>
    </xdr:from>
    <xdr:to>
      <xdr:col>36</xdr:col>
      <xdr:colOff>335281</xdr:colOff>
      <xdr:row>42</xdr:row>
      <xdr:rowOff>30480</xdr:rowOff>
    </xdr:to>
    <xdr:graphicFrame macro="">
      <xdr:nvGraphicFramePr>
        <xdr:cNvPr id="2" name="Chart 1">
          <a:extLst>
            <a:ext uri="{FF2B5EF4-FFF2-40B4-BE49-F238E27FC236}">
              <a16:creationId xmlns:a16="http://schemas.microsoft.com/office/drawing/2014/main" id="{6A8BB5B9-3742-4921-809C-77EF1DF07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2C97AAA0-D6E5-457C-A859-133F63856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14</xdr:row>
      <xdr:rowOff>30480</xdr:rowOff>
    </xdr:to>
    <xdr:graphicFrame macro="">
      <xdr:nvGraphicFramePr>
        <xdr:cNvPr id="2" name="Chart 1">
          <a:extLst>
            <a:ext uri="{FF2B5EF4-FFF2-40B4-BE49-F238E27FC236}">
              <a16:creationId xmlns:a16="http://schemas.microsoft.com/office/drawing/2014/main" id="{F2D2153B-465E-41F1-B628-2611B259D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9DA18040-C841-4A35-934D-F3814B991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2B2FCF48-AC98-4CD0-A35B-E08B30CF5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16</xdr:row>
      <xdr:rowOff>30480</xdr:rowOff>
    </xdr:to>
    <xdr:graphicFrame macro="">
      <xdr:nvGraphicFramePr>
        <xdr:cNvPr id="2" name="Chart 1">
          <a:extLst>
            <a:ext uri="{FF2B5EF4-FFF2-40B4-BE49-F238E27FC236}">
              <a16:creationId xmlns:a16="http://schemas.microsoft.com/office/drawing/2014/main" id="{3E964044-A0C3-411A-BE6A-9593CF1DB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DAC73ACF-CCB9-4EDD-9481-B66A97534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434CA363-14F8-421C-83B5-E04F26B9A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781B668F-A05C-42AF-A466-C49B68A8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29</xdr:col>
      <xdr:colOff>22861</xdr:colOff>
      <xdr:row>6</xdr:row>
      <xdr:rowOff>30480</xdr:rowOff>
    </xdr:from>
    <xdr:to>
      <xdr:col>36</xdr:col>
      <xdr:colOff>335281</xdr:colOff>
      <xdr:row>52</xdr:row>
      <xdr:rowOff>30480</xdr:rowOff>
    </xdr:to>
    <xdr:graphicFrame macro="">
      <xdr:nvGraphicFramePr>
        <xdr:cNvPr id="2" name="Chart 1">
          <a:extLst>
            <a:ext uri="{FF2B5EF4-FFF2-40B4-BE49-F238E27FC236}">
              <a16:creationId xmlns:a16="http://schemas.microsoft.com/office/drawing/2014/main" id="{73587CFE-68F0-48CB-8D24-DFE7A7F22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361950</xdr:colOff>
      <xdr:row>50</xdr:row>
      <xdr:rowOff>142875</xdr:rowOff>
    </xdr:to>
    <xdr:sp macro="" textlink="">
      <xdr:nvSpPr>
        <xdr:cNvPr id="2" name="AutoShape 5">
          <a:extLst>
            <a:ext uri="{FF2B5EF4-FFF2-40B4-BE49-F238E27FC236}">
              <a16:creationId xmlns:a16="http://schemas.microsoft.com/office/drawing/2014/main" id="{E4A52269-ECD3-471F-BCBA-10D379B7D7F6}"/>
            </a:ext>
          </a:extLst>
        </xdr:cNvPr>
        <xdr:cNvSpPr>
          <a:spLocks noChangeArrowheads="1"/>
        </xdr:cNvSpPr>
      </xdr:nvSpPr>
      <xdr:spPr bwMode="auto">
        <a:xfrm>
          <a:off x="0" y="0"/>
          <a:ext cx="13727430" cy="92640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50</xdr:row>
      <xdr:rowOff>142875</xdr:rowOff>
    </xdr:to>
    <xdr:sp macro="" textlink="">
      <xdr:nvSpPr>
        <xdr:cNvPr id="3" name="AutoShape 5">
          <a:extLst>
            <a:ext uri="{FF2B5EF4-FFF2-40B4-BE49-F238E27FC236}">
              <a16:creationId xmlns:a16="http://schemas.microsoft.com/office/drawing/2014/main" id="{8E5444CB-0224-4929-A068-9CE19354F849}"/>
            </a:ext>
          </a:extLst>
        </xdr:cNvPr>
        <xdr:cNvSpPr>
          <a:spLocks noChangeArrowheads="1"/>
        </xdr:cNvSpPr>
      </xdr:nvSpPr>
      <xdr:spPr bwMode="auto">
        <a:xfrm>
          <a:off x="0" y="0"/>
          <a:ext cx="13727430" cy="92640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50</xdr:row>
      <xdr:rowOff>142875</xdr:rowOff>
    </xdr:to>
    <xdr:sp macro="" textlink="">
      <xdr:nvSpPr>
        <xdr:cNvPr id="4" name="AutoShape 5">
          <a:extLst>
            <a:ext uri="{FF2B5EF4-FFF2-40B4-BE49-F238E27FC236}">
              <a16:creationId xmlns:a16="http://schemas.microsoft.com/office/drawing/2014/main" id="{B470B06F-6CD9-4044-8B3A-794F734C7F71}"/>
            </a:ext>
          </a:extLst>
        </xdr:cNvPr>
        <xdr:cNvSpPr>
          <a:spLocks noChangeArrowheads="1"/>
        </xdr:cNvSpPr>
      </xdr:nvSpPr>
      <xdr:spPr bwMode="auto">
        <a:xfrm>
          <a:off x="0" y="0"/>
          <a:ext cx="13727430" cy="92640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51</xdr:row>
      <xdr:rowOff>142875</xdr:rowOff>
    </xdr:to>
    <xdr:sp macro="" textlink="">
      <xdr:nvSpPr>
        <xdr:cNvPr id="5" name="AutoShape 5">
          <a:extLst>
            <a:ext uri="{FF2B5EF4-FFF2-40B4-BE49-F238E27FC236}">
              <a16:creationId xmlns:a16="http://schemas.microsoft.com/office/drawing/2014/main" id="{9186498C-F016-4C96-B41D-FD94871C3C30}"/>
            </a:ext>
          </a:extLst>
        </xdr:cNvPr>
        <xdr:cNvSpPr>
          <a:spLocks noChangeArrowheads="1"/>
        </xdr:cNvSpPr>
      </xdr:nvSpPr>
      <xdr:spPr bwMode="auto">
        <a:xfrm>
          <a:off x="0" y="0"/>
          <a:ext cx="13727430" cy="94621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51</xdr:row>
      <xdr:rowOff>142875</xdr:rowOff>
    </xdr:to>
    <xdr:sp macro="" textlink="">
      <xdr:nvSpPr>
        <xdr:cNvPr id="6" name="AutoShape 5">
          <a:extLst>
            <a:ext uri="{FF2B5EF4-FFF2-40B4-BE49-F238E27FC236}">
              <a16:creationId xmlns:a16="http://schemas.microsoft.com/office/drawing/2014/main" id="{482A04B1-07E3-49EE-95F0-2C35B4249A17}"/>
            </a:ext>
          </a:extLst>
        </xdr:cNvPr>
        <xdr:cNvSpPr>
          <a:spLocks noChangeArrowheads="1"/>
        </xdr:cNvSpPr>
      </xdr:nvSpPr>
      <xdr:spPr bwMode="auto">
        <a:xfrm>
          <a:off x="0" y="0"/>
          <a:ext cx="13727430" cy="94621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51</xdr:row>
      <xdr:rowOff>142875</xdr:rowOff>
    </xdr:to>
    <xdr:sp macro="" textlink="">
      <xdr:nvSpPr>
        <xdr:cNvPr id="7" name="AutoShape 5">
          <a:extLst>
            <a:ext uri="{FF2B5EF4-FFF2-40B4-BE49-F238E27FC236}">
              <a16:creationId xmlns:a16="http://schemas.microsoft.com/office/drawing/2014/main" id="{EC549C40-9195-4DA9-BD04-D2D7A135B991}"/>
            </a:ext>
          </a:extLst>
        </xdr:cNvPr>
        <xdr:cNvSpPr>
          <a:spLocks noChangeArrowheads="1"/>
        </xdr:cNvSpPr>
      </xdr:nvSpPr>
      <xdr:spPr bwMode="auto">
        <a:xfrm>
          <a:off x="0" y="0"/>
          <a:ext cx="13727430" cy="94621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9748B1FE-AFBF-485C-BA1C-C21A1807B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75</xdr:row>
      <xdr:rowOff>142875</xdr:rowOff>
    </xdr:to>
    <xdr:sp macro="" textlink="">
      <xdr:nvSpPr>
        <xdr:cNvPr id="2" name="AutoShape 5">
          <a:extLst>
            <a:ext uri="{FF2B5EF4-FFF2-40B4-BE49-F238E27FC236}">
              <a16:creationId xmlns:a16="http://schemas.microsoft.com/office/drawing/2014/main" id="{00000000-0008-0000-02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3" name="AutoShape 5">
          <a:extLst>
            <a:ext uri="{FF2B5EF4-FFF2-40B4-BE49-F238E27FC236}">
              <a16:creationId xmlns:a16="http://schemas.microsoft.com/office/drawing/2014/main" id="{00000000-0008-0000-02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4" name="AutoShape 5">
          <a:extLst>
            <a:ext uri="{FF2B5EF4-FFF2-40B4-BE49-F238E27FC236}">
              <a16:creationId xmlns:a16="http://schemas.microsoft.com/office/drawing/2014/main" id="{00000000-0008-0000-02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76</xdr:row>
      <xdr:rowOff>142875</xdr:rowOff>
    </xdr:to>
    <xdr:sp macro="" textlink="">
      <xdr:nvSpPr>
        <xdr:cNvPr id="5" name="AutoShape 5">
          <a:extLst>
            <a:ext uri="{FF2B5EF4-FFF2-40B4-BE49-F238E27FC236}">
              <a16:creationId xmlns:a16="http://schemas.microsoft.com/office/drawing/2014/main" id="{00000000-0008-0000-02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76</xdr:row>
      <xdr:rowOff>142875</xdr:rowOff>
    </xdr:to>
    <xdr:sp macro="" textlink="">
      <xdr:nvSpPr>
        <xdr:cNvPr id="6" name="AutoShape 5">
          <a:extLst>
            <a:ext uri="{FF2B5EF4-FFF2-40B4-BE49-F238E27FC236}">
              <a16:creationId xmlns:a16="http://schemas.microsoft.com/office/drawing/2014/main" id="{00000000-0008-0000-02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76</xdr:row>
      <xdr:rowOff>142875</xdr:rowOff>
    </xdr:to>
    <xdr:sp macro="" textlink="">
      <xdr:nvSpPr>
        <xdr:cNvPr id="7" name="AutoShape 5">
          <a:extLst>
            <a:ext uri="{FF2B5EF4-FFF2-40B4-BE49-F238E27FC236}">
              <a16:creationId xmlns:a16="http://schemas.microsoft.com/office/drawing/2014/main" id="{00000000-0008-0000-02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94</xdr:row>
      <xdr:rowOff>142875</xdr:rowOff>
    </xdr:to>
    <xdr:sp macro="" textlink="">
      <xdr:nvSpPr>
        <xdr:cNvPr id="2" name="AutoShape 5">
          <a:extLst>
            <a:ext uri="{FF2B5EF4-FFF2-40B4-BE49-F238E27FC236}">
              <a16:creationId xmlns:a16="http://schemas.microsoft.com/office/drawing/2014/main" id="{00000000-0008-0000-03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94</xdr:row>
      <xdr:rowOff>142875</xdr:rowOff>
    </xdr:to>
    <xdr:sp macro="" textlink="">
      <xdr:nvSpPr>
        <xdr:cNvPr id="3" name="AutoShape 5">
          <a:extLst>
            <a:ext uri="{FF2B5EF4-FFF2-40B4-BE49-F238E27FC236}">
              <a16:creationId xmlns:a16="http://schemas.microsoft.com/office/drawing/2014/main" id="{00000000-0008-0000-03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94</xdr:row>
      <xdr:rowOff>142875</xdr:rowOff>
    </xdr:to>
    <xdr:sp macro="" textlink="">
      <xdr:nvSpPr>
        <xdr:cNvPr id="4" name="AutoShape 5">
          <a:extLst>
            <a:ext uri="{FF2B5EF4-FFF2-40B4-BE49-F238E27FC236}">
              <a16:creationId xmlns:a16="http://schemas.microsoft.com/office/drawing/2014/main" id="{00000000-0008-0000-03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95</xdr:row>
      <xdr:rowOff>142875</xdr:rowOff>
    </xdr:to>
    <xdr:sp macro="" textlink="">
      <xdr:nvSpPr>
        <xdr:cNvPr id="5" name="AutoShape 5">
          <a:extLst>
            <a:ext uri="{FF2B5EF4-FFF2-40B4-BE49-F238E27FC236}">
              <a16:creationId xmlns:a16="http://schemas.microsoft.com/office/drawing/2014/main" id="{00000000-0008-0000-03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95</xdr:row>
      <xdr:rowOff>142875</xdr:rowOff>
    </xdr:to>
    <xdr:sp macro="" textlink="">
      <xdr:nvSpPr>
        <xdr:cNvPr id="6" name="AutoShape 5">
          <a:extLst>
            <a:ext uri="{FF2B5EF4-FFF2-40B4-BE49-F238E27FC236}">
              <a16:creationId xmlns:a16="http://schemas.microsoft.com/office/drawing/2014/main" id="{00000000-0008-0000-03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95</xdr:row>
      <xdr:rowOff>142875</xdr:rowOff>
    </xdr:to>
    <xdr:sp macro="" textlink="">
      <xdr:nvSpPr>
        <xdr:cNvPr id="7" name="AutoShape 5">
          <a:extLst>
            <a:ext uri="{FF2B5EF4-FFF2-40B4-BE49-F238E27FC236}">
              <a16:creationId xmlns:a16="http://schemas.microsoft.com/office/drawing/2014/main" id="{00000000-0008-0000-03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83</xdr:row>
      <xdr:rowOff>142875</xdr:rowOff>
    </xdr:to>
    <xdr:sp macro="" textlink="">
      <xdr:nvSpPr>
        <xdr:cNvPr id="2" name="AutoShape 5">
          <a:extLst>
            <a:ext uri="{FF2B5EF4-FFF2-40B4-BE49-F238E27FC236}">
              <a16:creationId xmlns:a16="http://schemas.microsoft.com/office/drawing/2014/main" id="{00000000-0008-0000-04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83</xdr:row>
      <xdr:rowOff>142875</xdr:rowOff>
    </xdr:to>
    <xdr:sp macro="" textlink="">
      <xdr:nvSpPr>
        <xdr:cNvPr id="3" name="AutoShape 5">
          <a:extLst>
            <a:ext uri="{FF2B5EF4-FFF2-40B4-BE49-F238E27FC236}">
              <a16:creationId xmlns:a16="http://schemas.microsoft.com/office/drawing/2014/main" id="{00000000-0008-0000-04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83</xdr:row>
      <xdr:rowOff>142875</xdr:rowOff>
    </xdr:to>
    <xdr:sp macro="" textlink="">
      <xdr:nvSpPr>
        <xdr:cNvPr id="4" name="AutoShape 5">
          <a:extLst>
            <a:ext uri="{FF2B5EF4-FFF2-40B4-BE49-F238E27FC236}">
              <a16:creationId xmlns:a16="http://schemas.microsoft.com/office/drawing/2014/main" id="{00000000-0008-0000-04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84</xdr:row>
      <xdr:rowOff>142875</xdr:rowOff>
    </xdr:to>
    <xdr:sp macro="" textlink="">
      <xdr:nvSpPr>
        <xdr:cNvPr id="5" name="AutoShape 5">
          <a:extLst>
            <a:ext uri="{FF2B5EF4-FFF2-40B4-BE49-F238E27FC236}">
              <a16:creationId xmlns:a16="http://schemas.microsoft.com/office/drawing/2014/main" id="{00000000-0008-0000-04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84</xdr:row>
      <xdr:rowOff>142875</xdr:rowOff>
    </xdr:to>
    <xdr:sp macro="" textlink="">
      <xdr:nvSpPr>
        <xdr:cNvPr id="6" name="AutoShape 5">
          <a:extLst>
            <a:ext uri="{FF2B5EF4-FFF2-40B4-BE49-F238E27FC236}">
              <a16:creationId xmlns:a16="http://schemas.microsoft.com/office/drawing/2014/main" id="{00000000-0008-0000-04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84</xdr:row>
      <xdr:rowOff>142875</xdr:rowOff>
    </xdr:to>
    <xdr:sp macro="" textlink="">
      <xdr:nvSpPr>
        <xdr:cNvPr id="7" name="AutoShape 5">
          <a:extLst>
            <a:ext uri="{FF2B5EF4-FFF2-40B4-BE49-F238E27FC236}">
              <a16:creationId xmlns:a16="http://schemas.microsoft.com/office/drawing/2014/main" id="{00000000-0008-0000-04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72</xdr:row>
      <xdr:rowOff>142875</xdr:rowOff>
    </xdr:to>
    <xdr:sp macro="" textlink="">
      <xdr:nvSpPr>
        <xdr:cNvPr id="2" name="AutoShape 5">
          <a:extLst>
            <a:ext uri="{FF2B5EF4-FFF2-40B4-BE49-F238E27FC236}">
              <a16:creationId xmlns:a16="http://schemas.microsoft.com/office/drawing/2014/main" id="{00000000-0008-0000-05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72</xdr:row>
      <xdr:rowOff>142875</xdr:rowOff>
    </xdr:to>
    <xdr:sp macro="" textlink="">
      <xdr:nvSpPr>
        <xdr:cNvPr id="3" name="AutoShape 5">
          <a:extLst>
            <a:ext uri="{FF2B5EF4-FFF2-40B4-BE49-F238E27FC236}">
              <a16:creationId xmlns:a16="http://schemas.microsoft.com/office/drawing/2014/main" id="{00000000-0008-0000-05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72</xdr:row>
      <xdr:rowOff>142875</xdr:rowOff>
    </xdr:to>
    <xdr:sp macro="" textlink="">
      <xdr:nvSpPr>
        <xdr:cNvPr id="4" name="AutoShape 5">
          <a:extLst>
            <a:ext uri="{FF2B5EF4-FFF2-40B4-BE49-F238E27FC236}">
              <a16:creationId xmlns:a16="http://schemas.microsoft.com/office/drawing/2014/main" id="{00000000-0008-0000-05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73</xdr:row>
      <xdr:rowOff>142875</xdr:rowOff>
    </xdr:to>
    <xdr:sp macro="" textlink="">
      <xdr:nvSpPr>
        <xdr:cNvPr id="5" name="AutoShape 5">
          <a:extLst>
            <a:ext uri="{FF2B5EF4-FFF2-40B4-BE49-F238E27FC236}">
              <a16:creationId xmlns:a16="http://schemas.microsoft.com/office/drawing/2014/main" id="{00000000-0008-0000-05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73</xdr:row>
      <xdr:rowOff>142875</xdr:rowOff>
    </xdr:to>
    <xdr:sp macro="" textlink="">
      <xdr:nvSpPr>
        <xdr:cNvPr id="6" name="AutoShape 5">
          <a:extLst>
            <a:ext uri="{FF2B5EF4-FFF2-40B4-BE49-F238E27FC236}">
              <a16:creationId xmlns:a16="http://schemas.microsoft.com/office/drawing/2014/main" id="{00000000-0008-0000-05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73</xdr:row>
      <xdr:rowOff>142875</xdr:rowOff>
    </xdr:to>
    <xdr:sp macro="" textlink="">
      <xdr:nvSpPr>
        <xdr:cNvPr id="7" name="AutoShape 5">
          <a:extLst>
            <a:ext uri="{FF2B5EF4-FFF2-40B4-BE49-F238E27FC236}">
              <a16:creationId xmlns:a16="http://schemas.microsoft.com/office/drawing/2014/main" id="{00000000-0008-0000-05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82</xdr:row>
      <xdr:rowOff>142875</xdr:rowOff>
    </xdr:to>
    <xdr:sp macro="" textlink="">
      <xdr:nvSpPr>
        <xdr:cNvPr id="2" name="AutoShape 5">
          <a:extLst>
            <a:ext uri="{FF2B5EF4-FFF2-40B4-BE49-F238E27FC236}">
              <a16:creationId xmlns:a16="http://schemas.microsoft.com/office/drawing/2014/main" id="{00000000-0008-0000-06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82</xdr:row>
      <xdr:rowOff>142875</xdr:rowOff>
    </xdr:to>
    <xdr:sp macro="" textlink="">
      <xdr:nvSpPr>
        <xdr:cNvPr id="3" name="AutoShape 5">
          <a:extLst>
            <a:ext uri="{FF2B5EF4-FFF2-40B4-BE49-F238E27FC236}">
              <a16:creationId xmlns:a16="http://schemas.microsoft.com/office/drawing/2014/main" id="{00000000-0008-0000-06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82</xdr:row>
      <xdr:rowOff>142875</xdr:rowOff>
    </xdr:to>
    <xdr:sp macro="" textlink="">
      <xdr:nvSpPr>
        <xdr:cNvPr id="4" name="AutoShape 5">
          <a:extLst>
            <a:ext uri="{FF2B5EF4-FFF2-40B4-BE49-F238E27FC236}">
              <a16:creationId xmlns:a16="http://schemas.microsoft.com/office/drawing/2014/main" id="{00000000-0008-0000-06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83</xdr:row>
      <xdr:rowOff>142875</xdr:rowOff>
    </xdr:to>
    <xdr:sp macro="" textlink="">
      <xdr:nvSpPr>
        <xdr:cNvPr id="5" name="AutoShape 5">
          <a:extLst>
            <a:ext uri="{FF2B5EF4-FFF2-40B4-BE49-F238E27FC236}">
              <a16:creationId xmlns:a16="http://schemas.microsoft.com/office/drawing/2014/main" id="{00000000-0008-0000-06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83</xdr:row>
      <xdr:rowOff>142875</xdr:rowOff>
    </xdr:to>
    <xdr:sp macro="" textlink="">
      <xdr:nvSpPr>
        <xdr:cNvPr id="6" name="AutoShape 5">
          <a:extLst>
            <a:ext uri="{FF2B5EF4-FFF2-40B4-BE49-F238E27FC236}">
              <a16:creationId xmlns:a16="http://schemas.microsoft.com/office/drawing/2014/main" id="{00000000-0008-0000-06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83</xdr:row>
      <xdr:rowOff>142875</xdr:rowOff>
    </xdr:to>
    <xdr:sp macro="" textlink="">
      <xdr:nvSpPr>
        <xdr:cNvPr id="7" name="AutoShape 5">
          <a:extLst>
            <a:ext uri="{FF2B5EF4-FFF2-40B4-BE49-F238E27FC236}">
              <a16:creationId xmlns:a16="http://schemas.microsoft.com/office/drawing/2014/main" id="{00000000-0008-0000-06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86</xdr:row>
      <xdr:rowOff>142875</xdr:rowOff>
    </xdr:to>
    <xdr:sp macro="" textlink="">
      <xdr:nvSpPr>
        <xdr:cNvPr id="2" name="AutoShape 5">
          <a:extLst>
            <a:ext uri="{FF2B5EF4-FFF2-40B4-BE49-F238E27FC236}">
              <a16:creationId xmlns:a16="http://schemas.microsoft.com/office/drawing/2014/main" id="{00000000-0008-0000-07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86</xdr:row>
      <xdr:rowOff>142875</xdr:rowOff>
    </xdr:to>
    <xdr:sp macro="" textlink="">
      <xdr:nvSpPr>
        <xdr:cNvPr id="3" name="AutoShape 5">
          <a:extLst>
            <a:ext uri="{FF2B5EF4-FFF2-40B4-BE49-F238E27FC236}">
              <a16:creationId xmlns:a16="http://schemas.microsoft.com/office/drawing/2014/main" id="{00000000-0008-0000-07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86</xdr:row>
      <xdr:rowOff>142875</xdr:rowOff>
    </xdr:to>
    <xdr:sp macro="" textlink="">
      <xdr:nvSpPr>
        <xdr:cNvPr id="4" name="AutoShape 5">
          <a:extLst>
            <a:ext uri="{FF2B5EF4-FFF2-40B4-BE49-F238E27FC236}">
              <a16:creationId xmlns:a16="http://schemas.microsoft.com/office/drawing/2014/main" id="{00000000-0008-0000-07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87</xdr:row>
      <xdr:rowOff>142875</xdr:rowOff>
    </xdr:to>
    <xdr:sp macro="" textlink="">
      <xdr:nvSpPr>
        <xdr:cNvPr id="5" name="AutoShape 5">
          <a:extLst>
            <a:ext uri="{FF2B5EF4-FFF2-40B4-BE49-F238E27FC236}">
              <a16:creationId xmlns:a16="http://schemas.microsoft.com/office/drawing/2014/main" id="{00000000-0008-0000-07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87</xdr:row>
      <xdr:rowOff>142875</xdr:rowOff>
    </xdr:to>
    <xdr:sp macro="" textlink="">
      <xdr:nvSpPr>
        <xdr:cNvPr id="6" name="AutoShape 5">
          <a:extLst>
            <a:ext uri="{FF2B5EF4-FFF2-40B4-BE49-F238E27FC236}">
              <a16:creationId xmlns:a16="http://schemas.microsoft.com/office/drawing/2014/main" id="{00000000-0008-0000-07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87</xdr:row>
      <xdr:rowOff>142875</xdr:rowOff>
    </xdr:to>
    <xdr:sp macro="" textlink="">
      <xdr:nvSpPr>
        <xdr:cNvPr id="7" name="AutoShape 5">
          <a:extLst>
            <a:ext uri="{FF2B5EF4-FFF2-40B4-BE49-F238E27FC236}">
              <a16:creationId xmlns:a16="http://schemas.microsoft.com/office/drawing/2014/main" id="{00000000-0008-0000-07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94</xdr:row>
      <xdr:rowOff>142875</xdr:rowOff>
    </xdr:to>
    <xdr:sp macro="" textlink="">
      <xdr:nvSpPr>
        <xdr:cNvPr id="2" name="AutoShape 5">
          <a:extLst>
            <a:ext uri="{FF2B5EF4-FFF2-40B4-BE49-F238E27FC236}">
              <a16:creationId xmlns:a16="http://schemas.microsoft.com/office/drawing/2014/main" id="{00000000-0008-0000-08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94</xdr:row>
      <xdr:rowOff>142875</xdr:rowOff>
    </xdr:to>
    <xdr:sp macro="" textlink="">
      <xdr:nvSpPr>
        <xdr:cNvPr id="3" name="AutoShape 5">
          <a:extLst>
            <a:ext uri="{FF2B5EF4-FFF2-40B4-BE49-F238E27FC236}">
              <a16:creationId xmlns:a16="http://schemas.microsoft.com/office/drawing/2014/main" id="{00000000-0008-0000-08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94</xdr:row>
      <xdr:rowOff>142875</xdr:rowOff>
    </xdr:to>
    <xdr:sp macro="" textlink="">
      <xdr:nvSpPr>
        <xdr:cNvPr id="4" name="AutoShape 5">
          <a:extLst>
            <a:ext uri="{FF2B5EF4-FFF2-40B4-BE49-F238E27FC236}">
              <a16:creationId xmlns:a16="http://schemas.microsoft.com/office/drawing/2014/main" id="{00000000-0008-0000-08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95</xdr:row>
      <xdr:rowOff>142875</xdr:rowOff>
    </xdr:to>
    <xdr:sp macro="" textlink="">
      <xdr:nvSpPr>
        <xdr:cNvPr id="5" name="AutoShape 5">
          <a:extLst>
            <a:ext uri="{FF2B5EF4-FFF2-40B4-BE49-F238E27FC236}">
              <a16:creationId xmlns:a16="http://schemas.microsoft.com/office/drawing/2014/main" id="{00000000-0008-0000-08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95</xdr:row>
      <xdr:rowOff>142875</xdr:rowOff>
    </xdr:to>
    <xdr:sp macro="" textlink="">
      <xdr:nvSpPr>
        <xdr:cNvPr id="6" name="AutoShape 5">
          <a:extLst>
            <a:ext uri="{FF2B5EF4-FFF2-40B4-BE49-F238E27FC236}">
              <a16:creationId xmlns:a16="http://schemas.microsoft.com/office/drawing/2014/main" id="{00000000-0008-0000-08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95</xdr:row>
      <xdr:rowOff>142875</xdr:rowOff>
    </xdr:to>
    <xdr:sp macro="" textlink="">
      <xdr:nvSpPr>
        <xdr:cNvPr id="7" name="AutoShape 5">
          <a:extLst>
            <a:ext uri="{FF2B5EF4-FFF2-40B4-BE49-F238E27FC236}">
              <a16:creationId xmlns:a16="http://schemas.microsoft.com/office/drawing/2014/main" id="{00000000-0008-0000-08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99</xdr:row>
      <xdr:rowOff>135255</xdr:rowOff>
    </xdr:to>
    <xdr:sp macro="" textlink="">
      <xdr:nvSpPr>
        <xdr:cNvPr id="8" name="AutoShape 5">
          <a:extLst>
            <a:ext uri="{FF2B5EF4-FFF2-40B4-BE49-F238E27FC236}">
              <a16:creationId xmlns:a16="http://schemas.microsoft.com/office/drawing/2014/main" id="{ACF21319-E29B-43B5-82B8-6CC1D440116C}"/>
            </a:ext>
          </a:extLst>
        </xdr:cNvPr>
        <xdr:cNvSpPr>
          <a:spLocks noChangeArrowheads="1"/>
        </xdr:cNvSpPr>
      </xdr:nvSpPr>
      <xdr:spPr bwMode="auto">
        <a:xfrm>
          <a:off x="0" y="0"/>
          <a:ext cx="13712190" cy="1183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99</xdr:row>
      <xdr:rowOff>135255</xdr:rowOff>
    </xdr:to>
    <xdr:sp macro="" textlink="">
      <xdr:nvSpPr>
        <xdr:cNvPr id="9" name="AutoShape 5">
          <a:extLst>
            <a:ext uri="{FF2B5EF4-FFF2-40B4-BE49-F238E27FC236}">
              <a16:creationId xmlns:a16="http://schemas.microsoft.com/office/drawing/2014/main" id="{B4FFBCA0-4DEE-4073-9118-331E0217DE32}"/>
            </a:ext>
          </a:extLst>
        </xdr:cNvPr>
        <xdr:cNvSpPr>
          <a:spLocks noChangeArrowheads="1"/>
        </xdr:cNvSpPr>
      </xdr:nvSpPr>
      <xdr:spPr bwMode="auto">
        <a:xfrm>
          <a:off x="0" y="0"/>
          <a:ext cx="13712190" cy="118395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99</xdr:row>
      <xdr:rowOff>135255</xdr:rowOff>
    </xdr:to>
    <xdr:sp macro="" textlink="">
      <xdr:nvSpPr>
        <xdr:cNvPr id="10" name="AutoShape 5">
          <a:extLst>
            <a:ext uri="{FF2B5EF4-FFF2-40B4-BE49-F238E27FC236}">
              <a16:creationId xmlns:a16="http://schemas.microsoft.com/office/drawing/2014/main" id="{0B698937-0D79-4DFA-ACB3-D7900498B113}"/>
            </a:ext>
          </a:extLst>
        </xdr:cNvPr>
        <xdr:cNvSpPr>
          <a:spLocks noChangeArrowheads="1"/>
        </xdr:cNvSpPr>
      </xdr:nvSpPr>
      <xdr:spPr bwMode="auto">
        <a:xfrm>
          <a:off x="0" y="0"/>
          <a:ext cx="13712190" cy="118395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100</xdr:row>
      <xdr:rowOff>135255</xdr:rowOff>
    </xdr:to>
    <xdr:sp macro="" textlink="">
      <xdr:nvSpPr>
        <xdr:cNvPr id="11" name="AutoShape 5">
          <a:extLst>
            <a:ext uri="{FF2B5EF4-FFF2-40B4-BE49-F238E27FC236}">
              <a16:creationId xmlns:a16="http://schemas.microsoft.com/office/drawing/2014/main" id="{30DAFCE2-69AD-43D8-ACD0-5DFF8312A6BA}"/>
            </a:ext>
          </a:extLst>
        </xdr:cNvPr>
        <xdr:cNvSpPr>
          <a:spLocks noChangeArrowheads="1"/>
        </xdr:cNvSpPr>
      </xdr:nvSpPr>
      <xdr:spPr bwMode="auto">
        <a:xfrm>
          <a:off x="0" y="0"/>
          <a:ext cx="13712190" cy="1203769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100</xdr:row>
      <xdr:rowOff>135255</xdr:rowOff>
    </xdr:to>
    <xdr:sp macro="" textlink="">
      <xdr:nvSpPr>
        <xdr:cNvPr id="12" name="AutoShape 5">
          <a:extLst>
            <a:ext uri="{FF2B5EF4-FFF2-40B4-BE49-F238E27FC236}">
              <a16:creationId xmlns:a16="http://schemas.microsoft.com/office/drawing/2014/main" id="{6EF67795-F5AE-41C0-B36D-E031BB7EC6B6}"/>
            </a:ext>
          </a:extLst>
        </xdr:cNvPr>
        <xdr:cNvSpPr>
          <a:spLocks noChangeArrowheads="1"/>
        </xdr:cNvSpPr>
      </xdr:nvSpPr>
      <xdr:spPr bwMode="auto">
        <a:xfrm>
          <a:off x="0" y="0"/>
          <a:ext cx="13712190" cy="1203769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100</xdr:row>
      <xdr:rowOff>135255</xdr:rowOff>
    </xdr:to>
    <xdr:sp macro="" textlink="">
      <xdr:nvSpPr>
        <xdr:cNvPr id="13" name="AutoShape 5">
          <a:extLst>
            <a:ext uri="{FF2B5EF4-FFF2-40B4-BE49-F238E27FC236}">
              <a16:creationId xmlns:a16="http://schemas.microsoft.com/office/drawing/2014/main" id="{4D3DF556-719E-43BF-A3CC-3573A0D016D8}"/>
            </a:ext>
          </a:extLst>
        </xdr:cNvPr>
        <xdr:cNvSpPr>
          <a:spLocks noChangeArrowheads="1"/>
        </xdr:cNvSpPr>
      </xdr:nvSpPr>
      <xdr:spPr bwMode="auto">
        <a:xfrm>
          <a:off x="0" y="0"/>
          <a:ext cx="13712190" cy="12037695"/>
        </a:xfrm>
        <a:custGeom>
          <a:avLst/>
          <a:gdLst/>
          <a:ahLst/>
          <a:cxnLst/>
          <a:rect l="0" t="0" r="r" b="b"/>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LVERINE\STAKEBAL.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Q:\Project%20Data\GlacierData\Benchmark_Program\Data\_Templates\Mass_Balance_template_2021.xlsx" TargetMode="External"/><Relationship Id="rId1" Type="http://schemas.openxmlformats.org/officeDocument/2006/relationships/externalLinkPath" Target="/Project%20Data/GlacierData/Benchmark_Program/Data/_Templates/Mass_Balance_template_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LVERINE\Wolv-C%20Snowpi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OLVERINE\Wolv-B%20Snowp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 A"/>
      <sheetName val="Stake B"/>
      <sheetName val="Stake C"/>
      <sheetName val="SNOWPIT"/>
    </sheetNames>
    <sheetDataSet>
      <sheetData sheetId="0">
        <row r="103">
          <cell r="A103">
            <v>32784</v>
          </cell>
          <cell r="D103" t="str">
            <v>89T157</v>
          </cell>
          <cell r="E103" t="str">
            <v>89-A</v>
          </cell>
          <cell r="F103" t="str">
            <v>I</v>
          </cell>
          <cell r="H103">
            <v>7.9</v>
          </cell>
          <cell r="I103">
            <v>0</v>
          </cell>
          <cell r="J103">
            <v>0</v>
          </cell>
          <cell r="K103" t="str">
            <v/>
          </cell>
          <cell r="M103">
            <v>7.9</v>
          </cell>
          <cell r="N103" t="str">
            <v/>
          </cell>
          <cell r="X103" t="str">
            <v/>
          </cell>
          <cell r="Z103" t="str">
            <v/>
          </cell>
          <cell r="AA103" t="str">
            <v/>
          </cell>
          <cell r="AF103" t="str">
            <v/>
          </cell>
          <cell r="AJ103" t="str">
            <v/>
          </cell>
          <cell r="AM103" t="str">
            <v/>
          </cell>
          <cell r="AN103" t="str">
            <v/>
          </cell>
          <cell r="BG103" t="str">
            <v/>
          </cell>
          <cell r="BK103" t="str">
            <v/>
          </cell>
          <cell r="BL103" t="str">
            <v/>
          </cell>
          <cell r="BO103">
            <v>7.65</v>
          </cell>
          <cell r="BP103">
            <v>7.9</v>
          </cell>
          <cell r="BQ103">
            <v>7.9</v>
          </cell>
          <cell r="BU103" t="str">
            <v/>
          </cell>
          <cell r="BW103">
            <v>0</v>
          </cell>
          <cell r="BX103">
            <v>0</v>
          </cell>
          <cell r="BY103">
            <v>0</v>
          </cell>
          <cell r="BZ103">
            <v>0.23</v>
          </cell>
          <cell r="CA103">
            <v>0.23</v>
          </cell>
          <cell r="CB103">
            <v>0.23</v>
          </cell>
        </row>
        <row r="104">
          <cell r="A104">
            <v>32789</v>
          </cell>
          <cell r="D104" t="str">
            <v>89T160</v>
          </cell>
          <cell r="E104" t="str">
            <v>89-A</v>
          </cell>
          <cell r="F104" t="str">
            <v>I</v>
          </cell>
          <cell r="G104" t="str">
            <v>?/?</v>
          </cell>
          <cell r="H104">
            <v>7.85</v>
          </cell>
          <cell r="K104" t="str">
            <v/>
          </cell>
          <cell r="M104">
            <v>7.85</v>
          </cell>
          <cell r="N104" t="str">
            <v/>
          </cell>
          <cell r="X104" t="str">
            <v/>
          </cell>
          <cell r="Z104" t="str">
            <v/>
          </cell>
          <cell r="AA104" t="str">
            <v/>
          </cell>
          <cell r="AF104" t="str">
            <v/>
          </cell>
          <cell r="AJ104" t="str">
            <v/>
          </cell>
          <cell r="AM104" t="str">
            <v/>
          </cell>
          <cell r="AN104" t="str">
            <v/>
          </cell>
          <cell r="BG104" t="str">
            <v/>
          </cell>
          <cell r="BK104" t="str">
            <v/>
          </cell>
          <cell r="BL104" t="str">
            <v/>
          </cell>
          <cell r="BO104">
            <v>7.65</v>
          </cell>
          <cell r="BP104">
            <v>7.85</v>
          </cell>
          <cell r="BQ104">
            <v>7.85</v>
          </cell>
          <cell r="BU104" t="str">
            <v/>
          </cell>
          <cell r="BW104">
            <v>0</v>
          </cell>
          <cell r="BX104">
            <v>0</v>
          </cell>
          <cell r="BY104">
            <v>0</v>
          </cell>
          <cell r="BZ104">
            <v>0.18</v>
          </cell>
          <cell r="CA104">
            <v>0.18</v>
          </cell>
          <cell r="CB104">
            <v>0.18</v>
          </cell>
        </row>
        <row r="105">
          <cell r="A105">
            <v>32918</v>
          </cell>
          <cell r="D105" t="str">
            <v>90T53</v>
          </cell>
          <cell r="E105" t="str">
            <v>89-A</v>
          </cell>
          <cell r="F105" t="str">
            <v>S</v>
          </cell>
          <cell r="G105" t="str">
            <v>12/12</v>
          </cell>
          <cell r="H105">
            <v>9.5</v>
          </cell>
          <cell r="I105">
            <v>7.18</v>
          </cell>
          <cell r="J105">
            <v>7.15</v>
          </cell>
          <cell r="K105">
            <v>2.9999999999999361E-2</v>
          </cell>
          <cell r="M105">
            <v>9.4700000000000006</v>
          </cell>
          <cell r="N105">
            <v>1.8200000000000003</v>
          </cell>
          <cell r="X105">
            <v>1.82</v>
          </cell>
          <cell r="Z105" t="str">
            <v/>
          </cell>
          <cell r="AA105">
            <v>1</v>
          </cell>
          <cell r="AE105">
            <v>0.36</v>
          </cell>
          <cell r="AF105">
            <v>0.36</v>
          </cell>
          <cell r="AI105">
            <v>-1</v>
          </cell>
          <cell r="AJ105">
            <v>-1</v>
          </cell>
          <cell r="AM105">
            <v>7.65</v>
          </cell>
          <cell r="AN105">
            <v>7.65</v>
          </cell>
          <cell r="BG105" t="str">
            <v/>
          </cell>
          <cell r="BK105" t="str">
            <v/>
          </cell>
          <cell r="BL105" t="str">
            <v/>
          </cell>
          <cell r="BO105">
            <v>7.65</v>
          </cell>
          <cell r="BP105">
            <v>7.65</v>
          </cell>
          <cell r="BQ105">
            <v>7.65</v>
          </cell>
          <cell r="BU105">
            <v>0.66</v>
          </cell>
          <cell r="BW105">
            <v>0</v>
          </cell>
          <cell r="BX105">
            <v>0</v>
          </cell>
          <cell r="BY105">
            <v>0</v>
          </cell>
          <cell r="BZ105">
            <v>0</v>
          </cell>
          <cell r="CA105">
            <v>0.66</v>
          </cell>
          <cell r="CB105">
            <v>0</v>
          </cell>
        </row>
        <row r="106">
          <cell r="A106">
            <v>32949</v>
          </cell>
          <cell r="D106" t="str">
            <v>90T63</v>
          </cell>
          <cell r="E106" t="str">
            <v>89-A</v>
          </cell>
          <cell r="F106" t="str">
            <v>S</v>
          </cell>
          <cell r="G106" t="str">
            <v>12/12</v>
          </cell>
          <cell r="H106">
            <v>9.6</v>
          </cell>
          <cell r="K106" t="str">
            <v/>
          </cell>
          <cell r="M106">
            <v>9.6</v>
          </cell>
          <cell r="N106">
            <v>1.9499999999999993</v>
          </cell>
          <cell r="U106">
            <v>1.95</v>
          </cell>
          <cell r="V106">
            <v>3</v>
          </cell>
          <cell r="X106">
            <v>1.95</v>
          </cell>
          <cell r="AA106">
            <v>4</v>
          </cell>
          <cell r="AE106">
            <v>0.36</v>
          </cell>
          <cell r="AF106">
            <v>0.36</v>
          </cell>
          <cell r="AI106">
            <v>-1</v>
          </cell>
          <cell r="AJ106">
            <v>-1</v>
          </cell>
          <cell r="AM106">
            <v>7.65</v>
          </cell>
          <cell r="AN106">
            <v>7.65</v>
          </cell>
          <cell r="BG106" t="str">
            <v/>
          </cell>
          <cell r="BK106" t="str">
            <v/>
          </cell>
          <cell r="BL106" t="str">
            <v/>
          </cell>
          <cell r="BO106">
            <v>7.65</v>
          </cell>
          <cell r="BP106">
            <v>7.65</v>
          </cell>
          <cell r="BQ106">
            <v>7.65</v>
          </cell>
          <cell r="BU106">
            <v>0.7</v>
          </cell>
          <cell r="BW106">
            <v>0</v>
          </cell>
          <cell r="BX106">
            <v>0</v>
          </cell>
          <cell r="BY106">
            <v>0</v>
          </cell>
          <cell r="BZ106">
            <v>0</v>
          </cell>
          <cell r="CA106">
            <v>0.7</v>
          </cell>
          <cell r="CB106">
            <v>0</v>
          </cell>
        </row>
        <row r="107">
          <cell r="A107">
            <v>33026</v>
          </cell>
          <cell r="D107" t="str">
            <v>90M24</v>
          </cell>
          <cell r="E107" t="str">
            <v>89-A</v>
          </cell>
          <cell r="F107" t="str">
            <v>I</v>
          </cell>
          <cell r="G107" t="str">
            <v>12/6</v>
          </cell>
          <cell r="H107">
            <v>7.87</v>
          </cell>
          <cell r="I107">
            <v>3.26</v>
          </cell>
          <cell r="J107">
            <v>3.3</v>
          </cell>
          <cell r="K107">
            <v>-4.0000000000000036E-2</v>
          </cell>
          <cell r="M107">
            <v>7.91</v>
          </cell>
          <cell r="N107" t="str">
            <v/>
          </cell>
          <cell r="X107" t="str">
            <v/>
          </cell>
          <cell r="AA107" t="str">
            <v/>
          </cell>
          <cell r="AE107">
            <v>0.35</v>
          </cell>
          <cell r="AF107" t="str">
            <v/>
          </cell>
          <cell r="AI107">
            <v>-1</v>
          </cell>
          <cell r="AJ107" t="str">
            <v/>
          </cell>
          <cell r="AM107" t="str">
            <v/>
          </cell>
          <cell r="AN107" t="str">
            <v/>
          </cell>
          <cell r="BG107" t="str">
            <v/>
          </cell>
          <cell r="BK107" t="str">
            <v/>
          </cell>
          <cell r="BL107" t="str">
            <v/>
          </cell>
          <cell r="BO107">
            <v>7.65</v>
          </cell>
          <cell r="BP107">
            <v>7.91</v>
          </cell>
          <cell r="BQ107">
            <v>7.91</v>
          </cell>
          <cell r="BU107" t="str">
            <v/>
          </cell>
          <cell r="BW107">
            <v>0</v>
          </cell>
          <cell r="BX107">
            <v>0</v>
          </cell>
          <cell r="BY107">
            <v>0</v>
          </cell>
          <cell r="BZ107">
            <v>0.23</v>
          </cell>
          <cell r="CA107">
            <v>0.23</v>
          </cell>
          <cell r="CB107">
            <v>0.23</v>
          </cell>
        </row>
        <row r="108">
          <cell r="A108">
            <v>33123</v>
          </cell>
          <cell r="D108" t="str">
            <v>90M35</v>
          </cell>
          <cell r="E108" t="str">
            <v>89-A</v>
          </cell>
          <cell r="F108" t="str">
            <v>I</v>
          </cell>
          <cell r="G108" t="str">
            <v>9/3</v>
          </cell>
          <cell r="H108">
            <v>1.2</v>
          </cell>
          <cell r="I108">
            <v>3.29</v>
          </cell>
          <cell r="J108">
            <v>3.33</v>
          </cell>
          <cell r="K108">
            <v>-4.0000000000000036E-2</v>
          </cell>
          <cell r="M108">
            <v>1.2400000000000002</v>
          </cell>
          <cell r="N108" t="str">
            <v/>
          </cell>
          <cell r="X108" t="str">
            <v/>
          </cell>
          <cell r="AA108" t="str">
            <v/>
          </cell>
          <cell r="AF108" t="str">
            <v/>
          </cell>
          <cell r="AJ108" t="str">
            <v/>
          </cell>
          <cell r="AM108" t="str">
            <v/>
          </cell>
          <cell r="AN108" t="str">
            <v/>
          </cell>
          <cell r="BG108" t="str">
            <v/>
          </cell>
          <cell r="BK108" t="str">
            <v/>
          </cell>
          <cell r="BL108" t="str">
            <v/>
          </cell>
          <cell r="BO108">
            <v>7.65</v>
          </cell>
          <cell r="BP108">
            <v>1.2400000000000002</v>
          </cell>
          <cell r="BQ108">
            <v>1.2400000000000002</v>
          </cell>
          <cell r="BU108" t="str">
            <v/>
          </cell>
          <cell r="BW108">
            <v>0</v>
          </cell>
          <cell r="BX108">
            <v>0</v>
          </cell>
          <cell r="BY108">
            <v>0</v>
          </cell>
          <cell r="BZ108">
            <v>-5.77</v>
          </cell>
          <cell r="CA108">
            <v>-5.77</v>
          </cell>
          <cell r="CB108">
            <v>-5.77</v>
          </cell>
        </row>
        <row r="109">
          <cell r="D109" t="str">
            <v>bn 1990</v>
          </cell>
          <cell r="F109" t="str">
            <v>I</v>
          </cell>
          <cell r="M109" t="e">
            <v>#VALUE!</v>
          </cell>
          <cell r="BO109">
            <v>7.91</v>
          </cell>
          <cell r="BP109" t="e">
            <v>#VALUE!</v>
          </cell>
          <cell r="BQ109" t="e">
            <v>#VALUE!</v>
          </cell>
          <cell r="BU109" t="str">
            <v/>
          </cell>
          <cell r="BW109">
            <v>0</v>
          </cell>
          <cell r="BX109">
            <v>0</v>
          </cell>
          <cell r="BY109">
            <v>0</v>
          </cell>
          <cell r="BZ109" t="e">
            <v>#VALUE!</v>
          </cell>
          <cell r="CA109" t="e">
            <v>#VALUE!</v>
          </cell>
          <cell r="CB109" t="e">
            <v>#VALUE!</v>
          </cell>
        </row>
        <row r="110">
          <cell r="D110" t="str">
            <v>1990 HY end</v>
          </cell>
        </row>
        <row r="111">
          <cell r="K111" t="str">
            <v/>
          </cell>
          <cell r="N111" t="str">
            <v/>
          </cell>
          <cell r="X111" t="str">
            <v/>
          </cell>
          <cell r="AA111" t="str">
            <v/>
          </cell>
          <cell r="AF111" t="str">
            <v/>
          </cell>
          <cell r="AJ111" t="str">
            <v/>
          </cell>
          <cell r="AM111" t="str">
            <v/>
          </cell>
          <cell r="AN111" t="str">
            <v/>
          </cell>
          <cell r="BG111" t="str">
            <v/>
          </cell>
          <cell r="BK111" t="str">
            <v/>
          </cell>
          <cell r="BL111" t="str">
            <v/>
          </cell>
          <cell r="BP111" t="str">
            <v/>
          </cell>
          <cell r="BQ111" t="str">
            <v/>
          </cell>
          <cell r="BU111" t="str">
            <v/>
          </cell>
        </row>
        <row r="112">
          <cell r="A112">
            <v>33123</v>
          </cell>
          <cell r="D112" t="str">
            <v>90M35</v>
          </cell>
          <cell r="E112" t="str">
            <v>90-A</v>
          </cell>
          <cell r="F112" t="str">
            <v>I</v>
          </cell>
          <cell r="G112" t="str">
            <v>0/12</v>
          </cell>
          <cell r="H112">
            <v>8.1</v>
          </cell>
          <cell r="K112" t="str">
            <v/>
          </cell>
          <cell r="M112">
            <v>8.1</v>
          </cell>
          <cell r="N112" t="str">
            <v/>
          </cell>
          <cell r="X112" t="str">
            <v/>
          </cell>
          <cell r="AA112" t="str">
            <v/>
          </cell>
          <cell r="AF112" t="str">
            <v/>
          </cell>
          <cell r="AJ112" t="str">
            <v/>
          </cell>
          <cell r="AM112" t="str">
            <v/>
          </cell>
          <cell r="AN112" t="str">
            <v/>
          </cell>
          <cell r="BG112" t="str">
            <v/>
          </cell>
          <cell r="BK112" t="str">
            <v/>
          </cell>
          <cell r="BL112" t="str">
            <v/>
          </cell>
          <cell r="BO112">
            <v>8.1</v>
          </cell>
          <cell r="BP112">
            <v>8.1</v>
          </cell>
          <cell r="BQ112">
            <v>8.1</v>
          </cell>
          <cell r="BU112" t="str">
            <v/>
          </cell>
          <cell r="BW112">
            <v>0</v>
          </cell>
          <cell r="BX112">
            <v>0</v>
          </cell>
          <cell r="BY112">
            <v>0</v>
          </cell>
          <cell r="BZ112">
            <v>0</v>
          </cell>
          <cell r="CA112">
            <v>0</v>
          </cell>
          <cell r="CB112">
            <v>0</v>
          </cell>
        </row>
        <row r="113">
          <cell r="D113" t="str">
            <v>bn 1990</v>
          </cell>
          <cell r="F113" t="str">
            <v>I</v>
          </cell>
          <cell r="M113" t="e">
            <v>#VALUE!</v>
          </cell>
        </row>
        <row r="114">
          <cell r="D114" t="str">
            <v>1990 HY end</v>
          </cell>
        </row>
        <row r="115">
          <cell r="A115">
            <v>33245</v>
          </cell>
          <cell r="D115" t="str">
            <v>91M6</v>
          </cell>
          <cell r="E115" t="str">
            <v>90-A</v>
          </cell>
          <cell r="F115" t="str">
            <v>S</v>
          </cell>
          <cell r="G115" t="str">
            <v>12/12</v>
          </cell>
          <cell r="H115">
            <v>7.75</v>
          </cell>
          <cell r="I115">
            <v>3.3</v>
          </cell>
          <cell r="J115">
            <v>3.26</v>
          </cell>
          <cell r="K115">
            <v>4.0000000000000036E-2</v>
          </cell>
          <cell r="M115">
            <v>7.71</v>
          </cell>
          <cell r="N115" t="str">
            <v/>
          </cell>
          <cell r="U115">
            <v>0.12000000000000002</v>
          </cell>
          <cell r="V115">
            <v>10</v>
          </cell>
          <cell r="X115" t="e">
            <v>#VALUE!</v>
          </cell>
          <cell r="AA115">
            <v>10</v>
          </cell>
          <cell r="AE115">
            <v>0.37</v>
          </cell>
          <cell r="AF115">
            <v>0.37</v>
          </cell>
          <cell r="AI115">
            <v>-1</v>
          </cell>
          <cell r="AJ115" t="str">
            <v/>
          </cell>
          <cell r="AM115" t="e">
            <v>#VALUE!</v>
          </cell>
          <cell r="AN115" t="e">
            <v>#VALUE!</v>
          </cell>
          <cell r="BG115" t="str">
            <v/>
          </cell>
          <cell r="BK115" t="str">
            <v/>
          </cell>
          <cell r="BL115" t="str">
            <v/>
          </cell>
          <cell r="BO115" t="e">
            <v>#VALUE!</v>
          </cell>
          <cell r="BP115" t="e">
            <v>#VALUE!</v>
          </cell>
          <cell r="BQ115" t="e">
            <v>#VALUE!</v>
          </cell>
          <cell r="BU115" t="e">
            <v>#VALUE!</v>
          </cell>
          <cell r="BW115">
            <v>0</v>
          </cell>
          <cell r="BX115">
            <v>0</v>
          </cell>
          <cell r="BY115">
            <v>0</v>
          </cell>
          <cell r="BZ115">
            <v>0</v>
          </cell>
          <cell r="CA115" t="e">
            <v>#VALUE!</v>
          </cell>
          <cell r="CB115">
            <v>0</v>
          </cell>
        </row>
        <row r="116">
          <cell r="A116">
            <v>33371</v>
          </cell>
          <cell r="D116" t="str">
            <v>91M16</v>
          </cell>
          <cell r="E116" t="str">
            <v>90-A</v>
          </cell>
          <cell r="F116" t="str">
            <v>S</v>
          </cell>
          <cell r="G116" t="str">
            <v>12/9</v>
          </cell>
          <cell r="I116">
            <v>0</v>
          </cell>
          <cell r="J116">
            <v>0</v>
          </cell>
          <cell r="M116" t="str">
            <v/>
          </cell>
          <cell r="N116" t="str">
            <v/>
          </cell>
          <cell r="X116" t="str">
            <v/>
          </cell>
          <cell r="AA116" t="str">
            <v/>
          </cell>
          <cell r="AE116">
            <v>0.37</v>
          </cell>
          <cell r="AF116" t="str">
            <v/>
          </cell>
          <cell r="AI116">
            <v>-1</v>
          </cell>
          <cell r="AJ116" t="str">
            <v/>
          </cell>
          <cell r="AM116" t="str">
            <v/>
          </cell>
          <cell r="AN116" t="str">
            <v/>
          </cell>
          <cell r="BG116" t="str">
            <v/>
          </cell>
          <cell r="BK116" t="str">
            <v/>
          </cell>
          <cell r="BL116" t="str">
            <v/>
          </cell>
          <cell r="BO116" t="e">
            <v>#VALUE!</v>
          </cell>
          <cell r="BP116" t="str">
            <v/>
          </cell>
          <cell r="BQ116" t="str">
            <v/>
          </cell>
          <cell r="BU116" t="e">
            <v>#VALUE!</v>
          </cell>
          <cell r="BW116">
            <v>0</v>
          </cell>
          <cell r="BX116">
            <v>0</v>
          </cell>
          <cell r="BY116">
            <v>0</v>
          </cell>
          <cell r="BZ116">
            <v>0</v>
          </cell>
          <cell r="CA116" t="e">
            <v>#VALUE!</v>
          </cell>
          <cell r="CB116">
            <v>0</v>
          </cell>
        </row>
        <row r="117">
          <cell r="A117">
            <v>33493</v>
          </cell>
          <cell r="D117" t="str">
            <v>91M32</v>
          </cell>
          <cell r="E117" t="str">
            <v>90-A</v>
          </cell>
          <cell r="F117" t="str">
            <v>I</v>
          </cell>
          <cell r="G117" t="str">
            <v>9/6</v>
          </cell>
          <cell r="H117">
            <v>3.48</v>
          </cell>
          <cell r="I117">
            <v>3.57</v>
          </cell>
          <cell r="J117">
            <v>3.57</v>
          </cell>
          <cell r="K117" t="str">
            <v/>
          </cell>
          <cell r="M117">
            <v>3.48</v>
          </cell>
          <cell r="N117" t="str">
            <v/>
          </cell>
          <cell r="X117" t="str">
            <v/>
          </cell>
          <cell r="AA117" t="str">
            <v/>
          </cell>
          <cell r="AF117" t="str">
            <v/>
          </cell>
          <cell r="AJ117" t="str">
            <v/>
          </cell>
          <cell r="AM117" t="str">
            <v/>
          </cell>
          <cell r="AN117" t="str">
            <v/>
          </cell>
          <cell r="BG117" t="str">
            <v/>
          </cell>
          <cell r="BK117" t="str">
            <v/>
          </cell>
          <cell r="BL117" t="str">
            <v/>
          </cell>
          <cell r="BO117" t="e">
            <v>#VALUE!</v>
          </cell>
          <cell r="BP117">
            <v>3.48</v>
          </cell>
          <cell r="BQ117">
            <v>3.48</v>
          </cell>
          <cell r="BU117" t="str">
            <v/>
          </cell>
          <cell r="BW117">
            <v>0</v>
          </cell>
          <cell r="BX117">
            <v>0</v>
          </cell>
          <cell r="BY117">
            <v>0</v>
          </cell>
          <cell r="BZ117">
            <v>0</v>
          </cell>
          <cell r="CA117">
            <v>0</v>
          </cell>
          <cell r="CB117">
            <v>0</v>
          </cell>
        </row>
        <row r="118">
          <cell r="A118">
            <v>33499</v>
          </cell>
          <cell r="D118" t="str">
            <v>91M39</v>
          </cell>
          <cell r="E118" t="str">
            <v>90-A</v>
          </cell>
          <cell r="F118" t="str">
            <v>I</v>
          </cell>
          <cell r="G118" t="str">
            <v>9/6</v>
          </cell>
          <cell r="H118">
            <v>3.15</v>
          </cell>
          <cell r="K118" t="str">
            <v/>
          </cell>
          <cell r="M118">
            <v>3.15</v>
          </cell>
          <cell r="N118" t="str">
            <v/>
          </cell>
          <cell r="X118" t="str">
            <v/>
          </cell>
          <cell r="AA118" t="str">
            <v/>
          </cell>
          <cell r="AF118" t="str">
            <v/>
          </cell>
          <cell r="AJ118" t="str">
            <v/>
          </cell>
          <cell r="AM118" t="str">
            <v/>
          </cell>
          <cell r="AN118" t="str">
            <v/>
          </cell>
          <cell r="BG118" t="str">
            <v/>
          </cell>
          <cell r="BK118" t="str">
            <v/>
          </cell>
          <cell r="BL118" t="str">
            <v/>
          </cell>
          <cell r="BO118" t="e">
            <v>#VALUE!</v>
          </cell>
          <cell r="BP118">
            <v>3.15</v>
          </cell>
          <cell r="BQ118">
            <v>3.15</v>
          </cell>
          <cell r="BU118" t="str">
            <v/>
          </cell>
          <cell r="BW118">
            <v>0</v>
          </cell>
          <cell r="BX118">
            <v>0</v>
          </cell>
          <cell r="BY118">
            <v>0</v>
          </cell>
          <cell r="BZ118">
            <v>0</v>
          </cell>
          <cell r="CA118">
            <v>0</v>
          </cell>
          <cell r="CB118">
            <v>0</v>
          </cell>
        </row>
        <row r="119">
          <cell r="D119" t="str">
            <v>bn 1991</v>
          </cell>
          <cell r="F119" t="str">
            <v>I</v>
          </cell>
          <cell r="M119" t="e">
            <v>#VALUE!</v>
          </cell>
          <cell r="BO119" t="str">
            <v/>
          </cell>
          <cell r="BP119" t="e">
            <v>#VALUE!</v>
          </cell>
          <cell r="BQ119" t="e">
            <v>#VALUE!</v>
          </cell>
          <cell r="BU119" t="str">
            <v/>
          </cell>
          <cell r="BW119">
            <v>0</v>
          </cell>
          <cell r="BX119">
            <v>0</v>
          </cell>
          <cell r="BY119">
            <v>0</v>
          </cell>
          <cell r="BZ119">
            <v>0</v>
          </cell>
          <cell r="CA119">
            <v>0</v>
          </cell>
          <cell r="CB119">
            <v>0</v>
          </cell>
        </row>
        <row r="120">
          <cell r="D120" t="str">
            <v>1991 HY end</v>
          </cell>
        </row>
        <row r="121">
          <cell r="K121" t="str">
            <v/>
          </cell>
          <cell r="N121" t="str">
            <v/>
          </cell>
          <cell r="X121" t="str">
            <v/>
          </cell>
          <cell r="AA121" t="str">
            <v/>
          </cell>
          <cell r="AF121" t="str">
            <v/>
          </cell>
          <cell r="AJ121" t="str">
            <v/>
          </cell>
          <cell r="AM121" t="str">
            <v/>
          </cell>
          <cell r="AN121" t="str">
            <v/>
          </cell>
          <cell r="BG121" t="str">
            <v/>
          </cell>
          <cell r="BK121" t="str">
            <v/>
          </cell>
          <cell r="BL121" t="str">
            <v/>
          </cell>
          <cell r="BP121" t="str">
            <v/>
          </cell>
          <cell r="BQ121" t="str">
            <v/>
          </cell>
          <cell r="BU121" t="str">
            <v/>
          </cell>
        </row>
        <row r="122">
          <cell r="A122">
            <v>33499</v>
          </cell>
          <cell r="D122" t="str">
            <v>91M39</v>
          </cell>
          <cell r="E122" t="str">
            <v>91-A</v>
          </cell>
          <cell r="F122" t="str">
            <v>I</v>
          </cell>
          <cell r="G122" t="str">
            <v>0/12</v>
          </cell>
          <cell r="H122">
            <v>8.9</v>
          </cell>
          <cell r="K122" t="str">
            <v/>
          </cell>
          <cell r="M122">
            <v>8.9</v>
          </cell>
          <cell r="N122" t="str">
            <v/>
          </cell>
          <cell r="X122" t="str">
            <v/>
          </cell>
          <cell r="AA122" t="str">
            <v/>
          </cell>
          <cell r="AF122" t="str">
            <v/>
          </cell>
          <cell r="AJ122" t="str">
            <v/>
          </cell>
          <cell r="AM122" t="str">
            <v/>
          </cell>
          <cell r="AN122" t="str">
            <v/>
          </cell>
          <cell r="BG122" t="str">
            <v/>
          </cell>
          <cell r="BK122" t="str">
            <v/>
          </cell>
          <cell r="BL122" t="str">
            <v/>
          </cell>
          <cell r="BP122">
            <v>8.9</v>
          </cell>
          <cell r="BQ122">
            <v>8.9</v>
          </cell>
          <cell r="BU122" t="str">
            <v/>
          </cell>
          <cell r="BW122">
            <v>0</v>
          </cell>
          <cell r="BX122">
            <v>0</v>
          </cell>
          <cell r="BY122">
            <v>0</v>
          </cell>
          <cell r="BZ122">
            <v>0</v>
          </cell>
          <cell r="CA122">
            <v>0</v>
          </cell>
          <cell r="CB122">
            <v>0</v>
          </cell>
        </row>
        <row r="123">
          <cell r="D123" t="str">
            <v>bn 1991</v>
          </cell>
          <cell r="F123" t="str">
            <v>I</v>
          </cell>
          <cell r="M123" t="e">
            <v>#VALUE!</v>
          </cell>
        </row>
        <row r="124">
          <cell r="D124" t="str">
            <v>1991 HY end</v>
          </cell>
        </row>
        <row r="125">
          <cell r="A125">
            <v>33626</v>
          </cell>
          <cell r="D125" t="str">
            <v>92M3&amp;7</v>
          </cell>
          <cell r="E125" t="str">
            <v>91-A</v>
          </cell>
          <cell r="F125" t="str">
            <v>S</v>
          </cell>
          <cell r="I125">
            <v>3.29</v>
          </cell>
          <cell r="J125">
            <v>3.24</v>
          </cell>
          <cell r="K125">
            <v>4.9999999999999822E-2</v>
          </cell>
          <cell r="M125">
            <v>3.24</v>
          </cell>
          <cell r="N125" t="str">
            <v/>
          </cell>
          <cell r="X125" t="str">
            <v/>
          </cell>
          <cell r="AA125" t="str">
            <v/>
          </cell>
          <cell r="AE125">
            <v>0.39</v>
          </cell>
          <cell r="AF125" t="str">
            <v/>
          </cell>
          <cell r="AI125">
            <v>-1</v>
          </cell>
          <cell r="AJ125" t="str">
            <v/>
          </cell>
          <cell r="AM125" t="e">
            <v>#VALUE!</v>
          </cell>
          <cell r="AN125" t="e">
            <v>#VALUE!</v>
          </cell>
          <cell r="BG125" t="str">
            <v/>
          </cell>
          <cell r="BK125" t="str">
            <v/>
          </cell>
          <cell r="BL125" t="str">
            <v/>
          </cell>
          <cell r="BO125" t="e">
            <v>#VALUE!</v>
          </cell>
          <cell r="BP125" t="e">
            <v>#VALUE!</v>
          </cell>
          <cell r="BQ125" t="e">
            <v>#VALUE!</v>
          </cell>
          <cell r="BU125" t="e">
            <v>#VALUE!</v>
          </cell>
          <cell r="BW125">
            <v>0</v>
          </cell>
          <cell r="BX125">
            <v>0</v>
          </cell>
          <cell r="BY125">
            <v>0</v>
          </cell>
          <cell r="BZ125">
            <v>0</v>
          </cell>
          <cell r="CA125" t="e">
            <v>#VALUE!</v>
          </cell>
          <cell r="CB125">
            <v>0</v>
          </cell>
        </row>
        <row r="126">
          <cell r="A126">
            <v>33737</v>
          </cell>
          <cell r="D126" t="str">
            <v>92M12,14</v>
          </cell>
          <cell r="E126" t="str">
            <v>91-A</v>
          </cell>
          <cell r="F126" t="str">
            <v>S</v>
          </cell>
          <cell r="H126">
            <v>10.73</v>
          </cell>
          <cell r="I126">
            <v>0</v>
          </cell>
          <cell r="J126">
            <v>0</v>
          </cell>
          <cell r="K126" t="str">
            <v/>
          </cell>
          <cell r="M126">
            <v>10.73</v>
          </cell>
          <cell r="N126" t="str">
            <v/>
          </cell>
          <cell r="U126">
            <v>1.8233333333333333</v>
          </cell>
          <cell r="V126">
            <v>6</v>
          </cell>
          <cell r="X126" t="e">
            <v>#VALUE!</v>
          </cell>
          <cell r="AA126">
            <v>6</v>
          </cell>
          <cell r="AE126">
            <v>0.39</v>
          </cell>
          <cell r="AF126">
            <v>0.39</v>
          </cell>
          <cell r="AI126">
            <v>-1</v>
          </cell>
          <cell r="AJ126" t="str">
            <v/>
          </cell>
          <cell r="AM126" t="e">
            <v>#VALUE!</v>
          </cell>
          <cell r="AN126" t="e">
            <v>#VALUE!</v>
          </cell>
          <cell r="BG126" t="str">
            <v/>
          </cell>
          <cell r="BK126" t="str">
            <v/>
          </cell>
          <cell r="BL126" t="str">
            <v/>
          </cell>
          <cell r="BO126" t="e">
            <v>#VALUE!</v>
          </cell>
          <cell r="BP126" t="e">
            <v>#VALUE!</v>
          </cell>
          <cell r="BQ126" t="e">
            <v>#VALUE!</v>
          </cell>
          <cell r="BU126" t="e">
            <v>#VALUE!</v>
          </cell>
          <cell r="BW126">
            <v>0</v>
          </cell>
          <cell r="BX126">
            <v>0</v>
          </cell>
          <cell r="BY126">
            <v>0</v>
          </cell>
          <cell r="BZ126">
            <v>0</v>
          </cell>
          <cell r="CA126" t="e">
            <v>#VALUE!</v>
          </cell>
          <cell r="CB126">
            <v>0</v>
          </cell>
        </row>
        <row r="127">
          <cell r="A127">
            <v>33853</v>
          </cell>
          <cell r="D127" t="str">
            <v>92M61</v>
          </cell>
          <cell r="E127" t="str">
            <v>91-A</v>
          </cell>
          <cell r="F127" t="str">
            <v>I</v>
          </cell>
          <cell r="G127" t="str">
            <v>12/9</v>
          </cell>
          <cell r="I127">
            <v>4.79</v>
          </cell>
          <cell r="J127">
            <v>4.5999999999999996</v>
          </cell>
          <cell r="K127">
            <v>0.19000000000000039</v>
          </cell>
          <cell r="M127">
            <v>4.5999999999999996</v>
          </cell>
          <cell r="N127" t="str">
            <v/>
          </cell>
          <cell r="X127" t="str">
            <v/>
          </cell>
          <cell r="AA127" t="str">
            <v/>
          </cell>
          <cell r="AF127" t="str">
            <v/>
          </cell>
          <cell r="AJ127" t="str">
            <v/>
          </cell>
          <cell r="AM127" t="str">
            <v/>
          </cell>
          <cell r="AN127" t="str">
            <v/>
          </cell>
          <cell r="BG127" t="str">
            <v/>
          </cell>
          <cell r="BK127" t="str">
            <v/>
          </cell>
          <cell r="BL127" t="str">
            <v/>
          </cell>
          <cell r="BO127" t="e">
            <v>#VALUE!</v>
          </cell>
          <cell r="BP127">
            <v>4.5999999999999996</v>
          </cell>
          <cell r="BQ127">
            <v>4.5999999999999996</v>
          </cell>
          <cell r="BU127" t="str">
            <v/>
          </cell>
          <cell r="BW127">
            <v>0</v>
          </cell>
          <cell r="BX127">
            <v>0</v>
          </cell>
          <cell r="BY127">
            <v>0</v>
          </cell>
          <cell r="BZ127">
            <v>0</v>
          </cell>
          <cell r="CA127">
            <v>0</v>
          </cell>
          <cell r="CB127">
            <v>0</v>
          </cell>
        </row>
        <row r="128">
          <cell r="D128" t="str">
            <v>bn 1992</v>
          </cell>
          <cell r="F128" t="str">
            <v>I</v>
          </cell>
          <cell r="M128">
            <v>4.54</v>
          </cell>
          <cell r="BO128" t="e">
            <v>#VALUE!</v>
          </cell>
          <cell r="BP128">
            <v>4.54</v>
          </cell>
          <cell r="BQ128">
            <v>4.54</v>
          </cell>
          <cell r="BU128" t="str">
            <v/>
          </cell>
          <cell r="BW128">
            <v>0</v>
          </cell>
          <cell r="BX128">
            <v>0</v>
          </cell>
          <cell r="BY128">
            <v>0</v>
          </cell>
          <cell r="BZ128">
            <v>0</v>
          </cell>
          <cell r="CA128">
            <v>0</v>
          </cell>
          <cell r="CB128">
            <v>0</v>
          </cell>
        </row>
        <row r="129">
          <cell r="D129" t="str">
            <v>1992 HY end</v>
          </cell>
        </row>
        <row r="130">
          <cell r="A130">
            <v>34009</v>
          </cell>
          <cell r="D130" t="str">
            <v>93M5</v>
          </cell>
          <cell r="E130" t="str">
            <v>91-A</v>
          </cell>
          <cell r="F130" t="str">
            <v>S</v>
          </cell>
          <cell r="I130">
            <v>4.47</v>
          </cell>
          <cell r="J130">
            <v>4.3899999999999997</v>
          </cell>
          <cell r="K130">
            <v>8.0000000000000071E-2</v>
          </cell>
          <cell r="M130">
            <v>4.3899999999999997</v>
          </cell>
          <cell r="N130" t="str">
            <v/>
          </cell>
          <cell r="U130">
            <v>-0.15000000000000036</v>
          </cell>
          <cell r="V130">
            <v>1</v>
          </cell>
          <cell r="X130" t="e">
            <v>#VALUE!</v>
          </cell>
          <cell r="AA130">
            <v>1</v>
          </cell>
          <cell r="AE130">
            <v>0.39</v>
          </cell>
          <cell r="AF130">
            <v>0.39</v>
          </cell>
          <cell r="AI130">
            <v>-1</v>
          </cell>
          <cell r="AJ130" t="str">
            <v/>
          </cell>
          <cell r="AM130" t="e">
            <v>#VALUE!</v>
          </cell>
          <cell r="AN130" t="e">
            <v>#VALUE!</v>
          </cell>
          <cell r="BG130" t="str">
            <v/>
          </cell>
          <cell r="BK130" t="str">
            <v/>
          </cell>
          <cell r="BL130" t="str">
            <v/>
          </cell>
          <cell r="BO130" t="e">
            <v>#VALUE!</v>
          </cell>
          <cell r="BP130" t="e">
            <v>#VALUE!</v>
          </cell>
          <cell r="BQ130" t="e">
            <v>#VALUE!</v>
          </cell>
          <cell r="BU130" t="e">
            <v>#VALUE!</v>
          </cell>
          <cell r="BW130">
            <v>0</v>
          </cell>
          <cell r="BX130">
            <v>0</v>
          </cell>
          <cell r="BY130">
            <v>0</v>
          </cell>
          <cell r="BZ130">
            <v>0</v>
          </cell>
          <cell r="CA130" t="e">
            <v>#VALUE!</v>
          </cell>
          <cell r="CB130">
            <v>0</v>
          </cell>
        </row>
        <row r="131">
          <cell r="A131">
            <v>34105</v>
          </cell>
          <cell r="D131" t="str">
            <v>93M7</v>
          </cell>
          <cell r="E131" t="str">
            <v>91-A</v>
          </cell>
          <cell r="F131" t="str">
            <v>S</v>
          </cell>
          <cell r="G131" t="str">
            <v>13.?/12</v>
          </cell>
          <cell r="I131">
            <v>4.9000000000000004</v>
          </cell>
          <cell r="J131">
            <v>4.8499999999999996</v>
          </cell>
          <cell r="K131">
            <v>5.0000000000000711E-2</v>
          </cell>
          <cell r="M131">
            <v>4.8499999999999996</v>
          </cell>
          <cell r="N131" t="str">
            <v/>
          </cell>
          <cell r="X131" t="str">
            <v/>
          </cell>
          <cell r="AA131" t="str">
            <v/>
          </cell>
          <cell r="AE131">
            <v>0.39</v>
          </cell>
          <cell r="AF131" t="str">
            <v/>
          </cell>
          <cell r="AI131">
            <v>-1</v>
          </cell>
          <cell r="AJ131" t="str">
            <v/>
          </cell>
          <cell r="AM131" t="e">
            <v>#VALUE!</v>
          </cell>
          <cell r="AN131" t="e">
            <v>#VALUE!</v>
          </cell>
          <cell r="BG131" t="str">
            <v/>
          </cell>
          <cell r="BK131" t="str">
            <v/>
          </cell>
          <cell r="BL131" t="str">
            <v/>
          </cell>
          <cell r="BO131" t="e">
            <v>#VALUE!</v>
          </cell>
          <cell r="BP131" t="e">
            <v>#VALUE!</v>
          </cell>
          <cell r="BQ131" t="e">
            <v>#VALUE!</v>
          </cell>
          <cell r="BU131" t="e">
            <v>#VALUE!</v>
          </cell>
          <cell r="BW131">
            <v>0</v>
          </cell>
          <cell r="BX131">
            <v>0</v>
          </cell>
          <cell r="BY131">
            <v>0</v>
          </cell>
          <cell r="BZ131">
            <v>0</v>
          </cell>
          <cell r="CA131" t="e">
            <v>#VALUE!</v>
          </cell>
          <cell r="CB131">
            <v>0</v>
          </cell>
        </row>
        <row r="132">
          <cell r="A132">
            <v>34222</v>
          </cell>
          <cell r="D132" t="str">
            <v>93M32</v>
          </cell>
          <cell r="E132" t="str">
            <v>91-A</v>
          </cell>
          <cell r="F132" t="str">
            <v>I</v>
          </cell>
          <cell r="G132" t="str">
            <v>?/0</v>
          </cell>
          <cell r="H132" t="str">
            <v>STAKE MELTED OUT</v>
          </cell>
          <cell r="K132" t="str">
            <v/>
          </cell>
          <cell r="M132" t="str">
            <v>&lt;0</v>
          </cell>
          <cell r="N132" t="str">
            <v/>
          </cell>
          <cell r="X132" t="str">
            <v/>
          </cell>
          <cell r="AA132" t="str">
            <v/>
          </cell>
          <cell r="AF132" t="str">
            <v/>
          </cell>
          <cell r="AJ132" t="str">
            <v/>
          </cell>
          <cell r="AM132" t="str">
            <v/>
          </cell>
          <cell r="AN132" t="str">
            <v/>
          </cell>
          <cell r="BG132" t="str">
            <v/>
          </cell>
          <cell r="BK132" t="str">
            <v/>
          </cell>
          <cell r="BL132" t="str">
            <v/>
          </cell>
          <cell r="BO132" t="e">
            <v>#VALUE!</v>
          </cell>
          <cell r="BP132" t="str">
            <v>&lt;0</v>
          </cell>
          <cell r="BQ132">
            <v>0</v>
          </cell>
          <cell r="BU132" t="str">
            <v/>
          </cell>
          <cell r="BW132">
            <v>0</v>
          </cell>
          <cell r="BX132">
            <v>0</v>
          </cell>
          <cell r="BY132">
            <v>0</v>
          </cell>
          <cell r="BZ132">
            <v>0</v>
          </cell>
          <cell r="CA132">
            <v>0</v>
          </cell>
          <cell r="CB132">
            <v>0</v>
          </cell>
        </row>
        <row r="133">
          <cell r="K133" t="str">
            <v/>
          </cell>
          <cell r="N133" t="str">
            <v/>
          </cell>
          <cell r="X133" t="str">
            <v/>
          </cell>
          <cell r="AA133" t="str">
            <v/>
          </cell>
          <cell r="AF133" t="str">
            <v/>
          </cell>
          <cell r="AJ133" t="str">
            <v/>
          </cell>
          <cell r="AM133" t="str">
            <v/>
          </cell>
          <cell r="AN133" t="str">
            <v/>
          </cell>
          <cell r="BG133" t="str">
            <v/>
          </cell>
          <cell r="BK133" t="str">
            <v/>
          </cell>
          <cell r="BL133" t="str">
            <v/>
          </cell>
          <cell r="BP133" t="str">
            <v/>
          </cell>
          <cell r="BQ133" t="str">
            <v/>
          </cell>
          <cell r="BU133" t="str">
            <v/>
          </cell>
        </row>
        <row r="134">
          <cell r="A134">
            <v>33854</v>
          </cell>
          <cell r="D134" t="str">
            <v>92M63</v>
          </cell>
          <cell r="E134" t="str">
            <v>92-A</v>
          </cell>
          <cell r="F134" t="str">
            <v>I</v>
          </cell>
          <cell r="G134" t="str">
            <v>0/12</v>
          </cell>
          <cell r="H134">
            <v>8</v>
          </cell>
          <cell r="I134">
            <v>0</v>
          </cell>
          <cell r="J134">
            <v>0</v>
          </cell>
          <cell r="K134" t="str">
            <v/>
          </cell>
          <cell r="M134">
            <v>8</v>
          </cell>
          <cell r="N134" t="str">
            <v/>
          </cell>
          <cell r="X134" t="str">
            <v/>
          </cell>
          <cell r="AA134" t="str">
            <v/>
          </cell>
          <cell r="AF134" t="str">
            <v/>
          </cell>
          <cell r="AJ134" t="str">
            <v/>
          </cell>
          <cell r="AM134" t="str">
            <v/>
          </cell>
          <cell r="AN134" t="str">
            <v/>
          </cell>
          <cell r="BG134" t="str">
            <v/>
          </cell>
          <cell r="BK134" t="str">
            <v/>
          </cell>
          <cell r="BL134" t="str">
            <v/>
          </cell>
          <cell r="BO134" t="e">
            <v>#VALUE!</v>
          </cell>
          <cell r="BP134">
            <v>8</v>
          </cell>
          <cell r="BQ134">
            <v>8</v>
          </cell>
          <cell r="BU134" t="str">
            <v/>
          </cell>
          <cell r="BW134">
            <v>0</v>
          </cell>
          <cell r="BX134">
            <v>0</v>
          </cell>
          <cell r="BY134">
            <v>0</v>
          </cell>
          <cell r="BZ134">
            <v>0</v>
          </cell>
          <cell r="CA134">
            <v>0</v>
          </cell>
          <cell r="CB134">
            <v>0</v>
          </cell>
          <cell r="CC134" t="str">
            <v>This -2.93 agrees with B(I) for stk 91-A makes bn=-7.25</v>
          </cell>
        </row>
        <row r="135">
          <cell r="D135" t="str">
            <v>bn 1992</v>
          </cell>
          <cell r="M135">
            <v>7.94</v>
          </cell>
          <cell r="BO135" t="e">
            <v>#VALUE!</v>
          </cell>
          <cell r="BP135">
            <v>7.94</v>
          </cell>
          <cell r="BQ135">
            <v>7.94</v>
          </cell>
          <cell r="BU135" t="str">
            <v/>
          </cell>
          <cell r="BW135">
            <v>0</v>
          </cell>
          <cell r="BX135">
            <v>0</v>
          </cell>
          <cell r="BY135">
            <v>0</v>
          </cell>
          <cell r="BZ135">
            <v>0</v>
          </cell>
          <cell r="CA135">
            <v>0</v>
          </cell>
          <cell r="CB135">
            <v>0</v>
          </cell>
        </row>
        <row r="136">
          <cell r="D136" t="str">
            <v>1992 HY end</v>
          </cell>
        </row>
        <row r="137">
          <cell r="A137">
            <v>34105</v>
          </cell>
          <cell r="D137" t="str">
            <v>92M17</v>
          </cell>
          <cell r="E137" t="str">
            <v>92-A</v>
          </cell>
          <cell r="F137" t="str">
            <v>S</v>
          </cell>
          <cell r="I137">
            <v>4.57</v>
          </cell>
          <cell r="J137">
            <v>4.51</v>
          </cell>
          <cell r="K137">
            <v>6.0000000000000497E-2</v>
          </cell>
          <cell r="M137">
            <v>4.51</v>
          </cell>
          <cell r="N137" t="str">
            <v/>
          </cell>
          <cell r="U137">
            <v>-3.4300000000000006</v>
          </cell>
          <cell r="V137">
            <v>1</v>
          </cell>
          <cell r="X137" t="e">
            <v>#VALUE!</v>
          </cell>
          <cell r="AA137">
            <v>1</v>
          </cell>
          <cell r="AE137">
            <v>0.39</v>
          </cell>
          <cell r="AF137">
            <v>0.39</v>
          </cell>
          <cell r="AI137">
            <v>-1</v>
          </cell>
          <cell r="AJ137" t="str">
            <v/>
          </cell>
          <cell r="AM137" t="e">
            <v>#VALUE!</v>
          </cell>
          <cell r="AN137" t="e">
            <v>#VALUE!</v>
          </cell>
          <cell r="BG137" t="str">
            <v/>
          </cell>
          <cell r="BK137" t="str">
            <v/>
          </cell>
          <cell r="BL137" t="str">
            <v/>
          </cell>
          <cell r="BO137" t="e">
            <v>#VALUE!</v>
          </cell>
          <cell r="BP137" t="e">
            <v>#VALUE!</v>
          </cell>
          <cell r="BQ137" t="e">
            <v>#VALUE!</v>
          </cell>
          <cell r="BU137" t="e">
            <v>#VALUE!</v>
          </cell>
          <cell r="BW137">
            <v>0</v>
          </cell>
          <cell r="BX137">
            <v>0</v>
          </cell>
          <cell r="BY137">
            <v>0</v>
          </cell>
          <cell r="BZ137">
            <v>0</v>
          </cell>
          <cell r="CA137" t="e">
            <v>#VALUE!</v>
          </cell>
          <cell r="CB137">
            <v>0</v>
          </cell>
        </row>
        <row r="138">
          <cell r="A138">
            <v>34222</v>
          </cell>
          <cell r="D138" t="str">
            <v>93M32,34,37</v>
          </cell>
          <cell r="E138" t="str">
            <v>92-A</v>
          </cell>
          <cell r="F138" t="str">
            <v>I</v>
          </cell>
          <cell r="G138" t="str">
            <v>12/8</v>
          </cell>
          <cell r="H138">
            <v>3.7</v>
          </cell>
          <cell r="I138">
            <v>6.83</v>
          </cell>
          <cell r="J138">
            <v>6.53</v>
          </cell>
          <cell r="K138">
            <v>0.29999999999999982</v>
          </cell>
          <cell r="M138">
            <v>3.4000000000000004</v>
          </cell>
          <cell r="N138" t="str">
            <v/>
          </cell>
          <cell r="X138" t="str">
            <v/>
          </cell>
          <cell r="AA138" t="str">
            <v/>
          </cell>
          <cell r="AF138" t="str">
            <v/>
          </cell>
          <cell r="AJ138" t="str">
            <v/>
          </cell>
          <cell r="AM138" t="str">
            <v/>
          </cell>
          <cell r="AN138" t="str">
            <v/>
          </cell>
          <cell r="BG138" t="str">
            <v/>
          </cell>
          <cell r="BK138" t="str">
            <v/>
          </cell>
          <cell r="BL138" t="str">
            <v/>
          </cell>
          <cell r="BO138" t="e">
            <v>#VALUE!</v>
          </cell>
          <cell r="BP138">
            <v>3.4000000000000004</v>
          </cell>
          <cell r="BQ138">
            <v>3.4000000000000004</v>
          </cell>
          <cell r="BU138" t="str">
            <v/>
          </cell>
          <cell r="BW138">
            <v>0</v>
          </cell>
          <cell r="BX138">
            <v>0</v>
          </cell>
          <cell r="BY138">
            <v>0</v>
          </cell>
          <cell r="BZ138">
            <v>0</v>
          </cell>
          <cell r="CA138">
            <v>0</v>
          </cell>
          <cell r="CB138">
            <v>0</v>
          </cell>
        </row>
        <row r="139">
          <cell r="A139">
            <v>34225</v>
          </cell>
          <cell r="D139" t="str">
            <v>93M37</v>
          </cell>
          <cell r="E139" t="str">
            <v>92-A</v>
          </cell>
          <cell r="F139" t="str">
            <v>I</v>
          </cell>
          <cell r="G139" t="str">
            <v>8/8</v>
          </cell>
          <cell r="H139">
            <v>3.4</v>
          </cell>
          <cell r="K139" t="str">
            <v/>
          </cell>
          <cell r="M139">
            <v>3.4</v>
          </cell>
          <cell r="N139" t="str">
            <v/>
          </cell>
          <cell r="X139" t="str">
            <v/>
          </cell>
          <cell r="AA139" t="str">
            <v/>
          </cell>
          <cell r="AF139" t="str">
            <v/>
          </cell>
          <cell r="AJ139" t="str">
            <v/>
          </cell>
          <cell r="AM139" t="str">
            <v/>
          </cell>
          <cell r="AN139" t="str">
            <v/>
          </cell>
          <cell r="BG139" t="str">
            <v/>
          </cell>
          <cell r="BK139" t="str">
            <v/>
          </cell>
          <cell r="BL139" t="str">
            <v/>
          </cell>
          <cell r="BO139" t="e">
            <v>#VALUE!</v>
          </cell>
          <cell r="BP139">
            <v>3.4</v>
          </cell>
          <cell r="BQ139">
            <v>3.4</v>
          </cell>
          <cell r="BU139" t="str">
            <v/>
          </cell>
          <cell r="BW139">
            <v>0</v>
          </cell>
          <cell r="BX139">
            <v>0</v>
          </cell>
          <cell r="BY139">
            <v>0</v>
          </cell>
          <cell r="BZ139">
            <v>0</v>
          </cell>
          <cell r="CA139">
            <v>0</v>
          </cell>
          <cell r="CB139">
            <v>0</v>
          </cell>
        </row>
        <row r="140">
          <cell r="D140" t="str">
            <v>bn 1993</v>
          </cell>
          <cell r="F140" t="str">
            <v>I</v>
          </cell>
          <cell r="M140" t="e">
            <v>#VALUE!</v>
          </cell>
          <cell r="N140" t="str">
            <v/>
          </cell>
          <cell r="BO140" t="e">
            <v>#VALUE!</v>
          </cell>
          <cell r="BP140" t="e">
            <v>#VALUE!</v>
          </cell>
          <cell r="BQ140" t="e">
            <v>#VALUE!</v>
          </cell>
          <cell r="BU140" t="str">
            <v/>
          </cell>
          <cell r="BW140">
            <v>0</v>
          </cell>
          <cell r="BX140">
            <v>0</v>
          </cell>
          <cell r="BY140">
            <v>0</v>
          </cell>
          <cell r="BZ140">
            <v>0</v>
          </cell>
          <cell r="CA140">
            <v>0</v>
          </cell>
          <cell r="CB140">
            <v>0</v>
          </cell>
        </row>
        <row r="141">
          <cell r="D141" t="str">
            <v>1993 HY end</v>
          </cell>
        </row>
        <row r="142">
          <cell r="A142">
            <v>34370</v>
          </cell>
          <cell r="D142" t="str">
            <v>94M4</v>
          </cell>
          <cell r="E142" t="str">
            <v>92-A</v>
          </cell>
          <cell r="F142" t="str">
            <v>S</v>
          </cell>
          <cell r="I142">
            <v>4.3600000000000003</v>
          </cell>
          <cell r="J142">
            <v>3.95</v>
          </cell>
          <cell r="K142">
            <v>0.41000000000000014</v>
          </cell>
          <cell r="M142">
            <v>3.95</v>
          </cell>
          <cell r="N142" t="str">
            <v/>
          </cell>
          <cell r="X142" t="str">
            <v/>
          </cell>
          <cell r="AA142" t="str">
            <v/>
          </cell>
          <cell r="AE142">
            <v>0.38</v>
          </cell>
          <cell r="AF142" t="str">
            <v/>
          </cell>
          <cell r="AI142">
            <v>-1</v>
          </cell>
          <cell r="AJ142" t="str">
            <v/>
          </cell>
          <cell r="AM142" t="e">
            <v>#VALUE!</v>
          </cell>
          <cell r="AN142" t="e">
            <v>#VALUE!</v>
          </cell>
          <cell r="BG142" t="str">
            <v/>
          </cell>
          <cell r="BK142" t="str">
            <v/>
          </cell>
          <cell r="BL142" t="str">
            <v/>
          </cell>
          <cell r="BO142" t="e">
            <v>#VALUE!</v>
          </cell>
          <cell r="BP142" t="e">
            <v>#VALUE!</v>
          </cell>
          <cell r="BQ142" t="e">
            <v>#VALUE!</v>
          </cell>
          <cell r="BU142" t="e">
            <v>#VALUE!</v>
          </cell>
          <cell r="BW142">
            <v>0</v>
          </cell>
          <cell r="BX142">
            <v>0</v>
          </cell>
          <cell r="BY142">
            <v>0</v>
          </cell>
          <cell r="BZ142">
            <v>0</v>
          </cell>
          <cell r="CA142" t="e">
            <v>#VALUE!</v>
          </cell>
          <cell r="CB142">
            <v>0</v>
          </cell>
        </row>
        <row r="143">
          <cell r="A143">
            <v>34469</v>
          </cell>
          <cell r="D143" t="str">
            <v>94M14,16</v>
          </cell>
          <cell r="E143" t="str">
            <v>92-A</v>
          </cell>
          <cell r="F143" t="str">
            <v>S</v>
          </cell>
          <cell r="G143" t="str">
            <v>8/6?</v>
          </cell>
          <cell r="H143">
            <v>4.55</v>
          </cell>
          <cell r="I143">
            <v>0</v>
          </cell>
          <cell r="J143">
            <v>0</v>
          </cell>
          <cell r="K143" t="str">
            <v/>
          </cell>
          <cell r="M143">
            <v>4.55</v>
          </cell>
          <cell r="N143" t="str">
            <v/>
          </cell>
          <cell r="U143">
            <v>1.8199999999999998</v>
          </cell>
          <cell r="V143">
            <v>5</v>
          </cell>
          <cell r="X143" t="e">
            <v>#VALUE!</v>
          </cell>
          <cell r="AA143">
            <v>5</v>
          </cell>
          <cell r="AE143">
            <v>0.39</v>
          </cell>
          <cell r="AF143">
            <v>0.39</v>
          </cell>
          <cell r="AI143">
            <v>-1</v>
          </cell>
          <cell r="AJ143" t="str">
            <v/>
          </cell>
          <cell r="AM143" t="e">
            <v>#VALUE!</v>
          </cell>
          <cell r="AN143" t="e">
            <v>#VALUE!</v>
          </cell>
          <cell r="BG143" t="str">
            <v/>
          </cell>
          <cell r="BK143" t="str">
            <v/>
          </cell>
          <cell r="BL143" t="str">
            <v/>
          </cell>
          <cell r="BO143" t="e">
            <v>#VALUE!</v>
          </cell>
          <cell r="BP143" t="e">
            <v>#VALUE!</v>
          </cell>
          <cell r="BQ143" t="e">
            <v>#VALUE!</v>
          </cell>
          <cell r="BU143" t="e">
            <v>#VALUE!</v>
          </cell>
          <cell r="BW143">
            <v>0</v>
          </cell>
          <cell r="BX143">
            <v>0</v>
          </cell>
          <cell r="BY143">
            <v>0</v>
          </cell>
          <cell r="BZ143">
            <v>0</v>
          </cell>
          <cell r="CA143" t="e">
            <v>#VALUE!</v>
          </cell>
          <cell r="CB143">
            <v>0</v>
          </cell>
        </row>
        <row r="144">
          <cell r="K144" t="str">
            <v/>
          </cell>
          <cell r="N144" t="str">
            <v/>
          </cell>
          <cell r="X144" t="str">
            <v/>
          </cell>
          <cell r="AA144" t="str">
            <v/>
          </cell>
          <cell r="AF144" t="str">
            <v/>
          </cell>
          <cell r="AJ144" t="str">
            <v/>
          </cell>
          <cell r="AM144" t="str">
            <v/>
          </cell>
          <cell r="AN144" t="str">
            <v/>
          </cell>
          <cell r="BG144" t="str">
            <v/>
          </cell>
          <cell r="BK144" t="str">
            <v/>
          </cell>
          <cell r="BL144" t="str">
            <v/>
          </cell>
          <cell r="BP144" t="str">
            <v/>
          </cell>
          <cell r="BQ144" t="str">
            <v/>
          </cell>
          <cell r="BU144" t="str">
            <v/>
          </cell>
        </row>
        <row r="145">
          <cell r="A145">
            <v>34225</v>
          </cell>
          <cell r="D145" t="str">
            <v>93M37</v>
          </cell>
          <cell r="E145" t="str">
            <v>93-A</v>
          </cell>
          <cell r="F145" t="str">
            <v>I</v>
          </cell>
          <cell r="G145" t="str">
            <v>0/12</v>
          </cell>
          <cell r="H145">
            <v>9.1300000000000008</v>
          </cell>
          <cell r="I145">
            <v>6.83</v>
          </cell>
          <cell r="J145">
            <v>2.2599999999999998</v>
          </cell>
          <cell r="K145">
            <v>4.57</v>
          </cell>
          <cell r="M145">
            <v>4.5600000000000005</v>
          </cell>
          <cell r="N145" t="str">
            <v/>
          </cell>
          <cell r="X145" t="str">
            <v/>
          </cell>
          <cell r="AA145" t="str">
            <v/>
          </cell>
          <cell r="AF145" t="str">
            <v/>
          </cell>
          <cell r="AJ145" t="str">
            <v/>
          </cell>
          <cell r="AM145" t="str">
            <v/>
          </cell>
          <cell r="AN145" t="str">
            <v/>
          </cell>
          <cell r="BG145" t="str">
            <v/>
          </cell>
          <cell r="BK145" t="str">
            <v/>
          </cell>
          <cell r="BL145" t="str">
            <v/>
          </cell>
          <cell r="BP145">
            <v>4.5600000000000005</v>
          </cell>
          <cell r="BQ145">
            <v>4.5600000000000005</v>
          </cell>
          <cell r="BU145" t="str">
            <v/>
          </cell>
          <cell r="BW145">
            <v>0</v>
          </cell>
          <cell r="BX145">
            <v>0</v>
          </cell>
          <cell r="BY145">
            <v>0</v>
          </cell>
          <cell r="BZ145">
            <v>0</v>
          </cell>
          <cell r="CA145">
            <v>0</v>
          </cell>
          <cell r="CB145">
            <v>0</v>
          </cell>
        </row>
        <row r="146">
          <cell r="D146" t="str">
            <v>bn 1993</v>
          </cell>
          <cell r="F146" t="str">
            <v>I</v>
          </cell>
          <cell r="M146">
            <v>8.8800000000000008</v>
          </cell>
          <cell r="BP146">
            <v>8.8800000000000008</v>
          </cell>
          <cell r="BQ146">
            <v>8.8800000000000008</v>
          </cell>
          <cell r="BU146" t="str">
            <v/>
          </cell>
          <cell r="BW146">
            <v>0</v>
          </cell>
          <cell r="BX146">
            <v>0</v>
          </cell>
          <cell r="BY146">
            <v>0</v>
          </cell>
          <cell r="BZ146">
            <v>0</v>
          </cell>
          <cell r="CA146">
            <v>0</v>
          </cell>
          <cell r="CB146">
            <v>0</v>
          </cell>
        </row>
        <row r="147">
          <cell r="D147" t="str">
            <v>1993 HY end</v>
          </cell>
        </row>
        <row r="148">
          <cell r="A148">
            <v>34370</v>
          </cell>
          <cell r="D148" t="str">
            <v>94M4</v>
          </cell>
          <cell r="E148" t="str">
            <v>93-A</v>
          </cell>
          <cell r="F148" t="str">
            <v>S</v>
          </cell>
          <cell r="I148" t="str">
            <v>not observed or surveyed</v>
          </cell>
          <cell r="N148" t="str">
            <v/>
          </cell>
          <cell r="X148" t="str">
            <v/>
          </cell>
          <cell r="AA148" t="str">
            <v/>
          </cell>
          <cell r="AF148" t="str">
            <v/>
          </cell>
          <cell r="AI148">
            <v>-1</v>
          </cell>
          <cell r="AJ148" t="str">
            <v/>
          </cell>
          <cell r="AM148" t="str">
            <v/>
          </cell>
          <cell r="AN148" t="str">
            <v/>
          </cell>
          <cell r="BG148" t="str">
            <v/>
          </cell>
          <cell r="BK148" t="str">
            <v/>
          </cell>
          <cell r="BL148" t="str">
            <v/>
          </cell>
          <cell r="BU148" t="e">
            <v>#VALUE!</v>
          </cell>
          <cell r="BW148">
            <v>0</v>
          </cell>
          <cell r="BX148">
            <v>0</v>
          </cell>
          <cell r="BY148">
            <v>0</v>
          </cell>
          <cell r="BZ148">
            <v>0</v>
          </cell>
          <cell r="CA148" t="e">
            <v>#VALUE!</v>
          </cell>
          <cell r="CB148">
            <v>0</v>
          </cell>
        </row>
        <row r="149">
          <cell r="A149">
            <v>34468</v>
          </cell>
          <cell r="D149" t="str">
            <v>94M14,16</v>
          </cell>
          <cell r="E149" t="str">
            <v>93-A</v>
          </cell>
          <cell r="F149" t="str">
            <v>S</v>
          </cell>
          <cell r="G149" t="str">
            <v>9/9 or 12/12?</v>
          </cell>
          <cell r="H149">
            <v>10.7</v>
          </cell>
          <cell r="I149">
            <v>6.82</v>
          </cell>
          <cell r="J149">
            <v>6.82</v>
          </cell>
          <cell r="K149" t="str">
            <v/>
          </cell>
          <cell r="M149">
            <v>10.7</v>
          </cell>
          <cell r="U149">
            <v>1.8199999999999998</v>
          </cell>
          <cell r="V149">
            <v>5</v>
          </cell>
          <cell r="X149">
            <v>1.82</v>
          </cell>
          <cell r="AA149">
            <v>5</v>
          </cell>
          <cell r="AE149">
            <v>0.39</v>
          </cell>
          <cell r="AF149">
            <v>0.39</v>
          </cell>
          <cell r="AI149">
            <v>-1</v>
          </cell>
          <cell r="AJ149">
            <v>-1</v>
          </cell>
          <cell r="AM149">
            <v>8.8800000000000008</v>
          </cell>
          <cell r="AN149">
            <v>8.8800000000000008</v>
          </cell>
          <cell r="BG149" t="str">
            <v/>
          </cell>
          <cell r="BK149" t="str">
            <v/>
          </cell>
          <cell r="BL149" t="str">
            <v/>
          </cell>
          <cell r="BO149">
            <v>8.8800000000000008</v>
          </cell>
          <cell r="BP149">
            <v>8.8800000000000008</v>
          </cell>
          <cell r="BQ149">
            <v>8.8800000000000008</v>
          </cell>
          <cell r="BU149">
            <v>0.71</v>
          </cell>
          <cell r="BW149">
            <v>0</v>
          </cell>
          <cell r="BX149">
            <v>0</v>
          </cell>
          <cell r="BY149">
            <v>0</v>
          </cell>
          <cell r="BZ149">
            <v>0</v>
          </cell>
          <cell r="CA149">
            <v>0.71</v>
          </cell>
          <cell r="CB149">
            <v>0</v>
          </cell>
        </row>
        <row r="150">
          <cell r="A150">
            <v>34586</v>
          </cell>
          <cell r="D150" t="str">
            <v>94M27</v>
          </cell>
          <cell r="E150" t="str">
            <v>93-A</v>
          </cell>
          <cell r="F150" t="str">
            <v>I</v>
          </cell>
          <cell r="I150">
            <v>6.83</v>
          </cell>
          <cell r="J150">
            <v>2.2599999999999998</v>
          </cell>
          <cell r="K150">
            <v>4.57</v>
          </cell>
          <cell r="M150">
            <v>2.2599999999999998</v>
          </cell>
          <cell r="N150" t="str">
            <v/>
          </cell>
          <cell r="X150" t="str">
            <v/>
          </cell>
          <cell r="AA150" t="str">
            <v/>
          </cell>
          <cell r="AF150" t="str">
            <v/>
          </cell>
          <cell r="AJ150" t="str">
            <v/>
          </cell>
          <cell r="AM150" t="str">
            <v/>
          </cell>
          <cell r="AN150" t="str">
            <v/>
          </cell>
          <cell r="BG150" t="str">
            <v/>
          </cell>
          <cell r="BK150" t="str">
            <v/>
          </cell>
          <cell r="BL150" t="str">
            <v/>
          </cell>
          <cell r="BO150">
            <v>8.8800000000000008</v>
          </cell>
          <cell r="BP150">
            <v>2.2599999999999998</v>
          </cell>
          <cell r="BQ150">
            <v>2.2599999999999998</v>
          </cell>
          <cell r="BU150" t="str">
            <v/>
          </cell>
          <cell r="BW150">
            <v>0</v>
          </cell>
          <cell r="BX150">
            <v>0</v>
          </cell>
          <cell r="BY150">
            <v>0</v>
          </cell>
          <cell r="BZ150">
            <v>-5.96</v>
          </cell>
          <cell r="CA150">
            <v>-5.96</v>
          </cell>
          <cell r="CB150">
            <v>-5.96</v>
          </cell>
        </row>
        <row r="151">
          <cell r="D151" t="str">
            <v>bn 1994</v>
          </cell>
          <cell r="F151" t="str">
            <v>I</v>
          </cell>
          <cell r="M151">
            <v>0.77333333333333343</v>
          </cell>
          <cell r="BO151">
            <v>7.49</v>
          </cell>
          <cell r="BP151">
            <v>0.77333333333333343</v>
          </cell>
          <cell r="BQ151">
            <v>0.77333333333333343</v>
          </cell>
          <cell r="BU151" t="str">
            <v/>
          </cell>
          <cell r="BW151">
            <v>0</v>
          </cell>
          <cell r="BX151">
            <v>0</v>
          </cell>
          <cell r="BY151">
            <v>0</v>
          </cell>
          <cell r="BZ151">
            <v>-6.05</v>
          </cell>
          <cell r="CA151">
            <v>-6.05</v>
          </cell>
          <cell r="CB151">
            <v>-6.05</v>
          </cell>
        </row>
        <row r="152">
          <cell r="D152" t="str">
            <v>1994 HY end</v>
          </cell>
        </row>
        <row r="153">
          <cell r="A153">
            <v>34730</v>
          </cell>
          <cell r="D153" t="str">
            <v>95M3</v>
          </cell>
          <cell r="E153" t="str">
            <v>93-A</v>
          </cell>
          <cell r="F153" t="str">
            <v>S</v>
          </cell>
          <cell r="I153">
            <v>6.82</v>
          </cell>
          <cell r="J153">
            <v>6.82</v>
          </cell>
          <cell r="K153" t="str">
            <v/>
          </cell>
          <cell r="M153">
            <v>6.82</v>
          </cell>
          <cell r="N153">
            <v>3.33</v>
          </cell>
          <cell r="U153">
            <v>1.32</v>
          </cell>
          <cell r="V153">
            <v>1</v>
          </cell>
          <cell r="X153">
            <v>2.33</v>
          </cell>
          <cell r="AA153">
            <v>2</v>
          </cell>
          <cell r="AE153">
            <v>0.38</v>
          </cell>
          <cell r="AF153">
            <v>0.38</v>
          </cell>
          <cell r="AI153">
            <v>-1</v>
          </cell>
          <cell r="AJ153">
            <v>-1</v>
          </cell>
          <cell r="AM153">
            <v>4.49</v>
          </cell>
          <cell r="AN153">
            <v>4.49</v>
          </cell>
          <cell r="BG153" t="str">
            <v/>
          </cell>
          <cell r="BK153" t="str">
            <v/>
          </cell>
          <cell r="BL153" t="str">
            <v/>
          </cell>
          <cell r="BO153">
            <v>3.49</v>
          </cell>
          <cell r="BP153">
            <v>4.49</v>
          </cell>
          <cell r="BQ153">
            <v>4.49</v>
          </cell>
          <cell r="BU153">
            <v>0.89</v>
          </cell>
          <cell r="BW153">
            <v>0</v>
          </cell>
          <cell r="BX153">
            <v>0</v>
          </cell>
          <cell r="BY153">
            <v>0</v>
          </cell>
          <cell r="BZ153">
            <v>0.9</v>
          </cell>
          <cell r="CA153">
            <v>1.79</v>
          </cell>
          <cell r="CB153">
            <v>0.9</v>
          </cell>
        </row>
        <row r="154">
          <cell r="A154">
            <v>34833</v>
          </cell>
          <cell r="D154" t="str">
            <v>95M9,12</v>
          </cell>
          <cell r="E154" t="str">
            <v>93-A</v>
          </cell>
          <cell r="F154" t="str">
            <v>S</v>
          </cell>
          <cell r="I154">
            <v>1.5</v>
          </cell>
          <cell r="J154">
            <v>1.29</v>
          </cell>
          <cell r="K154">
            <v>0.20999999999999996</v>
          </cell>
          <cell r="M154">
            <v>1.29</v>
          </cell>
          <cell r="N154">
            <v>-2.2000000000000002</v>
          </cell>
          <cell r="U154">
            <v>1.952</v>
          </cell>
          <cell r="V154">
            <v>5</v>
          </cell>
          <cell r="X154">
            <v>1.26</v>
          </cell>
          <cell r="AA154">
            <v>6</v>
          </cell>
          <cell r="AE154">
            <v>0.4</v>
          </cell>
          <cell r="AF154">
            <v>0.4</v>
          </cell>
          <cell r="AJ154" t="e">
            <v>#DIV/0!</v>
          </cell>
          <cell r="AM154">
            <v>0.03</v>
          </cell>
          <cell r="AN154">
            <v>0.03</v>
          </cell>
          <cell r="BG154" t="str">
            <v/>
          </cell>
          <cell r="BK154" t="str">
            <v/>
          </cell>
          <cell r="BL154" t="str">
            <v/>
          </cell>
          <cell r="BO154">
            <v>3.49</v>
          </cell>
          <cell r="BP154">
            <v>0.03</v>
          </cell>
          <cell r="BQ154">
            <v>0.03</v>
          </cell>
          <cell r="BU154">
            <v>0.5</v>
          </cell>
          <cell r="BW154">
            <v>0</v>
          </cell>
          <cell r="BX154">
            <v>0</v>
          </cell>
          <cell r="BY154">
            <v>0</v>
          </cell>
          <cell r="BZ154">
            <v>-3.11</v>
          </cell>
          <cell r="CA154">
            <v>-2.61</v>
          </cell>
          <cell r="CB154">
            <v>-3.11</v>
          </cell>
        </row>
        <row r="155">
          <cell r="A155">
            <v>34957</v>
          </cell>
          <cell r="D155" t="str">
            <v>95M31</v>
          </cell>
          <cell r="E155" t="str">
            <v>93-A</v>
          </cell>
          <cell r="F155" t="str">
            <v>I</v>
          </cell>
          <cell r="G155" t="str">
            <v>6/0</v>
          </cell>
          <cell r="H155">
            <v>0.71</v>
          </cell>
          <cell r="K155" t="str">
            <v/>
          </cell>
          <cell r="M155">
            <v>0.71</v>
          </cell>
          <cell r="N155" t="str">
            <v/>
          </cell>
          <cell r="X155" t="str">
            <v/>
          </cell>
          <cell r="AA155" t="str">
            <v/>
          </cell>
          <cell r="AF155" t="str">
            <v/>
          </cell>
          <cell r="AJ155" t="str">
            <v/>
          </cell>
          <cell r="AM155" t="str">
            <v/>
          </cell>
          <cell r="AN155" t="str">
            <v/>
          </cell>
          <cell r="BG155" t="str">
            <v/>
          </cell>
          <cell r="BK155" t="str">
            <v/>
          </cell>
          <cell r="BL155" t="str">
            <v/>
          </cell>
          <cell r="BO155">
            <v>3.49</v>
          </cell>
          <cell r="BP155">
            <v>0.71</v>
          </cell>
          <cell r="BQ155">
            <v>0.71</v>
          </cell>
          <cell r="BU155" t="str">
            <v/>
          </cell>
          <cell r="BW155">
            <v>0</v>
          </cell>
          <cell r="BX155">
            <v>0</v>
          </cell>
          <cell r="BY155">
            <v>0</v>
          </cell>
          <cell r="BZ155">
            <v>-2.5</v>
          </cell>
          <cell r="CA155">
            <v>-2.5</v>
          </cell>
          <cell r="CB155">
            <v>-2.5</v>
          </cell>
        </row>
        <row r="156">
          <cell r="D156" t="str">
            <v>bn 1995</v>
          </cell>
        </row>
        <row r="157">
          <cell r="D157" t="str">
            <v>1995 HY end</v>
          </cell>
        </row>
        <row r="158">
          <cell r="K158" t="str">
            <v/>
          </cell>
          <cell r="N158" t="str">
            <v/>
          </cell>
          <cell r="X158" t="str">
            <v/>
          </cell>
          <cell r="AA158" t="str">
            <v/>
          </cell>
          <cell r="AF158" t="str">
            <v/>
          </cell>
          <cell r="AJ158" t="str">
            <v/>
          </cell>
          <cell r="AM158" t="str">
            <v/>
          </cell>
          <cell r="AN158" t="str">
            <v/>
          </cell>
          <cell r="BG158" t="str">
            <v/>
          </cell>
          <cell r="BK158" t="str">
            <v/>
          </cell>
          <cell r="BL158" t="str">
            <v/>
          </cell>
          <cell r="BP158" t="str">
            <v/>
          </cell>
          <cell r="BQ158" t="str">
            <v/>
          </cell>
          <cell r="BU158" t="str">
            <v/>
          </cell>
        </row>
        <row r="159">
          <cell r="A159">
            <v>34584</v>
          </cell>
          <cell r="D159" t="str">
            <v>94M25</v>
          </cell>
          <cell r="E159" t="str">
            <v>94-A</v>
          </cell>
          <cell r="F159" t="str">
            <v>I</v>
          </cell>
          <cell r="K159" t="str">
            <v/>
          </cell>
          <cell r="M159" t="str">
            <v/>
          </cell>
          <cell r="N159" t="str">
            <v/>
          </cell>
          <cell r="X159" t="str">
            <v/>
          </cell>
          <cell r="AA159" t="str">
            <v/>
          </cell>
          <cell r="AF159" t="str">
            <v/>
          </cell>
          <cell r="AJ159" t="str">
            <v/>
          </cell>
          <cell r="AM159" t="str">
            <v/>
          </cell>
          <cell r="AN159" t="str">
            <v/>
          </cell>
          <cell r="BG159" t="str">
            <v/>
          </cell>
          <cell r="BK159" t="str">
            <v/>
          </cell>
          <cell r="BL159" t="str">
            <v/>
          </cell>
          <cell r="BP159" t="str">
            <v/>
          </cell>
          <cell r="BQ159" t="str">
            <v/>
          </cell>
          <cell r="BU159" t="str">
            <v/>
          </cell>
          <cell r="BW159">
            <v>0</v>
          </cell>
          <cell r="BX159">
            <v>0</v>
          </cell>
          <cell r="BY159">
            <v>0</v>
          </cell>
          <cell r="BZ159">
            <v>0</v>
          </cell>
          <cell r="CA159">
            <v>0</v>
          </cell>
          <cell r="CB159">
            <v>0</v>
          </cell>
        </row>
        <row r="160">
          <cell r="A160">
            <v>34586</v>
          </cell>
          <cell r="D160" t="str">
            <v>94M27</v>
          </cell>
          <cell r="E160" t="str">
            <v>94-A</v>
          </cell>
          <cell r="F160" t="str">
            <v>I</v>
          </cell>
          <cell r="I160">
            <v>3.15</v>
          </cell>
          <cell r="J160">
            <v>3.17</v>
          </cell>
          <cell r="K160">
            <v>-2.0000000000000018E-2</v>
          </cell>
          <cell r="M160">
            <v>3.17</v>
          </cell>
          <cell r="N160" t="str">
            <v/>
          </cell>
          <cell r="X160" t="str">
            <v/>
          </cell>
          <cell r="AA160" t="str">
            <v/>
          </cell>
          <cell r="AF160" t="str">
            <v/>
          </cell>
          <cell r="AJ160" t="str">
            <v/>
          </cell>
          <cell r="AM160" t="str">
            <v/>
          </cell>
          <cell r="AN160" t="str">
            <v/>
          </cell>
          <cell r="BG160" t="str">
            <v/>
          </cell>
          <cell r="BK160" t="str">
            <v/>
          </cell>
          <cell r="BL160" t="str">
            <v/>
          </cell>
          <cell r="BO160">
            <v>15.58</v>
          </cell>
          <cell r="BP160">
            <v>3.17</v>
          </cell>
          <cell r="BQ160">
            <v>3.17</v>
          </cell>
          <cell r="BU160" t="str">
            <v/>
          </cell>
          <cell r="BW160">
            <v>0</v>
          </cell>
          <cell r="BX160">
            <v>0</v>
          </cell>
          <cell r="BY160">
            <v>0</v>
          </cell>
          <cell r="BZ160">
            <v>-11.17</v>
          </cell>
          <cell r="CA160">
            <v>-11.17</v>
          </cell>
          <cell r="CB160">
            <v>-11.17</v>
          </cell>
        </row>
        <row r="161">
          <cell r="D161" t="str">
            <v>bn 1994</v>
          </cell>
          <cell r="F161" t="str">
            <v>I</v>
          </cell>
          <cell r="M161" t="e">
            <v>#VALUE!</v>
          </cell>
          <cell r="BP161" t="e">
            <v>#VALUE!</v>
          </cell>
          <cell r="BQ161" t="e">
            <v>#VALUE!</v>
          </cell>
          <cell r="BU161" t="str">
            <v/>
          </cell>
          <cell r="BW161">
            <v>0</v>
          </cell>
          <cell r="BX161">
            <v>0</v>
          </cell>
          <cell r="BY161">
            <v>0</v>
          </cell>
          <cell r="BZ161">
            <v>0</v>
          </cell>
          <cell r="CA161">
            <v>0</v>
          </cell>
          <cell r="CB161">
            <v>0</v>
          </cell>
        </row>
        <row r="162">
          <cell r="D162" t="str">
            <v>1994 HY end</v>
          </cell>
        </row>
        <row r="163">
          <cell r="A163">
            <v>34730</v>
          </cell>
          <cell r="D163" t="str">
            <v>95M3</v>
          </cell>
          <cell r="E163" t="str">
            <v>94-A</v>
          </cell>
          <cell r="F163" t="str">
            <v>S</v>
          </cell>
          <cell r="I163">
            <v>1.96</v>
          </cell>
          <cell r="J163">
            <v>1.98</v>
          </cell>
          <cell r="K163">
            <v>-2.0000000000000018E-2</v>
          </cell>
          <cell r="M163">
            <v>1.98</v>
          </cell>
          <cell r="N163">
            <v>-7.4599999999999991</v>
          </cell>
          <cell r="U163">
            <v>1.32</v>
          </cell>
          <cell r="V163">
            <v>1</v>
          </cell>
          <cell r="X163">
            <v>-3.07</v>
          </cell>
          <cell r="AA163">
            <v>2</v>
          </cell>
          <cell r="AE163">
            <v>0.38</v>
          </cell>
          <cell r="AF163">
            <v>0.38</v>
          </cell>
          <cell r="AI163">
            <v>-1</v>
          </cell>
          <cell r="AJ163">
            <v>-1</v>
          </cell>
          <cell r="AM163">
            <v>5.05</v>
          </cell>
          <cell r="AN163">
            <v>5.05</v>
          </cell>
          <cell r="BG163" t="str">
            <v/>
          </cell>
          <cell r="BK163" t="str">
            <v/>
          </cell>
          <cell r="BL163" t="str">
            <v/>
          </cell>
          <cell r="BO163">
            <v>9.44</v>
          </cell>
          <cell r="BP163">
            <v>5.05</v>
          </cell>
          <cell r="BQ163">
            <v>5.05</v>
          </cell>
          <cell r="BU163">
            <v>-1.17</v>
          </cell>
          <cell r="BW163">
            <v>0</v>
          </cell>
          <cell r="BX163">
            <v>0</v>
          </cell>
          <cell r="BY163">
            <v>0</v>
          </cell>
          <cell r="BZ163">
            <v>-3.95</v>
          </cell>
          <cell r="CA163">
            <v>-5.12</v>
          </cell>
          <cell r="CB163">
            <v>-3.95</v>
          </cell>
        </row>
        <row r="164">
          <cell r="A164">
            <v>34831</v>
          </cell>
          <cell r="D164" t="str">
            <v>95M9,12</v>
          </cell>
          <cell r="E164" t="str">
            <v>94-A</v>
          </cell>
          <cell r="F164" t="str">
            <v>S</v>
          </cell>
          <cell r="G164" t="str">
            <v>12/12</v>
          </cell>
          <cell r="H164">
            <v>11.43</v>
          </cell>
          <cell r="I164" t="str">
            <v>No Data</v>
          </cell>
          <cell r="J164" t="str">
            <v>No Data</v>
          </cell>
          <cell r="K164" t="e">
            <v>#VALUE!</v>
          </cell>
          <cell r="M164" t="e">
            <v>#VALUE!</v>
          </cell>
          <cell r="N164" t="e">
            <v>#VALUE!</v>
          </cell>
          <cell r="U164">
            <v>1.952</v>
          </cell>
          <cell r="V164">
            <v>5</v>
          </cell>
          <cell r="X164" t="e">
            <v>#VALUE!</v>
          </cell>
          <cell r="AA164">
            <v>5</v>
          </cell>
          <cell r="AE164">
            <v>0.4</v>
          </cell>
          <cell r="AF164">
            <v>0.4</v>
          </cell>
          <cell r="AJ164" t="str">
            <v/>
          </cell>
          <cell r="AM164" t="str">
            <v/>
          </cell>
          <cell r="AN164" t="str">
            <v/>
          </cell>
          <cell r="BG164" t="str">
            <v/>
          </cell>
          <cell r="BK164" t="str">
            <v/>
          </cell>
          <cell r="BL164" t="str">
            <v/>
          </cell>
          <cell r="BO164">
            <v>9.44</v>
          </cell>
          <cell r="BP164" t="str">
            <v/>
          </cell>
          <cell r="BQ164" t="str">
            <v/>
          </cell>
          <cell r="BU164" t="e">
            <v>#VALUE!</v>
          </cell>
          <cell r="BW164">
            <v>0</v>
          </cell>
          <cell r="BX164">
            <v>0</v>
          </cell>
          <cell r="BY164">
            <v>0</v>
          </cell>
          <cell r="BZ164" t="e">
            <v>#VALUE!</v>
          </cell>
          <cell r="CA164" t="e">
            <v>#VALUE!</v>
          </cell>
          <cell r="CB164" t="e">
            <v>#VALUE!</v>
          </cell>
        </row>
        <row r="165">
          <cell r="A165">
            <v>34956</v>
          </cell>
          <cell r="D165" t="str">
            <v>95M26</v>
          </cell>
          <cell r="E165" t="str">
            <v>94-A</v>
          </cell>
          <cell r="F165" t="str">
            <v>I</v>
          </cell>
          <cell r="G165" t="str">
            <v>6/9</v>
          </cell>
          <cell r="H165">
            <v>5.09</v>
          </cell>
          <cell r="I165">
            <v>0</v>
          </cell>
          <cell r="J165">
            <v>0</v>
          </cell>
          <cell r="K165" t="str">
            <v/>
          </cell>
          <cell r="M165">
            <v>5.09</v>
          </cell>
          <cell r="N165" t="str">
            <v/>
          </cell>
          <cell r="X165" t="str">
            <v/>
          </cell>
          <cell r="AA165" t="str">
            <v/>
          </cell>
          <cell r="AF165" t="str">
            <v/>
          </cell>
          <cell r="AJ165" t="str">
            <v/>
          </cell>
          <cell r="AM165" t="str">
            <v/>
          </cell>
          <cell r="AN165" t="str">
            <v/>
          </cell>
          <cell r="BG165" t="str">
            <v/>
          </cell>
          <cell r="BK165" t="str">
            <v/>
          </cell>
          <cell r="BL165" t="str">
            <v/>
          </cell>
          <cell r="BO165">
            <v>9.44</v>
          </cell>
          <cell r="BP165">
            <v>5.09</v>
          </cell>
          <cell r="BQ165">
            <v>5.09</v>
          </cell>
          <cell r="BU165" t="str">
            <v/>
          </cell>
          <cell r="BW165">
            <v>0</v>
          </cell>
          <cell r="BX165">
            <v>0</v>
          </cell>
          <cell r="BY165">
            <v>0</v>
          </cell>
          <cell r="BZ165">
            <v>-3.92</v>
          </cell>
          <cell r="CA165">
            <v>-3.92</v>
          </cell>
          <cell r="CB165">
            <v>-3.92</v>
          </cell>
        </row>
        <row r="166">
          <cell r="F166" t="str">
            <v>I</v>
          </cell>
          <cell r="M166">
            <v>4.1499999999999995</v>
          </cell>
          <cell r="BO166">
            <v>9.44</v>
          </cell>
          <cell r="BP166">
            <v>4.1499999999999995</v>
          </cell>
          <cell r="BQ166">
            <v>4.1499999999999995</v>
          </cell>
          <cell r="BU166" t="str">
            <v/>
          </cell>
          <cell r="BW166">
            <v>0</v>
          </cell>
          <cell r="BX166">
            <v>0</v>
          </cell>
          <cell r="BY166">
            <v>0</v>
          </cell>
          <cell r="BZ166">
            <v>-4.76</v>
          </cell>
          <cell r="CA166">
            <v>-4.76</v>
          </cell>
          <cell r="CB166">
            <v>-4.76</v>
          </cell>
        </row>
        <row r="167">
          <cell r="M167">
            <v>4.16</v>
          </cell>
          <cell r="N167" t="str">
            <v/>
          </cell>
          <cell r="X167" t="str">
            <v/>
          </cell>
        </row>
        <row r="168">
          <cell r="F168" t="str">
            <v>S</v>
          </cell>
          <cell r="G168" t="str">
            <v>9/9</v>
          </cell>
          <cell r="H168">
            <v>5.0999999999999996</v>
          </cell>
          <cell r="I168">
            <v>4.8499999999999996</v>
          </cell>
          <cell r="J168">
            <v>4.8499999999999996</v>
          </cell>
          <cell r="K168" t="str">
            <v/>
          </cell>
          <cell r="M168">
            <v>5.0999999999999996</v>
          </cell>
          <cell r="N168">
            <v>0.94999999999999929</v>
          </cell>
          <cell r="S168">
            <v>0.9</v>
          </cell>
          <cell r="T168">
            <v>4</v>
          </cell>
          <cell r="U168">
            <v>0.96</v>
          </cell>
          <cell r="V168">
            <v>20</v>
          </cell>
          <cell r="X168">
            <v>0.95</v>
          </cell>
          <cell r="AA168">
            <v>25</v>
          </cell>
          <cell r="AD168">
            <v>0.35199999999999998</v>
          </cell>
          <cell r="AF168">
            <v>0.35199999999999998</v>
          </cell>
          <cell r="AJ168" t="e">
            <v>#DIV/0!</v>
          </cell>
          <cell r="AM168">
            <v>4.1500000000000004</v>
          </cell>
          <cell r="AN168">
            <v>4.1500000000000004</v>
          </cell>
          <cell r="BG168" t="str">
            <v/>
          </cell>
          <cell r="BK168" t="str">
            <v/>
          </cell>
          <cell r="BL168" t="str">
            <v/>
          </cell>
          <cell r="BO168">
            <v>4.1500000000000004</v>
          </cell>
          <cell r="BP168">
            <v>4.1500000000000004</v>
          </cell>
          <cell r="BQ168">
            <v>4.1500000000000004</v>
          </cell>
          <cell r="BU168">
            <v>0.33</v>
          </cell>
          <cell r="BW168">
            <v>0</v>
          </cell>
          <cell r="BX168">
            <v>0</v>
          </cell>
          <cell r="BY168">
            <v>0</v>
          </cell>
          <cell r="BZ168">
            <v>0</v>
          </cell>
          <cell r="CA168">
            <v>0.33</v>
          </cell>
          <cell r="CB168">
            <v>0</v>
          </cell>
        </row>
        <row r="169">
          <cell r="F169" t="str">
            <v>I</v>
          </cell>
          <cell r="G169" t="str">
            <v>9/3</v>
          </cell>
          <cell r="H169">
            <v>4.1500000000000004</v>
          </cell>
          <cell r="I169">
            <v>2.61</v>
          </cell>
          <cell r="J169">
            <v>2.64</v>
          </cell>
          <cell r="K169">
            <v>-3.0000000000000249E-2</v>
          </cell>
          <cell r="M169">
            <v>4.1800000000000006</v>
          </cell>
        </row>
        <row r="170">
          <cell r="K170" t="str">
            <v/>
          </cell>
          <cell r="N170" t="str">
            <v/>
          </cell>
          <cell r="X170" t="str">
            <v/>
          </cell>
          <cell r="AA170" t="str">
            <v/>
          </cell>
          <cell r="AF170" t="str">
            <v/>
          </cell>
          <cell r="AJ170" t="str">
            <v/>
          </cell>
          <cell r="AM170" t="str">
            <v/>
          </cell>
          <cell r="AN170" t="str">
            <v/>
          </cell>
          <cell r="BG170" t="str">
            <v/>
          </cell>
          <cell r="BK170" t="str">
            <v/>
          </cell>
          <cell r="BL170" t="str">
            <v/>
          </cell>
          <cell r="BP170" t="str">
            <v/>
          </cell>
          <cell r="BQ170" t="str">
            <v/>
          </cell>
          <cell r="BU170" t="str">
            <v/>
          </cell>
        </row>
        <row r="171">
          <cell r="F171" t="str">
            <v>I</v>
          </cell>
          <cell r="G171" t="str">
            <v>0/12</v>
          </cell>
          <cell r="H171">
            <v>9.1999999999999993</v>
          </cell>
          <cell r="I171">
            <v>7.98</v>
          </cell>
          <cell r="J171">
            <v>7.96</v>
          </cell>
          <cell r="K171">
            <v>2.0000000000000462E-2</v>
          </cell>
          <cell r="M171">
            <v>9.18</v>
          </cell>
          <cell r="N171" t="str">
            <v/>
          </cell>
          <cell r="X171" t="str">
            <v/>
          </cell>
          <cell r="AA171" t="str">
            <v/>
          </cell>
          <cell r="AF171" t="str">
            <v/>
          </cell>
          <cell r="AJ171" t="str">
            <v/>
          </cell>
          <cell r="AM171" t="str">
            <v/>
          </cell>
          <cell r="AN171" t="str">
            <v/>
          </cell>
          <cell r="BG171" t="str">
            <v/>
          </cell>
          <cell r="BK171" t="str">
            <v/>
          </cell>
          <cell r="BL171" t="str">
            <v/>
          </cell>
          <cell r="BO171">
            <v>9.0499999999999989</v>
          </cell>
          <cell r="BP171">
            <v>9.18</v>
          </cell>
          <cell r="BQ171">
            <v>9.18</v>
          </cell>
          <cell r="BU171" t="str">
            <v/>
          </cell>
          <cell r="BW171">
            <v>0</v>
          </cell>
          <cell r="BX171">
            <v>0</v>
          </cell>
          <cell r="BY171">
            <v>0</v>
          </cell>
          <cell r="BZ171">
            <v>0.12</v>
          </cell>
          <cell r="CA171">
            <v>0.12</v>
          </cell>
          <cell r="CB171">
            <v>0.12</v>
          </cell>
        </row>
        <row r="172">
          <cell r="F172" t="str">
            <v>S</v>
          </cell>
          <cell r="G172" t="str">
            <v>12/12</v>
          </cell>
          <cell r="H172">
            <v>9.41</v>
          </cell>
          <cell r="I172">
            <v>9.4600000000000009</v>
          </cell>
          <cell r="J172">
            <v>9.41</v>
          </cell>
          <cell r="K172">
            <v>5.0000000000000711E-2</v>
          </cell>
          <cell r="M172">
            <v>9.36</v>
          </cell>
          <cell r="N172">
            <v>0.3100000000000005</v>
          </cell>
          <cell r="S172">
            <v>0.9</v>
          </cell>
          <cell r="T172">
            <v>4</v>
          </cell>
          <cell r="U172">
            <v>0.96</v>
          </cell>
          <cell r="V172">
            <v>20</v>
          </cell>
          <cell r="X172">
            <v>0.92</v>
          </cell>
          <cell r="AA172">
            <v>25</v>
          </cell>
          <cell r="AD172">
            <v>0.35199999999999998</v>
          </cell>
          <cell r="AF172">
            <v>0.35199999999999998</v>
          </cell>
          <cell r="AJ172" t="e">
            <v>#DIV/0!</v>
          </cell>
          <cell r="AM172">
            <v>8.44</v>
          </cell>
          <cell r="AN172">
            <v>8.44</v>
          </cell>
          <cell r="BG172" t="str">
            <v/>
          </cell>
          <cell r="BK172" t="str">
            <v/>
          </cell>
          <cell r="BL172" t="str">
            <v/>
          </cell>
          <cell r="BO172">
            <v>9.0499999999999989</v>
          </cell>
          <cell r="BP172">
            <v>8.44</v>
          </cell>
          <cell r="BQ172">
            <v>8.44</v>
          </cell>
          <cell r="BU172">
            <v>0.32</v>
          </cell>
          <cell r="BW172">
            <v>0</v>
          </cell>
          <cell r="BX172">
            <v>0</v>
          </cell>
          <cell r="BY172">
            <v>0</v>
          </cell>
          <cell r="BZ172">
            <v>-0.55000000000000004</v>
          </cell>
          <cell r="CA172">
            <v>-0.23000000000000004</v>
          </cell>
          <cell r="CB172">
            <v>-0.55000000000000004</v>
          </cell>
        </row>
        <row r="173">
          <cell r="F173" t="str">
            <v>I</v>
          </cell>
          <cell r="G173" t="str">
            <v>12/9</v>
          </cell>
          <cell r="H173">
            <v>8.2799999999999994</v>
          </cell>
          <cell r="I173">
            <v>7.89</v>
          </cell>
          <cell r="J173">
            <v>7.77</v>
          </cell>
          <cell r="K173">
            <v>0.12000000000000011</v>
          </cell>
          <cell r="M173">
            <v>8.16</v>
          </cell>
          <cell r="N173" t="str">
            <v/>
          </cell>
          <cell r="X173" t="str">
            <v/>
          </cell>
          <cell r="AA173" t="str">
            <v/>
          </cell>
          <cell r="AF173" t="str">
            <v/>
          </cell>
          <cell r="AJ173" t="str">
            <v/>
          </cell>
          <cell r="AM173" t="str">
            <v/>
          </cell>
          <cell r="AN173" t="str">
            <v/>
          </cell>
          <cell r="BG173" t="str">
            <v/>
          </cell>
          <cell r="BK173" t="str">
            <v/>
          </cell>
          <cell r="BL173" t="str">
            <v/>
          </cell>
          <cell r="BO173">
            <v>9.0499999999999989</v>
          </cell>
          <cell r="BP173">
            <v>8.16</v>
          </cell>
          <cell r="BQ173">
            <v>8.16</v>
          </cell>
          <cell r="BU173" t="str">
            <v/>
          </cell>
          <cell r="BW173">
            <v>0</v>
          </cell>
          <cell r="BX173">
            <v>0</v>
          </cell>
          <cell r="BY173">
            <v>0</v>
          </cell>
          <cell r="BZ173">
            <v>-0.8</v>
          </cell>
          <cell r="CA173">
            <v>-0.8</v>
          </cell>
          <cell r="CB173">
            <v>-0.8</v>
          </cell>
        </row>
        <row r="174">
          <cell r="F174" t="str">
            <v>I</v>
          </cell>
          <cell r="G174" t="str">
            <v>6/6</v>
          </cell>
          <cell r="H174">
            <v>2.5</v>
          </cell>
          <cell r="I174">
            <v>2.0499999999999998</v>
          </cell>
          <cell r="J174">
            <v>1.36</v>
          </cell>
          <cell r="K174">
            <v>0.68999999999999972</v>
          </cell>
          <cell r="M174">
            <v>1.8100000000000003</v>
          </cell>
          <cell r="N174" t="str">
            <v/>
          </cell>
          <cell r="X174" t="str">
            <v/>
          </cell>
          <cell r="AA174" t="str">
            <v/>
          </cell>
          <cell r="AF174" t="str">
            <v/>
          </cell>
          <cell r="AJ174" t="str">
            <v/>
          </cell>
          <cell r="AM174" t="str">
            <v/>
          </cell>
          <cell r="AN174" t="str">
            <v/>
          </cell>
          <cell r="BG174" t="str">
            <v/>
          </cell>
          <cell r="BK174" t="str">
            <v/>
          </cell>
          <cell r="BL174" t="str">
            <v/>
          </cell>
          <cell r="BO174">
            <v>9.0499999999999989</v>
          </cell>
          <cell r="BP174">
            <v>1.8100000000000003</v>
          </cell>
          <cell r="BQ174">
            <v>1.8100000000000003</v>
          </cell>
          <cell r="BU174" t="str">
            <v/>
          </cell>
          <cell r="BW174">
            <v>0</v>
          </cell>
          <cell r="BX174">
            <v>0</v>
          </cell>
          <cell r="BY174">
            <v>0</v>
          </cell>
          <cell r="BZ174">
            <v>-6.52</v>
          </cell>
          <cell r="CA174">
            <v>-6.52</v>
          </cell>
          <cell r="CB174">
            <v>-6.52</v>
          </cell>
        </row>
        <row r="175">
          <cell r="F175" t="str">
            <v>I</v>
          </cell>
          <cell r="M175">
            <v>2.44</v>
          </cell>
          <cell r="BO175">
            <v>9.0499999999999989</v>
          </cell>
          <cell r="BP175">
            <v>2.44</v>
          </cell>
          <cell r="BQ175">
            <v>2.44</v>
          </cell>
          <cell r="BU175" t="str">
            <v/>
          </cell>
          <cell r="BW175">
            <v>0</v>
          </cell>
          <cell r="BX175">
            <v>0</v>
          </cell>
          <cell r="BY175">
            <v>0</v>
          </cell>
          <cell r="BZ175">
            <v>-5.95</v>
          </cell>
          <cell r="CA175">
            <v>-5.95</v>
          </cell>
          <cell r="CB175">
            <v>-5.95</v>
          </cell>
        </row>
        <row r="176">
          <cell r="N176" t="str">
            <v/>
          </cell>
          <cell r="X176" t="str">
            <v/>
          </cell>
        </row>
        <row r="177">
          <cell r="F177" t="str">
            <v>S</v>
          </cell>
          <cell r="G177" t="str">
            <v>6/6</v>
          </cell>
          <cell r="H177">
            <v>3.37</v>
          </cell>
          <cell r="I177">
            <v>0</v>
          </cell>
          <cell r="J177">
            <v>0</v>
          </cell>
          <cell r="K177" t="str">
            <v/>
          </cell>
          <cell r="M177">
            <v>3.37</v>
          </cell>
          <cell r="N177">
            <v>0.93000000000000016</v>
          </cell>
          <cell r="U177">
            <v>0.93</v>
          </cell>
          <cell r="V177">
            <v>3</v>
          </cell>
          <cell r="X177">
            <v>0.93</v>
          </cell>
          <cell r="AA177">
            <v>4</v>
          </cell>
          <cell r="AF177" t="e">
            <v>#DIV/0!</v>
          </cell>
          <cell r="AJ177" t="e">
            <v>#DIV/0!</v>
          </cell>
          <cell r="AM177">
            <v>2.44</v>
          </cell>
          <cell r="AN177">
            <v>2.44</v>
          </cell>
          <cell r="BG177" t="str">
            <v/>
          </cell>
          <cell r="BK177" t="str">
            <v/>
          </cell>
          <cell r="BL177" t="str">
            <v/>
          </cell>
          <cell r="BO177">
            <v>2.44</v>
          </cell>
          <cell r="BP177">
            <v>2.44</v>
          </cell>
          <cell r="BQ177">
            <v>2.44</v>
          </cell>
          <cell r="BU177" t="e">
            <v>#DIV/0!</v>
          </cell>
          <cell r="BW177">
            <v>0</v>
          </cell>
          <cell r="BX177">
            <v>0</v>
          </cell>
          <cell r="BY177">
            <v>0</v>
          </cell>
          <cell r="BZ177">
            <v>0</v>
          </cell>
          <cell r="CA177" t="e">
            <v>#DIV/0!</v>
          </cell>
          <cell r="CB177">
            <v>0</v>
          </cell>
        </row>
        <row r="178">
          <cell r="F178" t="str">
            <v>S</v>
          </cell>
          <cell r="G178" t="str">
            <v>-</v>
          </cell>
          <cell r="H178">
            <v>3.96</v>
          </cell>
          <cell r="AJ178" t="str">
            <v/>
          </cell>
          <cell r="BO178">
            <v>2.44</v>
          </cell>
          <cell r="BP178" t="str">
            <v/>
          </cell>
          <cell r="BQ178" t="str">
            <v/>
          </cell>
        </row>
        <row r="179">
          <cell r="AJ179" t="str">
            <v/>
          </cell>
          <cell r="BP179" t="str">
            <v/>
          </cell>
          <cell r="BQ179" t="str">
            <v/>
          </cell>
        </row>
        <row r="180">
          <cell r="K180" t="str">
            <v/>
          </cell>
          <cell r="N180" t="str">
            <v/>
          </cell>
          <cell r="X180" t="str">
            <v/>
          </cell>
          <cell r="AA180" t="str">
            <v/>
          </cell>
          <cell r="AF180" t="str">
            <v/>
          </cell>
          <cell r="AJ180" t="str">
            <v/>
          </cell>
          <cell r="AM180" t="str">
            <v/>
          </cell>
          <cell r="AN180" t="str">
            <v/>
          </cell>
          <cell r="BG180" t="str">
            <v/>
          </cell>
          <cell r="BK180" t="str">
            <v/>
          </cell>
          <cell r="BL180" t="str">
            <v/>
          </cell>
          <cell r="BP180" t="str">
            <v/>
          </cell>
          <cell r="BQ180" t="str">
            <v/>
          </cell>
          <cell r="BU180" t="str">
            <v/>
          </cell>
        </row>
        <row r="181">
          <cell r="F181" t="str">
            <v>I</v>
          </cell>
          <cell r="G181" t="str">
            <v>0/9</v>
          </cell>
          <cell r="H181">
            <v>5.56</v>
          </cell>
          <cell r="I181">
            <v>0</v>
          </cell>
          <cell r="J181">
            <v>0</v>
          </cell>
          <cell r="K181" t="str">
            <v/>
          </cell>
          <cell r="M181">
            <v>5.56</v>
          </cell>
          <cell r="N181" t="str">
            <v/>
          </cell>
          <cell r="X181" t="str">
            <v/>
          </cell>
          <cell r="AA181" t="str">
            <v/>
          </cell>
          <cell r="AF181" t="str">
            <v/>
          </cell>
          <cell r="AJ181" t="str">
            <v/>
          </cell>
          <cell r="AM181" t="str">
            <v/>
          </cell>
          <cell r="AN181" t="str">
            <v/>
          </cell>
          <cell r="BG181" t="str">
            <v/>
          </cell>
          <cell r="BK181" t="str">
            <v/>
          </cell>
          <cell r="BL181" t="str">
            <v/>
          </cell>
          <cell r="BO181">
            <v>5.56</v>
          </cell>
          <cell r="BP181">
            <v>5.56</v>
          </cell>
          <cell r="BQ181">
            <v>5.56</v>
          </cell>
          <cell r="BU181" t="str">
            <v/>
          </cell>
          <cell r="BW181">
            <v>0</v>
          </cell>
          <cell r="BX181">
            <v>0</v>
          </cell>
          <cell r="BY181">
            <v>0</v>
          </cell>
          <cell r="BZ181">
            <v>0</v>
          </cell>
          <cell r="CA181">
            <v>0</v>
          </cell>
          <cell r="CB181">
            <v>0</v>
          </cell>
        </row>
        <row r="182">
          <cell r="F182" t="str">
            <v>I</v>
          </cell>
          <cell r="M182" t="e">
            <v>#VALUE!</v>
          </cell>
          <cell r="BP182" t="e">
            <v>#VALUE!</v>
          </cell>
          <cell r="BQ182" t="e">
            <v>#VALUE!</v>
          </cell>
          <cell r="BU182" t="str">
            <v/>
          </cell>
          <cell r="BW182">
            <v>0</v>
          </cell>
          <cell r="BX182">
            <v>0</v>
          </cell>
          <cell r="BY182">
            <v>0</v>
          </cell>
          <cell r="BZ182">
            <v>0</v>
          </cell>
          <cell r="CA182">
            <v>0</v>
          </cell>
          <cell r="CB182">
            <v>0</v>
          </cell>
        </row>
        <row r="183">
          <cell r="N183" t="str">
            <v/>
          </cell>
          <cell r="X183" t="str">
            <v/>
          </cell>
        </row>
        <row r="184">
          <cell r="F184" t="str">
            <v>S</v>
          </cell>
          <cell r="G184" t="str">
            <v>9/9</v>
          </cell>
          <cell r="H184">
            <v>6.46</v>
          </cell>
          <cell r="I184">
            <v>8.1</v>
          </cell>
          <cell r="J184">
            <v>8.1</v>
          </cell>
          <cell r="K184" t="str">
            <v/>
          </cell>
          <cell r="M184">
            <v>6.46</v>
          </cell>
          <cell r="N184" t="str">
            <v/>
          </cell>
          <cell r="U184">
            <v>0.93</v>
          </cell>
          <cell r="V184">
            <v>3</v>
          </cell>
          <cell r="X184" t="e">
            <v>#VALUE!</v>
          </cell>
          <cell r="AA184">
            <v>3</v>
          </cell>
          <cell r="AF184" t="e">
            <v>#DIV/0!</v>
          </cell>
          <cell r="AJ184" t="str">
            <v/>
          </cell>
          <cell r="AM184" t="e">
            <v>#VALUE!</v>
          </cell>
          <cell r="AN184" t="e">
            <v>#VALUE!</v>
          </cell>
          <cell r="BG184" t="str">
            <v/>
          </cell>
          <cell r="BK184" t="str">
            <v/>
          </cell>
          <cell r="BL184" t="str">
            <v/>
          </cell>
          <cell r="BO184" t="e">
            <v>#VALUE!</v>
          </cell>
          <cell r="BP184" t="e">
            <v>#VALUE!</v>
          </cell>
          <cell r="BQ184" t="e">
            <v>#VALUE!</v>
          </cell>
          <cell r="BU184" t="e">
            <v>#VALUE!</v>
          </cell>
          <cell r="BW184">
            <v>0</v>
          </cell>
          <cell r="BX184">
            <v>0</v>
          </cell>
          <cell r="BY184">
            <v>0</v>
          </cell>
          <cell r="BZ184">
            <v>0</v>
          </cell>
          <cell r="CA184" t="e">
            <v>#VALUE!</v>
          </cell>
          <cell r="CB184">
            <v>0</v>
          </cell>
        </row>
        <row r="185">
          <cell r="F185" t="str">
            <v>S</v>
          </cell>
          <cell r="G185" t="str">
            <v>-</v>
          </cell>
          <cell r="H185">
            <v>7.03</v>
          </cell>
          <cell r="K185" t="str">
            <v/>
          </cell>
          <cell r="M185">
            <v>7.03</v>
          </cell>
          <cell r="N185" t="str">
            <v/>
          </cell>
          <cell r="X185" t="str">
            <v/>
          </cell>
          <cell r="AA185" t="str">
            <v/>
          </cell>
          <cell r="AE185">
            <v>0.4</v>
          </cell>
          <cell r="AF185" t="str">
            <v/>
          </cell>
          <cell r="AJ185" t="str">
            <v/>
          </cell>
          <cell r="AM185" t="e">
            <v>#VALUE!</v>
          </cell>
          <cell r="AN185" t="e">
            <v>#VALUE!</v>
          </cell>
          <cell r="BG185" t="str">
            <v/>
          </cell>
          <cell r="BK185" t="str">
            <v/>
          </cell>
          <cell r="BL185" t="str">
            <v/>
          </cell>
          <cell r="BO185" t="e">
            <v>#VALUE!</v>
          </cell>
          <cell r="BP185" t="e">
            <v>#VALUE!</v>
          </cell>
          <cell r="BQ185" t="e">
            <v>#VALUE!</v>
          </cell>
          <cell r="BU185" t="e">
            <v>#VALUE!</v>
          </cell>
          <cell r="BW185">
            <v>0</v>
          </cell>
          <cell r="BX185">
            <v>0</v>
          </cell>
          <cell r="BY185">
            <v>0</v>
          </cell>
          <cell r="BZ185">
            <v>0</v>
          </cell>
          <cell r="CA185" t="e">
            <v>#VALUE!</v>
          </cell>
          <cell r="CB185">
            <v>0</v>
          </cell>
        </row>
        <row r="186">
          <cell r="F186" t="str">
            <v>I</v>
          </cell>
          <cell r="G186" t="str">
            <v>3/0</v>
          </cell>
          <cell r="H186">
            <v>0.45</v>
          </cell>
          <cell r="BO186" t="e">
            <v>#VALUE!</v>
          </cell>
        </row>
        <row r="187">
          <cell r="F187" t="str">
            <v>I</v>
          </cell>
          <cell r="M187">
            <v>0.15</v>
          </cell>
          <cell r="BO187" t="e">
            <v>#VALUE!</v>
          </cell>
          <cell r="BP187">
            <v>0.15</v>
          </cell>
          <cell r="BQ187">
            <v>0.15</v>
          </cell>
          <cell r="BU187" t="str">
            <v/>
          </cell>
          <cell r="BW187">
            <v>0</v>
          </cell>
          <cell r="BX187">
            <v>0</v>
          </cell>
          <cell r="BY187">
            <v>0</v>
          </cell>
          <cell r="BZ187">
            <v>0</v>
          </cell>
          <cell r="CA187">
            <v>0</v>
          </cell>
          <cell r="CB187">
            <v>0</v>
          </cell>
        </row>
        <row r="188">
          <cell r="N188" t="str">
            <v/>
          </cell>
          <cell r="X188" t="str">
            <v/>
          </cell>
        </row>
        <row r="191">
          <cell r="F191" t="str">
            <v>S</v>
          </cell>
          <cell r="G191" t="str">
            <v>0/12</v>
          </cell>
          <cell r="H191">
            <v>9.61</v>
          </cell>
          <cell r="I191">
            <v>3.49</v>
          </cell>
          <cell r="J191">
            <v>3</v>
          </cell>
          <cell r="K191">
            <v>0.49000000000000021</v>
          </cell>
          <cell r="M191">
            <v>9.1199999999999992</v>
          </cell>
          <cell r="N191">
            <v>0.92999999999999972</v>
          </cell>
          <cell r="U191">
            <v>0.93</v>
          </cell>
          <cell r="V191">
            <v>3</v>
          </cell>
          <cell r="X191">
            <v>0.93</v>
          </cell>
          <cell r="AA191">
            <v>4</v>
          </cell>
          <cell r="AF191" t="e">
            <v>#DIV/0!</v>
          </cell>
          <cell r="AJ191" t="e">
            <v>#DIV/0!</v>
          </cell>
          <cell r="AM191">
            <v>8.19</v>
          </cell>
          <cell r="AN191">
            <v>8.19</v>
          </cell>
          <cell r="BG191" t="str">
            <v/>
          </cell>
          <cell r="BK191" t="str">
            <v/>
          </cell>
          <cell r="BL191" t="str">
            <v/>
          </cell>
          <cell r="BO191">
            <v>8.19</v>
          </cell>
          <cell r="BP191">
            <v>8.19</v>
          </cell>
          <cell r="BQ191">
            <v>8.19</v>
          </cell>
          <cell r="BU191" t="e">
            <v>#DIV/0!</v>
          </cell>
          <cell r="BW191">
            <v>0</v>
          </cell>
          <cell r="BX191">
            <v>0</v>
          </cell>
          <cell r="BY191">
            <v>0</v>
          </cell>
          <cell r="BZ191">
            <v>0</v>
          </cell>
          <cell r="CA191" t="e">
            <v>#DIV/0!</v>
          </cell>
          <cell r="CB191">
            <v>0</v>
          </cell>
        </row>
        <row r="192">
          <cell r="F192" t="str">
            <v>S</v>
          </cell>
          <cell r="G192" t="str">
            <v>12/9</v>
          </cell>
          <cell r="H192">
            <v>10.26</v>
          </cell>
          <cell r="K192" t="str">
            <v/>
          </cell>
          <cell r="M192">
            <v>10.26</v>
          </cell>
          <cell r="N192">
            <v>1.08</v>
          </cell>
          <cell r="X192">
            <v>1.08</v>
          </cell>
          <cell r="AA192">
            <v>1</v>
          </cell>
          <cell r="AF192" t="e">
            <v>#DIV/0!</v>
          </cell>
          <cell r="AJ192" t="e">
            <v>#DIV/0!</v>
          </cell>
          <cell r="AM192">
            <v>9.18</v>
          </cell>
          <cell r="AN192">
            <v>9.18</v>
          </cell>
          <cell r="BG192" t="str">
            <v/>
          </cell>
          <cell r="BK192" t="str">
            <v/>
          </cell>
          <cell r="BL192" t="str">
            <v/>
          </cell>
          <cell r="BO192">
            <v>9.18</v>
          </cell>
          <cell r="BP192">
            <v>9.18</v>
          </cell>
          <cell r="BQ192">
            <v>9.18</v>
          </cell>
          <cell r="BU192" t="e">
            <v>#DIV/0!</v>
          </cell>
          <cell r="BW192">
            <v>0</v>
          </cell>
          <cell r="BX192">
            <v>0</v>
          </cell>
          <cell r="BY192">
            <v>0</v>
          </cell>
          <cell r="BZ192">
            <v>0</v>
          </cell>
          <cell r="CA192" t="e">
            <v>#DIV/0!</v>
          </cell>
          <cell r="CB192">
            <v>0</v>
          </cell>
        </row>
        <row r="193">
          <cell r="F193" t="str">
            <v>I</v>
          </cell>
          <cell r="G193" t="str">
            <v>9/6</v>
          </cell>
          <cell r="H193">
            <v>3.5300000000000002</v>
          </cell>
        </row>
        <row r="194">
          <cell r="F194" t="str">
            <v>I</v>
          </cell>
          <cell r="M194">
            <v>0</v>
          </cell>
          <cell r="BO194">
            <v>0</v>
          </cell>
          <cell r="BP194">
            <v>0</v>
          </cell>
          <cell r="BQ194">
            <v>0</v>
          </cell>
          <cell r="BU194" t="str">
            <v/>
          </cell>
          <cell r="BW194">
            <v>0</v>
          </cell>
          <cell r="BX194">
            <v>0</v>
          </cell>
          <cell r="BY194">
            <v>0</v>
          </cell>
          <cell r="BZ194">
            <v>0</v>
          </cell>
          <cell r="CA194">
            <v>0</v>
          </cell>
          <cell r="CB194">
            <v>0</v>
          </cell>
        </row>
        <row r="195">
          <cell r="N195" t="str">
            <v/>
          </cell>
          <cell r="X195" t="str">
            <v/>
          </cell>
        </row>
        <row r="198">
          <cell r="F198" t="str">
            <v>S</v>
          </cell>
          <cell r="G198" t="str">
            <v>6/3</v>
          </cell>
          <cell r="H198">
            <v>5.4370000000000003</v>
          </cell>
          <cell r="I198">
            <v>5.47</v>
          </cell>
          <cell r="J198">
            <v>4.96</v>
          </cell>
          <cell r="K198">
            <v>0.50999999999999979</v>
          </cell>
          <cell r="M198">
            <v>4.9270000000000005</v>
          </cell>
          <cell r="N198" t="str">
            <v/>
          </cell>
          <cell r="U198">
            <v>2.9292857142857147</v>
          </cell>
          <cell r="V198">
            <v>14</v>
          </cell>
          <cell r="X198" t="e">
            <v>#VALUE!</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ke_Summary"/>
      <sheetName val="Stake_Sheet"/>
      <sheetName val="Pit_Sheet"/>
      <sheetName val="PitCore_Sheet"/>
      <sheetName val="FirnCore_Sheet"/>
    </sheetNames>
    <sheetDataSet>
      <sheetData sheetId="0" refreshError="1"/>
      <sheetData sheetId="1" refreshError="1"/>
      <sheetData sheetId="2"/>
      <sheetData sheetId="3">
        <row r="2">
          <cell r="B2"/>
        </row>
        <row r="13">
          <cell r="C13">
            <v>10</v>
          </cell>
          <cell r="P13">
            <v>0</v>
          </cell>
        </row>
        <row r="14">
          <cell r="C14">
            <v>20</v>
          </cell>
          <cell r="P14">
            <v>0</v>
          </cell>
        </row>
        <row r="15">
          <cell r="C15">
            <v>30</v>
          </cell>
          <cell r="P15">
            <v>0</v>
          </cell>
        </row>
        <row r="16">
          <cell r="C16">
            <v>40</v>
          </cell>
          <cell r="P16">
            <v>0</v>
          </cell>
        </row>
        <row r="17">
          <cell r="C17">
            <v>50</v>
          </cell>
          <cell r="P17">
            <v>0</v>
          </cell>
        </row>
        <row r="18">
          <cell r="C18">
            <v>60</v>
          </cell>
          <cell r="P18">
            <v>0</v>
          </cell>
        </row>
        <row r="19">
          <cell r="C19">
            <v>70</v>
          </cell>
          <cell r="P19">
            <v>0</v>
          </cell>
        </row>
        <row r="20">
          <cell r="C20">
            <v>80</v>
          </cell>
          <cell r="P20">
            <v>0</v>
          </cell>
        </row>
        <row r="21">
          <cell r="C21">
            <v>90</v>
          </cell>
          <cell r="P21">
            <v>0</v>
          </cell>
        </row>
        <row r="22">
          <cell r="C22">
            <v>100</v>
          </cell>
          <cell r="P22">
            <v>0</v>
          </cell>
        </row>
        <row r="25">
          <cell r="C25">
            <v>120</v>
          </cell>
          <cell r="P25">
            <v>0</v>
          </cell>
        </row>
        <row r="26">
          <cell r="C26">
            <v>140</v>
          </cell>
          <cell r="P26" t="e">
            <v>#DIV/0!</v>
          </cell>
        </row>
        <row r="27">
          <cell r="C27">
            <v>160</v>
          </cell>
          <cell r="P27" t="e">
            <v>#DIV/0!</v>
          </cell>
        </row>
        <row r="28">
          <cell r="C28"/>
          <cell r="P28" t="e">
            <v>#DIV/0!</v>
          </cell>
        </row>
        <row r="29">
          <cell r="C29"/>
          <cell r="P29" t="e">
            <v>#DIV/0!</v>
          </cell>
        </row>
        <row r="30">
          <cell r="C30"/>
          <cell r="P30" t="e">
            <v>#DIV/0!</v>
          </cell>
        </row>
        <row r="31">
          <cell r="C31"/>
          <cell r="P31" t="e">
            <v>#DIV/0!</v>
          </cell>
        </row>
        <row r="32">
          <cell r="C32"/>
          <cell r="P32" t="e">
            <v>#DIV/0!</v>
          </cell>
        </row>
        <row r="33">
          <cell r="C33"/>
          <cell r="P33" t="e">
            <v>#DIV/0!</v>
          </cell>
        </row>
        <row r="34">
          <cell r="C34"/>
          <cell r="P34" t="e">
            <v>#DIV/0!</v>
          </cell>
        </row>
        <row r="35">
          <cell r="C35"/>
          <cell r="P35" t="e">
            <v>#DIV/0!</v>
          </cell>
        </row>
        <row r="36">
          <cell r="C36"/>
          <cell r="P36" t="e">
            <v>#DIV/0!</v>
          </cell>
        </row>
        <row r="37">
          <cell r="C37"/>
          <cell r="P37" t="e">
            <v>#DIV/0!</v>
          </cell>
        </row>
        <row r="38">
          <cell r="C38"/>
          <cell r="P38" t="e">
            <v>#DIV/0!</v>
          </cell>
        </row>
        <row r="39">
          <cell r="C39"/>
          <cell r="P39" t="e">
            <v>#DIV/0!</v>
          </cell>
        </row>
        <row r="40">
          <cell r="C40"/>
          <cell r="P40" t="e">
            <v>#DIV/0!</v>
          </cell>
        </row>
        <row r="41">
          <cell r="C41"/>
          <cell r="P41" t="e">
            <v>#DIV/0!</v>
          </cell>
        </row>
        <row r="42">
          <cell r="C42"/>
          <cell r="P42" t="e">
            <v>#DIV/0!</v>
          </cell>
        </row>
        <row r="43">
          <cell r="C43"/>
          <cell r="P43" t="e">
            <v>#DIV/0!</v>
          </cell>
        </row>
        <row r="44">
          <cell r="C44"/>
          <cell r="P44" t="e">
            <v>#DIV/0!</v>
          </cell>
        </row>
        <row r="45">
          <cell r="C45"/>
          <cell r="P45" t="e">
            <v>#DIV/0!</v>
          </cell>
        </row>
        <row r="46">
          <cell r="C46"/>
          <cell r="P46" t="e">
            <v>#DIV/0!</v>
          </cell>
        </row>
        <row r="47">
          <cell r="C47"/>
          <cell r="P47" t="e">
            <v>#DIV/0!</v>
          </cell>
        </row>
        <row r="48">
          <cell r="C48"/>
          <cell r="P48" t="e">
            <v>#DIV/0!</v>
          </cell>
        </row>
        <row r="49">
          <cell r="C49"/>
          <cell r="P49" t="e">
            <v>#DIV/0!</v>
          </cell>
        </row>
        <row r="50">
          <cell r="C50"/>
          <cell r="P50" t="e">
            <v>#DIV/0!</v>
          </cell>
        </row>
        <row r="51">
          <cell r="C51"/>
          <cell r="P51" t="e">
            <v>#DIV/0!</v>
          </cell>
        </row>
        <row r="52">
          <cell r="C52"/>
          <cell r="P52" t="e">
            <v>#DIV/0!</v>
          </cell>
        </row>
        <row r="53">
          <cell r="C53"/>
          <cell r="P53" t="e">
            <v>#DIV/0!</v>
          </cell>
        </row>
        <row r="54">
          <cell r="C54"/>
          <cell r="P54" t="e">
            <v>#DIV/0!</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 Template"/>
      <sheetName val="Core Template"/>
      <sheetName val="SNOWPIT"/>
      <sheetName val="70.09.29"/>
      <sheetName val="76.10.20"/>
      <sheetName val="77.06.08"/>
      <sheetName val="96.01.13"/>
      <sheetName val="96.09.20"/>
      <sheetName val="97.05.19"/>
      <sheetName val="98.05.27"/>
      <sheetName val="99.05.14"/>
      <sheetName val="99.05.15"/>
      <sheetName val="99.09.24"/>
      <sheetName val="00.05.12"/>
      <sheetName val="00.05.12redone"/>
      <sheetName val="00.09.20"/>
      <sheetName val="01.05.17"/>
      <sheetName val="02.05.16"/>
      <sheetName val="02.10.02 core"/>
      <sheetName val="02.10.04 pit"/>
      <sheetName val="03.05.29"/>
      <sheetName val="03.09.14"/>
      <sheetName val="04.05.13 Pit"/>
      <sheetName val="04.05.13core"/>
      <sheetName val="2005.05.14Pit"/>
      <sheetName val="2005.05.14Core"/>
      <sheetName val="2006.05.13Pit"/>
      <sheetName val="2006.05.13Core"/>
      <sheetName val="2006.09.24Pit"/>
      <sheetName val="2007.05.10 Core"/>
      <sheetName val="2007.09.17Core"/>
      <sheetName val="2008.5.18 Core"/>
      <sheetName val="2008.5.18 Core (2)"/>
      <sheetName val="2008.9.28 Core"/>
      <sheetName val="2009.04.28 Pit"/>
      <sheetName val="2009.04.28 Core"/>
      <sheetName val="2010.05.05 Pit"/>
      <sheetName val="2010.05.05 Core"/>
      <sheetName val="2010.09.13 Core"/>
      <sheetName val="2011.04.27 Pit "/>
      <sheetName val="2011.04.27 Core"/>
    </sheetNames>
    <sheetDataSet>
      <sheetData sheetId="0"/>
      <sheetData sheetId="1"/>
      <sheetData sheetId="2">
        <row r="1">
          <cell r="Q1">
            <v>41.05</v>
          </cell>
        </row>
        <row r="9">
          <cell r="P9">
            <v>0</v>
          </cell>
          <cell r="Q9">
            <v>0</v>
          </cell>
        </row>
        <row r="10">
          <cell r="P10">
            <v>10</v>
          </cell>
          <cell r="Q10">
            <v>0</v>
          </cell>
        </row>
        <row r="11">
          <cell r="P11">
            <v>20</v>
          </cell>
          <cell r="Q11">
            <v>0</v>
          </cell>
        </row>
        <row r="12">
          <cell r="P12">
            <v>40</v>
          </cell>
          <cell r="Q12">
            <v>0</v>
          </cell>
        </row>
        <row r="13">
          <cell r="P13">
            <v>60</v>
          </cell>
          <cell r="Q13">
            <v>0</v>
          </cell>
        </row>
        <row r="14">
          <cell r="P14">
            <v>100</v>
          </cell>
          <cell r="Q14">
            <v>0</v>
          </cell>
        </row>
        <row r="15">
          <cell r="P15">
            <v>150</v>
          </cell>
          <cell r="Q15">
            <v>0</v>
          </cell>
        </row>
        <row r="16">
          <cell r="P16">
            <v>200</v>
          </cell>
          <cell r="Q16">
            <v>0</v>
          </cell>
        </row>
        <row r="17">
          <cell r="P17">
            <v>250</v>
          </cell>
          <cell r="Q17">
            <v>0</v>
          </cell>
        </row>
        <row r="18">
          <cell r="P18">
            <v>300</v>
          </cell>
          <cell r="Q18">
            <v>0</v>
          </cell>
        </row>
        <row r="19">
          <cell r="P19">
            <v>350</v>
          </cell>
          <cell r="Q19">
            <v>0</v>
          </cell>
        </row>
        <row r="20">
          <cell r="P20">
            <v>400</v>
          </cell>
          <cell r="Q20">
            <v>0</v>
          </cell>
        </row>
      </sheetData>
      <sheetData sheetId="3"/>
      <sheetData sheetId="4"/>
      <sheetData sheetId="5"/>
      <sheetData sheetId="6"/>
      <sheetData sheetId="7"/>
      <sheetData sheetId="8"/>
      <sheetData sheetId="9">
        <row r="3">
          <cell r="K3">
            <v>45.6</v>
          </cell>
        </row>
      </sheetData>
      <sheetData sheetId="10">
        <row r="3">
          <cell r="M3">
            <v>45.6</v>
          </cell>
        </row>
      </sheetData>
      <sheetData sheetId="11"/>
      <sheetData sheetId="12"/>
      <sheetData sheetId="13">
        <row r="3">
          <cell r="M3">
            <v>45.6</v>
          </cell>
        </row>
      </sheetData>
      <sheetData sheetId="14"/>
      <sheetData sheetId="15"/>
      <sheetData sheetId="16"/>
      <sheetData sheetId="17"/>
      <sheetData sheetId="18"/>
      <sheetData sheetId="19"/>
      <sheetData sheetId="20">
        <row r="35">
          <cell r="K35">
            <v>0.57713054921597162</v>
          </cell>
        </row>
      </sheetData>
      <sheetData sheetId="21"/>
      <sheetData sheetId="22"/>
      <sheetData sheetId="23">
        <row r="45">
          <cell r="G45">
            <v>0.54024015122222246</v>
          </cell>
        </row>
      </sheetData>
      <sheetData sheetId="24"/>
      <sheetData sheetId="25">
        <row r="33">
          <cell r="H33">
            <v>0.59710988796244679</v>
          </cell>
        </row>
      </sheetData>
      <sheetData sheetId="26"/>
      <sheetData sheetId="27">
        <row r="47">
          <cell r="M47">
            <v>-2.7</v>
          </cell>
        </row>
      </sheetData>
      <sheetData sheetId="28">
        <row r="13">
          <cell r="L13">
            <v>0.60899999999999999</v>
          </cell>
        </row>
      </sheetData>
      <sheetData sheetId="29">
        <row r="64">
          <cell r="I64">
            <v>0.48714429343263665</v>
          </cell>
        </row>
      </sheetData>
      <sheetData sheetId="30">
        <row r="32">
          <cell r="I32">
            <v>0.66464019559897736</v>
          </cell>
        </row>
      </sheetData>
      <sheetData sheetId="31">
        <row r="91">
          <cell r="I91">
            <v>0.55362323186368045</v>
          </cell>
        </row>
      </sheetData>
      <sheetData sheetId="32"/>
      <sheetData sheetId="33">
        <row r="12">
          <cell r="G12">
            <v>31</v>
          </cell>
        </row>
      </sheetData>
      <sheetData sheetId="34">
        <row r="28">
          <cell r="L28">
            <v>0.42199999999999999</v>
          </cell>
        </row>
      </sheetData>
      <sheetData sheetId="35"/>
      <sheetData sheetId="36">
        <row r="20">
          <cell r="Q20">
            <v>-1.7</v>
          </cell>
        </row>
      </sheetData>
      <sheetData sheetId="37">
        <row r="22">
          <cell r="R22">
            <v>0.41078164602432693</v>
          </cell>
        </row>
      </sheetData>
      <sheetData sheetId="38"/>
      <sheetData sheetId="39"/>
      <sheetData sheetId="4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owpit Template"/>
      <sheetName val="Core Density Template"/>
      <sheetName val="SCD May 97, 1998"/>
      <sheetName val="Sipri Core 5-13-99"/>
      <sheetName val="Sipri 5-13-99"/>
      <sheetName val="Sipri 5-10-2000"/>
      <sheetName val="2001.05.16"/>
      <sheetName val="2002.05.14"/>
      <sheetName val="2004.05.12"/>
      <sheetName val="2005.05.12 Pit"/>
      <sheetName val="2006.5.12 Pit"/>
      <sheetName val="2006.5.12 Core"/>
      <sheetName val="2007.05.10 Core"/>
      <sheetName val="2008.5.18.Core"/>
      <sheetName val="2008.09.28 Pit"/>
      <sheetName val="2009.04.27 Pit"/>
      <sheetName val="2010.5.04.Core"/>
      <sheetName val="2010.05.04 Core 2"/>
      <sheetName val="2011.04.28 Pit"/>
    </sheetNames>
    <sheetDataSet>
      <sheetData sheetId="0"/>
      <sheetData sheetId="1"/>
      <sheetData sheetId="2">
        <row r="4">
          <cell r="K4">
            <v>41.05</v>
          </cell>
        </row>
      </sheetData>
      <sheetData sheetId="3"/>
      <sheetData sheetId="4"/>
      <sheetData sheetId="5">
        <row r="28">
          <cell r="K28">
            <v>0.48334576705493021</v>
          </cell>
        </row>
      </sheetData>
      <sheetData sheetId="6">
        <row r="68">
          <cell r="K68">
            <v>0.53855464348355564</v>
          </cell>
        </row>
      </sheetData>
      <sheetData sheetId="7">
        <row r="19">
          <cell r="L19">
            <v>0.55000000000000004</v>
          </cell>
        </row>
      </sheetData>
      <sheetData sheetId="8">
        <row r="9">
          <cell r="X9">
            <v>2.52</v>
          </cell>
        </row>
      </sheetData>
      <sheetData sheetId="9">
        <row r="19">
          <cell r="L19">
            <v>0.63100000000000001</v>
          </cell>
        </row>
      </sheetData>
      <sheetData sheetId="10">
        <row r="9">
          <cell r="P9">
            <v>0</v>
          </cell>
        </row>
        <row r="10">
          <cell r="P10">
            <v>20</v>
          </cell>
          <cell r="Q10">
            <v>0</v>
          </cell>
        </row>
        <row r="11">
          <cell r="P11">
            <v>40</v>
          </cell>
          <cell r="Q11">
            <v>-1.2</v>
          </cell>
        </row>
        <row r="12">
          <cell r="P12">
            <v>60</v>
          </cell>
          <cell r="Q12">
            <v>-2.6</v>
          </cell>
        </row>
        <row r="13">
          <cell r="P13">
            <v>120</v>
          </cell>
          <cell r="Q13">
            <v>-3.5</v>
          </cell>
        </row>
        <row r="14">
          <cell r="P14">
            <v>160</v>
          </cell>
          <cell r="Q14">
            <v>-4</v>
          </cell>
        </row>
        <row r="15">
          <cell r="P15">
            <v>200</v>
          </cell>
          <cell r="Q15">
            <v>-4</v>
          </cell>
        </row>
        <row r="16">
          <cell r="P16">
            <v>230</v>
          </cell>
          <cell r="Q16">
            <v>-4</v>
          </cell>
        </row>
        <row r="17">
          <cell r="P17">
            <v>243</v>
          </cell>
          <cell r="Q17">
            <v>-2.4</v>
          </cell>
        </row>
        <row r="18">
          <cell r="P18">
            <v>298</v>
          </cell>
          <cell r="Q18">
            <v>-2.4</v>
          </cell>
        </row>
        <row r="19">
          <cell r="P19">
            <v>330</v>
          </cell>
          <cell r="Q19">
            <v>-2.7</v>
          </cell>
        </row>
        <row r="20">
          <cell r="P20">
            <v>380</v>
          </cell>
          <cell r="Q20">
            <v>-2</v>
          </cell>
        </row>
        <row r="21">
          <cell r="P21">
            <v>416</v>
          </cell>
          <cell r="Q21">
            <v>-0.9</v>
          </cell>
        </row>
        <row r="22">
          <cell r="P22">
            <v>440</v>
          </cell>
          <cell r="Q22">
            <v>-0.6</v>
          </cell>
        </row>
        <row r="23">
          <cell r="P23">
            <v>477</v>
          </cell>
          <cell r="Q23">
            <v>-0.6</v>
          </cell>
        </row>
      </sheetData>
      <sheetData sheetId="11">
        <row r="31">
          <cell r="M31">
            <v>0.49883238314309786</v>
          </cell>
        </row>
      </sheetData>
      <sheetData sheetId="12">
        <row r="37">
          <cell r="T37">
            <v>0.12153188881934174</v>
          </cell>
        </row>
      </sheetData>
      <sheetData sheetId="13">
        <row r="60">
          <cell r="O60">
            <v>-1.1000000000000001</v>
          </cell>
        </row>
      </sheetData>
      <sheetData sheetId="14">
        <row r="9">
          <cell r="P9">
            <v>0</v>
          </cell>
        </row>
        <row r="10">
          <cell r="P10">
            <v>20</v>
          </cell>
          <cell r="Q10">
            <v>0</v>
          </cell>
        </row>
      </sheetData>
      <sheetData sheetId="15">
        <row r="17">
          <cell r="L17">
            <v>0.40899999999999997</v>
          </cell>
        </row>
      </sheetData>
      <sheetData sheetId="16"/>
      <sheetData sheetId="17">
        <row r="37">
          <cell r="U37">
            <v>0.47323391440778073</v>
          </cell>
        </row>
      </sheetData>
      <sheetData sheetId="18"/>
    </sheetDataSet>
  </externalBook>
</externalLink>
</file>

<file path=xl/persons/person.xml><?xml version="1.0" encoding="utf-8"?>
<personList xmlns="http://schemas.microsoft.com/office/spreadsheetml/2018/threadedcomments" xmlns:x="http://schemas.openxmlformats.org/spreadsheetml/2006/main">
  <person displayName="Sass, Louis" id="{E4BA4CD8-DD2C-45C6-A95A-7D7FA65635D9}" userId="S::lsass@usgs.gov::532b36c5-14fd-4389-948c-e9e662e1f233" providerId="AD"/>
  <person displayName="Mcneil, Christopher J" id="{234AFD3C-752B-4BD9-BAEF-074D0832B334}" userId="S::cmcneil@usgs.gov::31fd1366-8711-4764-bb54-c10860824430" providerId="AD"/>
  <person displayName="Baker, Emily H" id="{BC2015B4-8935-47BB-89DC-D3F5F8A6E4E8}" userId="S::ehbaker@usgs.gov::571f2d89-d821-443e-b68c-9dc70dd3957d" providerId="AD"/>
  <person displayName="Bollen, Katherine E" id="{A73A5109-8A6C-4295-A36C-086EE6A6CA0A}" userId="S::kbollen@usgs.gov::e6429662-7f72-4ef0-a813-232ffb88ace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1" dT="2021-04-29T19:01:22.04" personId="{E4BA4CD8-DD2C-45C6-A95A-7D7FA65635D9}" id="{6DEC573B-3448-4676-BA90-E8E18DB407A8}">
    <text>Need to add these from Annikah</text>
  </threadedComment>
  <threadedComment ref="R32" dT="2021-04-29T19:00:44.75" personId="{E4BA4CD8-DD2C-45C6-A95A-7D7FA65635D9}" id="{3AFE9357-A66D-4E3F-BF34-D1040BC5DBAB}">
    <text>Needs to be revised based on probes around stake</text>
  </threadedComment>
</ThreadedComments>
</file>

<file path=xl/threadedComments/threadedComment2.xml><?xml version="1.0" encoding="utf-8"?>
<ThreadedComments xmlns="http://schemas.microsoft.com/office/spreadsheetml/2018/threadedcomments" xmlns:x="http://schemas.openxmlformats.org/spreadsheetml/2006/main">
  <threadedComment ref="E44" dT="2023-09-09T02:58:50.39" personId="{234AFD3C-752B-4BD9-BAEF-074D0832B334}" id="{9E68F2AE-AB3B-4A1D-9BE9-1E9EC58F2986}">
    <text>Removed 6.10m section and was unable to get it back on to coupler in drill hole...</text>
  </threadedComment>
  <threadedComment ref="E47" dT="2024-01-31T21:19:15.43" personId="{A73A5109-8A6C-4295-A36C-086EE6A6CA0A}" id="{EDFFF642-B5B5-49CD-806C-BF6F077D2B96}">
    <text>The data for this stake were initially entered incorrectly. The data from 23B were entered instead of 23S. The corrected inputs changed the 23S annual balance from 0 mwe to -0.79 mwe.</text>
  </threadedComment>
</ThreadedComments>
</file>

<file path=xl/threadedComments/threadedComment3.xml><?xml version="1.0" encoding="utf-8"?>
<ThreadedComments xmlns="http://schemas.microsoft.com/office/spreadsheetml/2018/threadedcomments" xmlns:x="http://schemas.openxmlformats.org/spreadsheetml/2006/main">
  <threadedComment ref="G12" dT="2022-05-05T01:45:04.18" personId="{234AFD3C-752B-4BD9-BAEF-074D0832B334}" id="{C631F6AD-C92B-4EA9-A958-FAE8B8AAD9F0}">
    <text>stake bent</text>
  </threadedComment>
  <threadedComment ref="R13" dT="2022-05-05T01:56:58.91" personId="{234AFD3C-752B-4BD9-BAEF-074D0832B334}" id="{5077E546-3F87-486E-82E4-74B6B4F54646}">
    <text>Stake bent several times over the winter, so not a valid measure of winter ablation. Will need to measure in the fall.</text>
  </threadedComment>
  <threadedComment ref="G17" dT="2023-05-08T21:58:04.23" personId="{BC2015B4-8935-47BB-89DC-D3F5F8A6E4E8}" id="{77DD3D06-12DC-4A1D-B3C2-49CE10B3DA51}">
    <text>stake bent</text>
  </threadedComment>
</ThreadedComments>
</file>

<file path=xl/threadedComments/threadedComment4.xml><?xml version="1.0" encoding="utf-8"?>
<ThreadedComments xmlns="http://schemas.microsoft.com/office/spreadsheetml/2018/threadedcomments" xmlns:x="http://schemas.openxmlformats.org/spreadsheetml/2006/main">
  <threadedComment ref="I14" dT="2021-04-20T20:41:25.98" personId="{E4BA4CD8-DD2C-45C6-A95A-7D7FA65635D9}" id="{8F2C332E-9F91-45A9-99C1-E19D5BDA90A1}">
    <text>Stake is slightly upstream of index site in a region of incrreasing snow thickness</text>
  </threadedComment>
</ThreadedComments>
</file>

<file path=xl/threadedComments/threadedComment5.xml><?xml version="1.0" encoding="utf-8"?>
<ThreadedComments xmlns="http://schemas.microsoft.com/office/spreadsheetml/2018/threadedcomments" xmlns:x="http://schemas.openxmlformats.org/spreadsheetml/2006/main">
  <threadedComment ref="I25" dT="2021-04-28T20:25:43.68" personId="{E4BA4CD8-DD2C-45C6-A95A-7D7FA65635D9}" id="{0E8E9BE7-10D4-4951-B75D-85A19FF3C800}">
    <text>this suggests a serious bend</text>
  </threadedComment>
  <threadedComment ref="I44" dT="2021-09-14T17:12:22.35" personId="{E4BA4CD8-DD2C-45C6-A95A-7D7FA65635D9}" id="{9D08F942-0CD8-4002-BE9C-DF47276B7C42}">
    <text>Not entirely certain about the source of the discrepancy here. The core was unequivocal</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printerSettings" Target="../printerSettings/printerSettings10.bin"/><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printerSettings" Target="../printerSettings/printerSettings11.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printerSettings" Target="../printerSettings/printerSettings12.bin"/><Relationship Id="rId4" Type="http://schemas.openxmlformats.org/officeDocument/2006/relationships/comments" Target="../comments1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8"/>
  <sheetViews>
    <sheetView tabSelected="1" workbookViewId="0">
      <selection activeCell="I23" sqref="I23"/>
    </sheetView>
  </sheetViews>
  <sheetFormatPr defaultRowHeight="15"/>
  <cols>
    <col min="3" max="3" width="10.7109375" customWidth="1"/>
    <col min="4" max="4" width="11" customWidth="1"/>
    <col min="5" max="5" width="9" bestFit="1" customWidth="1"/>
    <col min="6" max="6" width="11.42578125" bestFit="1" customWidth="1"/>
    <col min="8" max="8" width="14.5703125" bestFit="1" customWidth="1"/>
    <col min="9" max="9" width="20.85546875" bestFit="1" customWidth="1"/>
    <col min="10" max="10" width="13.5703125" customWidth="1"/>
    <col min="11" max="11" width="21.5703125" customWidth="1"/>
  </cols>
  <sheetData>
    <row r="2" spans="1:11">
      <c r="A2" s="933" t="s">
        <v>0</v>
      </c>
      <c r="B2" s="934"/>
      <c r="C2" s="934"/>
      <c r="D2" s="934"/>
      <c r="E2" s="934"/>
      <c r="F2" s="934"/>
      <c r="G2" s="934"/>
      <c r="H2" s="934"/>
      <c r="I2" s="935"/>
      <c r="J2" s="316"/>
      <c r="K2" s="316"/>
    </row>
    <row r="3" spans="1:11">
      <c r="A3" s="321" t="s">
        <v>84</v>
      </c>
      <c r="B3" s="15" t="s">
        <v>1</v>
      </c>
      <c r="C3" s="15" t="s">
        <v>3</v>
      </c>
      <c r="D3" s="15" t="s">
        <v>4</v>
      </c>
      <c r="E3" s="15" t="s">
        <v>2</v>
      </c>
      <c r="F3" s="15" t="s">
        <v>5</v>
      </c>
      <c r="G3" s="15" t="s">
        <v>6</v>
      </c>
      <c r="H3" s="15" t="s">
        <v>7</v>
      </c>
      <c r="I3" s="322" t="s">
        <v>8</v>
      </c>
    </row>
    <row r="4" spans="1:11">
      <c r="A4" s="136">
        <v>2023</v>
      </c>
      <c r="B4" s="318" t="s">
        <v>250</v>
      </c>
      <c r="C4" s="319">
        <f>AUU!G19</f>
        <v>45053</v>
      </c>
      <c r="D4" s="319">
        <f>AUU!I19</f>
        <v>45176</v>
      </c>
      <c r="E4" s="911">
        <f>AUU!V9</f>
        <v>656.88400000000001</v>
      </c>
      <c r="F4" s="269">
        <f>AUU!C20</f>
        <v>0.53227743271221528</v>
      </c>
      <c r="G4" s="320">
        <f>AUU!C22</f>
        <v>-4.3217999999999996</v>
      </c>
      <c r="H4" s="269">
        <f>AUU!C24</f>
        <v>-0.57420000000000149</v>
      </c>
      <c r="I4" s="323">
        <f>AUU!C25</f>
        <v>0</v>
      </c>
    </row>
    <row r="5" spans="1:11">
      <c r="A5" s="136">
        <v>2023</v>
      </c>
      <c r="B5" s="137" t="s">
        <v>57</v>
      </c>
      <c r="C5" s="319">
        <f>N!G44</f>
        <v>45052</v>
      </c>
      <c r="D5" s="319">
        <f>N!I44</f>
        <v>45176</v>
      </c>
      <c r="E5" s="911">
        <f>N!V39</f>
        <v>996.995</v>
      </c>
      <c r="F5" s="269">
        <f>N!C45</f>
        <v>1.0304903001156207</v>
      </c>
      <c r="G5" s="269">
        <f>N!C47</f>
        <v>-2.4465000000000008</v>
      </c>
      <c r="H5" s="320">
        <f>N!C49</f>
        <v>-0.37574999999999881</v>
      </c>
      <c r="I5" s="323">
        <f>N!C50</f>
        <v>0</v>
      </c>
    </row>
    <row r="6" spans="1:11">
      <c r="A6" s="136">
        <v>2023</v>
      </c>
      <c r="B6" s="137" t="s">
        <v>58</v>
      </c>
      <c r="C6" s="319">
        <f>B!G63</f>
        <v>45052</v>
      </c>
      <c r="D6" s="319">
        <f>B!I63</f>
        <v>45176</v>
      </c>
      <c r="E6" s="911">
        <f>B!V58</f>
        <v>1058.954</v>
      </c>
      <c r="F6" s="269">
        <f>B!C64</f>
        <v>1.1702604279904378</v>
      </c>
      <c r="G6" s="269">
        <f>B!C66</f>
        <v>-2.0013750000000012</v>
      </c>
      <c r="H6" s="320">
        <f>B!C68</f>
        <v>-9.8999999999999685E-2</v>
      </c>
      <c r="I6" s="323">
        <f>B!C69</f>
        <v>0</v>
      </c>
    </row>
    <row r="7" spans="1:11">
      <c r="A7" s="136">
        <v>2023</v>
      </c>
      <c r="B7" s="137" t="s">
        <v>59</v>
      </c>
      <c r="C7" s="319">
        <f>S!G52</f>
        <v>45052</v>
      </c>
      <c r="D7" s="319">
        <f>S!I52</f>
        <v>45176</v>
      </c>
      <c r="E7" s="911">
        <f>S!V46</f>
        <v>1234.595</v>
      </c>
      <c r="F7" s="320">
        <f>S!C53</f>
        <v>1.9388890075004446</v>
      </c>
      <c r="G7" s="320">
        <f>S!C55</f>
        <v>-0.78974999999999962</v>
      </c>
      <c r="H7" s="269" t="str">
        <f>S!C57</f>
        <v>nan</v>
      </c>
      <c r="I7" s="323">
        <f>S!C58</f>
        <v>0</v>
      </c>
    </row>
    <row r="8" spans="1:11">
      <c r="A8" s="136">
        <v>2023</v>
      </c>
      <c r="B8" s="137" t="s">
        <v>51</v>
      </c>
      <c r="C8" s="319">
        <f>'C'!G41</f>
        <v>45051</v>
      </c>
      <c r="D8" s="319">
        <f>'C'!I41</f>
        <v>45174</v>
      </c>
      <c r="E8" s="911">
        <f>'C'!V30</f>
        <v>1294.9190000000001</v>
      </c>
      <c r="F8" s="269">
        <f>'C'!C42</f>
        <v>1.8630325900589702</v>
      </c>
      <c r="G8" s="269">
        <f>'C'!C44</f>
        <v>0.20683229813664594</v>
      </c>
      <c r="H8" s="320">
        <f>'C'!C46</f>
        <v>-9.0505767524401037E-2</v>
      </c>
      <c r="I8" s="323">
        <f>'C'!C47</f>
        <v>0</v>
      </c>
    </row>
    <row r="9" spans="1:11">
      <c r="A9" s="136">
        <v>2023</v>
      </c>
      <c r="B9" s="137" t="s">
        <v>63</v>
      </c>
      <c r="C9" s="319">
        <f>EC!G68</f>
        <v>45051</v>
      </c>
      <c r="D9" s="319">
        <f>EC!I68</f>
        <v>45174</v>
      </c>
      <c r="E9" s="911">
        <f>EC!V62</f>
        <v>1349.546</v>
      </c>
      <c r="F9" s="269">
        <f>EC!C69</f>
        <v>2.291221366959157</v>
      </c>
      <c r="G9" s="269">
        <f>EC!C71</f>
        <v>0.97451815265841035</v>
      </c>
      <c r="H9" s="320" t="str">
        <f>EC!C73</f>
        <v>NaN</v>
      </c>
      <c r="I9" s="323">
        <f>EC!C74</f>
        <v>0</v>
      </c>
    </row>
    <row r="10" spans="1:11">
      <c r="A10" s="136">
        <v>2023</v>
      </c>
      <c r="B10" s="137" t="s">
        <v>74</v>
      </c>
      <c r="C10" s="319">
        <f>TU!G51</f>
        <v>45051</v>
      </c>
      <c r="D10" s="319">
        <f>TU!I51</f>
        <v>45175</v>
      </c>
      <c r="E10" s="911">
        <f>TU!V44</f>
        <v>1370.59</v>
      </c>
      <c r="F10" s="269">
        <f>TU!C52</f>
        <v>1.6941156964435524</v>
      </c>
      <c r="G10" s="269">
        <f>TU!C54</f>
        <v>-5.8299999999999699E-2</v>
      </c>
      <c r="H10" s="269" t="str">
        <f>TU!C56</f>
        <v>NaN</v>
      </c>
      <c r="I10" s="323">
        <f>TU!C57</f>
        <v>0</v>
      </c>
    </row>
    <row r="11" spans="1:11">
      <c r="A11" s="136">
        <v>2023</v>
      </c>
      <c r="B11" s="324" t="s">
        <v>60</v>
      </c>
      <c r="C11" s="325">
        <f>Y!G55</f>
        <v>45051</v>
      </c>
      <c r="D11" s="325">
        <f>Y!I55</f>
        <v>45174</v>
      </c>
      <c r="E11" s="912">
        <f>Y!V49</f>
        <v>1369.212</v>
      </c>
      <c r="F11" s="326">
        <f>Y!C56</f>
        <v>2.0154359845947738</v>
      </c>
      <c r="G11" s="326">
        <f>Y!C58</f>
        <v>0.57478515680943643</v>
      </c>
      <c r="H11" s="326" t="str">
        <f>Y!C60</f>
        <v>NaN</v>
      </c>
      <c r="I11" s="327">
        <f>Y!C61</f>
        <v>0</v>
      </c>
    </row>
    <row r="12" spans="1:11">
      <c r="A12" s="2"/>
      <c r="B12" s="317"/>
      <c r="C12" s="317"/>
      <c r="D12" s="317"/>
      <c r="E12" s="70"/>
      <c r="F12" s="2"/>
      <c r="G12" s="2"/>
      <c r="H12" s="2"/>
      <c r="I12" s="2"/>
    </row>
    <row r="13" spans="1:11">
      <c r="A13" s="2"/>
      <c r="B13" s="2"/>
      <c r="C13" s="2"/>
      <c r="D13" s="2"/>
      <c r="E13" s="2"/>
      <c r="F13" s="2"/>
      <c r="G13" s="2"/>
      <c r="H13" s="2"/>
      <c r="I13" s="2"/>
    </row>
    <row r="14" spans="1:11">
      <c r="A14" s="2"/>
      <c r="B14" s="2"/>
      <c r="C14" s="2"/>
      <c r="D14" s="2"/>
      <c r="E14" s="2"/>
      <c r="F14" s="2"/>
      <c r="G14" s="2"/>
      <c r="H14" s="2"/>
      <c r="I14" s="2"/>
    </row>
    <row r="15" spans="1:11">
      <c r="A15" s="2"/>
      <c r="B15" s="2"/>
      <c r="C15" s="2"/>
      <c r="D15" s="2"/>
      <c r="E15" s="2"/>
      <c r="F15" s="2"/>
      <c r="G15" s="2"/>
      <c r="H15" s="2"/>
      <c r="I15" s="2"/>
    </row>
    <row r="16" spans="1:11">
      <c r="A16" s="2"/>
      <c r="B16" s="2"/>
      <c r="C16" s="2"/>
      <c r="D16" s="2"/>
      <c r="E16" s="2"/>
      <c r="F16" s="2"/>
      <c r="G16" s="2"/>
      <c r="H16" s="2"/>
      <c r="I16" s="2"/>
    </row>
    <row r="17" spans="1:9">
      <c r="A17" s="2"/>
      <c r="B17" s="2"/>
      <c r="C17" s="2"/>
      <c r="D17" s="2"/>
      <c r="E17" s="2"/>
      <c r="F17" s="2"/>
      <c r="G17" s="2"/>
      <c r="H17" s="2"/>
      <c r="I17" s="2"/>
    </row>
    <row r="18" spans="1:9">
      <c r="A18" s="2"/>
      <c r="B18" s="2"/>
      <c r="C18" s="2"/>
      <c r="D18" s="2"/>
      <c r="E18" s="2"/>
      <c r="F18" s="2"/>
      <c r="G18" s="2"/>
      <c r="H18" s="2"/>
      <c r="I18" s="2"/>
    </row>
  </sheetData>
  <mergeCells count="1">
    <mergeCell ref="A2:I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92694-D2F6-4825-AB3B-8CC19F36C5CA}">
  <dimension ref="A1:AF193"/>
  <sheetViews>
    <sheetView workbookViewId="0">
      <selection activeCell="Z72" sqref="Z72"/>
    </sheetView>
  </sheetViews>
  <sheetFormatPr defaultColWidth="7.85546875" defaultRowHeight="11.25"/>
  <cols>
    <col min="1" max="1" width="15.7109375" style="750" bestFit="1" customWidth="1"/>
    <col min="2" max="2" width="9.5703125" style="750" bestFit="1" customWidth="1"/>
    <col min="3" max="3" width="5.140625" style="817" customWidth="1"/>
    <col min="4" max="4" width="8.42578125" style="817" bestFit="1" customWidth="1"/>
    <col min="5" max="6" width="8.7109375" style="817" bestFit="1" customWidth="1"/>
    <col min="7" max="7" width="14.85546875" style="813" bestFit="1" customWidth="1"/>
    <col min="8" max="8" width="10.28515625" style="816" customWidth="1"/>
    <col min="9" max="10" width="10.28515625" style="813" bestFit="1" customWidth="1"/>
    <col min="11" max="11" width="10.28515625" style="807" bestFit="1" customWidth="1"/>
    <col min="12" max="12" width="16.28515625" style="814" bestFit="1" customWidth="1"/>
    <col min="13" max="13" width="7.7109375" style="750" bestFit="1" customWidth="1"/>
    <col min="14" max="14" width="6.140625" style="750" bestFit="1" customWidth="1"/>
    <col min="15" max="15" width="9.28515625" style="762" customWidth="1"/>
    <col min="16" max="16" width="7.7109375" style="643" bestFit="1" customWidth="1"/>
    <col min="17" max="17" width="6.7109375" style="810" bestFit="1" customWidth="1"/>
    <col min="18" max="18" width="8.42578125" style="810" customWidth="1"/>
    <col min="19" max="19" width="9.42578125" style="810" customWidth="1"/>
    <col min="20" max="20" width="15.7109375" style="810" bestFit="1" customWidth="1"/>
    <col min="21" max="21" width="10.140625" style="810" bestFit="1" customWidth="1"/>
    <col min="22" max="22" width="10.42578125" style="810" bestFit="1" customWidth="1"/>
    <col min="23" max="23" width="14" style="810" bestFit="1" customWidth="1"/>
    <col min="24" max="24" width="15.7109375" style="810" bestFit="1" customWidth="1"/>
    <col min="25" max="25" width="13.7109375" style="810" bestFit="1" customWidth="1"/>
    <col min="26" max="26" width="17.28515625" style="750" bestFit="1" customWidth="1"/>
    <col min="27" max="27" width="21.140625" style="750" bestFit="1" customWidth="1"/>
    <col min="28" max="28" width="11.28515625" style="750" customWidth="1"/>
    <col min="29" max="33" width="5.28515625" style="750" customWidth="1"/>
    <col min="34" max="34" width="17" style="750" customWidth="1"/>
    <col min="35" max="16384" width="7.85546875" style="750"/>
  </cols>
  <sheetData>
    <row r="1" spans="1:30" s="585" customFormat="1" ht="12.75">
      <c r="A1" s="577" t="s">
        <v>133</v>
      </c>
      <c r="B1" s="578" t="s">
        <v>189</v>
      </c>
      <c r="C1" s="579"/>
      <c r="D1" s="578"/>
      <c r="E1" s="580"/>
      <c r="F1" s="580"/>
      <c r="G1" s="581"/>
      <c r="H1" s="582" t="s">
        <v>134</v>
      </c>
      <c r="I1" s="583" t="e">
        <f>#REF!</f>
        <v>#REF!</v>
      </c>
      <c r="J1" s="584"/>
      <c r="K1" s="578"/>
      <c r="L1" s="578"/>
      <c r="N1" s="586"/>
      <c r="P1" s="587"/>
      <c r="Q1" s="587"/>
      <c r="R1" s="587"/>
      <c r="S1" s="587"/>
      <c r="T1" s="587"/>
      <c r="U1" s="587"/>
      <c r="V1" s="587"/>
      <c r="W1" s="587"/>
      <c r="X1" s="587"/>
      <c r="Y1" s="587"/>
    </row>
    <row r="2" spans="1:30" s="585" customFormat="1" ht="12.75">
      <c r="A2" s="588" t="s">
        <v>135</v>
      </c>
      <c r="B2" s="578" t="s">
        <v>63</v>
      </c>
      <c r="C2" s="589"/>
      <c r="D2" s="578"/>
      <c r="E2" s="590"/>
      <c r="F2" s="590"/>
      <c r="G2" s="591"/>
      <c r="H2" s="592" t="s">
        <v>136</v>
      </c>
      <c r="I2" s="593"/>
      <c r="J2" s="594"/>
      <c r="K2" s="578"/>
      <c r="L2" s="578"/>
      <c r="N2" s="595"/>
      <c r="P2" s="587"/>
      <c r="Q2" s="587"/>
      <c r="R2" s="587"/>
      <c r="S2" s="587"/>
      <c r="T2" s="587"/>
      <c r="U2" s="587"/>
      <c r="V2" s="587"/>
      <c r="W2" s="587"/>
      <c r="X2" s="587"/>
      <c r="Y2" s="587"/>
    </row>
    <row r="3" spans="1:30" s="599" customFormat="1" ht="11.25" customHeight="1">
      <c r="A3" s="596" t="s">
        <v>137</v>
      </c>
      <c r="B3" s="818">
        <v>45175</v>
      </c>
      <c r="C3" s="589"/>
      <c r="D3" s="590"/>
      <c r="E3" s="590"/>
      <c r="F3" s="590"/>
      <c r="G3" s="591"/>
      <c r="H3" s="596" t="s">
        <v>138</v>
      </c>
      <c r="I3" s="598" t="e">
        <f>AB43/100</f>
        <v>#DIV/0!</v>
      </c>
      <c r="J3" s="594"/>
      <c r="K3" s="578"/>
      <c r="L3" s="578"/>
      <c r="N3" s="600"/>
      <c r="P3" s="601"/>
      <c r="Q3" s="601"/>
      <c r="R3" s="601"/>
      <c r="S3" s="601"/>
      <c r="T3" s="601"/>
      <c r="U3" s="601"/>
      <c r="V3" s="601"/>
      <c r="W3" s="601"/>
      <c r="X3" s="601"/>
      <c r="Y3" s="601"/>
    </row>
    <row r="4" spans="1:30" s="585" customFormat="1" ht="12.75">
      <c r="A4" s="596" t="s">
        <v>139</v>
      </c>
      <c r="B4" s="597" t="s">
        <v>127</v>
      </c>
      <c r="C4" s="589"/>
      <c r="D4" s="590"/>
      <c r="E4" s="590"/>
      <c r="F4" s="590"/>
      <c r="G4" s="591"/>
      <c r="H4" s="596" t="s">
        <v>140</v>
      </c>
      <c r="I4" s="602" t="e">
        <f>#REF!</f>
        <v>#REF!</v>
      </c>
      <c r="J4" s="594"/>
      <c r="K4" s="578"/>
      <c r="L4" s="578"/>
      <c r="M4" s="586"/>
      <c r="N4" s="586"/>
      <c r="P4" s="587"/>
      <c r="Q4" s="587"/>
      <c r="R4" s="587"/>
      <c r="S4" s="587"/>
      <c r="T4" s="587"/>
      <c r="U4" s="587"/>
      <c r="V4" s="587"/>
      <c r="W4" s="587"/>
      <c r="X4" s="587"/>
      <c r="Y4" s="587"/>
    </row>
    <row r="5" spans="1:30" s="606" customFormat="1" ht="12.75">
      <c r="A5" s="588" t="s">
        <v>141</v>
      </c>
      <c r="B5" s="603" t="s">
        <v>142</v>
      </c>
      <c r="C5" s="589"/>
      <c r="D5" s="590"/>
      <c r="E5" s="590"/>
      <c r="F5" s="590"/>
      <c r="G5" s="591"/>
      <c r="H5" s="596"/>
      <c r="I5" s="604"/>
      <c r="J5" s="594"/>
      <c r="K5" s="578"/>
      <c r="L5" s="578"/>
      <c r="M5" s="605"/>
      <c r="N5" s="605"/>
      <c r="P5" s="607"/>
      <c r="Q5" s="607"/>
      <c r="R5" s="607"/>
      <c r="S5" s="607"/>
      <c r="T5" s="607"/>
      <c r="U5" s="607"/>
      <c r="V5" s="607"/>
      <c r="W5" s="607"/>
      <c r="X5" s="607"/>
      <c r="Y5" s="607"/>
    </row>
    <row r="6" spans="1:30" s="605" customFormat="1" ht="13.5" thickBot="1">
      <c r="A6" s="608"/>
      <c r="B6" s="609"/>
      <c r="C6" s="610"/>
      <c r="D6" s="611"/>
      <c r="E6" s="611"/>
      <c r="F6" s="611"/>
      <c r="G6" s="612"/>
      <c r="H6" s="613"/>
      <c r="I6" s="614"/>
      <c r="J6" s="612"/>
      <c r="K6" s="609"/>
      <c r="L6" s="609"/>
      <c r="M6" s="615"/>
      <c r="P6" s="616"/>
      <c r="Q6" s="616"/>
      <c r="R6" s="616"/>
      <c r="S6" s="616"/>
      <c r="T6" s="616"/>
      <c r="U6" s="616"/>
      <c r="V6" s="616"/>
      <c r="W6" s="616"/>
      <c r="X6" s="616"/>
      <c r="Y6" s="616"/>
    </row>
    <row r="7" spans="1:30" s="606" customFormat="1" ht="13.15" customHeight="1">
      <c r="A7" s="962" t="s">
        <v>143</v>
      </c>
      <c r="B7" s="963"/>
      <c r="C7" s="963"/>
      <c r="D7" s="963"/>
      <c r="E7" s="963"/>
      <c r="F7" s="963"/>
      <c r="G7" s="963"/>
      <c r="H7" s="963"/>
      <c r="I7" s="963"/>
      <c r="J7" s="963"/>
      <c r="K7" s="963"/>
      <c r="L7" s="964"/>
      <c r="M7" s="913"/>
      <c r="N7" s="886" t="s">
        <v>144</v>
      </c>
      <c r="O7" s="887"/>
      <c r="P7" s="849" t="s">
        <v>145</v>
      </c>
      <c r="Q7" s="619"/>
      <c r="R7" s="952" t="s">
        <v>146</v>
      </c>
      <c r="S7" s="965"/>
      <c r="T7" s="952" t="s">
        <v>237</v>
      </c>
      <c r="U7" s="965"/>
      <c r="V7" s="965"/>
      <c r="W7" s="965"/>
      <c r="X7" s="952" t="s">
        <v>238</v>
      </c>
      <c r="Y7" s="953"/>
      <c r="Z7" s="888"/>
      <c r="AA7" s="954" t="s">
        <v>147</v>
      </c>
      <c r="AB7" s="955"/>
      <c r="AC7" s="605"/>
      <c r="AD7" s="605"/>
    </row>
    <row r="8" spans="1:30" s="637" customFormat="1" ht="11.25" customHeight="1">
      <c r="A8" s="621"/>
      <c r="B8" s="615"/>
      <c r="C8" s="622"/>
      <c r="D8" s="624"/>
      <c r="E8" s="624"/>
      <c r="F8" s="624"/>
      <c r="G8" s="626"/>
      <c r="H8" s="627"/>
      <c r="I8" s="627"/>
      <c r="J8" s="627"/>
      <c r="K8" s="627"/>
      <c r="L8" s="889"/>
      <c r="M8" s="627"/>
      <c r="N8" s="630"/>
      <c r="O8" s="622"/>
      <c r="P8" s="890"/>
      <c r="Q8" s="633"/>
      <c r="R8" s="632"/>
      <c r="S8" s="632"/>
      <c r="T8" s="890"/>
      <c r="U8" s="632"/>
      <c r="V8" s="632"/>
      <c r="W8" s="632"/>
      <c r="X8" s="890"/>
      <c r="Y8" s="633"/>
      <c r="Z8" s="891"/>
      <c r="AA8" s="635"/>
      <c r="AB8" s="635"/>
      <c r="AC8" s="636"/>
    </row>
    <row r="9" spans="1:30" s="648" customFormat="1">
      <c r="A9" s="638"/>
      <c r="B9" s="605"/>
      <c r="C9" s="639"/>
      <c r="D9" s="956" t="s">
        <v>148</v>
      </c>
      <c r="E9" s="957"/>
      <c r="F9" s="958"/>
      <c r="G9" s="640"/>
      <c r="H9" s="959" t="s">
        <v>149</v>
      </c>
      <c r="I9" s="960"/>
      <c r="J9" s="960"/>
      <c r="K9" s="961"/>
      <c r="L9" s="914"/>
      <c r="M9" s="642"/>
      <c r="N9" s="630" t="s">
        <v>150</v>
      </c>
      <c r="O9" s="631"/>
      <c r="P9" s="632"/>
      <c r="Q9" s="633"/>
      <c r="R9" s="643"/>
      <c r="S9" s="643"/>
      <c r="T9" s="892"/>
      <c r="U9" s="643"/>
      <c r="V9" s="643"/>
      <c r="W9" s="643"/>
      <c r="X9" s="892"/>
      <c r="Y9" s="893"/>
      <c r="Z9" s="891"/>
      <c r="AA9" s="644"/>
      <c r="AB9" s="645"/>
      <c r="AC9" s="646"/>
      <c r="AD9" s="647"/>
    </row>
    <row r="10" spans="1:30" s="648" customFormat="1">
      <c r="A10" s="649" t="s">
        <v>151</v>
      </c>
      <c r="B10" s="650" t="s">
        <v>51</v>
      </c>
      <c r="C10" s="651" t="s">
        <v>152</v>
      </c>
      <c r="D10" s="652" t="s">
        <v>153</v>
      </c>
      <c r="E10" s="653" t="s">
        <v>154</v>
      </c>
      <c r="F10" s="654" t="s">
        <v>155</v>
      </c>
      <c r="G10" s="640" t="s">
        <v>156</v>
      </c>
      <c r="H10" s="915" t="s">
        <v>157</v>
      </c>
      <c r="I10" s="915" t="s">
        <v>158</v>
      </c>
      <c r="J10" s="915" t="s">
        <v>159</v>
      </c>
      <c r="K10" s="915" t="s">
        <v>160</v>
      </c>
      <c r="L10" s="914" t="s">
        <v>161</v>
      </c>
      <c r="M10" s="656" t="s">
        <v>162</v>
      </c>
      <c r="N10" s="657" t="s">
        <v>163</v>
      </c>
      <c r="O10" s="658" t="s">
        <v>164</v>
      </c>
      <c r="P10" s="659" t="s">
        <v>165</v>
      </c>
      <c r="Q10" s="633" t="s">
        <v>166</v>
      </c>
      <c r="R10" s="659" t="s">
        <v>166</v>
      </c>
      <c r="S10" s="659" t="s">
        <v>165</v>
      </c>
      <c r="T10" s="890" t="s">
        <v>239</v>
      </c>
      <c r="U10" s="632" t="s">
        <v>240</v>
      </c>
      <c r="V10" s="632" t="s">
        <v>241</v>
      </c>
      <c r="W10" s="632" t="s">
        <v>242</v>
      </c>
      <c r="X10" s="890" t="s">
        <v>239</v>
      </c>
      <c r="Y10" s="633" t="s">
        <v>243</v>
      </c>
      <c r="Z10" s="660" t="s">
        <v>167</v>
      </c>
      <c r="AA10" s="644" t="s">
        <v>168</v>
      </c>
      <c r="AB10" s="644" t="s">
        <v>169</v>
      </c>
      <c r="AC10" s="661"/>
    </row>
    <row r="11" spans="1:30" s="648" customFormat="1" ht="12" thickBot="1">
      <c r="A11" s="894" t="s">
        <v>170</v>
      </c>
      <c r="B11" s="895" t="s">
        <v>170</v>
      </c>
      <c r="C11" s="896" t="s">
        <v>171</v>
      </c>
      <c r="D11" s="665" t="s">
        <v>172</v>
      </c>
      <c r="E11" s="666" t="s">
        <v>172</v>
      </c>
      <c r="F11" s="667" t="s">
        <v>172</v>
      </c>
      <c r="G11" s="668" t="s">
        <v>172</v>
      </c>
      <c r="H11" s="669" t="s">
        <v>172</v>
      </c>
      <c r="I11" s="669" t="s">
        <v>172</v>
      </c>
      <c r="J11" s="669" t="s">
        <v>172</v>
      </c>
      <c r="K11" s="669" t="s">
        <v>172</v>
      </c>
      <c r="L11" s="897" t="s">
        <v>172</v>
      </c>
      <c r="M11" s="898" t="s">
        <v>244</v>
      </c>
      <c r="N11" s="672" t="s">
        <v>172</v>
      </c>
      <c r="O11" s="664" t="s">
        <v>172</v>
      </c>
      <c r="P11" s="899" t="s">
        <v>176</v>
      </c>
      <c r="Q11" s="675" t="s">
        <v>36</v>
      </c>
      <c r="R11" s="676" t="s">
        <v>36</v>
      </c>
      <c r="S11" s="676" t="s">
        <v>176</v>
      </c>
      <c r="T11" s="899" t="s">
        <v>172</v>
      </c>
      <c r="U11" s="676" t="s">
        <v>172</v>
      </c>
      <c r="V11" s="676" t="s">
        <v>245</v>
      </c>
      <c r="W11" s="676" t="s">
        <v>246</v>
      </c>
      <c r="X11" s="899" t="s">
        <v>172</v>
      </c>
      <c r="Y11" s="675" t="s">
        <v>172</v>
      </c>
      <c r="Z11" s="900"/>
      <c r="AA11" s="678"/>
      <c r="AB11" s="679" t="s">
        <v>172</v>
      </c>
      <c r="AC11" s="661"/>
    </row>
    <row r="12" spans="1:30" s="648" customFormat="1">
      <c r="A12" s="680" t="s">
        <v>177</v>
      </c>
      <c r="B12" s="681"/>
      <c r="C12" s="682">
        <v>0</v>
      </c>
      <c r="D12" s="683" t="s">
        <v>178</v>
      </c>
      <c r="E12" s="684" t="s">
        <v>178</v>
      </c>
      <c r="F12" s="685" t="s">
        <v>178</v>
      </c>
      <c r="G12" s="686" t="s">
        <v>178</v>
      </c>
      <c r="H12" s="684" t="s">
        <v>178</v>
      </c>
      <c r="I12" s="684" t="s">
        <v>178</v>
      </c>
      <c r="J12" s="684" t="s">
        <v>178</v>
      </c>
      <c r="K12" s="684" t="s">
        <v>178</v>
      </c>
      <c r="L12" s="687" t="s">
        <v>178</v>
      </c>
      <c r="M12" s="682"/>
      <c r="N12" s="901"/>
      <c r="O12" s="902"/>
      <c r="P12" s="691"/>
      <c r="Q12" s="692"/>
      <c r="R12" s="693"/>
      <c r="S12" s="694"/>
      <c r="T12" s="903"/>
      <c r="U12" s="694"/>
      <c r="V12" s="694"/>
      <c r="W12" s="694"/>
      <c r="X12" s="904"/>
      <c r="Y12" s="904"/>
      <c r="Z12" s="695"/>
      <c r="AA12" s="696" t="s">
        <v>179</v>
      </c>
      <c r="AB12" s="697"/>
      <c r="AC12" s="698"/>
    </row>
    <row r="13" spans="1:30" s="721" customFormat="1" ht="12" thickBot="1">
      <c r="A13" s="724"/>
      <c r="B13" s="725"/>
      <c r="C13" s="726"/>
      <c r="D13" s="727"/>
      <c r="E13" s="726"/>
      <c r="F13" s="728"/>
      <c r="G13" s="729"/>
      <c r="H13" s="726"/>
      <c r="I13" s="726"/>
      <c r="J13" s="726"/>
      <c r="K13" s="726"/>
      <c r="L13" s="730"/>
      <c r="M13" s="726"/>
      <c r="N13" s="731"/>
      <c r="O13" s="732"/>
      <c r="P13" s="733"/>
      <c r="Q13" s="734"/>
      <c r="R13" s="735"/>
      <c r="S13" s="736"/>
      <c r="T13" s="906"/>
      <c r="U13" s="736"/>
      <c r="V13" s="736"/>
      <c r="W13" s="736"/>
      <c r="X13" s="736"/>
      <c r="Y13" s="736"/>
      <c r="Z13" s="737"/>
      <c r="AA13" s="713" t="s">
        <v>180</v>
      </c>
      <c r="AB13" s="738"/>
      <c r="AC13" s="739"/>
    </row>
    <row r="14" spans="1:30" s="721" customFormat="1">
      <c r="A14" s="740" t="s">
        <v>182</v>
      </c>
      <c r="B14" s="700"/>
      <c r="C14" s="688"/>
      <c r="D14" s="741"/>
      <c r="E14" s="688"/>
      <c r="F14" s="742"/>
      <c r="G14" s="743"/>
      <c r="H14" s="688"/>
      <c r="I14" s="688"/>
      <c r="J14" s="688"/>
      <c r="K14" s="688"/>
      <c r="L14" s="744"/>
      <c r="M14" s="688"/>
      <c r="N14" s="706"/>
      <c r="O14" s="707"/>
      <c r="P14" s="708"/>
      <c r="Q14" s="709"/>
      <c r="R14" s="710"/>
      <c r="S14" s="711"/>
      <c r="T14" s="711"/>
      <c r="U14" s="711"/>
      <c r="V14" s="711"/>
      <c r="W14" s="711"/>
      <c r="X14" s="711"/>
      <c r="Y14" s="711"/>
      <c r="Z14" s="722"/>
      <c r="AA14" s="713" t="s">
        <v>180</v>
      </c>
      <c r="AB14" s="738"/>
      <c r="AC14" s="739"/>
    </row>
    <row r="15" spans="1:30" s="721" customFormat="1">
      <c r="A15" s="716">
        <v>680</v>
      </c>
      <c r="B15" s="700">
        <v>0</v>
      </c>
      <c r="C15" s="688">
        <f>C16-D16</f>
        <v>44.7</v>
      </c>
      <c r="D15" s="745">
        <v>44.4</v>
      </c>
      <c r="E15" s="746"/>
      <c r="F15" s="747"/>
      <c r="G15" s="748">
        <f t="shared" ref="G15:G78" si="0">AVERAGE(D15:F15)</f>
        <v>44.4</v>
      </c>
      <c r="H15" s="746">
        <v>5.7</v>
      </c>
      <c r="I15" s="746"/>
      <c r="J15" s="746"/>
      <c r="K15" s="746"/>
      <c r="L15" s="749">
        <f t="shared" ref="L15:L78" si="1">AVERAGE(H15:K15)</f>
        <v>5.7</v>
      </c>
      <c r="M15" s="688">
        <f>G15*    PI()* (L15/2)^2</f>
        <v>1132.9808329979694</v>
      </c>
      <c r="N15" s="706">
        <v>0</v>
      </c>
      <c r="O15" s="707">
        <f>(C15+C16-G16)/2</f>
        <v>44.699999999999996</v>
      </c>
      <c r="P15" s="708">
        <f>(A15-B15)/M15</f>
        <v>0.60018667588635077</v>
      </c>
      <c r="Q15" s="709">
        <f>(P15*(O15-N15))/100</f>
        <v>0.26828344412119876</v>
      </c>
      <c r="R15" s="710">
        <f>SUM(Q$13:Q15)</f>
        <v>0.26828344412119876</v>
      </c>
      <c r="S15" s="711">
        <f t="shared" ref="S15:S78" si="2">R15/O15*100</f>
        <v>0.60018667588635077</v>
      </c>
      <c r="T15" s="711"/>
      <c r="U15" s="711"/>
      <c r="V15" s="711">
        <f>U15*    PI()* (L15/2)^2</f>
        <v>0</v>
      </c>
      <c r="W15" s="711">
        <f t="shared" ref="W15:W66" si="3">(A16-(V15/0.9))/M15</f>
        <v>0.54722902801402573</v>
      </c>
      <c r="X15" s="711"/>
      <c r="Y15" s="711"/>
      <c r="Z15" s="722"/>
      <c r="AA15" s="713" t="s">
        <v>180</v>
      </c>
      <c r="AB15" s="738"/>
      <c r="AC15" s="739"/>
    </row>
    <row r="16" spans="1:30" s="721" customFormat="1">
      <c r="A16" s="716">
        <v>620</v>
      </c>
      <c r="B16" s="700">
        <v>0</v>
      </c>
      <c r="C16" s="688">
        <v>85</v>
      </c>
      <c r="D16" s="745">
        <v>40.299999999999997</v>
      </c>
      <c r="E16" s="746"/>
      <c r="F16" s="747"/>
      <c r="G16" s="748">
        <f t="shared" si="0"/>
        <v>40.299999999999997</v>
      </c>
      <c r="H16" s="746">
        <v>5.7</v>
      </c>
      <c r="I16" s="746"/>
      <c r="J16" s="746"/>
      <c r="K16" s="746"/>
      <c r="L16" s="749">
        <f t="shared" si="1"/>
        <v>5.7</v>
      </c>
      <c r="M16" s="688">
        <f t="shared" ref="M16:M78" si="4">G16*    PI()* (L16/2)^2</f>
        <v>1028.3587290499588</v>
      </c>
      <c r="N16" s="706">
        <f>(C15+C16-G16)/2</f>
        <v>44.699999999999996</v>
      </c>
      <c r="O16" s="707">
        <f>(C16+C17-G17)/2</f>
        <v>84.75</v>
      </c>
      <c r="P16" s="708">
        <f t="shared" ref="P16:P78" si="5">(A16-B16)/M16</f>
        <v>0.60290245270031617</v>
      </c>
      <c r="Q16" s="709">
        <f t="shared" ref="Q16:Q78" si="6">(P16*(O16-N16))/100</f>
        <v>0.24146243230647665</v>
      </c>
      <c r="R16" s="710">
        <f>SUM(Q$13:Q16)</f>
        <v>0.50974587642767544</v>
      </c>
      <c r="S16" s="711">
        <f t="shared" si="2"/>
        <v>0.60147006068162301</v>
      </c>
      <c r="T16" s="711"/>
      <c r="U16" s="711"/>
      <c r="V16" s="711">
        <f t="shared" ref="V16:V78" si="7">U16*    PI()* (L16/2)^2</f>
        <v>0</v>
      </c>
      <c r="W16" s="711">
        <f t="shared" si="3"/>
        <v>0.66124785134873376</v>
      </c>
      <c r="X16" s="711"/>
      <c r="Y16" s="711"/>
      <c r="Z16" s="722"/>
      <c r="AA16" s="713" t="s">
        <v>180</v>
      </c>
      <c r="AB16" s="714"/>
      <c r="AC16" s="739"/>
    </row>
    <row r="17" spans="1:32" s="721" customFormat="1">
      <c r="A17" s="716">
        <v>680</v>
      </c>
      <c r="B17" s="700">
        <v>0</v>
      </c>
      <c r="C17" s="688">
        <f>C18-D18</f>
        <v>127.7</v>
      </c>
      <c r="D17" s="745">
        <v>43.2</v>
      </c>
      <c r="E17" s="746"/>
      <c r="F17" s="747"/>
      <c r="G17" s="748">
        <f t="shared" si="0"/>
        <v>43.2</v>
      </c>
      <c r="H17" s="746">
        <v>5.7</v>
      </c>
      <c r="I17" s="746"/>
      <c r="J17" s="746"/>
      <c r="K17" s="746"/>
      <c r="L17" s="749">
        <f t="shared" si="1"/>
        <v>5.7</v>
      </c>
      <c r="M17" s="688">
        <f t="shared" si="4"/>
        <v>1102.3597294034298</v>
      </c>
      <c r="N17" s="706">
        <f t="shared" ref="N17:N67" si="8">(C16+C17-G17)/2</f>
        <v>84.75</v>
      </c>
      <c r="O17" s="707">
        <f t="shared" ref="O17:O77" si="9">(C17+C18-G18)/2</f>
        <v>127.69999999999999</v>
      </c>
      <c r="P17" s="708">
        <f t="shared" si="5"/>
        <v>0.61685852799430496</v>
      </c>
      <c r="Q17" s="709">
        <f t="shared" si="6"/>
        <v>0.26494073777355392</v>
      </c>
      <c r="R17" s="710">
        <f>SUM(Q$13:Q17)</f>
        <v>0.77468661420122942</v>
      </c>
      <c r="S17" s="711">
        <f t="shared" si="2"/>
        <v>0.60664574330558296</v>
      </c>
      <c r="T17" s="711"/>
      <c r="U17" s="711"/>
      <c r="V17" s="711">
        <f t="shared" si="7"/>
        <v>0</v>
      </c>
      <c r="W17" s="711">
        <f t="shared" si="3"/>
        <v>0.46264389599572869</v>
      </c>
      <c r="X17" s="711"/>
      <c r="Y17" s="711"/>
      <c r="Z17" s="722"/>
      <c r="AA17" s="713" t="s">
        <v>180</v>
      </c>
      <c r="AB17" s="714"/>
      <c r="AC17" s="739"/>
    </row>
    <row r="18" spans="1:32" s="721" customFormat="1">
      <c r="A18" s="716">
        <v>510</v>
      </c>
      <c r="B18" s="700">
        <v>0</v>
      </c>
      <c r="C18" s="688">
        <v>161</v>
      </c>
      <c r="D18" s="745">
        <v>33.299999999999997</v>
      </c>
      <c r="E18" s="746"/>
      <c r="F18" s="747"/>
      <c r="G18" s="748">
        <f t="shared" si="0"/>
        <v>33.299999999999997</v>
      </c>
      <c r="H18" s="746">
        <v>5.7</v>
      </c>
      <c r="I18" s="746"/>
      <c r="J18" s="746"/>
      <c r="K18" s="746"/>
      <c r="L18" s="749">
        <f t="shared" si="1"/>
        <v>5.7</v>
      </c>
      <c r="M18" s="688">
        <f t="shared" si="4"/>
        <v>849.73562474847711</v>
      </c>
      <c r="N18" s="706">
        <f t="shared" si="8"/>
        <v>127.69999999999999</v>
      </c>
      <c r="O18" s="707">
        <f t="shared" si="9"/>
        <v>161.6</v>
      </c>
      <c r="P18" s="708">
        <f t="shared" si="5"/>
        <v>0.60018667588635077</v>
      </c>
      <c r="Q18" s="709">
        <f t="shared" si="6"/>
        <v>0.20346328312547296</v>
      </c>
      <c r="R18" s="710">
        <f>SUM(Q$13:Q18)</f>
        <v>0.97814989732670243</v>
      </c>
      <c r="S18" s="711">
        <f t="shared" si="2"/>
        <v>0.60529077804870202</v>
      </c>
      <c r="T18" s="711"/>
      <c r="U18" s="711"/>
      <c r="V18" s="711">
        <f t="shared" si="7"/>
        <v>0</v>
      </c>
      <c r="W18" s="711">
        <f t="shared" si="3"/>
        <v>0.69433360543715084</v>
      </c>
      <c r="X18" s="711"/>
      <c r="Y18" s="711"/>
      <c r="Z18" s="722" t="s">
        <v>274</v>
      </c>
      <c r="AA18" s="713" t="s">
        <v>180</v>
      </c>
      <c r="AB18" s="714"/>
      <c r="AC18" s="739"/>
    </row>
    <row r="19" spans="1:32">
      <c r="A19" s="716">
        <v>590</v>
      </c>
      <c r="B19" s="700">
        <v>0</v>
      </c>
      <c r="C19" s="688">
        <f>C20-D20</f>
        <v>199.8</v>
      </c>
      <c r="D19" s="745">
        <v>37.6</v>
      </c>
      <c r="E19" s="746"/>
      <c r="F19" s="747"/>
      <c r="G19" s="748">
        <f t="shared" si="0"/>
        <v>37.6</v>
      </c>
      <c r="H19" s="746">
        <v>5.7</v>
      </c>
      <c r="I19" s="746"/>
      <c r="J19" s="746"/>
      <c r="K19" s="746"/>
      <c r="L19" s="749">
        <f t="shared" si="1"/>
        <v>5.7</v>
      </c>
      <c r="M19" s="688">
        <f t="shared" si="4"/>
        <v>959.46124596224445</v>
      </c>
      <c r="N19" s="706">
        <f t="shared" si="8"/>
        <v>161.6</v>
      </c>
      <c r="O19" s="707">
        <f t="shared" si="9"/>
        <v>199.8</v>
      </c>
      <c r="P19" s="708">
        <f t="shared" si="5"/>
        <v>0.61492843247492346</v>
      </c>
      <c r="Q19" s="709">
        <f t="shared" si="6"/>
        <v>0.23490266120542086</v>
      </c>
      <c r="R19" s="710">
        <f>SUM(Q$13:Q19)</f>
        <v>1.2130525585321232</v>
      </c>
      <c r="S19" s="711">
        <f t="shared" si="2"/>
        <v>0.60713341267874033</v>
      </c>
      <c r="T19" s="711"/>
      <c r="U19" s="711"/>
      <c r="V19" s="711">
        <f t="shared" si="7"/>
        <v>0</v>
      </c>
      <c r="W19" s="711">
        <f t="shared" si="3"/>
        <v>0.62013969037725336</v>
      </c>
      <c r="X19" s="711"/>
      <c r="Y19" s="711"/>
      <c r="Z19" s="722" t="s">
        <v>275</v>
      </c>
      <c r="AA19" s="713" t="s">
        <v>180</v>
      </c>
      <c r="AB19" s="714"/>
      <c r="AC19" s="739"/>
      <c r="AD19" s="721"/>
      <c r="AE19" s="721"/>
    </row>
    <row r="20" spans="1:32">
      <c r="A20" s="716">
        <v>595</v>
      </c>
      <c r="B20" s="700">
        <v>0</v>
      </c>
      <c r="C20" s="688">
        <v>237</v>
      </c>
      <c r="D20" s="745">
        <v>37.200000000000003</v>
      </c>
      <c r="E20" s="746"/>
      <c r="F20" s="747"/>
      <c r="G20" s="748">
        <f t="shared" si="0"/>
        <v>37.200000000000003</v>
      </c>
      <c r="H20" s="746">
        <v>5.7</v>
      </c>
      <c r="I20" s="746"/>
      <c r="J20" s="746"/>
      <c r="K20" s="746"/>
      <c r="L20" s="749">
        <f t="shared" si="1"/>
        <v>5.7</v>
      </c>
      <c r="M20" s="688">
        <f t="shared" si="4"/>
        <v>949.25421143073129</v>
      </c>
      <c r="N20" s="706">
        <f t="shared" si="8"/>
        <v>199.8</v>
      </c>
      <c r="O20" s="707">
        <f t="shared" si="9"/>
        <v>237.59999999999997</v>
      </c>
      <c r="P20" s="708">
        <f t="shared" si="5"/>
        <v>0.62680785909098724</v>
      </c>
      <c r="Q20" s="709">
        <f t="shared" si="6"/>
        <v>0.23693337073639287</v>
      </c>
      <c r="R20" s="710">
        <f>SUM(Q$13:Q20)</f>
        <v>1.4499859292685162</v>
      </c>
      <c r="S20" s="711">
        <f t="shared" si="2"/>
        <v>0.61026343824432505</v>
      </c>
      <c r="T20" s="711"/>
      <c r="U20" s="711"/>
      <c r="V20" s="711">
        <f t="shared" si="7"/>
        <v>0</v>
      </c>
      <c r="W20" s="711">
        <f t="shared" si="3"/>
        <v>0.68474808135990195</v>
      </c>
      <c r="X20" s="711"/>
      <c r="Y20" s="711"/>
      <c r="Z20" s="722" t="s">
        <v>275</v>
      </c>
      <c r="AA20" s="713" t="s">
        <v>180</v>
      </c>
      <c r="AB20" s="714"/>
      <c r="AC20" s="739"/>
      <c r="AD20" s="721"/>
      <c r="AE20" s="721"/>
    </row>
    <row r="21" spans="1:32">
      <c r="A21" s="716">
        <v>650</v>
      </c>
      <c r="B21" s="700">
        <v>0</v>
      </c>
      <c r="C21" s="688">
        <f>C22-D22</f>
        <v>279.8</v>
      </c>
      <c r="D21" s="745">
        <v>41.6</v>
      </c>
      <c r="E21" s="746"/>
      <c r="F21" s="747"/>
      <c r="G21" s="748">
        <f t="shared" si="0"/>
        <v>41.6</v>
      </c>
      <c r="H21" s="746">
        <v>5.7</v>
      </c>
      <c r="I21" s="746"/>
      <c r="J21" s="746"/>
      <c r="K21" s="746"/>
      <c r="L21" s="749">
        <f t="shared" si="1"/>
        <v>5.7</v>
      </c>
      <c r="M21" s="688">
        <f t="shared" si="4"/>
        <v>1061.5315912773767</v>
      </c>
      <c r="N21" s="706">
        <f t="shared" si="8"/>
        <v>237.59999999999997</v>
      </c>
      <c r="O21" s="707">
        <f t="shared" si="9"/>
        <v>279.79999999999995</v>
      </c>
      <c r="P21" s="708">
        <f t="shared" si="5"/>
        <v>0.61232280352375867</v>
      </c>
      <c r="Q21" s="709">
        <f t="shared" si="6"/>
        <v>0.25840022308702609</v>
      </c>
      <c r="R21" s="710">
        <f>SUM(Q$13:Q21)</f>
        <v>1.7083861523555424</v>
      </c>
      <c r="S21" s="711">
        <f t="shared" si="2"/>
        <v>0.61057403586688452</v>
      </c>
      <c r="T21" s="711"/>
      <c r="U21" s="711"/>
      <c r="V21" s="711">
        <f t="shared" si="7"/>
        <v>0</v>
      </c>
      <c r="W21" s="711">
        <f t="shared" si="3"/>
        <v>0.55580069858310399</v>
      </c>
      <c r="X21" s="711"/>
      <c r="Y21" s="711"/>
      <c r="Z21" s="722"/>
      <c r="AA21" s="713" t="s">
        <v>180</v>
      </c>
      <c r="AB21" s="714"/>
      <c r="AC21" s="739"/>
      <c r="AD21" s="721"/>
      <c r="AE21" s="721"/>
    </row>
    <row r="22" spans="1:32">
      <c r="A22" s="716">
        <v>590</v>
      </c>
      <c r="B22" s="700">
        <v>0</v>
      </c>
      <c r="C22" s="688">
        <v>320</v>
      </c>
      <c r="D22" s="745">
        <v>40.200000000000003</v>
      </c>
      <c r="E22" s="746"/>
      <c r="F22" s="747"/>
      <c r="G22" s="748">
        <f t="shared" si="0"/>
        <v>40.200000000000003</v>
      </c>
      <c r="H22" s="746">
        <v>5.7</v>
      </c>
      <c r="I22" s="746"/>
      <c r="J22" s="746"/>
      <c r="K22" s="746"/>
      <c r="L22" s="749">
        <f t="shared" si="1"/>
        <v>5.7</v>
      </c>
      <c r="M22" s="688">
        <f t="shared" si="4"/>
        <v>1025.8069704170805</v>
      </c>
      <c r="N22" s="706">
        <f t="shared" si="8"/>
        <v>279.79999999999995</v>
      </c>
      <c r="O22" s="707">
        <f t="shared" si="9"/>
        <v>318.29999999999995</v>
      </c>
      <c r="P22" s="708">
        <f t="shared" si="5"/>
        <v>0.57515694181734134</v>
      </c>
      <c r="Q22" s="709">
        <f t="shared" si="6"/>
        <v>0.22143542259967641</v>
      </c>
      <c r="R22" s="710">
        <f>SUM(Q$13:Q22)</f>
        <v>1.9298215749552188</v>
      </c>
      <c r="S22" s="711">
        <f t="shared" si="2"/>
        <v>0.60629015864128777</v>
      </c>
      <c r="T22" s="711"/>
      <c r="U22" s="711"/>
      <c r="V22" s="711">
        <f t="shared" si="7"/>
        <v>0</v>
      </c>
      <c r="W22" s="711">
        <f t="shared" ref="W22:W33" si="10">(A24-(V22/0.9))/M22</f>
        <v>0.41918217793467255</v>
      </c>
      <c r="X22" s="711"/>
      <c r="Y22" s="711"/>
      <c r="Z22" s="722" t="s">
        <v>276</v>
      </c>
      <c r="AA22" s="713" t="s">
        <v>180</v>
      </c>
      <c r="AB22" s="714"/>
      <c r="AC22" s="739"/>
      <c r="AD22" s="721"/>
      <c r="AE22" s="721"/>
    </row>
    <row r="23" spans="1:32">
      <c r="A23" s="814">
        <v>495</v>
      </c>
      <c r="B23" s="700">
        <v>0</v>
      </c>
      <c r="C23" s="688">
        <f>C24-D24</f>
        <v>348.3</v>
      </c>
      <c r="D23" s="745">
        <v>31.7</v>
      </c>
      <c r="E23" s="746"/>
      <c r="F23" s="747"/>
      <c r="G23" s="748">
        <f t="shared" si="0"/>
        <v>31.7</v>
      </c>
      <c r="H23" s="746">
        <v>5.7</v>
      </c>
      <c r="I23" s="746"/>
      <c r="J23" s="746"/>
      <c r="K23" s="746"/>
      <c r="L23" s="749">
        <f t="shared" si="1"/>
        <v>5.7</v>
      </c>
      <c r="M23" s="688">
        <f t="shared" si="4"/>
        <v>808.90748662242413</v>
      </c>
      <c r="N23" s="706">
        <f t="shared" si="8"/>
        <v>318.29999999999995</v>
      </c>
      <c r="O23" s="707">
        <f t="shared" si="9"/>
        <v>348.29999999999995</v>
      </c>
      <c r="P23" s="708">
        <f t="shared" si="5"/>
        <v>0.61193647998841239</v>
      </c>
      <c r="Q23" s="709">
        <f t="shared" si="6"/>
        <v>0.18358094399652372</v>
      </c>
      <c r="R23" s="710">
        <f>SUM(Q$13:Q23)</f>
        <v>2.1134025189517427</v>
      </c>
      <c r="S23" s="711">
        <f t="shared" si="2"/>
        <v>0.6067764912293262</v>
      </c>
      <c r="T23" s="711"/>
      <c r="U23" s="711"/>
      <c r="V23" s="711">
        <f t="shared" si="7"/>
        <v>0</v>
      </c>
      <c r="W23" s="711">
        <f t="shared" si="10"/>
        <v>0.77882824725797939</v>
      </c>
      <c r="X23" s="711"/>
      <c r="Y23" s="711"/>
      <c r="Z23" s="722" t="s">
        <v>277</v>
      </c>
      <c r="AA23" s="713" t="s">
        <v>180</v>
      </c>
      <c r="AB23" s="714"/>
      <c r="AC23" s="739"/>
      <c r="AD23" s="721"/>
      <c r="AE23" s="721"/>
    </row>
    <row r="24" spans="1:32">
      <c r="A24" s="716">
        <v>430</v>
      </c>
      <c r="B24" s="700">
        <v>0</v>
      </c>
      <c r="C24" s="688">
        <v>376</v>
      </c>
      <c r="D24" s="745">
        <v>27.7</v>
      </c>
      <c r="E24" s="746"/>
      <c r="F24" s="747"/>
      <c r="G24" s="748">
        <f t="shared" si="0"/>
        <v>27.7</v>
      </c>
      <c r="H24" s="746">
        <v>5.7</v>
      </c>
      <c r="I24" s="746"/>
      <c r="J24" s="746"/>
      <c r="K24" s="746"/>
      <c r="L24" s="749">
        <f t="shared" si="1"/>
        <v>5.7</v>
      </c>
      <c r="M24" s="688">
        <f t="shared" si="4"/>
        <v>706.83714130729174</v>
      </c>
      <c r="N24" s="706">
        <f t="shared" si="8"/>
        <v>348.29999999999995</v>
      </c>
      <c r="O24" s="707">
        <f t="shared" si="9"/>
        <v>374.75</v>
      </c>
      <c r="P24" s="708">
        <f t="shared" si="5"/>
        <v>0.60834381057667286</v>
      </c>
      <c r="Q24" s="709">
        <f t="shared" si="6"/>
        <v>0.16090693789753024</v>
      </c>
      <c r="R24" s="710">
        <f>SUM(Q$13:Q24)</f>
        <v>2.2743094568492728</v>
      </c>
      <c r="S24" s="711">
        <f t="shared" si="2"/>
        <v>0.60688711323529632</v>
      </c>
      <c r="T24" s="711"/>
      <c r="U24" s="711"/>
      <c r="V24" s="711">
        <f t="shared" si="7"/>
        <v>0</v>
      </c>
      <c r="W24" s="711">
        <f t="shared" si="10"/>
        <v>1.188392560196291</v>
      </c>
      <c r="X24" s="711"/>
      <c r="Y24" s="711"/>
      <c r="Z24" s="722"/>
      <c r="AA24" s="713"/>
      <c r="AB24" s="714"/>
      <c r="AC24" s="751"/>
    </row>
    <row r="25" spans="1:32">
      <c r="A25" s="716">
        <v>630</v>
      </c>
      <c r="B25" s="700">
        <v>0</v>
      </c>
      <c r="C25" s="688">
        <f>C26-D26</f>
        <v>418.3</v>
      </c>
      <c r="D25" s="745">
        <v>44.8</v>
      </c>
      <c r="E25" s="746"/>
      <c r="F25" s="747"/>
      <c r="G25" s="748">
        <f t="shared" si="0"/>
        <v>44.8</v>
      </c>
      <c r="H25" s="746">
        <v>5.7</v>
      </c>
      <c r="I25" s="746"/>
      <c r="J25" s="746"/>
      <c r="K25" s="746"/>
      <c r="L25" s="749">
        <f t="shared" si="1"/>
        <v>5.7</v>
      </c>
      <c r="M25" s="688">
        <f t="shared" si="4"/>
        <v>1143.1878675294827</v>
      </c>
      <c r="N25" s="706">
        <f t="shared" si="8"/>
        <v>374.75</v>
      </c>
      <c r="O25" s="707">
        <f t="shared" si="9"/>
        <v>418.29999999999995</v>
      </c>
      <c r="P25" s="708">
        <f t="shared" si="5"/>
        <v>0.55109052317138274</v>
      </c>
      <c r="Q25" s="709">
        <f t="shared" si="6"/>
        <v>0.23999992284113694</v>
      </c>
      <c r="R25" s="710">
        <f>SUM(Q$13:Q25)</f>
        <v>2.5143093796904097</v>
      </c>
      <c r="S25" s="711">
        <f t="shared" si="2"/>
        <v>0.6010780252666531</v>
      </c>
      <c r="T25" s="711"/>
      <c r="U25" s="711"/>
      <c r="V25" s="711">
        <f t="shared" si="7"/>
        <v>0</v>
      </c>
      <c r="W25" s="711">
        <f t="shared" si="10"/>
        <v>0.53359558592784684</v>
      </c>
      <c r="X25" s="711"/>
      <c r="Y25" s="711"/>
      <c r="Z25" s="722" t="s">
        <v>278</v>
      </c>
      <c r="AA25" s="713"/>
      <c r="AB25" s="714"/>
      <c r="AC25" s="752"/>
      <c r="AD25" s="753"/>
      <c r="AE25" s="754"/>
      <c r="AF25" s="753"/>
    </row>
    <row r="26" spans="1:32">
      <c r="A26" s="716">
        <v>840</v>
      </c>
      <c r="B26" s="700">
        <v>0</v>
      </c>
      <c r="C26" s="688">
        <v>466</v>
      </c>
      <c r="D26" s="745">
        <v>47.7</v>
      </c>
      <c r="E26" s="746"/>
      <c r="F26" s="747"/>
      <c r="G26" s="748">
        <f t="shared" si="0"/>
        <v>47.7</v>
      </c>
      <c r="H26" s="746">
        <v>5.7</v>
      </c>
      <c r="I26" s="746"/>
      <c r="J26" s="746"/>
      <c r="K26" s="746"/>
      <c r="L26" s="749">
        <f t="shared" si="1"/>
        <v>5.7</v>
      </c>
      <c r="M26" s="688">
        <f t="shared" si="4"/>
        <v>1217.1888678829537</v>
      </c>
      <c r="N26" s="706">
        <f t="shared" si="8"/>
        <v>418.29999999999995</v>
      </c>
      <c r="O26" s="707">
        <f t="shared" si="9"/>
        <v>464.8</v>
      </c>
      <c r="P26" s="708">
        <f t="shared" si="5"/>
        <v>0.69011475717897819</v>
      </c>
      <c r="Q26" s="709">
        <f t="shared" si="6"/>
        <v>0.32090336208822529</v>
      </c>
      <c r="R26" s="710">
        <f>SUM(Q$13:Q26)</f>
        <v>2.8352127417786348</v>
      </c>
      <c r="S26" s="711">
        <f t="shared" si="2"/>
        <v>0.60998552964256347</v>
      </c>
      <c r="T26" s="711">
        <f>C26-31</f>
        <v>435</v>
      </c>
      <c r="U26" s="711">
        <v>12.6</v>
      </c>
      <c r="V26" s="711">
        <f t="shared" si="7"/>
        <v>321.52158774266701</v>
      </c>
      <c r="W26" s="711">
        <f t="shared" si="10"/>
        <v>0.15835980469677782</v>
      </c>
      <c r="X26" s="711"/>
      <c r="Y26" s="711"/>
      <c r="Z26" s="722"/>
      <c r="AA26" s="713"/>
      <c r="AB26" s="714"/>
      <c r="AC26" s="752"/>
      <c r="AD26" s="753"/>
      <c r="AE26" s="755"/>
      <c r="AF26" s="753"/>
    </row>
    <row r="27" spans="1:32">
      <c r="A27" s="716">
        <v>610</v>
      </c>
      <c r="B27" s="700">
        <v>0</v>
      </c>
      <c r="C27" s="688">
        <f>C28-D28</f>
        <v>502.4</v>
      </c>
      <c r="D27" s="745">
        <v>38.799999999999997</v>
      </c>
      <c r="E27" s="746"/>
      <c r="F27" s="747"/>
      <c r="G27" s="748">
        <f t="shared" si="0"/>
        <v>38.799999999999997</v>
      </c>
      <c r="H27" s="746">
        <v>5.7</v>
      </c>
      <c r="I27" s="746"/>
      <c r="J27" s="746"/>
      <c r="K27" s="746"/>
      <c r="L27" s="749">
        <f t="shared" si="1"/>
        <v>5.7</v>
      </c>
      <c r="M27" s="688">
        <f t="shared" si="4"/>
        <v>990.08234955678404</v>
      </c>
      <c r="N27" s="706">
        <f t="shared" si="8"/>
        <v>464.8</v>
      </c>
      <c r="O27" s="707">
        <f t="shared" si="9"/>
        <v>502.40000000000003</v>
      </c>
      <c r="P27" s="708">
        <f t="shared" si="5"/>
        <v>0.61611036725689527</v>
      </c>
      <c r="Q27" s="709">
        <f t="shared" si="6"/>
        <v>0.23165749808859273</v>
      </c>
      <c r="R27" s="710">
        <f>SUM(Q$13:Q27)</f>
        <v>3.0668702398672276</v>
      </c>
      <c r="S27" s="711">
        <f t="shared" si="2"/>
        <v>0.61044391717102453</v>
      </c>
      <c r="T27" s="711">
        <f>C27-29</f>
        <v>473.4</v>
      </c>
      <c r="U27" s="711">
        <v>3.5</v>
      </c>
      <c r="V27" s="711">
        <f t="shared" si="7"/>
        <v>89.311552150740837</v>
      </c>
      <c r="W27" s="711">
        <f t="shared" si="10"/>
        <v>0.61183288675523451</v>
      </c>
      <c r="X27" s="711"/>
      <c r="Y27" s="711"/>
      <c r="Z27" s="722"/>
      <c r="AA27" s="713"/>
      <c r="AB27" s="714"/>
      <c r="AC27" s="756"/>
      <c r="AD27" s="753"/>
      <c r="AE27" s="753"/>
      <c r="AF27" s="753"/>
    </row>
    <row r="28" spans="1:32">
      <c r="A28" s="716">
        <v>550</v>
      </c>
      <c r="B28" s="700">
        <v>0</v>
      </c>
      <c r="C28" s="688">
        <v>541</v>
      </c>
      <c r="D28" s="745">
        <v>38.6</v>
      </c>
      <c r="E28" s="746"/>
      <c r="F28" s="747"/>
      <c r="G28" s="748">
        <f t="shared" si="0"/>
        <v>38.6</v>
      </c>
      <c r="H28" s="746">
        <v>5.7</v>
      </c>
      <c r="I28" s="746"/>
      <c r="J28" s="746"/>
      <c r="K28" s="746"/>
      <c r="L28" s="749">
        <f t="shared" si="1"/>
        <v>5.7</v>
      </c>
      <c r="M28" s="688">
        <f t="shared" si="4"/>
        <v>984.97883229102752</v>
      </c>
      <c r="N28" s="706">
        <f t="shared" si="8"/>
        <v>502.40000000000003</v>
      </c>
      <c r="O28" s="707">
        <f t="shared" si="9"/>
        <v>540.25</v>
      </c>
      <c r="P28" s="708">
        <f t="shared" si="5"/>
        <v>0.55838763430145866</v>
      </c>
      <c r="Q28" s="709">
        <f t="shared" si="6"/>
        <v>0.21134971958310192</v>
      </c>
      <c r="R28" s="710">
        <f>SUM(Q$13:Q28)</f>
        <v>3.2782199594503294</v>
      </c>
      <c r="S28" s="711">
        <f t="shared" si="2"/>
        <v>0.60679684580293003</v>
      </c>
      <c r="T28" s="711"/>
      <c r="U28" s="711"/>
      <c r="V28" s="711">
        <f t="shared" si="7"/>
        <v>0</v>
      </c>
      <c r="W28" s="711">
        <f t="shared" si="10"/>
        <v>0.74113267825466322</v>
      </c>
      <c r="X28" s="711"/>
      <c r="Y28" s="711"/>
      <c r="Z28" s="722"/>
      <c r="AA28" s="713"/>
      <c r="AB28" s="714"/>
      <c r="AC28" s="757"/>
      <c r="AD28" s="758"/>
    </row>
    <row r="29" spans="1:32">
      <c r="A29" s="716">
        <v>705</v>
      </c>
      <c r="B29" s="700">
        <v>0</v>
      </c>
      <c r="C29" s="688">
        <f>C30-D30</f>
        <v>582.79999999999995</v>
      </c>
      <c r="D29" s="745">
        <v>43.3</v>
      </c>
      <c r="E29" s="746"/>
      <c r="F29" s="747"/>
      <c r="G29" s="748">
        <f t="shared" si="0"/>
        <v>43.3</v>
      </c>
      <c r="H29" s="746">
        <v>5.7</v>
      </c>
      <c r="I29" s="746"/>
      <c r="J29" s="746"/>
      <c r="K29" s="746"/>
      <c r="L29" s="749">
        <f t="shared" si="1"/>
        <v>5.7</v>
      </c>
      <c r="M29" s="688">
        <f t="shared" si="4"/>
        <v>1104.9114880363079</v>
      </c>
      <c r="N29" s="706">
        <f t="shared" si="8"/>
        <v>540.25</v>
      </c>
      <c r="O29" s="707">
        <f t="shared" si="9"/>
        <v>582.79999999999995</v>
      </c>
      <c r="P29" s="708">
        <f t="shared" si="5"/>
        <v>0.63806015923769033</v>
      </c>
      <c r="Q29" s="709">
        <f t="shared" si="6"/>
        <v>0.27149459775563695</v>
      </c>
      <c r="R29" s="710">
        <f>SUM(Q$13:Q29)</f>
        <v>3.5497145572059665</v>
      </c>
      <c r="S29" s="711">
        <f t="shared" si="2"/>
        <v>0.60907936808613017</v>
      </c>
      <c r="T29" s="711"/>
      <c r="U29" s="711"/>
      <c r="V29" s="711">
        <f t="shared" si="7"/>
        <v>0</v>
      </c>
      <c r="W29" s="711">
        <f t="shared" si="10"/>
        <v>0.44347443691697624</v>
      </c>
      <c r="X29" s="711"/>
      <c r="Y29" s="711"/>
      <c r="Z29" s="722"/>
      <c r="AA29" s="713"/>
      <c r="AB29" s="714"/>
      <c r="AC29" s="758"/>
      <c r="AD29" s="758"/>
    </row>
    <row r="30" spans="1:32">
      <c r="A30" s="716">
        <v>730</v>
      </c>
      <c r="B30" s="700">
        <v>0</v>
      </c>
      <c r="C30" s="688">
        <v>628</v>
      </c>
      <c r="D30" s="745">
        <v>45.2</v>
      </c>
      <c r="E30" s="746"/>
      <c r="F30" s="747"/>
      <c r="G30" s="748">
        <f t="shared" si="0"/>
        <v>45.2</v>
      </c>
      <c r="H30" s="746">
        <v>5.7</v>
      </c>
      <c r="I30" s="746"/>
      <c r="J30" s="746"/>
      <c r="K30" s="746"/>
      <c r="L30" s="749">
        <f t="shared" si="1"/>
        <v>5.7</v>
      </c>
      <c r="M30" s="688">
        <f t="shared" si="4"/>
        <v>1153.3949020609959</v>
      </c>
      <c r="N30" s="706">
        <f t="shared" si="8"/>
        <v>582.79999999999995</v>
      </c>
      <c r="O30" s="707">
        <f t="shared" si="9"/>
        <v>629.85</v>
      </c>
      <c r="P30" s="708">
        <f t="shared" si="5"/>
        <v>0.63291418983694692</v>
      </c>
      <c r="Q30" s="709">
        <f t="shared" si="6"/>
        <v>0.29778612631828394</v>
      </c>
      <c r="R30" s="710">
        <f>SUM(Q$13:Q30)</f>
        <v>3.8475006835242507</v>
      </c>
      <c r="S30" s="711">
        <f t="shared" si="2"/>
        <v>0.61085983702853863</v>
      </c>
      <c r="T30" s="711"/>
      <c r="U30" s="711"/>
      <c r="V30" s="711">
        <f t="shared" si="7"/>
        <v>0</v>
      </c>
      <c r="W30" s="711">
        <f t="shared" si="10"/>
        <v>0.71961476378721367</v>
      </c>
      <c r="X30" s="711"/>
      <c r="Y30" s="711"/>
      <c r="Z30" s="722" t="s">
        <v>279</v>
      </c>
      <c r="AA30" s="713"/>
      <c r="AB30" s="714"/>
    </row>
    <row r="31" spans="1:32">
      <c r="A31" s="716">
        <v>490</v>
      </c>
      <c r="B31" s="700">
        <v>0</v>
      </c>
      <c r="C31" s="688">
        <f>C32-D32</f>
        <v>661.5</v>
      </c>
      <c r="D31" s="745">
        <v>29.8</v>
      </c>
      <c r="E31" s="746"/>
      <c r="F31" s="747"/>
      <c r="G31" s="748">
        <f t="shared" si="0"/>
        <v>29.8</v>
      </c>
      <c r="H31" s="746">
        <v>5.7</v>
      </c>
      <c r="I31" s="746"/>
      <c r="J31" s="746"/>
      <c r="K31" s="746"/>
      <c r="L31" s="749">
        <f t="shared" si="1"/>
        <v>5.7</v>
      </c>
      <c r="M31" s="688">
        <f t="shared" si="4"/>
        <v>760.42407259773631</v>
      </c>
      <c r="N31" s="706">
        <f t="shared" si="8"/>
        <v>629.85</v>
      </c>
      <c r="O31" s="707">
        <f t="shared" si="9"/>
        <v>661.5</v>
      </c>
      <c r="P31" s="708">
        <f t="shared" si="5"/>
        <v>0.64437728585587473</v>
      </c>
      <c r="Q31" s="709">
        <f t="shared" si="6"/>
        <v>0.20394541097338423</v>
      </c>
      <c r="R31" s="710">
        <f>SUM(Q$13:Q31)</f>
        <v>4.0514460944976349</v>
      </c>
      <c r="S31" s="711">
        <f t="shared" si="2"/>
        <v>0.61246350634884883</v>
      </c>
      <c r="T31" s="711"/>
      <c r="U31" s="711"/>
      <c r="V31" s="711">
        <f t="shared" si="7"/>
        <v>0</v>
      </c>
      <c r="W31" s="711">
        <f t="shared" si="10"/>
        <v>0.913963701367006</v>
      </c>
      <c r="X31" s="711"/>
      <c r="Y31" s="711"/>
      <c r="Z31" s="722"/>
      <c r="AA31" s="713"/>
      <c r="AB31" s="714"/>
    </row>
    <row r="32" spans="1:32">
      <c r="A32" s="716">
        <v>830</v>
      </c>
      <c r="B32" s="700">
        <v>0</v>
      </c>
      <c r="C32" s="688">
        <v>709</v>
      </c>
      <c r="D32" s="745">
        <v>47.5</v>
      </c>
      <c r="E32" s="746"/>
      <c r="F32" s="747"/>
      <c r="G32" s="748">
        <f t="shared" si="0"/>
        <v>47.5</v>
      </c>
      <c r="H32" s="746">
        <v>5.7</v>
      </c>
      <c r="I32" s="746"/>
      <c r="J32" s="746"/>
      <c r="K32" s="746"/>
      <c r="L32" s="749">
        <f t="shared" si="1"/>
        <v>5.7</v>
      </c>
      <c r="M32" s="688">
        <f t="shared" si="4"/>
        <v>1212.085350617197</v>
      </c>
      <c r="N32" s="706">
        <f t="shared" si="8"/>
        <v>661.5</v>
      </c>
      <c r="O32" s="707">
        <f t="shared" si="9"/>
        <v>708.75</v>
      </c>
      <c r="P32" s="708">
        <f t="shared" si="5"/>
        <v>0.6847702594354117</v>
      </c>
      <c r="Q32" s="709">
        <f t="shared" si="6"/>
        <v>0.32355394758323203</v>
      </c>
      <c r="R32" s="710">
        <f>SUM(Q$13:Q32)</f>
        <v>4.3750000420808668</v>
      </c>
      <c r="S32" s="711">
        <f t="shared" si="2"/>
        <v>0.61728395655461965</v>
      </c>
      <c r="T32" s="711">
        <f>C32-18</f>
        <v>691</v>
      </c>
      <c r="U32" s="711">
        <v>2.5</v>
      </c>
      <c r="V32" s="711">
        <f t="shared" si="7"/>
        <v>63.793965821957741</v>
      </c>
      <c r="W32" s="711">
        <f t="shared" si="10"/>
        <v>0.55203853046541951</v>
      </c>
      <c r="X32" s="711"/>
      <c r="Y32" s="711"/>
      <c r="Z32" s="722"/>
      <c r="AA32" s="713"/>
      <c r="AB32" s="714"/>
    </row>
    <row r="33" spans="1:32">
      <c r="A33" s="716">
        <v>695</v>
      </c>
      <c r="B33" s="700">
        <v>0</v>
      </c>
      <c r="C33" s="688">
        <f>C34-D34</f>
        <v>751.2</v>
      </c>
      <c r="D33" s="745">
        <v>42.7</v>
      </c>
      <c r="E33" s="746"/>
      <c r="F33" s="747"/>
      <c r="G33" s="748">
        <f t="shared" si="0"/>
        <v>42.7</v>
      </c>
      <c r="H33" s="746">
        <v>5.7</v>
      </c>
      <c r="I33" s="746"/>
      <c r="J33" s="746"/>
      <c r="K33" s="746"/>
      <c r="L33" s="749">
        <f t="shared" si="1"/>
        <v>5.7</v>
      </c>
      <c r="M33" s="688">
        <f t="shared" si="4"/>
        <v>1089.6009362390382</v>
      </c>
      <c r="N33" s="706">
        <f t="shared" si="8"/>
        <v>708.75</v>
      </c>
      <c r="O33" s="707">
        <f t="shared" si="9"/>
        <v>751.2</v>
      </c>
      <c r="P33" s="708">
        <f t="shared" si="5"/>
        <v>0.63784820376432749</v>
      </c>
      <c r="Q33" s="709">
        <f t="shared" si="6"/>
        <v>0.27076656249795733</v>
      </c>
      <c r="R33" s="710">
        <f>SUM(Q$13:Q33)</f>
        <v>4.6457666045788244</v>
      </c>
      <c r="S33" s="711">
        <f t="shared" si="2"/>
        <v>0.61844603362337913</v>
      </c>
      <c r="T33" s="711">
        <f>C33-10</f>
        <v>741.2</v>
      </c>
      <c r="U33" s="711">
        <v>1</v>
      </c>
      <c r="V33" s="711">
        <f t="shared" si="7"/>
        <v>25.517586328783096</v>
      </c>
      <c r="W33" s="711">
        <f t="shared" si="10"/>
        <v>0.75866961821332457</v>
      </c>
      <c r="X33" s="711"/>
      <c r="Y33" s="711"/>
      <c r="Z33" s="722"/>
      <c r="AA33" s="713"/>
      <c r="AB33" s="714"/>
    </row>
    <row r="34" spans="1:32">
      <c r="A34" s="716">
        <v>740</v>
      </c>
      <c r="B34" s="700">
        <v>0</v>
      </c>
      <c r="C34" s="688">
        <v>797</v>
      </c>
      <c r="D34" s="745">
        <v>45.8</v>
      </c>
      <c r="E34" s="746"/>
      <c r="F34" s="747"/>
      <c r="G34" s="748">
        <f t="shared" si="0"/>
        <v>45.8</v>
      </c>
      <c r="H34" s="746">
        <v>5.7</v>
      </c>
      <c r="I34" s="746"/>
      <c r="J34" s="746"/>
      <c r="K34" s="746"/>
      <c r="L34" s="749">
        <f t="shared" si="1"/>
        <v>5.7</v>
      </c>
      <c r="M34" s="688">
        <f t="shared" si="4"/>
        <v>1168.7054538582656</v>
      </c>
      <c r="N34" s="706">
        <f t="shared" si="8"/>
        <v>751.2</v>
      </c>
      <c r="O34" s="707">
        <f t="shared" si="9"/>
        <v>797.1</v>
      </c>
      <c r="P34" s="708">
        <f t="shared" si="5"/>
        <v>0.63317921342544126</v>
      </c>
      <c r="Q34" s="709">
        <f t="shared" si="6"/>
        <v>0.29062925896227737</v>
      </c>
      <c r="R34" s="710">
        <f>SUM(Q$13:Q34)</f>
        <v>4.9363958635411018</v>
      </c>
      <c r="S34" s="711">
        <f t="shared" si="2"/>
        <v>0.61929442523411138</v>
      </c>
      <c r="T34" s="711"/>
      <c r="U34" s="711"/>
      <c r="V34" s="711">
        <f t="shared" si="7"/>
        <v>0</v>
      </c>
      <c r="W34" s="711" t="e">
        <f>(#REF!-(V34/0.9))/M34</f>
        <v>#REF!</v>
      </c>
      <c r="X34" s="711"/>
      <c r="Y34" s="711"/>
      <c r="Z34" s="722"/>
      <c r="AA34" s="713"/>
      <c r="AB34" s="714"/>
    </row>
    <row r="35" spans="1:32">
      <c r="A35" s="716">
        <v>855</v>
      </c>
      <c r="B35" s="700">
        <v>0</v>
      </c>
      <c r="C35" s="688">
        <f>C36-D36</f>
        <v>842</v>
      </c>
      <c r="D35" s="745">
        <v>44.8</v>
      </c>
      <c r="E35" s="746"/>
      <c r="F35" s="747"/>
      <c r="G35" s="748">
        <f t="shared" si="0"/>
        <v>44.8</v>
      </c>
      <c r="H35" s="746">
        <v>5.7</v>
      </c>
      <c r="I35" s="746"/>
      <c r="J35" s="746"/>
      <c r="K35" s="746"/>
      <c r="L35" s="749">
        <f t="shared" si="1"/>
        <v>5.7</v>
      </c>
      <c r="M35" s="688">
        <f t="shared" si="4"/>
        <v>1143.1878675294827</v>
      </c>
      <c r="N35" s="706">
        <f t="shared" si="8"/>
        <v>797.1</v>
      </c>
      <c r="O35" s="707">
        <f t="shared" si="9"/>
        <v>842</v>
      </c>
      <c r="P35" s="708">
        <f t="shared" si="5"/>
        <v>0.74790856716116227</v>
      </c>
      <c r="Q35" s="709">
        <f t="shared" si="6"/>
        <v>0.33581094665536171</v>
      </c>
      <c r="R35" s="710">
        <f>SUM(Q$13:Q35)</f>
        <v>5.2722068101964634</v>
      </c>
      <c r="S35" s="711">
        <f t="shared" si="2"/>
        <v>0.62615282781430681</v>
      </c>
      <c r="T35" s="711">
        <f>C35-28</f>
        <v>814</v>
      </c>
      <c r="U35" s="711">
        <v>3.5</v>
      </c>
      <c r="V35" s="711">
        <f t="shared" si="7"/>
        <v>89.311552150740837</v>
      </c>
      <c r="W35" s="711">
        <f t="shared" si="3"/>
        <v>0.63048687142941884</v>
      </c>
      <c r="X35" s="711"/>
      <c r="Y35" s="711"/>
      <c r="Z35" s="722"/>
      <c r="AA35" s="713"/>
      <c r="AB35" s="714"/>
    </row>
    <row r="36" spans="1:32">
      <c r="A36" s="716">
        <v>820</v>
      </c>
      <c r="B36" s="700">
        <v>0</v>
      </c>
      <c r="C36" s="688">
        <v>884</v>
      </c>
      <c r="D36" s="745">
        <v>42</v>
      </c>
      <c r="E36" s="746"/>
      <c r="F36" s="747"/>
      <c r="G36" s="748">
        <f t="shared" si="0"/>
        <v>42</v>
      </c>
      <c r="H36" s="746">
        <v>5.7</v>
      </c>
      <c r="I36" s="746"/>
      <c r="J36" s="746"/>
      <c r="K36" s="746"/>
      <c r="L36" s="749">
        <f t="shared" si="1"/>
        <v>5.7</v>
      </c>
      <c r="M36" s="688">
        <f t="shared" si="4"/>
        <v>1071.73862580889</v>
      </c>
      <c r="N36" s="706">
        <f t="shared" si="8"/>
        <v>842</v>
      </c>
      <c r="O36" s="707">
        <f t="shared" si="9"/>
        <v>884.5</v>
      </c>
      <c r="P36" s="708">
        <f t="shared" si="5"/>
        <v>0.76511192211730605</v>
      </c>
      <c r="Q36" s="709">
        <f t="shared" si="6"/>
        <v>0.32517256689985508</v>
      </c>
      <c r="R36" s="710">
        <f>SUM(Q$13:Q36)</f>
        <v>5.5973793770963187</v>
      </c>
      <c r="S36" s="711">
        <f t="shared" si="2"/>
        <v>0.6328297769470117</v>
      </c>
      <c r="T36" s="711">
        <f>C35-5</f>
        <v>837</v>
      </c>
      <c r="U36" s="711">
        <v>3.5</v>
      </c>
      <c r="V36" s="711">
        <f t="shared" si="7"/>
        <v>89.311552150740837</v>
      </c>
      <c r="W36" s="711">
        <f t="shared" si="3"/>
        <v>0.70984186231092339</v>
      </c>
      <c r="X36" s="711"/>
      <c r="Y36" s="711"/>
      <c r="Z36" s="722"/>
      <c r="AA36" s="713"/>
      <c r="AB36" s="714"/>
    </row>
    <row r="37" spans="1:32">
      <c r="A37" s="716">
        <v>860</v>
      </c>
      <c r="B37" s="700">
        <v>0</v>
      </c>
      <c r="C37" s="688">
        <f>C38-D38</f>
        <v>926</v>
      </c>
      <c r="D37" s="745">
        <v>41</v>
      </c>
      <c r="E37" s="746"/>
      <c r="F37" s="747"/>
      <c r="G37" s="748">
        <f t="shared" si="0"/>
        <v>41</v>
      </c>
      <c r="H37" s="746">
        <v>5.7</v>
      </c>
      <c r="I37" s="746"/>
      <c r="J37" s="746"/>
      <c r="K37" s="746"/>
      <c r="L37" s="749">
        <f t="shared" si="1"/>
        <v>5.7</v>
      </c>
      <c r="M37" s="688">
        <f t="shared" si="4"/>
        <v>1046.2210394801068</v>
      </c>
      <c r="N37" s="706">
        <f t="shared" si="8"/>
        <v>884.5</v>
      </c>
      <c r="O37" s="707">
        <f t="shared" si="9"/>
        <v>926</v>
      </c>
      <c r="P37" s="708">
        <f t="shared" si="5"/>
        <v>0.82200602697433356</v>
      </c>
      <c r="Q37" s="709">
        <f t="shared" si="6"/>
        <v>0.34113250119434846</v>
      </c>
      <c r="R37" s="710">
        <f>SUM(Q$13:Q37)</f>
        <v>5.938511878290667</v>
      </c>
      <c r="S37" s="711">
        <f t="shared" si="2"/>
        <v>0.64130797821713459</v>
      </c>
      <c r="T37" s="711">
        <f>C37-32</f>
        <v>894</v>
      </c>
      <c r="U37" s="711">
        <v>9</v>
      </c>
      <c r="V37" s="711">
        <f>U37*    PI()* (L37/2)^2</f>
        <v>229.65827695904787</v>
      </c>
      <c r="W37" s="711">
        <f t="shared" si="3"/>
        <v>0.48252149179013709</v>
      </c>
      <c r="X37" s="711"/>
      <c r="Y37" s="711"/>
      <c r="Z37" s="722"/>
      <c r="AA37" s="713"/>
      <c r="AB37" s="714"/>
    </row>
    <row r="38" spans="1:32">
      <c r="A38" s="716">
        <v>760</v>
      </c>
      <c r="B38" s="700">
        <v>0</v>
      </c>
      <c r="C38" s="688">
        <v>965</v>
      </c>
      <c r="D38" s="745">
        <v>39</v>
      </c>
      <c r="E38" s="746"/>
      <c r="F38" s="747"/>
      <c r="G38" s="748">
        <f t="shared" si="0"/>
        <v>39</v>
      </c>
      <c r="H38" s="746">
        <v>5.7</v>
      </c>
      <c r="I38" s="746"/>
      <c r="J38" s="746"/>
      <c r="K38" s="746"/>
      <c r="L38" s="749">
        <f t="shared" si="1"/>
        <v>5.7</v>
      </c>
      <c r="M38" s="688">
        <f t="shared" si="4"/>
        <v>995.18586682254067</v>
      </c>
      <c r="N38" s="706">
        <f t="shared" si="8"/>
        <v>926</v>
      </c>
      <c r="O38" s="707">
        <f t="shared" si="9"/>
        <v>964.75</v>
      </c>
      <c r="P38" s="708">
        <f t="shared" si="5"/>
        <v>0.76367644008706714</v>
      </c>
      <c r="Q38" s="709">
        <f t="shared" si="6"/>
        <v>0.29592462053373852</v>
      </c>
      <c r="R38" s="710">
        <f>SUM(Q$13:Q38)</f>
        <v>6.2344364988244054</v>
      </c>
      <c r="S38" s="711">
        <f t="shared" si="2"/>
        <v>0.64622301102092827</v>
      </c>
      <c r="T38" s="711">
        <f>C37-13</f>
        <v>913</v>
      </c>
      <c r="U38" s="711">
        <v>1.5</v>
      </c>
      <c r="V38" s="711">
        <f t="shared" si="7"/>
        <v>38.276379493174645</v>
      </c>
      <c r="W38" s="711">
        <f t="shared" si="3"/>
        <v>0.74103814577536831</v>
      </c>
      <c r="X38" s="711"/>
      <c r="Y38" s="711"/>
      <c r="Z38" s="722"/>
      <c r="AA38" s="713"/>
      <c r="AB38" s="714"/>
    </row>
    <row r="39" spans="1:32">
      <c r="A39" s="716">
        <v>780</v>
      </c>
      <c r="B39" s="700">
        <v>0</v>
      </c>
      <c r="C39" s="688">
        <f>C40-D40</f>
        <v>1005</v>
      </c>
      <c r="D39" s="745">
        <v>40.5</v>
      </c>
      <c r="E39" s="746"/>
      <c r="F39" s="747"/>
      <c r="G39" s="748">
        <f t="shared" si="0"/>
        <v>40.5</v>
      </c>
      <c r="H39" s="746">
        <v>5.7</v>
      </c>
      <c r="I39" s="746"/>
      <c r="J39" s="746"/>
      <c r="K39" s="746"/>
      <c r="L39" s="749">
        <f t="shared" si="1"/>
        <v>5.7</v>
      </c>
      <c r="M39" s="688">
        <f t="shared" si="4"/>
        <v>1033.4622463157154</v>
      </c>
      <c r="N39" s="706">
        <f t="shared" si="8"/>
        <v>964.75</v>
      </c>
      <c r="O39" s="707">
        <f t="shared" si="9"/>
        <v>1005</v>
      </c>
      <c r="P39" s="708">
        <f t="shared" si="5"/>
        <v>0.75474455189891421</v>
      </c>
      <c r="Q39" s="709">
        <f t="shared" si="6"/>
        <v>0.30378468213931298</v>
      </c>
      <c r="R39" s="710">
        <f>SUM(Q$13:Q39)</f>
        <v>6.5382211809637187</v>
      </c>
      <c r="S39" s="711">
        <f t="shared" si="2"/>
        <v>0.65056927173768342</v>
      </c>
      <c r="T39" s="711"/>
      <c r="U39" s="711"/>
      <c r="V39" s="711">
        <f t="shared" si="7"/>
        <v>0</v>
      </c>
      <c r="W39" s="711">
        <f t="shared" si="3"/>
        <v>0.88053531054873324</v>
      </c>
      <c r="X39" s="711"/>
      <c r="Y39" s="711"/>
      <c r="Z39" s="722"/>
      <c r="AA39" s="713"/>
      <c r="AB39" s="714"/>
    </row>
    <row r="40" spans="1:32">
      <c r="A40" s="716">
        <v>910</v>
      </c>
      <c r="B40" s="700">
        <v>0</v>
      </c>
      <c r="C40" s="688">
        <v>1050</v>
      </c>
      <c r="D40" s="745">
        <v>45</v>
      </c>
      <c r="E40" s="746"/>
      <c r="F40" s="747"/>
      <c r="G40" s="748">
        <f t="shared" si="0"/>
        <v>45</v>
      </c>
      <c r="H40" s="746">
        <v>5.7</v>
      </c>
      <c r="I40" s="746"/>
      <c r="J40" s="746"/>
      <c r="K40" s="746"/>
      <c r="L40" s="749">
        <f t="shared" si="1"/>
        <v>5.7</v>
      </c>
      <c r="M40" s="688">
        <f t="shared" si="4"/>
        <v>1148.2913847952393</v>
      </c>
      <c r="N40" s="706">
        <f t="shared" si="8"/>
        <v>1005</v>
      </c>
      <c r="O40" s="707">
        <f t="shared" si="9"/>
        <v>1049.25</v>
      </c>
      <c r="P40" s="708">
        <f t="shared" si="5"/>
        <v>0.79248177949386001</v>
      </c>
      <c r="Q40" s="709">
        <f t="shared" si="6"/>
        <v>0.35067318742603304</v>
      </c>
      <c r="R40" s="710">
        <f>SUM(Q$13:Q40)</f>
        <v>6.8888943683897521</v>
      </c>
      <c r="S40" s="711">
        <f t="shared" si="2"/>
        <v>0.65655414518844435</v>
      </c>
      <c r="T40" s="711"/>
      <c r="U40" s="711"/>
      <c r="V40" s="711">
        <f t="shared" si="7"/>
        <v>0</v>
      </c>
      <c r="W40" s="711">
        <f t="shared" si="3"/>
        <v>0.79248177949386001</v>
      </c>
      <c r="X40" s="711"/>
      <c r="Y40" s="711"/>
      <c r="Z40" s="722"/>
      <c r="AA40" s="713"/>
      <c r="AB40" s="714"/>
    </row>
    <row r="41" spans="1:32">
      <c r="A41" s="716">
        <v>910</v>
      </c>
      <c r="B41" s="700">
        <v>0</v>
      </c>
      <c r="C41" s="688">
        <f>C42-D42</f>
        <v>1093.5</v>
      </c>
      <c r="D41" s="745">
        <v>45</v>
      </c>
      <c r="E41" s="746"/>
      <c r="F41" s="747"/>
      <c r="G41" s="748">
        <f t="shared" si="0"/>
        <v>45</v>
      </c>
      <c r="H41" s="746">
        <v>5.7</v>
      </c>
      <c r="I41" s="746"/>
      <c r="J41" s="746"/>
      <c r="K41" s="746"/>
      <c r="L41" s="749">
        <f t="shared" si="1"/>
        <v>5.7</v>
      </c>
      <c r="M41" s="688">
        <f t="shared" si="4"/>
        <v>1148.2913847952393</v>
      </c>
      <c r="N41" s="706">
        <f t="shared" si="8"/>
        <v>1049.25</v>
      </c>
      <c r="O41" s="707">
        <f t="shared" si="9"/>
        <v>1093.5</v>
      </c>
      <c r="P41" s="708">
        <f t="shared" si="5"/>
        <v>0.79248177949386001</v>
      </c>
      <c r="Q41" s="709">
        <f t="shared" si="6"/>
        <v>0.35067318742603304</v>
      </c>
      <c r="R41" s="710">
        <f>SUM(Q$13:Q41)</f>
        <v>7.2395675558157855</v>
      </c>
      <c r="S41" s="711">
        <f t="shared" si="2"/>
        <v>0.66205464616513809</v>
      </c>
      <c r="T41" s="711">
        <f>C41-15</f>
        <v>1078.5</v>
      </c>
      <c r="U41" s="711">
        <v>3.5</v>
      </c>
      <c r="V41" s="711">
        <f t="shared" si="7"/>
        <v>89.311552150740837</v>
      </c>
      <c r="W41" s="711">
        <f t="shared" si="3"/>
        <v>0.74089639034123633</v>
      </c>
      <c r="X41" s="711"/>
      <c r="Y41" s="711"/>
      <c r="Z41" s="722"/>
      <c r="AA41" s="713"/>
      <c r="AB41" s="714"/>
    </row>
    <row r="42" spans="1:32" ht="12" thickBot="1">
      <c r="A42" s="716">
        <v>950</v>
      </c>
      <c r="B42" s="700">
        <v>0</v>
      </c>
      <c r="C42" s="688">
        <v>1137</v>
      </c>
      <c r="D42" s="745">
        <v>43.5</v>
      </c>
      <c r="E42" s="746"/>
      <c r="F42" s="747"/>
      <c r="G42" s="748">
        <f t="shared" si="0"/>
        <v>43.5</v>
      </c>
      <c r="H42" s="746">
        <v>5.7</v>
      </c>
      <c r="I42" s="746"/>
      <c r="J42" s="746"/>
      <c r="K42" s="746"/>
      <c r="L42" s="749">
        <f t="shared" si="1"/>
        <v>5.7</v>
      </c>
      <c r="M42" s="688">
        <f t="shared" si="4"/>
        <v>1110.0150053020645</v>
      </c>
      <c r="N42" s="706">
        <f t="shared" si="8"/>
        <v>1093.5</v>
      </c>
      <c r="O42" s="707">
        <f t="shared" si="9"/>
        <v>1137</v>
      </c>
      <c r="P42" s="708">
        <f t="shared" si="5"/>
        <v>0.85584428630447185</v>
      </c>
      <c r="Q42" s="709">
        <f t="shared" si="6"/>
        <v>0.37229226454244524</v>
      </c>
      <c r="R42" s="710">
        <f>SUM(Q$13:Q42)</f>
        <v>7.6118598203582311</v>
      </c>
      <c r="S42" s="711">
        <f t="shared" si="2"/>
        <v>0.66946876168498082</v>
      </c>
      <c r="T42" s="711"/>
      <c r="U42" s="711"/>
      <c r="V42" s="711">
        <f t="shared" si="7"/>
        <v>0</v>
      </c>
      <c r="W42" s="711">
        <f t="shared" si="3"/>
        <v>0.77476430128615348</v>
      </c>
      <c r="X42" s="711"/>
      <c r="Y42" s="711"/>
      <c r="Z42" s="722"/>
      <c r="AA42" s="713"/>
      <c r="AB42" s="759"/>
    </row>
    <row r="43" spans="1:32">
      <c r="A43" s="716">
        <v>860</v>
      </c>
      <c r="B43" s="700">
        <v>0</v>
      </c>
      <c r="C43" s="688">
        <f>C44-D44</f>
        <v>1175.5</v>
      </c>
      <c r="D43" s="745">
        <v>38.5</v>
      </c>
      <c r="E43" s="746"/>
      <c r="F43" s="747"/>
      <c r="G43" s="748">
        <f t="shared" si="0"/>
        <v>38.5</v>
      </c>
      <c r="H43" s="746">
        <v>5.7</v>
      </c>
      <c r="I43" s="746"/>
      <c r="J43" s="746"/>
      <c r="K43" s="746"/>
      <c r="L43" s="749">
        <f t="shared" si="1"/>
        <v>5.7</v>
      </c>
      <c r="M43" s="688">
        <f t="shared" si="4"/>
        <v>982.4270736581492</v>
      </c>
      <c r="N43" s="706">
        <f t="shared" si="8"/>
        <v>1137</v>
      </c>
      <c r="O43" s="707">
        <f t="shared" si="9"/>
        <v>1175.5</v>
      </c>
      <c r="P43" s="708">
        <f t="shared" si="5"/>
        <v>0.87538304171292658</v>
      </c>
      <c r="Q43" s="709">
        <f t="shared" si="6"/>
        <v>0.33702247105947669</v>
      </c>
      <c r="R43" s="710">
        <f>SUM(Q$13:Q43)</f>
        <v>7.948882291417708</v>
      </c>
      <c r="S43" s="711">
        <f t="shared" si="2"/>
        <v>0.6762128703885758</v>
      </c>
      <c r="T43" s="711"/>
      <c r="U43" s="711"/>
      <c r="V43" s="711">
        <f t="shared" si="7"/>
        <v>0</v>
      </c>
      <c r="W43" s="711">
        <f t="shared" si="3"/>
        <v>0.96699289491544216</v>
      </c>
      <c r="X43" s="711"/>
      <c r="Y43" s="711"/>
      <c r="Z43" s="722"/>
      <c r="AA43" s="760" t="s">
        <v>183</v>
      </c>
      <c r="AB43" s="761" t="e">
        <f>AVERAGE(AB12:AB42)</f>
        <v>#DIV/0!</v>
      </c>
    </row>
    <row r="44" spans="1:32">
      <c r="A44" s="716">
        <v>950</v>
      </c>
      <c r="B44" s="700">
        <v>0</v>
      </c>
      <c r="C44" s="688">
        <v>1220</v>
      </c>
      <c r="D44" s="745">
        <v>44.5</v>
      </c>
      <c r="E44" s="746"/>
      <c r="F44" s="747"/>
      <c r="G44" s="748">
        <f t="shared" si="0"/>
        <v>44.5</v>
      </c>
      <c r="H44" s="746">
        <v>5.7</v>
      </c>
      <c r="I44" s="746"/>
      <c r="J44" s="746"/>
      <c r="K44" s="746"/>
      <c r="L44" s="749">
        <f t="shared" si="1"/>
        <v>5.7</v>
      </c>
      <c r="M44" s="688">
        <f t="shared" si="4"/>
        <v>1135.5325916308479</v>
      </c>
      <c r="N44" s="706">
        <f t="shared" si="8"/>
        <v>1175.5</v>
      </c>
      <c r="O44" s="707">
        <f>(C44+C45-G45)/2</f>
        <v>1217.9000000000001</v>
      </c>
      <c r="P44" s="708">
        <f t="shared" si="5"/>
        <v>0.83661183043246101</v>
      </c>
      <c r="Q44" s="709">
        <f t="shared" si="6"/>
        <v>0.35472341610336422</v>
      </c>
      <c r="R44" s="710">
        <f>SUM(Q$13:Q44)</f>
        <v>8.3036057075210721</v>
      </c>
      <c r="S44" s="711">
        <f t="shared" si="2"/>
        <v>0.68179700365556051</v>
      </c>
      <c r="T44" s="711"/>
      <c r="U44" s="711"/>
      <c r="V44" s="711">
        <f t="shared" si="7"/>
        <v>0</v>
      </c>
      <c r="W44" s="711">
        <f t="shared" si="3"/>
        <v>0.7881764086705817</v>
      </c>
      <c r="X44" s="711"/>
      <c r="Y44" s="711"/>
      <c r="Z44" s="722"/>
      <c r="AA44" s="586" t="s">
        <v>184</v>
      </c>
      <c r="AB44" s="759" t="e">
        <f>STDEV(AB12:AB42)</f>
        <v>#DIV/0!</v>
      </c>
      <c r="AC44" s="762"/>
      <c r="AD44" s="762"/>
    </row>
    <row r="45" spans="1:32">
      <c r="A45" s="716">
        <v>895</v>
      </c>
      <c r="B45" s="700">
        <v>0</v>
      </c>
      <c r="C45" s="688">
        <f>C46-D46</f>
        <v>1258</v>
      </c>
      <c r="D45" s="745">
        <v>42.2</v>
      </c>
      <c r="E45" s="746"/>
      <c r="F45" s="747"/>
      <c r="G45" s="748">
        <f t="shared" si="0"/>
        <v>42.2</v>
      </c>
      <c r="H45" s="746">
        <v>5.7</v>
      </c>
      <c r="I45" s="746"/>
      <c r="J45" s="746"/>
      <c r="K45" s="746"/>
      <c r="L45" s="749">
        <f t="shared" si="1"/>
        <v>5.7</v>
      </c>
      <c r="M45" s="688">
        <f t="shared" si="4"/>
        <v>1076.8421430746469</v>
      </c>
      <c r="N45" s="706">
        <f t="shared" si="8"/>
        <v>1217.9000000000001</v>
      </c>
      <c r="O45" s="707">
        <f t="shared" si="9"/>
        <v>1258</v>
      </c>
      <c r="P45" s="708">
        <f t="shared" si="5"/>
        <v>0.83113389065973664</v>
      </c>
      <c r="Q45" s="709">
        <f t="shared" si="6"/>
        <v>0.33328469015455364</v>
      </c>
      <c r="R45" s="710">
        <f>SUM(Q$13:Q45)</f>
        <v>8.6368903976756251</v>
      </c>
      <c r="S45" s="711">
        <f t="shared" si="2"/>
        <v>0.68655726531602745</v>
      </c>
      <c r="T45" s="711">
        <f>C45</f>
        <v>1258</v>
      </c>
      <c r="U45" s="711">
        <v>35</v>
      </c>
      <c r="V45" s="711">
        <f t="shared" si="7"/>
        <v>893.11552150740829</v>
      </c>
      <c r="W45" s="711">
        <f t="shared" si="3"/>
        <v>-2.0755669339667139E-2</v>
      </c>
      <c r="X45" s="711"/>
      <c r="Y45" s="711"/>
      <c r="Z45" s="722"/>
      <c r="AA45" s="586" t="s">
        <v>186</v>
      </c>
      <c r="AB45" s="759" t="e">
        <f>AB44/SQRT(COUNT(AB12:AB42))</f>
        <v>#DIV/0!</v>
      </c>
      <c r="AC45" s="757"/>
      <c r="AD45" s="762"/>
      <c r="AE45" s="762"/>
      <c r="AF45" s="762"/>
    </row>
    <row r="46" spans="1:32">
      <c r="A46" s="716">
        <v>970</v>
      </c>
      <c r="B46" s="700">
        <v>0</v>
      </c>
      <c r="C46" s="688">
        <v>1308</v>
      </c>
      <c r="D46" s="745">
        <v>50</v>
      </c>
      <c r="E46" s="746"/>
      <c r="F46" s="747"/>
      <c r="G46" s="748">
        <f t="shared" si="0"/>
        <v>50</v>
      </c>
      <c r="H46" s="746">
        <v>5.7</v>
      </c>
      <c r="I46" s="746"/>
      <c r="J46" s="746"/>
      <c r="K46" s="746"/>
      <c r="L46" s="749">
        <f t="shared" si="1"/>
        <v>5.7</v>
      </c>
      <c r="M46" s="688">
        <f t="shared" si="4"/>
        <v>1275.8793164391548</v>
      </c>
      <c r="N46" s="706">
        <f t="shared" si="8"/>
        <v>1258</v>
      </c>
      <c r="O46" s="707">
        <f t="shared" si="9"/>
        <v>1308.3</v>
      </c>
      <c r="P46" s="708">
        <f t="shared" si="5"/>
        <v>0.76025999285509871</v>
      </c>
      <c r="Q46" s="709">
        <f t="shared" si="6"/>
        <v>0.38241077640611432</v>
      </c>
      <c r="R46" s="710">
        <f>SUM(Q$13:Q46)</f>
        <v>9.0193011740817397</v>
      </c>
      <c r="S46" s="711">
        <f t="shared" si="2"/>
        <v>0.68939090224579536</v>
      </c>
      <c r="T46" s="711">
        <f>C46-42</f>
        <v>1266</v>
      </c>
      <c r="U46" s="711">
        <v>8.5</v>
      </c>
      <c r="V46" s="711">
        <f t="shared" si="7"/>
        <v>216.89948379465633</v>
      </c>
      <c r="W46" s="711">
        <f t="shared" si="3"/>
        <v>0.57920883585131389</v>
      </c>
      <c r="X46" s="711"/>
      <c r="Y46" s="711"/>
      <c r="Z46" s="722"/>
      <c r="AA46" s="586" t="s">
        <v>187</v>
      </c>
      <c r="AB46" s="759">
        <f>MAX(AB12:AB42)</f>
        <v>0</v>
      </c>
      <c r="AC46" s="757"/>
    </row>
    <row r="47" spans="1:32" ht="12" thickBot="1">
      <c r="A47" s="716">
        <v>980</v>
      </c>
      <c r="B47" s="700">
        <v>0</v>
      </c>
      <c r="C47" s="688">
        <f>C48-D48</f>
        <v>1355.6</v>
      </c>
      <c r="D47" s="745">
        <v>47</v>
      </c>
      <c r="E47" s="746"/>
      <c r="F47" s="747"/>
      <c r="G47" s="748">
        <f t="shared" si="0"/>
        <v>47</v>
      </c>
      <c r="H47" s="746">
        <v>5.7</v>
      </c>
      <c r="I47" s="746"/>
      <c r="J47" s="746"/>
      <c r="K47" s="746"/>
      <c r="L47" s="749">
        <f t="shared" si="1"/>
        <v>5.7</v>
      </c>
      <c r="M47" s="688">
        <f t="shared" si="4"/>
        <v>1199.3265574528057</v>
      </c>
      <c r="N47" s="706">
        <f t="shared" si="8"/>
        <v>1308.3</v>
      </c>
      <c r="O47" s="707">
        <f t="shared" si="9"/>
        <v>1355.6</v>
      </c>
      <c r="P47" s="708">
        <f t="shared" si="5"/>
        <v>0.81712523908532197</v>
      </c>
      <c r="Q47" s="709">
        <f t="shared" si="6"/>
        <v>0.3865002380873569</v>
      </c>
      <c r="R47" s="710">
        <f>SUM(Q$13:Q47)</f>
        <v>9.4058014121690974</v>
      </c>
      <c r="S47" s="711">
        <f t="shared" si="2"/>
        <v>0.69384784686995415</v>
      </c>
      <c r="T47" s="711">
        <f>C47-16</f>
        <v>1339.6</v>
      </c>
      <c r="U47" s="711">
        <v>5</v>
      </c>
      <c r="V47" s="711">
        <f t="shared" si="7"/>
        <v>127.58793164391548</v>
      </c>
      <c r="W47" s="711">
        <f t="shared" si="3"/>
        <v>0.55717571444927838</v>
      </c>
      <c r="X47" s="711"/>
      <c r="Y47" s="711"/>
      <c r="Z47" s="722"/>
      <c r="AA47" s="799" t="s">
        <v>188</v>
      </c>
      <c r="AB47" s="800">
        <f>MIN(AB12:AB42)</f>
        <v>0</v>
      </c>
      <c r="AC47" s="762"/>
    </row>
    <row r="48" spans="1:32">
      <c r="A48" s="716">
        <v>810</v>
      </c>
      <c r="B48" s="700">
        <v>0</v>
      </c>
      <c r="C48" s="688">
        <v>1394</v>
      </c>
      <c r="D48" s="745">
        <v>38.4</v>
      </c>
      <c r="E48" s="746"/>
      <c r="F48" s="747"/>
      <c r="G48" s="748">
        <f t="shared" si="0"/>
        <v>38.4</v>
      </c>
      <c r="H48" s="746">
        <v>5.7</v>
      </c>
      <c r="I48" s="746"/>
      <c r="J48" s="746"/>
      <c r="K48" s="746"/>
      <c r="L48" s="749">
        <f t="shared" si="1"/>
        <v>5.7</v>
      </c>
      <c r="M48" s="688">
        <f t="shared" si="4"/>
        <v>979.87531502527088</v>
      </c>
      <c r="N48" s="706">
        <f t="shared" si="8"/>
        <v>1355.6</v>
      </c>
      <c r="O48" s="707">
        <f t="shared" si="9"/>
        <v>1394.5</v>
      </c>
      <c r="P48" s="708">
        <f t="shared" si="5"/>
        <v>0.82663578475707411</v>
      </c>
      <c r="Q48" s="709">
        <f t="shared" si="6"/>
        <v>0.32156132027050255</v>
      </c>
      <c r="R48" s="710">
        <f>SUM(Q$13:Q48)</f>
        <v>9.7273627324395999</v>
      </c>
      <c r="S48" s="711">
        <f t="shared" si="2"/>
        <v>0.69755200662887051</v>
      </c>
      <c r="T48" s="711"/>
      <c r="U48" s="711"/>
      <c r="V48" s="711">
        <f t="shared" si="7"/>
        <v>0</v>
      </c>
      <c r="W48" s="711">
        <f t="shared" si="3"/>
        <v>0.82663578475707411</v>
      </c>
      <c r="X48" s="711"/>
      <c r="Y48" s="711"/>
      <c r="Z48" s="722"/>
    </row>
    <row r="49" spans="1:26">
      <c r="A49" s="716">
        <v>810</v>
      </c>
      <c r="B49" s="700">
        <v>0</v>
      </c>
      <c r="C49" s="688">
        <f>C50-D50</f>
        <v>1432.2</v>
      </c>
      <c r="D49" s="745">
        <v>37.200000000000003</v>
      </c>
      <c r="E49" s="746"/>
      <c r="F49" s="747"/>
      <c r="G49" s="748">
        <f t="shared" si="0"/>
        <v>37.200000000000003</v>
      </c>
      <c r="H49" s="746">
        <v>5.7</v>
      </c>
      <c r="I49" s="746"/>
      <c r="J49" s="746"/>
      <c r="K49" s="746"/>
      <c r="L49" s="749">
        <f t="shared" si="1"/>
        <v>5.7</v>
      </c>
      <c r="M49" s="688">
        <f t="shared" si="4"/>
        <v>949.25421143073129</v>
      </c>
      <c r="N49" s="706">
        <f t="shared" si="8"/>
        <v>1394.5</v>
      </c>
      <c r="O49" s="707">
        <f t="shared" si="9"/>
        <v>1432.2</v>
      </c>
      <c r="P49" s="708">
        <f t="shared" si="5"/>
        <v>0.85330145523310863</v>
      </c>
      <c r="Q49" s="709">
        <f t="shared" si="6"/>
        <v>0.32169464862288238</v>
      </c>
      <c r="R49" s="710">
        <f>SUM(Q$13:Q49)</f>
        <v>10.049057381062482</v>
      </c>
      <c r="S49" s="711">
        <f t="shared" si="2"/>
        <v>0.70165182104890955</v>
      </c>
      <c r="T49" s="711"/>
      <c r="U49" s="711"/>
      <c r="V49" s="711">
        <f t="shared" si="7"/>
        <v>0</v>
      </c>
      <c r="W49" s="711">
        <f t="shared" si="3"/>
        <v>0.56886763682207242</v>
      </c>
      <c r="X49" s="711"/>
      <c r="Y49" s="711"/>
      <c r="Z49" s="722"/>
    </row>
    <row r="50" spans="1:26">
      <c r="A50" s="716">
        <v>540</v>
      </c>
      <c r="B50" s="700">
        <v>0</v>
      </c>
      <c r="C50" s="688">
        <f>C51-D51</f>
        <v>1456.3</v>
      </c>
      <c r="D50" s="745">
        <v>24.1</v>
      </c>
      <c r="E50" s="746"/>
      <c r="F50" s="747"/>
      <c r="G50" s="748">
        <f t="shared" si="0"/>
        <v>24.1</v>
      </c>
      <c r="H50" s="746">
        <v>5.7</v>
      </c>
      <c r="I50" s="746"/>
      <c r="J50" s="746"/>
      <c r="K50" s="746"/>
      <c r="L50" s="749">
        <f t="shared" si="1"/>
        <v>5.7</v>
      </c>
      <c r="M50" s="688">
        <f t="shared" si="4"/>
        <v>614.97383052367263</v>
      </c>
      <c r="N50" s="706">
        <f t="shared" ref="N50:N57" si="11">(C49+C50-G50)/2</f>
        <v>1432.2</v>
      </c>
      <c r="O50" s="707">
        <f t="shared" si="9"/>
        <v>1456.3000000000002</v>
      </c>
      <c r="P50" s="708">
        <f t="shared" si="5"/>
        <v>0.87808614480419489</v>
      </c>
      <c r="Q50" s="709">
        <f t="shared" si="6"/>
        <v>0.21161876089781217</v>
      </c>
      <c r="R50" s="710">
        <f>SUM(Q$13:Q50)</f>
        <v>10.260676141960294</v>
      </c>
      <c r="S50" s="711">
        <f t="shared" si="2"/>
        <v>0.7045715952729722</v>
      </c>
      <c r="T50" s="711"/>
      <c r="U50" s="711"/>
      <c r="V50" s="711">
        <f t="shared" si="7"/>
        <v>0</v>
      </c>
      <c r="W50" s="711">
        <f t="shared" si="3"/>
        <v>0.74799930853690677</v>
      </c>
      <c r="X50" s="711"/>
      <c r="Y50" s="711"/>
      <c r="Z50" s="722" t="s">
        <v>280</v>
      </c>
    </row>
    <row r="51" spans="1:26">
      <c r="A51" s="716">
        <v>460</v>
      </c>
      <c r="B51" s="700">
        <v>0</v>
      </c>
      <c r="C51" s="688">
        <v>1480</v>
      </c>
      <c r="D51" s="745">
        <v>23.7</v>
      </c>
      <c r="E51" s="746"/>
      <c r="F51" s="747"/>
      <c r="G51" s="748">
        <f t="shared" si="0"/>
        <v>23.7</v>
      </c>
      <c r="H51" s="746">
        <v>5.7</v>
      </c>
      <c r="I51" s="746"/>
      <c r="J51" s="746"/>
      <c r="K51" s="746"/>
      <c r="L51" s="749">
        <f t="shared" si="1"/>
        <v>5.7</v>
      </c>
      <c r="M51" s="688">
        <f t="shared" si="4"/>
        <v>604.76679599215936</v>
      </c>
      <c r="N51" s="706">
        <f t="shared" si="11"/>
        <v>1456.3000000000002</v>
      </c>
      <c r="O51" s="707">
        <f t="shared" si="9"/>
        <v>1479.7999999999997</v>
      </c>
      <c r="P51" s="708">
        <f t="shared" si="5"/>
        <v>0.76062376944048327</v>
      </c>
      <c r="Q51" s="709">
        <f t="shared" si="6"/>
        <v>0.17874658581851011</v>
      </c>
      <c r="R51" s="710">
        <f>SUM(Q$13:Q51)</f>
        <v>10.439422727778805</v>
      </c>
      <c r="S51" s="711">
        <f t="shared" si="2"/>
        <v>0.70546173319224259</v>
      </c>
      <c r="T51" s="711"/>
      <c r="U51" s="711"/>
      <c r="V51" s="711">
        <f t="shared" si="7"/>
        <v>0</v>
      </c>
      <c r="W51" s="711">
        <f t="shared" si="3"/>
        <v>0.83503261645096527</v>
      </c>
      <c r="X51" s="711"/>
      <c r="Y51" s="711"/>
      <c r="Z51" s="722" t="s">
        <v>281</v>
      </c>
    </row>
    <row r="52" spans="1:26">
      <c r="A52" s="716">
        <v>505</v>
      </c>
      <c r="B52" s="700">
        <v>0</v>
      </c>
      <c r="C52" s="688">
        <f>C53-D53</f>
        <v>1505.3999999999999</v>
      </c>
      <c r="D52" s="745">
        <v>25.8</v>
      </c>
      <c r="E52" s="746"/>
      <c r="F52" s="747"/>
      <c r="G52" s="748">
        <f t="shared" si="0"/>
        <v>25.8</v>
      </c>
      <c r="H52" s="746">
        <v>5.7</v>
      </c>
      <c r="I52" s="746"/>
      <c r="J52" s="746"/>
      <c r="K52" s="746"/>
      <c r="L52" s="749">
        <f t="shared" si="1"/>
        <v>5.7</v>
      </c>
      <c r="M52" s="688">
        <f t="shared" si="4"/>
        <v>658.35372728260393</v>
      </c>
      <c r="N52" s="706">
        <f t="shared" si="11"/>
        <v>1479.7999999999997</v>
      </c>
      <c r="O52" s="707">
        <f t="shared" si="9"/>
        <v>1505.4</v>
      </c>
      <c r="P52" s="708">
        <f t="shared" si="5"/>
        <v>0.76706484534449138</v>
      </c>
      <c r="Q52" s="709">
        <f t="shared" si="6"/>
        <v>0.19636860040819257</v>
      </c>
      <c r="R52" s="710">
        <f>SUM(Q$13:Q52)</f>
        <v>10.635791328186997</v>
      </c>
      <c r="S52" s="711">
        <f t="shared" si="2"/>
        <v>0.70650932165451019</v>
      </c>
      <c r="T52" s="711"/>
      <c r="U52" s="711"/>
      <c r="V52" s="711">
        <f t="shared" si="7"/>
        <v>0</v>
      </c>
      <c r="W52" s="711">
        <f t="shared" si="3"/>
        <v>0.88098536693030682</v>
      </c>
      <c r="X52" s="711"/>
      <c r="Y52" s="711"/>
      <c r="Z52" s="722"/>
    </row>
    <row r="53" spans="1:26">
      <c r="A53" s="716">
        <v>580</v>
      </c>
      <c r="B53" s="700">
        <v>0</v>
      </c>
      <c r="C53" s="688">
        <f>C54-D54</f>
        <v>1532.6</v>
      </c>
      <c r="D53" s="745">
        <v>27.2</v>
      </c>
      <c r="E53" s="746"/>
      <c r="F53" s="747"/>
      <c r="G53" s="748">
        <f t="shared" si="0"/>
        <v>27.2</v>
      </c>
      <c r="H53" s="746">
        <v>5.7</v>
      </c>
      <c r="I53" s="746"/>
      <c r="J53" s="746"/>
      <c r="K53" s="746"/>
      <c r="L53" s="749">
        <f t="shared" si="1"/>
        <v>5.7</v>
      </c>
      <c r="M53" s="688">
        <f t="shared" si="4"/>
        <v>694.07834814290027</v>
      </c>
      <c r="N53" s="706">
        <f t="shared" si="11"/>
        <v>1505.4</v>
      </c>
      <c r="O53" s="707">
        <f t="shared" si="9"/>
        <v>1532.6</v>
      </c>
      <c r="P53" s="708">
        <f t="shared" si="5"/>
        <v>0.83564053186771758</v>
      </c>
      <c r="Q53" s="709">
        <f t="shared" si="6"/>
        <v>0.22729422466801766</v>
      </c>
      <c r="R53" s="710">
        <f>SUM(Q$13:Q53)</f>
        <v>10.863085552855015</v>
      </c>
      <c r="S53" s="711">
        <f t="shared" si="2"/>
        <v>0.70880109310028816</v>
      </c>
      <c r="T53" s="711"/>
      <c r="U53" s="711"/>
      <c r="V53" s="711">
        <f t="shared" si="7"/>
        <v>0</v>
      </c>
      <c r="W53" s="711">
        <f t="shared" si="3"/>
        <v>0.92928990181840998</v>
      </c>
      <c r="X53" s="711"/>
      <c r="Y53" s="711"/>
      <c r="Z53" s="722" t="s">
        <v>282</v>
      </c>
    </row>
    <row r="54" spans="1:26">
      <c r="A54" s="716">
        <v>645</v>
      </c>
      <c r="B54" s="700">
        <v>0</v>
      </c>
      <c r="C54" s="688">
        <v>1562</v>
      </c>
      <c r="D54" s="745">
        <v>29.4</v>
      </c>
      <c r="E54" s="746"/>
      <c r="F54" s="747"/>
      <c r="G54" s="748">
        <f t="shared" si="0"/>
        <v>29.4</v>
      </c>
      <c r="H54" s="746">
        <v>5.7</v>
      </c>
      <c r="I54" s="746"/>
      <c r="J54" s="746"/>
      <c r="K54" s="746"/>
      <c r="L54" s="749">
        <f t="shared" si="1"/>
        <v>5.7</v>
      </c>
      <c r="M54" s="688">
        <f t="shared" si="4"/>
        <v>750.21703806622304</v>
      </c>
      <c r="N54" s="706">
        <f t="shared" si="11"/>
        <v>1532.6</v>
      </c>
      <c r="O54" s="707">
        <f t="shared" si="9"/>
        <v>1561.75</v>
      </c>
      <c r="P54" s="708">
        <f t="shared" si="5"/>
        <v>0.85975120168233854</v>
      </c>
      <c r="Q54" s="709">
        <f t="shared" si="6"/>
        <v>0.25061747529040246</v>
      </c>
      <c r="R54" s="710">
        <f>SUM(Q$13:Q54)</f>
        <v>11.113703028145418</v>
      </c>
      <c r="S54" s="711">
        <f t="shared" si="2"/>
        <v>0.71161857071525003</v>
      </c>
      <c r="T54" s="711"/>
      <c r="U54" s="711"/>
      <c r="V54" s="711">
        <f t="shared" si="7"/>
        <v>0</v>
      </c>
      <c r="W54" s="711">
        <f t="shared" si="3"/>
        <v>0.86641593967987607</v>
      </c>
      <c r="X54" s="711"/>
      <c r="Y54" s="711"/>
      <c r="Z54" s="722"/>
    </row>
    <row r="55" spans="1:26">
      <c r="A55" s="716">
        <v>650</v>
      </c>
      <c r="B55" s="700">
        <v>0</v>
      </c>
      <c r="C55" s="688">
        <f>C56-D56</f>
        <v>1593.5</v>
      </c>
      <c r="D55" s="745">
        <v>32</v>
      </c>
      <c r="E55" s="746"/>
      <c r="F55" s="747"/>
      <c r="G55" s="748">
        <f t="shared" si="0"/>
        <v>32</v>
      </c>
      <c r="H55" s="746">
        <v>5.7</v>
      </c>
      <c r="I55" s="746"/>
      <c r="J55" s="746"/>
      <c r="K55" s="746"/>
      <c r="L55" s="749">
        <f t="shared" si="1"/>
        <v>5.7</v>
      </c>
      <c r="M55" s="688">
        <f t="shared" si="4"/>
        <v>816.56276252105908</v>
      </c>
      <c r="N55" s="706">
        <f t="shared" si="11"/>
        <v>1561.75</v>
      </c>
      <c r="O55" s="707">
        <f t="shared" si="9"/>
        <v>1593.5</v>
      </c>
      <c r="P55" s="708">
        <f t="shared" si="5"/>
        <v>0.79601964458088614</v>
      </c>
      <c r="Q55" s="709">
        <f t="shared" si="6"/>
        <v>0.25273623715443139</v>
      </c>
      <c r="R55" s="710">
        <f>SUM(Q$13:Q55)</f>
        <v>11.366439265299849</v>
      </c>
      <c r="S55" s="711">
        <f t="shared" si="2"/>
        <v>0.71330023629117345</v>
      </c>
      <c r="T55" s="711"/>
      <c r="U55" s="711"/>
      <c r="V55" s="711">
        <f t="shared" si="7"/>
        <v>0</v>
      </c>
      <c r="W55" s="711">
        <f t="shared" si="3"/>
        <v>0.94297711742658819</v>
      </c>
      <c r="X55" s="711"/>
      <c r="Y55" s="711"/>
      <c r="Z55" s="722"/>
    </row>
    <row r="56" spans="1:26">
      <c r="A56" s="716">
        <v>770</v>
      </c>
      <c r="B56" s="700">
        <v>0</v>
      </c>
      <c r="C56" s="688">
        <v>1630</v>
      </c>
      <c r="D56" s="745">
        <v>36.5</v>
      </c>
      <c r="E56" s="746"/>
      <c r="F56" s="747"/>
      <c r="G56" s="748">
        <f t="shared" si="0"/>
        <v>36.5</v>
      </c>
      <c r="H56" s="746">
        <v>5.7</v>
      </c>
      <c r="I56" s="746"/>
      <c r="J56" s="746"/>
      <c r="K56" s="746"/>
      <c r="L56" s="749">
        <f t="shared" si="1"/>
        <v>5.7</v>
      </c>
      <c r="M56" s="688">
        <f t="shared" si="4"/>
        <v>931.39190100058295</v>
      </c>
      <c r="N56" s="706">
        <f t="shared" si="11"/>
        <v>1593.5</v>
      </c>
      <c r="O56" s="707">
        <f t="shared" si="9"/>
        <v>1630.15</v>
      </c>
      <c r="P56" s="708">
        <f t="shared" si="5"/>
        <v>0.82671966459317325</v>
      </c>
      <c r="Q56" s="709">
        <f t="shared" si="6"/>
        <v>0.30299275707339873</v>
      </c>
      <c r="R56" s="710">
        <f>SUM(Q$13:Q56)</f>
        <v>11.669432022373249</v>
      </c>
      <c r="S56" s="711">
        <f t="shared" si="2"/>
        <v>0.71585019920702064</v>
      </c>
      <c r="T56" s="711"/>
      <c r="U56" s="711"/>
      <c r="V56" s="711">
        <f t="shared" si="7"/>
        <v>0</v>
      </c>
      <c r="W56" s="711">
        <f t="shared" si="3"/>
        <v>0.85356121214489966</v>
      </c>
      <c r="X56" s="711"/>
      <c r="Y56" s="711"/>
      <c r="Z56" s="722"/>
    </row>
    <row r="57" spans="1:26">
      <c r="A57" s="716">
        <v>795</v>
      </c>
      <c r="B57" s="700">
        <v>0</v>
      </c>
      <c r="C57" s="688">
        <f>C58-D58</f>
        <v>1665.8</v>
      </c>
      <c r="D57" s="745">
        <v>35.5</v>
      </c>
      <c r="E57" s="746"/>
      <c r="F57" s="747"/>
      <c r="G57" s="748">
        <f t="shared" si="0"/>
        <v>35.5</v>
      </c>
      <c r="H57" s="746">
        <v>5.7</v>
      </c>
      <c r="I57" s="746"/>
      <c r="J57" s="746"/>
      <c r="K57" s="746"/>
      <c r="L57" s="749">
        <f t="shared" si="1"/>
        <v>5.7</v>
      </c>
      <c r="M57" s="688">
        <f t="shared" si="4"/>
        <v>905.87431467179999</v>
      </c>
      <c r="N57" s="706">
        <f t="shared" si="11"/>
        <v>1630.15</v>
      </c>
      <c r="O57" s="707">
        <f t="shared" si="9"/>
        <v>1665.8000000000002</v>
      </c>
      <c r="P57" s="708">
        <f t="shared" si="5"/>
        <v>0.87760518995179815</v>
      </c>
      <c r="Q57" s="709">
        <f t="shared" si="6"/>
        <v>0.31286625021781683</v>
      </c>
      <c r="R57" s="710">
        <f>SUM(Q$13:Q57)</f>
        <v>11.982298272591066</v>
      </c>
      <c r="S57" s="711">
        <f t="shared" si="2"/>
        <v>0.71931193856351694</v>
      </c>
      <c r="T57" s="711"/>
      <c r="U57" s="711"/>
      <c r="V57" s="711">
        <f t="shared" si="7"/>
        <v>0</v>
      </c>
      <c r="W57" s="711">
        <f t="shared" si="3"/>
        <v>0.8500075424690372</v>
      </c>
      <c r="X57" s="711"/>
      <c r="Y57" s="711"/>
      <c r="Z57" s="722"/>
    </row>
    <row r="58" spans="1:26">
      <c r="A58" s="716">
        <v>770</v>
      </c>
      <c r="B58" s="700">
        <v>0</v>
      </c>
      <c r="C58" s="688">
        <v>1700</v>
      </c>
      <c r="D58" s="745">
        <v>34.200000000000003</v>
      </c>
      <c r="E58" s="746"/>
      <c r="F58" s="747"/>
      <c r="G58" s="748">
        <f t="shared" si="0"/>
        <v>34.200000000000003</v>
      </c>
      <c r="H58" s="746">
        <v>5.7</v>
      </c>
      <c r="I58" s="746"/>
      <c r="J58" s="746"/>
      <c r="K58" s="746"/>
      <c r="L58" s="749">
        <f t="shared" si="1"/>
        <v>5.7</v>
      </c>
      <c r="M58" s="688">
        <f t="shared" si="4"/>
        <v>872.70145244438197</v>
      </c>
      <c r="N58" s="706">
        <f t="shared" si="8"/>
        <v>1665.8000000000002</v>
      </c>
      <c r="O58" s="707">
        <f t="shared" si="9"/>
        <v>1699.3</v>
      </c>
      <c r="P58" s="708">
        <f t="shared" si="5"/>
        <v>0.88231777069154449</v>
      </c>
      <c r="Q58" s="709">
        <f t="shared" si="6"/>
        <v>0.29557645318166537</v>
      </c>
      <c r="R58" s="710">
        <f>SUM(Q$13:Q58)</f>
        <v>12.277874725772731</v>
      </c>
      <c r="S58" s="711">
        <f t="shared" si="2"/>
        <v>0.72252543551890369</v>
      </c>
      <c r="T58" s="711"/>
      <c r="U58" s="711"/>
      <c r="V58" s="711">
        <f t="shared" si="7"/>
        <v>0</v>
      </c>
      <c r="W58" s="711">
        <f t="shared" si="3"/>
        <v>0.66460299610531925</v>
      </c>
      <c r="X58" s="711"/>
      <c r="Y58" s="711"/>
      <c r="Z58" s="722"/>
    </row>
    <row r="59" spans="1:26">
      <c r="A59" s="716">
        <v>580</v>
      </c>
      <c r="B59" s="700">
        <v>0</v>
      </c>
      <c r="C59" s="688">
        <f>C60-D60</f>
        <v>1723.5</v>
      </c>
      <c r="D59" s="745">
        <v>24.9</v>
      </c>
      <c r="E59" s="746"/>
      <c r="F59" s="747"/>
      <c r="G59" s="748">
        <f t="shared" si="0"/>
        <v>24.9</v>
      </c>
      <c r="H59" s="746">
        <v>5.7</v>
      </c>
      <c r="I59" s="746"/>
      <c r="J59" s="746"/>
      <c r="K59" s="746"/>
      <c r="L59" s="749">
        <f t="shared" si="1"/>
        <v>5.7</v>
      </c>
      <c r="M59" s="688">
        <f t="shared" si="4"/>
        <v>635.38789958669906</v>
      </c>
      <c r="N59" s="706">
        <f t="shared" si="8"/>
        <v>1699.3</v>
      </c>
      <c r="O59" s="707">
        <f t="shared" si="9"/>
        <v>1723.5</v>
      </c>
      <c r="P59" s="708">
        <f t="shared" si="5"/>
        <v>0.91282821151814941</v>
      </c>
      <c r="Q59" s="709">
        <f t="shared" si="6"/>
        <v>0.22090442718739259</v>
      </c>
      <c r="R59" s="710">
        <f>SUM(Q$13:Q59)</f>
        <v>12.498779152960124</v>
      </c>
      <c r="S59" s="711">
        <f t="shared" si="2"/>
        <v>0.72519751395184939</v>
      </c>
      <c r="T59" s="711"/>
      <c r="U59" s="711"/>
      <c r="V59" s="711">
        <f t="shared" si="7"/>
        <v>0</v>
      </c>
      <c r="W59" s="711">
        <f t="shared" si="3"/>
        <v>0.99938950743797395</v>
      </c>
      <c r="X59" s="711"/>
      <c r="Y59" s="711"/>
      <c r="Z59" s="722"/>
    </row>
    <row r="60" spans="1:26">
      <c r="A60" s="716">
        <v>635</v>
      </c>
      <c r="B60" s="700">
        <v>0</v>
      </c>
      <c r="C60" s="688">
        <f>C61-D61</f>
        <v>1753</v>
      </c>
      <c r="D60" s="745">
        <v>29.5</v>
      </c>
      <c r="E60" s="746"/>
      <c r="F60" s="747"/>
      <c r="G60" s="748">
        <f t="shared" si="0"/>
        <v>29.5</v>
      </c>
      <c r="H60" s="746">
        <v>5.7</v>
      </c>
      <c r="I60" s="746"/>
      <c r="J60" s="746"/>
      <c r="K60" s="746"/>
      <c r="L60" s="749">
        <f t="shared" si="1"/>
        <v>5.7</v>
      </c>
      <c r="M60" s="688">
        <f t="shared" si="4"/>
        <v>752.76879669910136</v>
      </c>
      <c r="N60" s="706">
        <f t="shared" si="8"/>
        <v>1723.5</v>
      </c>
      <c r="O60" s="707">
        <f t="shared" si="9"/>
        <v>1753</v>
      </c>
      <c r="P60" s="708">
        <f t="shared" si="5"/>
        <v>0.8435524994984932</v>
      </c>
      <c r="Q60" s="709">
        <f t="shared" si="6"/>
        <v>0.24884798735205549</v>
      </c>
      <c r="R60" s="710">
        <f>SUM(Q$13:Q60)</f>
        <v>12.747627140312179</v>
      </c>
      <c r="S60" s="711">
        <f t="shared" si="2"/>
        <v>0.7271892264867188</v>
      </c>
      <c r="T60" s="711"/>
      <c r="U60" s="711"/>
      <c r="V60" s="711">
        <f t="shared" si="7"/>
        <v>0</v>
      </c>
      <c r="W60" s="711">
        <f t="shared" si="3"/>
        <v>0.74392031451835616</v>
      </c>
      <c r="X60" s="711"/>
      <c r="Y60" s="711"/>
      <c r="Z60" s="722"/>
    </row>
    <row r="61" spans="1:26">
      <c r="A61" s="716">
        <v>560</v>
      </c>
      <c r="B61" s="700">
        <v>0</v>
      </c>
      <c r="C61" s="688">
        <v>1779</v>
      </c>
      <c r="D61" s="745">
        <v>26</v>
      </c>
      <c r="E61" s="746"/>
      <c r="F61" s="747"/>
      <c r="G61" s="748">
        <f t="shared" si="0"/>
        <v>26</v>
      </c>
      <c r="H61" s="746">
        <v>5.7</v>
      </c>
      <c r="I61" s="746"/>
      <c r="J61" s="746"/>
      <c r="K61" s="746"/>
      <c r="L61" s="749">
        <f t="shared" si="1"/>
        <v>5.7</v>
      </c>
      <c r="M61" s="688">
        <f t="shared" si="4"/>
        <v>663.45724454836056</v>
      </c>
      <c r="N61" s="706">
        <f t="shared" si="8"/>
        <v>1753</v>
      </c>
      <c r="O61" s="707">
        <f t="shared" si="9"/>
        <v>1778.6499999999999</v>
      </c>
      <c r="P61" s="708">
        <f t="shared" si="5"/>
        <v>0.84406343378044257</v>
      </c>
      <c r="Q61" s="709">
        <f t="shared" si="6"/>
        <v>0.21650227076468237</v>
      </c>
      <c r="R61" s="710">
        <f>SUM(Q$13:Q61)</f>
        <v>12.964129411076861</v>
      </c>
      <c r="S61" s="711">
        <f t="shared" si="2"/>
        <v>0.72887467523553606</v>
      </c>
      <c r="T61" s="711"/>
      <c r="U61" s="711"/>
      <c r="V61" s="711">
        <f t="shared" si="7"/>
        <v>0</v>
      </c>
      <c r="W61" s="711">
        <f t="shared" si="3"/>
        <v>0.97218020497925972</v>
      </c>
      <c r="X61" s="711"/>
      <c r="Y61" s="711"/>
      <c r="Z61" s="722"/>
    </row>
    <row r="62" spans="1:26">
      <c r="A62" s="716">
        <v>645</v>
      </c>
      <c r="B62" s="700">
        <v>0</v>
      </c>
      <c r="C62" s="688">
        <f>C63-D63</f>
        <v>1809.1</v>
      </c>
      <c r="D62" s="745">
        <v>30.8</v>
      </c>
      <c r="E62" s="746"/>
      <c r="F62" s="747"/>
      <c r="G62" s="748">
        <f t="shared" si="0"/>
        <v>30.8</v>
      </c>
      <c r="H62" s="746">
        <v>5.7</v>
      </c>
      <c r="I62" s="746"/>
      <c r="J62" s="746"/>
      <c r="K62" s="746"/>
      <c r="L62" s="749">
        <f t="shared" si="1"/>
        <v>5.7</v>
      </c>
      <c r="M62" s="688">
        <f t="shared" si="4"/>
        <v>785.94165892651938</v>
      </c>
      <c r="N62" s="706">
        <f t="shared" si="8"/>
        <v>1778.6499999999999</v>
      </c>
      <c r="O62" s="707">
        <f t="shared" si="9"/>
        <v>1809.1</v>
      </c>
      <c r="P62" s="708">
        <f t="shared" si="5"/>
        <v>0.82067160160586861</v>
      </c>
      <c r="Q62" s="709">
        <f t="shared" si="6"/>
        <v>0.24989450268898736</v>
      </c>
      <c r="R62" s="710">
        <f>SUM(Q$13:Q62)</f>
        <v>13.214023913765848</v>
      </c>
      <c r="S62" s="711">
        <f t="shared" si="2"/>
        <v>0.73041976196815261</v>
      </c>
      <c r="T62" s="711"/>
      <c r="U62" s="711"/>
      <c r="V62" s="711">
        <f t="shared" si="7"/>
        <v>0</v>
      </c>
      <c r="W62" s="711">
        <f t="shared" si="3"/>
        <v>0.90337494130258411</v>
      </c>
      <c r="X62" s="711"/>
      <c r="Y62" s="711"/>
      <c r="Z62" s="722"/>
    </row>
    <row r="63" spans="1:26">
      <c r="A63" s="716">
        <v>710</v>
      </c>
      <c r="B63" s="700">
        <v>0</v>
      </c>
      <c r="C63" s="688">
        <f>C64-D64</f>
        <v>1840.1</v>
      </c>
      <c r="D63" s="745">
        <v>31</v>
      </c>
      <c r="E63" s="746"/>
      <c r="F63" s="747"/>
      <c r="G63" s="748">
        <f t="shared" si="0"/>
        <v>31</v>
      </c>
      <c r="H63" s="746">
        <v>5.7</v>
      </c>
      <c r="I63" s="746"/>
      <c r="J63" s="746"/>
      <c r="K63" s="746"/>
      <c r="L63" s="749">
        <f t="shared" si="1"/>
        <v>5.7</v>
      </c>
      <c r="M63" s="688">
        <f t="shared" si="4"/>
        <v>791.0451761922759</v>
      </c>
      <c r="N63" s="706">
        <f t="shared" si="8"/>
        <v>1809.1</v>
      </c>
      <c r="O63" s="707">
        <f t="shared" si="9"/>
        <v>1840.1</v>
      </c>
      <c r="P63" s="708">
        <f t="shared" si="5"/>
        <v>0.8975467158748256</v>
      </c>
      <c r="Q63" s="709">
        <f t="shared" si="6"/>
        <v>0.27823948192119596</v>
      </c>
      <c r="R63" s="710">
        <f>SUM(Q$13:Q63)</f>
        <v>13.492263395687043</v>
      </c>
      <c r="S63" s="711">
        <f t="shared" si="2"/>
        <v>0.73323533480175229</v>
      </c>
      <c r="T63" s="711"/>
      <c r="U63" s="711"/>
      <c r="V63" s="711">
        <f t="shared" si="7"/>
        <v>0</v>
      </c>
      <c r="W63" s="711">
        <f t="shared" si="3"/>
        <v>0.8469807037128636</v>
      </c>
      <c r="X63" s="711"/>
      <c r="Y63" s="711"/>
      <c r="Z63" s="722"/>
    </row>
    <row r="64" spans="1:26">
      <c r="A64" s="716">
        <v>670</v>
      </c>
      <c r="B64" s="700">
        <v>0</v>
      </c>
      <c r="C64" s="688">
        <v>1871</v>
      </c>
      <c r="D64" s="745">
        <v>30.9</v>
      </c>
      <c r="E64" s="746"/>
      <c r="F64" s="747"/>
      <c r="G64" s="748">
        <f t="shared" si="0"/>
        <v>30.9</v>
      </c>
      <c r="H64" s="746">
        <v>5.7</v>
      </c>
      <c r="I64" s="746"/>
      <c r="J64" s="746"/>
      <c r="K64" s="746"/>
      <c r="L64" s="749">
        <f t="shared" si="1"/>
        <v>5.7</v>
      </c>
      <c r="M64" s="688">
        <f t="shared" si="4"/>
        <v>788.49341755939759</v>
      </c>
      <c r="N64" s="706">
        <f t="shared" si="8"/>
        <v>1840.1</v>
      </c>
      <c r="O64" s="707">
        <f t="shared" si="9"/>
        <v>1870.85</v>
      </c>
      <c r="P64" s="708">
        <f t="shared" si="5"/>
        <v>0.84972174158895697</v>
      </c>
      <c r="Q64" s="709">
        <f t="shared" si="6"/>
        <v>0.26128943553860429</v>
      </c>
      <c r="R64" s="710">
        <f>SUM(Q$13:Q64)</f>
        <v>13.753552831225647</v>
      </c>
      <c r="S64" s="711">
        <f t="shared" si="2"/>
        <v>0.73514994955371349</v>
      </c>
      <c r="T64" s="711"/>
      <c r="U64" s="711"/>
      <c r="V64" s="711">
        <f t="shared" si="7"/>
        <v>0</v>
      </c>
      <c r="W64" s="711">
        <f t="shared" si="3"/>
        <v>0.84972174158895697</v>
      </c>
      <c r="X64" s="711"/>
      <c r="Y64" s="711"/>
      <c r="Z64" s="722"/>
    </row>
    <row r="65" spans="1:26">
      <c r="A65" s="716">
        <v>670</v>
      </c>
      <c r="B65" s="700">
        <v>0</v>
      </c>
      <c r="C65" s="688">
        <f>C66-D66</f>
        <v>1900.7</v>
      </c>
      <c r="D65" s="745">
        <v>30</v>
      </c>
      <c r="E65" s="746"/>
      <c r="F65" s="747"/>
      <c r="G65" s="748">
        <f t="shared" si="0"/>
        <v>30</v>
      </c>
      <c r="H65" s="746">
        <v>5.7</v>
      </c>
      <c r="I65" s="746"/>
      <c r="J65" s="746"/>
      <c r="K65" s="746"/>
      <c r="L65" s="749">
        <f t="shared" si="1"/>
        <v>5.7</v>
      </c>
      <c r="M65" s="688">
        <f t="shared" si="4"/>
        <v>765.52758986349284</v>
      </c>
      <c r="N65" s="706">
        <f t="shared" si="8"/>
        <v>1870.85</v>
      </c>
      <c r="O65" s="707">
        <f t="shared" si="9"/>
        <v>1900.7</v>
      </c>
      <c r="P65" s="708">
        <f t="shared" si="5"/>
        <v>0.87521339383662566</v>
      </c>
      <c r="Q65" s="709">
        <f t="shared" si="6"/>
        <v>0.26125119806023395</v>
      </c>
      <c r="R65" s="710">
        <f>SUM(Q$13:Q65)</f>
        <v>14.014804029285882</v>
      </c>
      <c r="S65" s="711">
        <f t="shared" si="2"/>
        <v>0.737349609579938</v>
      </c>
      <c r="T65" s="711"/>
      <c r="U65" s="711"/>
      <c r="V65" s="711">
        <f t="shared" si="7"/>
        <v>0</v>
      </c>
      <c r="W65" s="711">
        <f t="shared" si="3"/>
        <v>0.9339963829749065</v>
      </c>
      <c r="X65" s="711"/>
      <c r="Y65" s="711"/>
      <c r="Z65" s="722"/>
    </row>
    <row r="66" spans="1:26">
      <c r="A66" s="716">
        <v>715</v>
      </c>
      <c r="B66" s="700">
        <v>0</v>
      </c>
      <c r="C66" s="688">
        <f>C67-D67</f>
        <v>1931.2</v>
      </c>
      <c r="D66" s="745">
        <v>30.5</v>
      </c>
      <c r="E66" s="746"/>
      <c r="F66" s="747"/>
      <c r="G66" s="748">
        <f t="shared" si="0"/>
        <v>30.5</v>
      </c>
      <c r="H66" s="746">
        <v>5.7</v>
      </c>
      <c r="I66" s="746"/>
      <c r="J66" s="746"/>
      <c r="K66" s="746"/>
      <c r="L66" s="749">
        <f t="shared" si="1"/>
        <v>5.7</v>
      </c>
      <c r="M66" s="688">
        <f t="shared" si="4"/>
        <v>778.28638302788443</v>
      </c>
      <c r="N66" s="706">
        <f t="shared" si="8"/>
        <v>1900.7</v>
      </c>
      <c r="O66" s="707">
        <f t="shared" si="9"/>
        <v>1931.1999999999998</v>
      </c>
      <c r="P66" s="708">
        <f t="shared" si="5"/>
        <v>0.91868496686056367</v>
      </c>
      <c r="Q66" s="709">
        <f t="shared" si="6"/>
        <v>0.28019891489246984</v>
      </c>
      <c r="R66" s="710">
        <f>SUM(Q$13:Q66)</f>
        <v>14.295002944178352</v>
      </c>
      <c r="S66" s="711">
        <f t="shared" si="2"/>
        <v>0.74021349130998093</v>
      </c>
      <c r="T66" s="711"/>
      <c r="U66" s="711"/>
      <c r="V66" s="711">
        <f t="shared" si="7"/>
        <v>0</v>
      </c>
      <c r="W66" s="711">
        <f t="shared" si="3"/>
        <v>0.84801689248667422</v>
      </c>
      <c r="X66" s="711"/>
      <c r="Y66" s="711"/>
      <c r="Z66" s="722"/>
    </row>
    <row r="67" spans="1:26">
      <c r="A67" s="716">
        <v>660</v>
      </c>
      <c r="B67" s="700">
        <v>0</v>
      </c>
      <c r="C67" s="688">
        <v>1961</v>
      </c>
      <c r="D67" s="745">
        <v>29.8</v>
      </c>
      <c r="E67" s="746"/>
      <c r="F67" s="747"/>
      <c r="G67" s="748">
        <f t="shared" si="0"/>
        <v>29.8</v>
      </c>
      <c r="H67" s="746">
        <v>5.7</v>
      </c>
      <c r="I67" s="746"/>
      <c r="J67" s="746"/>
      <c r="K67" s="746"/>
      <c r="L67" s="749">
        <f t="shared" si="1"/>
        <v>5.7</v>
      </c>
      <c r="M67" s="688">
        <f t="shared" si="4"/>
        <v>760.42407259773631</v>
      </c>
      <c r="N67" s="706">
        <f t="shared" si="8"/>
        <v>1931.1999999999998</v>
      </c>
      <c r="O67" s="707">
        <f t="shared" si="9"/>
        <v>1960.75</v>
      </c>
      <c r="P67" s="708">
        <f t="shared" si="5"/>
        <v>0.86793675237730072</v>
      </c>
      <c r="Q67" s="709">
        <f t="shared" si="6"/>
        <v>0.25647531032749393</v>
      </c>
      <c r="R67" s="710">
        <f>SUM(Q$13:Q67)</f>
        <v>14.551478254505845</v>
      </c>
      <c r="S67" s="711">
        <f t="shared" si="2"/>
        <v>0.74213837840142005</v>
      </c>
      <c r="T67" s="711"/>
      <c r="U67" s="711"/>
      <c r="V67" s="711">
        <f t="shared" si="7"/>
        <v>0</v>
      </c>
      <c r="W67" s="711">
        <f>(A77-(V67/0.9))/M67</f>
        <v>1.1309478894613312</v>
      </c>
      <c r="X67" s="711"/>
      <c r="Y67" s="711"/>
      <c r="Z67" s="722"/>
    </row>
    <row r="68" spans="1:26">
      <c r="A68" s="716">
        <v>580</v>
      </c>
      <c r="B68" s="700">
        <v>0</v>
      </c>
      <c r="C68" s="688">
        <f>C69-D69</f>
        <v>1987</v>
      </c>
      <c r="D68" s="745">
        <v>26.5</v>
      </c>
      <c r="E68" s="746"/>
      <c r="F68" s="747"/>
      <c r="G68" s="748">
        <f t="shared" si="0"/>
        <v>26.5</v>
      </c>
      <c r="H68" s="746">
        <v>5.7</v>
      </c>
      <c r="I68" s="746"/>
      <c r="J68" s="746"/>
      <c r="K68" s="746"/>
      <c r="L68" s="749">
        <f t="shared" ref="L68:L76" si="12">AVERAGE(H68:K68)</f>
        <v>5.7</v>
      </c>
      <c r="M68" s="688">
        <f t="shared" ref="M68:M76" si="13">G68*    PI()* (L68/2)^2</f>
        <v>676.21603771275204</v>
      </c>
      <c r="N68" s="706">
        <f t="shared" ref="N68:N76" si="14">(C67+C68-G68)/2</f>
        <v>1960.75</v>
      </c>
      <c r="O68" s="707">
        <f t="shared" si="9"/>
        <v>1987</v>
      </c>
      <c r="P68" s="708">
        <f t="shared" ref="P68:P76" si="15">(A68-B68)/M68</f>
        <v>0.85771405535101586</v>
      </c>
      <c r="Q68" s="709">
        <f t="shared" ref="Q68:Q76" si="16">(P68*(O68-N68))/100</f>
        <v>0.22514993952964166</v>
      </c>
      <c r="R68" s="710">
        <f>SUM(Q$13:Q68)</f>
        <v>14.776628194035487</v>
      </c>
      <c r="S68" s="711">
        <f t="shared" ref="S68:S76" si="17">R68/O68*100</f>
        <v>0.74366523372096061</v>
      </c>
      <c r="T68" s="711"/>
      <c r="U68" s="711"/>
      <c r="V68" s="711"/>
      <c r="W68" s="711"/>
      <c r="X68" s="711"/>
      <c r="Y68" s="711"/>
      <c r="Z68" s="722"/>
    </row>
    <row r="69" spans="1:26">
      <c r="A69" s="716">
        <v>705</v>
      </c>
      <c r="B69" s="700">
        <v>0</v>
      </c>
      <c r="C69" s="688">
        <f>C70-D70</f>
        <v>2018.3</v>
      </c>
      <c r="D69" s="745">
        <v>31.3</v>
      </c>
      <c r="E69" s="746"/>
      <c r="F69" s="747"/>
      <c r="G69" s="748">
        <f t="shared" si="0"/>
        <v>31.3</v>
      </c>
      <c r="H69" s="746">
        <v>5.7</v>
      </c>
      <c r="I69" s="746"/>
      <c r="J69" s="746"/>
      <c r="K69" s="746"/>
      <c r="L69" s="749">
        <f t="shared" si="12"/>
        <v>5.7</v>
      </c>
      <c r="M69" s="688">
        <f t="shared" si="13"/>
        <v>798.70045209091097</v>
      </c>
      <c r="N69" s="706">
        <f t="shared" si="14"/>
        <v>1987</v>
      </c>
      <c r="O69" s="707">
        <f t="shared" si="9"/>
        <v>2018.3000000000002</v>
      </c>
      <c r="P69" s="708">
        <f t="shared" si="15"/>
        <v>0.88268386245980779</v>
      </c>
      <c r="Q69" s="709">
        <f t="shared" si="16"/>
        <v>0.27628004894992148</v>
      </c>
      <c r="R69" s="710">
        <f>SUM(Q$13:Q69)</f>
        <v>15.052908242985408</v>
      </c>
      <c r="S69" s="711">
        <f t="shared" si="17"/>
        <v>0.74582114863922144</v>
      </c>
      <c r="T69" s="711"/>
      <c r="U69" s="711"/>
      <c r="V69" s="711"/>
      <c r="W69" s="711"/>
      <c r="X69" s="711"/>
      <c r="Y69" s="711"/>
      <c r="Z69" s="722"/>
    </row>
    <row r="70" spans="1:26">
      <c r="A70" s="716">
        <v>595</v>
      </c>
      <c r="B70" s="700">
        <v>0</v>
      </c>
      <c r="C70" s="688">
        <v>2045</v>
      </c>
      <c r="D70" s="745">
        <v>26.7</v>
      </c>
      <c r="E70" s="746"/>
      <c r="F70" s="747"/>
      <c r="G70" s="748">
        <f t="shared" si="0"/>
        <v>26.7</v>
      </c>
      <c r="H70" s="746">
        <v>5.7</v>
      </c>
      <c r="I70" s="746"/>
      <c r="J70" s="746"/>
      <c r="K70" s="746"/>
      <c r="L70" s="749">
        <f t="shared" si="12"/>
        <v>5.7</v>
      </c>
      <c r="M70" s="688">
        <f t="shared" si="13"/>
        <v>681.31955497850856</v>
      </c>
      <c r="N70" s="706">
        <f t="shared" si="14"/>
        <v>2018.3000000000002</v>
      </c>
      <c r="O70" s="707">
        <f t="shared" si="9"/>
        <v>2045.45</v>
      </c>
      <c r="P70" s="708">
        <f t="shared" si="15"/>
        <v>0.87330533176721836</v>
      </c>
      <c r="Q70" s="709">
        <f t="shared" si="16"/>
        <v>0.23710239757479859</v>
      </c>
      <c r="R70" s="710">
        <f>SUM(Q$13:Q70)</f>
        <v>15.290010640560206</v>
      </c>
      <c r="S70" s="711">
        <f t="shared" si="17"/>
        <v>0.74751329245692666</v>
      </c>
      <c r="T70" s="711"/>
      <c r="U70" s="711"/>
      <c r="V70" s="711"/>
      <c r="W70" s="711"/>
      <c r="X70" s="711"/>
      <c r="Y70" s="711"/>
      <c r="Z70" s="722"/>
    </row>
    <row r="71" spans="1:26">
      <c r="A71" s="716">
        <v>535</v>
      </c>
      <c r="B71" s="700">
        <v>0</v>
      </c>
      <c r="C71" s="688">
        <f>C72-D72</f>
        <v>2069</v>
      </c>
      <c r="D71" s="745">
        <v>23.1</v>
      </c>
      <c r="E71" s="746"/>
      <c r="F71" s="747"/>
      <c r="G71" s="748">
        <f t="shared" si="0"/>
        <v>23.1</v>
      </c>
      <c r="H71" s="746">
        <v>5.7</v>
      </c>
      <c r="I71" s="746"/>
      <c r="J71" s="746"/>
      <c r="K71" s="746"/>
      <c r="L71" s="749">
        <f t="shared" si="12"/>
        <v>5.7</v>
      </c>
      <c r="M71" s="688">
        <f t="shared" si="13"/>
        <v>589.45624419488945</v>
      </c>
      <c r="N71" s="706">
        <f t="shared" si="14"/>
        <v>2045.45</v>
      </c>
      <c r="O71" s="707">
        <f t="shared" si="9"/>
        <v>2069</v>
      </c>
      <c r="P71" s="708">
        <f t="shared" si="15"/>
        <v>0.90761613821010811</v>
      </c>
      <c r="Q71" s="709">
        <f t="shared" si="16"/>
        <v>0.21374360054848004</v>
      </c>
      <c r="R71" s="710">
        <f>SUM(Q$13:Q71)</f>
        <v>15.503754241108686</v>
      </c>
      <c r="S71" s="711">
        <f t="shared" si="17"/>
        <v>0.74933563272637438</v>
      </c>
      <c r="T71" s="711"/>
      <c r="U71" s="711"/>
      <c r="V71" s="711"/>
      <c r="W71" s="711"/>
      <c r="X71" s="711"/>
      <c r="Y71" s="711"/>
      <c r="Z71" s="722" t="s">
        <v>283</v>
      </c>
    </row>
    <row r="72" spans="1:26">
      <c r="A72" s="716">
        <v>435</v>
      </c>
      <c r="B72" s="700">
        <v>0</v>
      </c>
      <c r="C72" s="688">
        <f>C73-D73</f>
        <v>2088</v>
      </c>
      <c r="D72" s="745">
        <v>19</v>
      </c>
      <c r="E72" s="746"/>
      <c r="F72" s="747"/>
      <c r="G72" s="748">
        <f t="shared" si="0"/>
        <v>19</v>
      </c>
      <c r="H72" s="746">
        <v>5.7</v>
      </c>
      <c r="I72" s="746"/>
      <c r="J72" s="746"/>
      <c r="K72" s="746"/>
      <c r="L72" s="749">
        <f t="shared" si="12"/>
        <v>5.7</v>
      </c>
      <c r="M72" s="688">
        <f t="shared" si="13"/>
        <v>484.8341402468788</v>
      </c>
      <c r="N72" s="706">
        <f t="shared" si="14"/>
        <v>2069</v>
      </c>
      <c r="O72" s="707">
        <f t="shared" si="9"/>
        <v>2088</v>
      </c>
      <c r="P72" s="708">
        <f t="shared" si="15"/>
        <v>0.89721404474218103</v>
      </c>
      <c r="Q72" s="709">
        <f t="shared" si="16"/>
        <v>0.17047066850101442</v>
      </c>
      <c r="R72" s="710">
        <f>SUM(Q$13:Q72)</f>
        <v>15.6742249096097</v>
      </c>
      <c r="S72" s="711">
        <f t="shared" si="17"/>
        <v>0.75068126961732284</v>
      </c>
      <c r="T72" s="711"/>
      <c r="U72" s="711"/>
      <c r="V72" s="711"/>
      <c r="W72" s="711"/>
      <c r="X72" s="711"/>
      <c r="Y72" s="711"/>
      <c r="Z72" s="722"/>
    </row>
    <row r="73" spans="1:26">
      <c r="A73" s="716">
        <v>480</v>
      </c>
      <c r="B73" s="700">
        <v>0</v>
      </c>
      <c r="C73" s="688">
        <v>2109</v>
      </c>
      <c r="D73" s="745">
        <v>21</v>
      </c>
      <c r="E73" s="746"/>
      <c r="F73" s="747"/>
      <c r="G73" s="748">
        <f t="shared" si="0"/>
        <v>21</v>
      </c>
      <c r="H73" s="746">
        <v>5.7</v>
      </c>
      <c r="I73" s="746"/>
      <c r="J73" s="746"/>
      <c r="K73" s="746"/>
      <c r="L73" s="749">
        <f t="shared" si="12"/>
        <v>5.7</v>
      </c>
      <c r="M73" s="688">
        <f t="shared" si="13"/>
        <v>535.869312904445</v>
      </c>
      <c r="N73" s="706">
        <f t="shared" si="14"/>
        <v>2088</v>
      </c>
      <c r="O73" s="707">
        <f t="shared" si="9"/>
        <v>2113.65</v>
      </c>
      <c r="P73" s="708">
        <f t="shared" si="15"/>
        <v>0.89574078686904113</v>
      </c>
      <c r="Q73" s="709">
        <f t="shared" si="16"/>
        <v>0.22975751183190987</v>
      </c>
      <c r="R73" s="710">
        <f>SUM(Q$13:Q73)</f>
        <v>15.90398242144161</v>
      </c>
      <c r="S73" s="711">
        <f t="shared" si="17"/>
        <v>0.75244162569212536</v>
      </c>
      <c r="T73" s="711"/>
      <c r="U73" s="711"/>
      <c r="V73" s="711"/>
      <c r="W73" s="711"/>
      <c r="X73" s="711"/>
      <c r="Y73" s="711"/>
      <c r="Z73" s="722"/>
    </row>
    <row r="74" spans="1:26">
      <c r="A74" s="716">
        <v>530</v>
      </c>
      <c r="B74" s="700">
        <v>0</v>
      </c>
      <c r="C74" s="688">
        <f>C75-D75</f>
        <v>2141.8000000000002</v>
      </c>
      <c r="D74" s="745">
        <v>23.5</v>
      </c>
      <c r="E74" s="746"/>
      <c r="F74" s="747"/>
      <c r="G74" s="748">
        <f t="shared" si="0"/>
        <v>23.5</v>
      </c>
      <c r="H74" s="746">
        <v>5.7</v>
      </c>
      <c r="I74" s="746"/>
      <c r="J74" s="746"/>
      <c r="K74" s="746"/>
      <c r="L74" s="749">
        <f t="shared" si="12"/>
        <v>5.7</v>
      </c>
      <c r="M74" s="688">
        <f t="shared" si="13"/>
        <v>599.66327872640284</v>
      </c>
      <c r="N74" s="706">
        <f t="shared" si="14"/>
        <v>2113.65</v>
      </c>
      <c r="O74" s="707">
        <f t="shared" si="9"/>
        <v>2141.8000000000002</v>
      </c>
      <c r="P74" s="708">
        <f t="shared" si="15"/>
        <v>0.88382934023514415</v>
      </c>
      <c r="Q74" s="709">
        <f t="shared" si="16"/>
        <v>0.24879795927619386</v>
      </c>
      <c r="R74" s="710">
        <f>SUM(Q$13:Q74)</f>
        <v>16.152780380717804</v>
      </c>
      <c r="S74" s="711">
        <f t="shared" si="17"/>
        <v>0.75416847421410971</v>
      </c>
      <c r="T74" s="711"/>
      <c r="U74" s="711"/>
      <c r="V74" s="711"/>
      <c r="W74" s="711"/>
      <c r="X74" s="711"/>
      <c r="Y74" s="711"/>
      <c r="Z74" s="722"/>
    </row>
    <row r="75" spans="1:26">
      <c r="A75" s="716">
        <v>485</v>
      </c>
      <c r="B75" s="700">
        <v>0</v>
      </c>
      <c r="C75" s="688">
        <f>C76-D76</f>
        <v>2162.8000000000002</v>
      </c>
      <c r="D75" s="745">
        <v>21</v>
      </c>
      <c r="E75" s="746"/>
      <c r="F75" s="747"/>
      <c r="G75" s="748">
        <f t="shared" si="0"/>
        <v>21</v>
      </c>
      <c r="H75" s="746">
        <v>5.7</v>
      </c>
      <c r="I75" s="746"/>
      <c r="J75" s="746"/>
      <c r="K75" s="746"/>
      <c r="L75" s="749">
        <f t="shared" si="12"/>
        <v>5.7</v>
      </c>
      <c r="M75" s="688">
        <f t="shared" si="13"/>
        <v>535.869312904445</v>
      </c>
      <c r="N75" s="706">
        <f t="shared" si="14"/>
        <v>2141.8000000000002</v>
      </c>
      <c r="O75" s="707">
        <f t="shared" si="9"/>
        <v>2162.8000000000002</v>
      </c>
      <c r="P75" s="708">
        <f t="shared" si="15"/>
        <v>0.90507142006559371</v>
      </c>
      <c r="Q75" s="709">
        <f t="shared" si="16"/>
        <v>0.19006499821377468</v>
      </c>
      <c r="R75" s="710">
        <f>SUM(Q$13:Q75)</f>
        <v>16.342845378931578</v>
      </c>
      <c r="S75" s="711">
        <f t="shared" si="17"/>
        <v>0.75563368683796828</v>
      </c>
      <c r="T75" s="711"/>
      <c r="U75" s="711"/>
      <c r="V75" s="711"/>
      <c r="W75" s="711"/>
      <c r="X75" s="711"/>
      <c r="Y75" s="711"/>
      <c r="Z75" s="722"/>
    </row>
    <row r="76" spans="1:26">
      <c r="A76" s="716">
        <v>490</v>
      </c>
      <c r="B76" s="700">
        <v>0</v>
      </c>
      <c r="C76" s="688">
        <v>2184</v>
      </c>
      <c r="D76" s="745">
        <v>21.2</v>
      </c>
      <c r="E76" s="746"/>
      <c r="F76" s="747"/>
      <c r="G76" s="748">
        <f t="shared" si="0"/>
        <v>21.2</v>
      </c>
      <c r="H76" s="746">
        <v>5.7</v>
      </c>
      <c r="I76" s="746"/>
      <c r="J76" s="746"/>
      <c r="K76" s="746"/>
      <c r="L76" s="749">
        <f t="shared" si="12"/>
        <v>5.7</v>
      </c>
      <c r="M76" s="688">
        <f t="shared" si="13"/>
        <v>540.97283017020163</v>
      </c>
      <c r="N76" s="706">
        <f t="shared" si="14"/>
        <v>2162.8000000000002</v>
      </c>
      <c r="O76" s="707">
        <f t="shared" si="9"/>
        <v>2184.5</v>
      </c>
      <c r="P76" s="708">
        <f t="shared" si="15"/>
        <v>0.90577561879740898</v>
      </c>
      <c r="Q76" s="709">
        <f t="shared" si="16"/>
        <v>0.19655330927903608</v>
      </c>
      <c r="R76" s="710">
        <f>SUM(Q$13:Q76)</f>
        <v>16.539398688210614</v>
      </c>
      <c r="S76" s="711">
        <f t="shared" si="17"/>
        <v>0.75712514022479349</v>
      </c>
      <c r="T76" s="711"/>
      <c r="U76" s="711"/>
      <c r="V76" s="711"/>
      <c r="W76" s="711"/>
      <c r="X76" s="711"/>
      <c r="Y76" s="711"/>
      <c r="Z76" s="722"/>
    </row>
    <row r="77" spans="1:26">
      <c r="A77" s="716">
        <v>860</v>
      </c>
      <c r="B77" s="700">
        <v>0</v>
      </c>
      <c r="C77" s="688">
        <f>C78-D78</f>
        <v>2223.1</v>
      </c>
      <c r="D77" s="745">
        <v>38.1</v>
      </c>
      <c r="E77" s="746"/>
      <c r="F77" s="747"/>
      <c r="G77" s="748">
        <f t="shared" si="0"/>
        <v>38.1</v>
      </c>
      <c r="H77" s="746">
        <v>5.7</v>
      </c>
      <c r="I77" s="746"/>
      <c r="J77" s="746"/>
      <c r="K77" s="746"/>
      <c r="L77" s="749">
        <f t="shared" si="1"/>
        <v>5.7</v>
      </c>
      <c r="M77" s="688">
        <f t="shared" si="4"/>
        <v>972.22003912663604</v>
      </c>
      <c r="N77" s="706">
        <f>(C67+C77-G77)/2</f>
        <v>2073</v>
      </c>
      <c r="O77" s="707">
        <f t="shared" si="9"/>
        <v>2223.1000000000004</v>
      </c>
      <c r="P77" s="708">
        <f t="shared" si="5"/>
        <v>0.88457341485426955</v>
      </c>
      <c r="Q77" s="709">
        <f t="shared" si="6"/>
        <v>1.3277446956962617</v>
      </c>
      <c r="R77" s="710">
        <f>SUM(Q$13:Q77)</f>
        <v>17.867143383906875</v>
      </c>
      <c r="S77" s="711">
        <f t="shared" si="2"/>
        <v>0.80370398920007524</v>
      </c>
      <c r="T77" s="711"/>
      <c r="U77" s="711"/>
      <c r="V77" s="711">
        <f t="shared" si="7"/>
        <v>0</v>
      </c>
      <c r="W77" s="711">
        <f t="shared" ref="W77" si="18">(A78-(V77/0.9))/M77</f>
        <v>0.75600169757893965</v>
      </c>
      <c r="X77" s="711"/>
      <c r="Y77" s="711"/>
      <c r="Z77" s="722"/>
    </row>
    <row r="78" spans="1:26">
      <c r="A78" s="716">
        <v>735</v>
      </c>
      <c r="B78" s="700">
        <v>0</v>
      </c>
      <c r="C78" s="688">
        <v>2256</v>
      </c>
      <c r="D78" s="745">
        <v>32.9</v>
      </c>
      <c r="E78" s="746"/>
      <c r="F78" s="747"/>
      <c r="G78" s="748">
        <f t="shared" si="0"/>
        <v>32.9</v>
      </c>
      <c r="H78" s="746">
        <v>5.7</v>
      </c>
      <c r="I78" s="746"/>
      <c r="J78" s="746"/>
      <c r="K78" s="746"/>
      <c r="L78" s="749">
        <f t="shared" si="1"/>
        <v>5.7</v>
      </c>
      <c r="M78" s="688">
        <f t="shared" si="4"/>
        <v>839.52859021696383</v>
      </c>
      <c r="N78" s="706">
        <f>(C77+C78-G78)/2</f>
        <v>2223.1000000000004</v>
      </c>
      <c r="O78" s="707">
        <f>C78</f>
        <v>2256</v>
      </c>
      <c r="P78" s="708">
        <f t="shared" si="5"/>
        <v>0.87549132759141657</v>
      </c>
      <c r="Q78" s="709">
        <f t="shared" si="6"/>
        <v>0.28803664677757285</v>
      </c>
      <c r="R78" s="710">
        <f>SUM(Q$13:Q78)</f>
        <v>18.155180030684448</v>
      </c>
      <c r="S78" s="711">
        <f t="shared" si="2"/>
        <v>0.80475088788494897</v>
      </c>
      <c r="T78" s="711"/>
      <c r="U78" s="711"/>
      <c r="V78" s="711">
        <f t="shared" si="7"/>
        <v>0</v>
      </c>
      <c r="W78" s="711" t="e">
        <f>(#REF!-(V78/0.9))/M78</f>
        <v>#REF!</v>
      </c>
      <c r="X78" s="711"/>
      <c r="Y78" s="711"/>
      <c r="Z78" s="722"/>
    </row>
    <row r="79" spans="1:26">
      <c r="A79" s="763" t="s">
        <v>185</v>
      </c>
      <c r="B79" s="764"/>
      <c r="C79" s="765"/>
      <c r="D79" s="765"/>
      <c r="E79" s="765"/>
      <c r="F79" s="765"/>
      <c r="G79" s="766"/>
      <c r="H79" s="765"/>
      <c r="I79" s="765"/>
      <c r="J79" s="765"/>
      <c r="K79" s="765"/>
      <c r="L79" s="767"/>
      <c r="M79" s="765"/>
      <c r="N79" s="768"/>
      <c r="O79" s="769"/>
      <c r="P79" s="770"/>
      <c r="Q79" s="771"/>
      <c r="R79" s="772"/>
      <c r="S79" s="773"/>
      <c r="T79" s="773"/>
      <c r="U79" s="773"/>
      <c r="V79" s="773"/>
      <c r="W79" s="773"/>
      <c r="X79" s="773"/>
      <c r="Y79" s="773"/>
      <c r="Z79" s="774"/>
    </row>
    <row r="80" spans="1:26">
      <c r="A80" s="775"/>
      <c r="B80" s="776"/>
      <c r="C80" s="777"/>
      <c r="D80" s="777"/>
      <c r="E80" s="777"/>
      <c r="F80" s="777"/>
      <c r="G80" s="778"/>
      <c r="H80" s="777"/>
      <c r="I80" s="777"/>
      <c r="J80" s="777"/>
      <c r="K80" s="777"/>
      <c r="L80" s="779"/>
      <c r="M80" s="777"/>
      <c r="N80" s="780"/>
      <c r="O80" s="781"/>
      <c r="P80" s="782"/>
      <c r="Q80" s="783"/>
      <c r="R80" s="784"/>
      <c r="S80" s="785"/>
      <c r="T80" s="785"/>
      <c r="U80" s="785"/>
      <c r="V80" s="785"/>
      <c r="W80" s="785"/>
      <c r="X80" s="785"/>
      <c r="Y80" s="785"/>
      <c r="Z80" s="786"/>
    </row>
    <row r="81" spans="1:26" ht="12" thickBot="1">
      <c r="A81" s="787"/>
      <c r="B81" s="788"/>
      <c r="C81" s="789"/>
      <c r="D81" s="789"/>
      <c r="E81" s="789"/>
      <c r="F81" s="789"/>
      <c r="G81" s="790"/>
      <c r="H81" s="789"/>
      <c r="I81" s="789"/>
      <c r="J81" s="789"/>
      <c r="K81" s="789"/>
      <c r="L81" s="791"/>
      <c r="M81" s="789"/>
      <c r="N81" s="792"/>
      <c r="O81" s="793"/>
      <c r="P81" s="794"/>
      <c r="Q81" s="795"/>
      <c r="R81" s="796"/>
      <c r="S81" s="797"/>
      <c r="T81" s="797"/>
      <c r="U81" s="797"/>
      <c r="V81" s="797"/>
      <c r="W81" s="797"/>
      <c r="X81" s="797"/>
      <c r="Y81" s="797"/>
      <c r="Z81" s="798"/>
    </row>
    <row r="82" spans="1:26">
      <c r="A82" s="801"/>
      <c r="B82" s="801"/>
      <c r="C82" s="802"/>
      <c r="D82" s="803"/>
      <c r="E82" s="803"/>
      <c r="F82" s="803"/>
      <c r="G82" s="804"/>
      <c r="H82" s="805"/>
      <c r="I82" s="806"/>
      <c r="J82" s="807"/>
      <c r="K82" s="808"/>
      <c r="L82" s="809"/>
      <c r="M82" s="762"/>
      <c r="O82" s="750"/>
      <c r="P82" s="810"/>
    </row>
    <row r="83" spans="1:26">
      <c r="A83" s="762"/>
      <c r="B83" s="762"/>
      <c r="C83" s="811"/>
      <c r="D83" s="811"/>
      <c r="E83" s="811"/>
      <c r="F83" s="811"/>
      <c r="G83" s="806"/>
      <c r="H83" s="805"/>
      <c r="I83" s="806"/>
      <c r="J83" s="807"/>
      <c r="K83" s="812"/>
      <c r="L83" s="809"/>
      <c r="M83" s="762"/>
      <c r="O83" s="750"/>
      <c r="P83" s="810"/>
    </row>
    <row r="84" spans="1:26">
      <c r="A84" s="813"/>
      <c r="B84" s="813"/>
      <c r="C84" s="813"/>
      <c r="D84" s="813"/>
      <c r="E84" s="807"/>
      <c r="F84" s="814"/>
      <c r="G84" s="762"/>
      <c r="H84" s="750"/>
      <c r="I84" s="762"/>
      <c r="J84" s="750"/>
      <c r="K84" s="750"/>
      <c r="L84" s="762"/>
      <c r="M84" s="762"/>
      <c r="O84" s="750"/>
      <c r="P84" s="810"/>
    </row>
    <row r="85" spans="1:26">
      <c r="A85" s="815"/>
      <c r="B85" s="815"/>
      <c r="C85" s="813"/>
      <c r="D85" s="813"/>
      <c r="E85" s="807"/>
      <c r="F85" s="814"/>
      <c r="G85" s="750"/>
      <c r="H85" s="750"/>
      <c r="I85" s="762"/>
      <c r="J85" s="750"/>
      <c r="K85" s="750"/>
      <c r="L85" s="762"/>
      <c r="M85" s="762"/>
      <c r="O85" s="750"/>
      <c r="P85" s="810"/>
    </row>
    <row r="86" spans="1:26">
      <c r="A86" s="659"/>
      <c r="B86" s="659"/>
      <c r="C86" s="813"/>
      <c r="D86" s="813"/>
      <c r="E86" s="807"/>
      <c r="F86" s="814"/>
      <c r="G86" s="750"/>
      <c r="H86" s="750"/>
      <c r="I86" s="762"/>
      <c r="J86" s="750"/>
      <c r="K86" s="750"/>
      <c r="L86" s="762"/>
      <c r="M86" s="762"/>
      <c r="O86" s="750"/>
      <c r="P86" s="810"/>
    </row>
    <row r="87" spans="1:26">
      <c r="A87" s="813"/>
      <c r="B87" s="813"/>
      <c r="C87" s="813"/>
      <c r="D87" s="813"/>
      <c r="E87" s="807"/>
      <c r="F87" s="814"/>
      <c r="G87" s="750"/>
      <c r="H87" s="750"/>
      <c r="I87" s="762"/>
      <c r="J87" s="750"/>
      <c r="K87" s="750"/>
      <c r="L87" s="762"/>
      <c r="M87" s="762"/>
      <c r="O87" s="750"/>
      <c r="P87" s="810"/>
    </row>
    <row r="88" spans="1:26" s="813" customFormat="1">
      <c r="E88" s="807"/>
      <c r="F88" s="814"/>
      <c r="G88" s="750"/>
      <c r="H88" s="750"/>
      <c r="I88" s="762"/>
      <c r="J88" s="806"/>
      <c r="K88" s="750"/>
      <c r="L88" s="762"/>
      <c r="M88" s="762"/>
      <c r="N88" s="750"/>
      <c r="O88" s="750"/>
      <c r="P88" s="810"/>
      <c r="Q88" s="810"/>
      <c r="R88" s="810"/>
      <c r="S88" s="810"/>
      <c r="T88" s="810"/>
      <c r="U88" s="810"/>
      <c r="V88" s="810"/>
      <c r="W88" s="810"/>
      <c r="X88" s="810"/>
      <c r="Y88" s="810"/>
      <c r="Z88" s="750"/>
    </row>
    <row r="89" spans="1:26" s="813" customFormat="1">
      <c r="E89" s="807"/>
      <c r="F89" s="814"/>
      <c r="G89" s="750"/>
      <c r="H89" s="750"/>
      <c r="I89" s="762"/>
      <c r="J89" s="806"/>
      <c r="K89" s="750"/>
      <c r="L89" s="762"/>
      <c r="M89" s="762"/>
      <c r="N89" s="750"/>
      <c r="O89" s="750"/>
      <c r="P89" s="810"/>
      <c r="Q89" s="810"/>
      <c r="R89" s="810"/>
      <c r="S89" s="810"/>
      <c r="T89" s="810"/>
      <c r="U89" s="810"/>
      <c r="V89" s="810"/>
      <c r="W89" s="810"/>
      <c r="X89" s="810"/>
      <c r="Y89" s="810"/>
      <c r="Z89" s="750"/>
    </row>
    <row r="90" spans="1:26" s="813" customFormat="1">
      <c r="E90" s="807"/>
      <c r="F90" s="814"/>
      <c r="G90" s="750"/>
      <c r="H90" s="750"/>
      <c r="I90" s="762"/>
      <c r="J90" s="750"/>
      <c r="K90" s="750"/>
      <c r="L90" s="762"/>
      <c r="M90" s="762"/>
      <c r="N90" s="750"/>
      <c r="O90" s="750"/>
      <c r="P90" s="810"/>
      <c r="Q90" s="810"/>
      <c r="R90" s="810"/>
      <c r="S90" s="810"/>
      <c r="T90" s="810"/>
      <c r="U90" s="810"/>
      <c r="V90" s="810"/>
      <c r="W90" s="810"/>
      <c r="X90" s="810"/>
      <c r="Y90" s="810"/>
      <c r="Z90" s="750"/>
    </row>
    <row r="91" spans="1:26" s="813" customFormat="1">
      <c r="E91" s="807"/>
      <c r="F91" s="814"/>
      <c r="G91" s="750"/>
      <c r="H91" s="750"/>
      <c r="I91" s="762"/>
      <c r="J91" s="750"/>
      <c r="K91" s="750"/>
      <c r="L91" s="762"/>
      <c r="M91" s="762"/>
      <c r="N91" s="750"/>
      <c r="O91" s="750"/>
      <c r="P91" s="810"/>
      <c r="Q91" s="810"/>
      <c r="R91" s="810"/>
      <c r="S91" s="810"/>
      <c r="T91" s="810"/>
      <c r="U91" s="810"/>
      <c r="V91" s="810"/>
      <c r="W91" s="810"/>
      <c r="X91" s="810"/>
      <c r="Y91" s="810"/>
      <c r="Z91" s="750"/>
    </row>
    <row r="92" spans="1:26" s="813" customFormat="1">
      <c r="E92" s="807"/>
      <c r="F92" s="814"/>
      <c r="G92" s="750"/>
      <c r="H92" s="750"/>
      <c r="I92" s="762"/>
      <c r="J92" s="750"/>
      <c r="K92" s="750"/>
      <c r="L92" s="762"/>
      <c r="M92" s="762"/>
      <c r="N92" s="750"/>
      <c r="O92" s="750"/>
      <c r="P92" s="810"/>
      <c r="Q92" s="810"/>
      <c r="R92" s="810"/>
      <c r="S92" s="810"/>
      <c r="T92" s="810"/>
      <c r="U92" s="810"/>
      <c r="V92" s="810"/>
      <c r="W92" s="810"/>
      <c r="X92" s="810"/>
      <c r="Y92" s="810"/>
      <c r="Z92" s="750"/>
    </row>
    <row r="93" spans="1:26" s="813" customFormat="1">
      <c r="E93" s="807"/>
      <c r="F93" s="814"/>
      <c r="G93" s="750"/>
      <c r="H93" s="750"/>
      <c r="I93" s="762"/>
      <c r="J93" s="750"/>
      <c r="K93" s="750"/>
      <c r="L93" s="762"/>
      <c r="M93" s="762"/>
      <c r="N93" s="750"/>
      <c r="O93" s="750"/>
      <c r="P93" s="810"/>
      <c r="Q93" s="810"/>
      <c r="R93" s="810"/>
      <c r="S93" s="810"/>
      <c r="T93" s="810"/>
      <c r="U93" s="810"/>
      <c r="V93" s="810"/>
      <c r="W93" s="810"/>
      <c r="X93" s="810"/>
      <c r="Y93" s="810"/>
      <c r="Z93" s="750"/>
    </row>
    <row r="94" spans="1:26" s="813" customFormat="1">
      <c r="E94" s="807"/>
      <c r="F94" s="814"/>
      <c r="G94" s="750"/>
      <c r="H94" s="750"/>
      <c r="I94" s="762"/>
      <c r="J94" s="750"/>
      <c r="K94" s="750"/>
      <c r="L94" s="762"/>
      <c r="M94" s="762"/>
      <c r="N94" s="750"/>
      <c r="O94" s="750"/>
      <c r="P94" s="810"/>
      <c r="Q94" s="810"/>
      <c r="R94" s="810"/>
      <c r="S94" s="810"/>
      <c r="T94" s="810"/>
      <c r="U94" s="810"/>
      <c r="V94" s="810"/>
      <c r="W94" s="810"/>
      <c r="X94" s="810"/>
      <c r="Y94" s="810"/>
      <c r="Z94" s="750"/>
    </row>
    <row r="95" spans="1:26" s="813" customFormat="1">
      <c r="E95" s="807"/>
      <c r="F95" s="814"/>
      <c r="G95" s="750"/>
      <c r="H95" s="750"/>
      <c r="I95" s="762"/>
      <c r="J95" s="750"/>
      <c r="K95" s="750"/>
      <c r="L95" s="762"/>
      <c r="M95" s="750"/>
      <c r="N95" s="750"/>
      <c r="O95" s="750"/>
      <c r="P95" s="810"/>
      <c r="Q95" s="810"/>
      <c r="R95" s="810"/>
      <c r="S95" s="810"/>
      <c r="T95" s="810"/>
      <c r="U95" s="810"/>
      <c r="V95" s="810"/>
      <c r="W95" s="810"/>
      <c r="X95" s="810"/>
      <c r="Y95" s="810"/>
      <c r="Z95" s="750"/>
    </row>
    <row r="96" spans="1:26" s="813" customFormat="1">
      <c r="E96" s="807"/>
      <c r="F96" s="814"/>
      <c r="G96" s="750"/>
      <c r="H96" s="750"/>
      <c r="I96" s="762"/>
      <c r="J96" s="750"/>
      <c r="K96" s="750"/>
      <c r="L96" s="762"/>
      <c r="M96" s="750"/>
      <c r="N96" s="750"/>
      <c r="O96" s="750"/>
      <c r="P96" s="810"/>
      <c r="Q96" s="810"/>
      <c r="R96" s="810"/>
      <c r="S96" s="810"/>
      <c r="T96" s="810"/>
      <c r="U96" s="810"/>
      <c r="V96" s="810"/>
      <c r="W96" s="810"/>
      <c r="X96" s="810"/>
      <c r="Y96" s="810"/>
      <c r="Z96" s="750"/>
    </row>
    <row r="97" spans="5:26" s="813" customFormat="1">
      <c r="E97" s="807"/>
      <c r="F97" s="814"/>
      <c r="G97" s="750"/>
      <c r="H97" s="750"/>
      <c r="I97" s="762"/>
      <c r="J97" s="750"/>
      <c r="K97" s="750"/>
      <c r="L97" s="750"/>
      <c r="M97" s="750"/>
      <c r="N97" s="750"/>
      <c r="O97" s="750"/>
      <c r="P97" s="810"/>
      <c r="Q97" s="810"/>
      <c r="R97" s="810"/>
      <c r="S97" s="810"/>
      <c r="T97" s="810"/>
      <c r="U97" s="810"/>
      <c r="V97" s="810"/>
      <c r="W97" s="810"/>
      <c r="X97" s="810"/>
      <c r="Y97" s="810"/>
      <c r="Z97" s="750"/>
    </row>
    <row r="98" spans="5:26" s="813" customFormat="1">
      <c r="E98" s="807"/>
      <c r="F98" s="814"/>
      <c r="G98" s="750"/>
      <c r="H98" s="750"/>
      <c r="I98" s="762"/>
      <c r="J98" s="750"/>
      <c r="K98" s="750"/>
      <c r="L98" s="750"/>
      <c r="M98" s="750"/>
      <c r="N98" s="750"/>
      <c r="O98" s="750"/>
      <c r="P98" s="810"/>
      <c r="Q98" s="810"/>
      <c r="R98" s="810"/>
      <c r="S98" s="810"/>
      <c r="T98" s="810"/>
      <c r="U98" s="810"/>
      <c r="V98" s="810"/>
      <c r="W98" s="810"/>
      <c r="X98" s="810"/>
      <c r="Y98" s="810"/>
      <c r="Z98" s="750"/>
    </row>
    <row r="99" spans="5:26" s="813" customFormat="1">
      <c r="E99" s="807"/>
      <c r="F99" s="814"/>
      <c r="G99" s="750"/>
      <c r="H99" s="750"/>
      <c r="I99" s="762"/>
      <c r="J99" s="750"/>
      <c r="K99" s="750"/>
      <c r="L99" s="750"/>
      <c r="M99" s="750"/>
      <c r="N99" s="750"/>
      <c r="O99" s="750"/>
      <c r="P99" s="810"/>
      <c r="Q99" s="810"/>
      <c r="R99" s="810"/>
      <c r="S99" s="810"/>
      <c r="T99" s="810"/>
      <c r="U99" s="810"/>
      <c r="V99" s="810"/>
      <c r="W99" s="810"/>
      <c r="X99" s="810"/>
      <c r="Y99" s="810"/>
      <c r="Z99" s="750"/>
    </row>
    <row r="100" spans="5:26" s="813" customFormat="1">
      <c r="E100" s="807"/>
      <c r="F100" s="814"/>
      <c r="G100" s="750"/>
      <c r="H100" s="750"/>
      <c r="I100" s="762"/>
      <c r="J100" s="750"/>
      <c r="K100" s="750"/>
      <c r="L100" s="750"/>
      <c r="M100" s="750"/>
      <c r="N100" s="750"/>
      <c r="O100" s="750"/>
      <c r="P100" s="810"/>
      <c r="Q100" s="810"/>
      <c r="R100" s="810"/>
      <c r="S100" s="810"/>
      <c r="T100" s="810"/>
      <c r="U100" s="810"/>
      <c r="V100" s="810"/>
      <c r="W100" s="810"/>
      <c r="X100" s="810"/>
      <c r="Y100" s="810"/>
      <c r="Z100" s="750"/>
    </row>
    <row r="101" spans="5:26" s="813" customFormat="1">
      <c r="E101" s="807"/>
      <c r="F101" s="814"/>
      <c r="G101" s="750"/>
      <c r="H101" s="750"/>
      <c r="I101" s="762"/>
      <c r="J101" s="750"/>
      <c r="K101" s="750"/>
      <c r="L101" s="750"/>
      <c r="M101" s="750"/>
      <c r="N101" s="750"/>
      <c r="O101" s="750"/>
      <c r="P101" s="810"/>
      <c r="Q101" s="810"/>
      <c r="R101" s="810"/>
      <c r="S101" s="810"/>
      <c r="T101" s="810"/>
      <c r="U101" s="810"/>
      <c r="V101" s="810"/>
      <c r="W101" s="810"/>
      <c r="X101" s="810"/>
      <c r="Y101" s="810"/>
      <c r="Z101" s="750"/>
    </row>
    <row r="102" spans="5:26" s="813" customFormat="1">
      <c r="E102" s="807"/>
      <c r="F102" s="814"/>
      <c r="G102" s="750"/>
      <c r="H102" s="750"/>
      <c r="I102" s="762"/>
      <c r="J102" s="750"/>
      <c r="K102" s="750"/>
      <c r="L102" s="750"/>
      <c r="M102" s="750"/>
      <c r="N102" s="750"/>
      <c r="O102" s="750"/>
      <c r="P102" s="810"/>
      <c r="Q102" s="810"/>
      <c r="R102" s="810"/>
      <c r="S102" s="810"/>
      <c r="T102" s="810"/>
      <c r="U102" s="810"/>
      <c r="V102" s="810"/>
      <c r="W102" s="810"/>
      <c r="X102" s="810"/>
      <c r="Y102" s="810"/>
      <c r="Z102" s="750"/>
    </row>
    <row r="103" spans="5:26" s="813" customFormat="1">
      <c r="E103" s="807"/>
      <c r="F103" s="814"/>
      <c r="G103" s="750"/>
      <c r="H103" s="750"/>
      <c r="I103" s="762"/>
      <c r="J103" s="750"/>
      <c r="K103" s="750"/>
      <c r="L103" s="750"/>
      <c r="M103" s="750"/>
      <c r="N103" s="750"/>
      <c r="O103" s="750"/>
      <c r="P103" s="810"/>
      <c r="Q103" s="810"/>
      <c r="R103" s="810"/>
      <c r="S103" s="810"/>
      <c r="T103" s="810"/>
      <c r="U103" s="810"/>
      <c r="V103" s="810"/>
      <c r="W103" s="810"/>
      <c r="X103" s="810"/>
      <c r="Y103" s="810"/>
      <c r="Z103" s="750"/>
    </row>
    <row r="104" spans="5:26" s="813" customFormat="1">
      <c r="E104" s="807"/>
      <c r="F104" s="814"/>
      <c r="G104" s="750"/>
      <c r="H104" s="750"/>
      <c r="I104" s="762"/>
      <c r="J104" s="750"/>
      <c r="K104" s="750"/>
      <c r="L104" s="750"/>
      <c r="M104" s="750"/>
      <c r="N104" s="750"/>
      <c r="O104" s="750"/>
      <c r="P104" s="810"/>
      <c r="Q104" s="810"/>
      <c r="R104" s="810"/>
      <c r="S104" s="810"/>
      <c r="T104" s="810"/>
      <c r="U104" s="810"/>
      <c r="V104" s="810"/>
      <c r="W104" s="810"/>
      <c r="X104" s="810"/>
      <c r="Y104" s="810"/>
      <c r="Z104" s="750"/>
    </row>
    <row r="105" spans="5:26" s="813" customFormat="1">
      <c r="E105" s="807"/>
      <c r="F105" s="814"/>
      <c r="G105" s="750"/>
      <c r="H105" s="750"/>
      <c r="I105" s="762"/>
      <c r="J105" s="750"/>
      <c r="K105" s="750"/>
      <c r="L105" s="750"/>
      <c r="M105" s="750"/>
      <c r="N105" s="750"/>
      <c r="O105" s="750"/>
      <c r="P105" s="810"/>
      <c r="Q105" s="810"/>
      <c r="R105" s="810"/>
      <c r="S105" s="810"/>
      <c r="T105" s="810"/>
      <c r="U105" s="810"/>
      <c r="V105" s="810"/>
      <c r="W105" s="810"/>
      <c r="X105" s="810"/>
      <c r="Y105" s="810"/>
      <c r="Z105" s="750"/>
    </row>
    <row r="106" spans="5:26" s="813" customFormat="1">
      <c r="E106" s="807"/>
      <c r="F106" s="814"/>
      <c r="G106" s="750"/>
      <c r="H106" s="750"/>
      <c r="I106" s="762"/>
      <c r="J106" s="750"/>
      <c r="K106" s="750"/>
      <c r="L106" s="750"/>
      <c r="M106" s="750"/>
      <c r="N106" s="750"/>
      <c r="O106" s="750"/>
      <c r="P106" s="810"/>
      <c r="Q106" s="810"/>
      <c r="R106" s="810"/>
      <c r="S106" s="810"/>
      <c r="T106" s="810"/>
      <c r="U106" s="810"/>
      <c r="V106" s="810"/>
      <c r="W106" s="810"/>
      <c r="X106" s="810"/>
      <c r="Y106" s="810"/>
      <c r="Z106" s="750"/>
    </row>
    <row r="107" spans="5:26" s="813" customFormat="1">
      <c r="E107" s="807"/>
      <c r="F107" s="814"/>
      <c r="G107" s="750"/>
      <c r="H107" s="750"/>
      <c r="I107" s="762"/>
      <c r="J107" s="750"/>
      <c r="K107" s="750"/>
      <c r="L107" s="750"/>
      <c r="M107" s="750"/>
      <c r="N107" s="750"/>
      <c r="O107" s="750"/>
      <c r="P107" s="810"/>
      <c r="Q107" s="810"/>
      <c r="R107" s="810"/>
      <c r="S107" s="810"/>
      <c r="T107" s="810"/>
      <c r="U107" s="810"/>
      <c r="V107" s="810"/>
      <c r="W107" s="810"/>
      <c r="X107" s="810"/>
      <c r="Y107" s="810"/>
      <c r="Z107" s="750"/>
    </row>
    <row r="108" spans="5:26" s="813" customFormat="1">
      <c r="E108" s="807"/>
      <c r="F108" s="814"/>
      <c r="G108" s="810"/>
      <c r="H108" s="750"/>
      <c r="I108" s="762"/>
      <c r="J108" s="750"/>
      <c r="K108" s="750"/>
      <c r="L108" s="750"/>
      <c r="M108" s="750"/>
      <c r="N108" s="750"/>
      <c r="O108" s="750"/>
      <c r="P108" s="810"/>
      <c r="Q108" s="810"/>
      <c r="R108" s="810"/>
      <c r="S108" s="810"/>
      <c r="T108" s="810"/>
      <c r="U108" s="810"/>
      <c r="V108" s="810"/>
      <c r="W108" s="810"/>
      <c r="X108" s="810"/>
      <c r="Y108" s="810"/>
      <c r="Z108" s="750"/>
    </row>
    <row r="109" spans="5:26" s="813" customFormat="1">
      <c r="E109" s="807"/>
      <c r="F109" s="814"/>
      <c r="G109" s="810"/>
      <c r="H109" s="750"/>
      <c r="I109" s="762"/>
      <c r="J109" s="750"/>
      <c r="K109" s="750"/>
      <c r="L109" s="750"/>
      <c r="M109" s="750"/>
      <c r="N109" s="750"/>
      <c r="O109" s="750"/>
      <c r="P109" s="810"/>
      <c r="Q109" s="810"/>
      <c r="R109" s="810"/>
      <c r="S109" s="810"/>
      <c r="T109" s="810"/>
      <c r="U109" s="810"/>
      <c r="V109" s="810"/>
      <c r="W109" s="810"/>
      <c r="X109" s="810"/>
      <c r="Y109" s="810"/>
      <c r="Z109" s="750"/>
    </row>
    <row r="110" spans="5:26" s="813" customFormat="1">
      <c r="E110" s="807"/>
      <c r="F110" s="814"/>
      <c r="G110" s="810"/>
      <c r="H110" s="750"/>
      <c r="I110" s="762"/>
      <c r="J110" s="750"/>
      <c r="K110" s="750"/>
      <c r="L110" s="750"/>
      <c r="M110" s="750"/>
      <c r="N110" s="750"/>
      <c r="O110" s="750"/>
      <c r="P110" s="810"/>
      <c r="Q110" s="810"/>
      <c r="R110" s="810"/>
      <c r="S110" s="810"/>
      <c r="T110" s="810"/>
      <c r="U110" s="810"/>
      <c r="V110" s="810"/>
      <c r="W110" s="810"/>
      <c r="X110" s="810"/>
      <c r="Y110" s="810"/>
      <c r="Z110" s="750"/>
    </row>
    <row r="111" spans="5:26" s="813" customFormat="1">
      <c r="E111" s="807"/>
      <c r="F111" s="814"/>
      <c r="G111" s="810"/>
      <c r="H111" s="750"/>
      <c r="I111" s="762"/>
      <c r="J111" s="750"/>
      <c r="K111" s="750"/>
      <c r="L111" s="750"/>
      <c r="M111" s="750"/>
      <c r="N111" s="750"/>
      <c r="O111" s="750"/>
      <c r="P111" s="810"/>
      <c r="Q111" s="810"/>
      <c r="R111" s="810"/>
      <c r="S111" s="810"/>
      <c r="T111" s="810"/>
      <c r="U111" s="810"/>
      <c r="V111" s="810"/>
      <c r="W111" s="810"/>
      <c r="X111" s="810"/>
      <c r="Y111" s="810"/>
      <c r="Z111" s="750"/>
    </row>
    <row r="112" spans="5:26" s="813" customFormat="1">
      <c r="E112" s="807"/>
      <c r="F112" s="814"/>
      <c r="G112" s="750"/>
      <c r="H112" s="750"/>
      <c r="I112" s="762"/>
      <c r="J112" s="750"/>
      <c r="K112" s="750"/>
      <c r="L112" s="750"/>
      <c r="M112" s="750"/>
      <c r="N112" s="750"/>
      <c r="O112" s="750"/>
      <c r="P112" s="810"/>
      <c r="Q112" s="810"/>
      <c r="R112" s="810"/>
      <c r="S112" s="810"/>
      <c r="T112" s="810"/>
      <c r="U112" s="810"/>
      <c r="V112" s="810"/>
      <c r="W112" s="810"/>
      <c r="X112" s="810"/>
      <c r="Y112" s="810"/>
      <c r="Z112" s="750"/>
    </row>
    <row r="113" spans="5:26" s="813" customFormat="1">
      <c r="E113" s="807"/>
      <c r="F113" s="814"/>
      <c r="G113" s="750"/>
      <c r="H113" s="750"/>
      <c r="I113" s="762"/>
      <c r="J113" s="750"/>
      <c r="K113" s="750"/>
      <c r="L113" s="750"/>
      <c r="M113" s="750"/>
      <c r="N113" s="750"/>
      <c r="O113" s="750"/>
      <c r="P113" s="810"/>
      <c r="Q113" s="810"/>
      <c r="R113" s="810"/>
      <c r="S113" s="810"/>
      <c r="T113" s="810"/>
      <c r="U113" s="810"/>
      <c r="V113" s="810"/>
      <c r="W113" s="810"/>
      <c r="X113" s="810"/>
      <c r="Y113" s="810"/>
      <c r="Z113" s="750"/>
    </row>
    <row r="114" spans="5:26" s="813" customFormat="1">
      <c r="E114" s="807"/>
      <c r="F114" s="814"/>
      <c r="G114" s="750"/>
      <c r="H114" s="750"/>
      <c r="I114" s="762"/>
      <c r="J114" s="750"/>
      <c r="K114" s="750"/>
      <c r="L114" s="750"/>
      <c r="M114" s="750"/>
      <c r="N114" s="750"/>
      <c r="O114" s="750"/>
      <c r="P114" s="810"/>
      <c r="Q114" s="810"/>
      <c r="R114" s="816"/>
      <c r="S114" s="816"/>
      <c r="T114" s="816"/>
      <c r="U114" s="816"/>
      <c r="V114" s="816"/>
      <c r="W114" s="816"/>
      <c r="X114" s="816"/>
      <c r="Y114" s="816"/>
    </row>
    <row r="115" spans="5:26" s="813" customFormat="1">
      <c r="E115" s="807"/>
      <c r="F115" s="814"/>
      <c r="G115" s="750"/>
      <c r="H115" s="750"/>
      <c r="I115" s="762"/>
      <c r="J115" s="750"/>
      <c r="K115" s="750"/>
      <c r="L115" s="750"/>
      <c r="M115" s="750"/>
      <c r="N115" s="750"/>
      <c r="O115" s="750"/>
      <c r="P115" s="810"/>
      <c r="Q115" s="810"/>
      <c r="R115" s="816"/>
      <c r="S115" s="816"/>
      <c r="T115" s="816"/>
      <c r="U115" s="816"/>
      <c r="V115" s="816"/>
      <c r="W115" s="816"/>
      <c r="X115" s="816"/>
      <c r="Y115" s="816"/>
    </row>
    <row r="116" spans="5:26" s="813" customFormat="1">
      <c r="E116" s="807"/>
      <c r="F116" s="814"/>
      <c r="G116" s="750"/>
      <c r="H116" s="750"/>
      <c r="I116" s="762"/>
      <c r="J116" s="750"/>
      <c r="K116" s="750"/>
      <c r="L116" s="750"/>
      <c r="M116" s="750"/>
      <c r="N116" s="750"/>
      <c r="O116" s="750"/>
      <c r="P116" s="810"/>
      <c r="Q116" s="810"/>
      <c r="R116" s="816"/>
      <c r="S116" s="816"/>
      <c r="T116" s="816"/>
      <c r="U116" s="816"/>
      <c r="V116" s="816"/>
      <c r="W116" s="816"/>
      <c r="X116" s="816"/>
      <c r="Y116" s="816"/>
    </row>
    <row r="117" spans="5:26" s="813" customFormat="1">
      <c r="E117" s="807"/>
      <c r="F117" s="814"/>
      <c r="G117" s="750"/>
      <c r="H117" s="750"/>
      <c r="I117" s="762"/>
      <c r="J117" s="750"/>
      <c r="K117" s="750"/>
      <c r="L117" s="750"/>
      <c r="M117" s="750"/>
      <c r="N117" s="750"/>
      <c r="O117" s="750"/>
      <c r="P117" s="810"/>
      <c r="Q117" s="810"/>
      <c r="R117" s="816"/>
      <c r="S117" s="816"/>
      <c r="T117" s="816"/>
      <c r="U117" s="816"/>
      <c r="V117" s="816"/>
      <c r="W117" s="816"/>
      <c r="X117" s="816"/>
      <c r="Y117" s="816"/>
    </row>
    <row r="118" spans="5:26" s="813" customFormat="1">
      <c r="E118" s="807"/>
      <c r="F118" s="814"/>
      <c r="G118" s="750"/>
      <c r="H118" s="750"/>
      <c r="I118" s="762"/>
      <c r="J118" s="750"/>
      <c r="K118" s="750"/>
      <c r="L118" s="750"/>
      <c r="M118" s="750"/>
      <c r="N118" s="750"/>
      <c r="O118" s="750"/>
      <c r="P118" s="810"/>
      <c r="Q118" s="810"/>
      <c r="R118" s="816"/>
      <c r="S118" s="816"/>
      <c r="T118" s="816"/>
      <c r="U118" s="816"/>
      <c r="V118" s="816"/>
      <c r="W118" s="816"/>
      <c r="X118" s="816"/>
      <c r="Y118" s="816"/>
    </row>
    <row r="119" spans="5:26" s="813" customFormat="1">
      <c r="E119" s="807"/>
      <c r="F119" s="814"/>
      <c r="G119" s="750"/>
      <c r="H119" s="750"/>
      <c r="I119" s="762"/>
      <c r="J119" s="750"/>
      <c r="K119" s="750"/>
      <c r="L119" s="750"/>
      <c r="M119" s="750"/>
      <c r="P119" s="816"/>
      <c r="Q119" s="816"/>
      <c r="R119" s="816"/>
      <c r="S119" s="816"/>
      <c r="T119" s="816"/>
      <c r="U119" s="816"/>
      <c r="V119" s="816"/>
      <c r="W119" s="816"/>
      <c r="X119" s="816"/>
      <c r="Y119" s="816"/>
    </row>
    <row r="120" spans="5:26" s="813" customFormat="1">
      <c r="E120" s="807"/>
      <c r="F120" s="814"/>
      <c r="G120" s="750"/>
      <c r="H120" s="750"/>
      <c r="I120" s="762"/>
      <c r="J120" s="750"/>
      <c r="K120" s="750"/>
      <c r="L120" s="750"/>
      <c r="M120" s="750"/>
      <c r="P120" s="816"/>
      <c r="Q120" s="816"/>
      <c r="R120" s="816"/>
      <c r="S120" s="816"/>
      <c r="T120" s="816"/>
      <c r="U120" s="816"/>
      <c r="V120" s="816"/>
      <c r="W120" s="816"/>
      <c r="X120" s="816"/>
      <c r="Y120" s="816"/>
    </row>
    <row r="121" spans="5:26" s="813" customFormat="1">
      <c r="E121" s="807"/>
      <c r="F121" s="814"/>
      <c r="G121" s="750"/>
      <c r="H121" s="750"/>
      <c r="I121" s="762"/>
      <c r="J121" s="750"/>
      <c r="K121" s="750"/>
      <c r="L121" s="750"/>
      <c r="M121" s="750"/>
      <c r="P121" s="816"/>
      <c r="Q121" s="816"/>
      <c r="R121" s="816"/>
      <c r="S121" s="816"/>
      <c r="T121" s="816"/>
      <c r="U121" s="816"/>
      <c r="V121" s="816"/>
      <c r="W121" s="816"/>
      <c r="X121" s="816"/>
      <c r="Y121" s="816"/>
    </row>
    <row r="122" spans="5:26" s="813" customFormat="1">
      <c r="E122" s="807"/>
      <c r="F122" s="814"/>
      <c r="G122" s="750"/>
      <c r="H122" s="750"/>
      <c r="I122" s="762"/>
      <c r="J122" s="750"/>
      <c r="K122" s="750"/>
      <c r="L122" s="750"/>
      <c r="M122" s="750"/>
      <c r="P122" s="816"/>
      <c r="Q122" s="816"/>
      <c r="R122" s="816"/>
      <c r="S122" s="816"/>
      <c r="T122" s="816"/>
      <c r="U122" s="816"/>
      <c r="V122" s="816"/>
      <c r="W122" s="816"/>
      <c r="X122" s="816"/>
      <c r="Y122" s="816"/>
    </row>
    <row r="123" spans="5:26" s="813" customFormat="1">
      <c r="E123" s="807"/>
      <c r="F123" s="814"/>
      <c r="G123" s="750"/>
      <c r="H123" s="750"/>
      <c r="I123" s="762"/>
      <c r="J123" s="750"/>
      <c r="K123" s="750"/>
      <c r="L123" s="750"/>
      <c r="M123" s="750"/>
      <c r="P123" s="816"/>
      <c r="Q123" s="816"/>
      <c r="R123" s="816"/>
      <c r="S123" s="816"/>
      <c r="T123" s="816"/>
      <c r="U123" s="816"/>
      <c r="V123" s="816"/>
      <c r="W123" s="816"/>
      <c r="X123" s="816"/>
      <c r="Y123" s="816"/>
    </row>
    <row r="124" spans="5:26" s="813" customFormat="1">
      <c r="E124" s="807"/>
      <c r="F124" s="814"/>
      <c r="G124" s="750"/>
      <c r="H124" s="750"/>
      <c r="I124" s="762"/>
      <c r="J124" s="750"/>
      <c r="K124" s="750"/>
      <c r="L124" s="750"/>
      <c r="M124" s="750"/>
      <c r="P124" s="816"/>
      <c r="Q124" s="816"/>
      <c r="R124" s="816"/>
      <c r="S124" s="816"/>
      <c r="T124" s="816"/>
      <c r="U124" s="816"/>
      <c r="V124" s="816"/>
      <c r="W124" s="816"/>
      <c r="X124" s="816"/>
      <c r="Y124" s="816"/>
    </row>
    <row r="125" spans="5:26" s="813" customFormat="1">
      <c r="E125" s="807"/>
      <c r="F125" s="814"/>
      <c r="G125" s="750"/>
      <c r="H125" s="750"/>
      <c r="I125" s="762"/>
      <c r="J125" s="750"/>
      <c r="K125" s="750"/>
      <c r="L125" s="750"/>
      <c r="M125" s="750"/>
      <c r="P125" s="816"/>
      <c r="Q125" s="816"/>
      <c r="R125" s="816"/>
      <c r="S125" s="816"/>
      <c r="T125" s="816"/>
      <c r="U125" s="816"/>
      <c r="V125" s="816"/>
      <c r="W125" s="816"/>
      <c r="X125" s="816"/>
      <c r="Y125" s="816"/>
    </row>
    <row r="126" spans="5:26" s="813" customFormat="1">
      <c r="E126" s="807"/>
      <c r="F126" s="814"/>
      <c r="G126" s="750"/>
      <c r="H126" s="750"/>
      <c r="I126" s="762"/>
      <c r="J126" s="750"/>
      <c r="K126" s="750"/>
      <c r="L126" s="750"/>
      <c r="M126" s="750"/>
      <c r="P126" s="816"/>
      <c r="Q126" s="816"/>
      <c r="R126" s="816"/>
      <c r="S126" s="816"/>
      <c r="T126" s="816"/>
      <c r="U126" s="816"/>
      <c r="V126" s="816"/>
      <c r="W126" s="816"/>
      <c r="X126" s="816"/>
      <c r="Y126" s="816"/>
    </row>
    <row r="127" spans="5:26" s="813" customFormat="1">
      <c r="E127" s="807"/>
      <c r="F127" s="814"/>
      <c r="G127" s="750"/>
      <c r="H127" s="750"/>
      <c r="I127" s="762"/>
      <c r="J127" s="750"/>
      <c r="K127" s="750"/>
      <c r="L127" s="750"/>
      <c r="M127" s="750"/>
      <c r="P127" s="816"/>
      <c r="Q127" s="816"/>
      <c r="R127" s="816"/>
      <c r="S127" s="816"/>
      <c r="T127" s="816"/>
      <c r="U127" s="816"/>
      <c r="V127" s="816"/>
      <c r="W127" s="816"/>
      <c r="X127" s="816"/>
      <c r="Y127" s="816"/>
    </row>
    <row r="128" spans="5:26" s="813" customFormat="1">
      <c r="E128" s="807"/>
      <c r="F128" s="814"/>
      <c r="G128" s="750"/>
      <c r="H128" s="750"/>
      <c r="I128" s="762"/>
      <c r="J128" s="750"/>
      <c r="K128" s="750"/>
      <c r="L128" s="750"/>
      <c r="M128" s="750"/>
      <c r="P128" s="816"/>
      <c r="Q128" s="816"/>
      <c r="R128" s="816"/>
      <c r="S128" s="816"/>
      <c r="T128" s="816"/>
      <c r="U128" s="816"/>
      <c r="V128" s="816"/>
      <c r="W128" s="816"/>
      <c r="X128" s="816"/>
      <c r="Y128" s="816"/>
    </row>
    <row r="129" spans="5:25" s="813" customFormat="1">
      <c r="E129" s="807"/>
      <c r="F129" s="814"/>
      <c r="G129" s="750"/>
      <c r="H129" s="750"/>
      <c r="I129" s="762"/>
      <c r="J129" s="750"/>
      <c r="K129" s="750"/>
      <c r="L129" s="750"/>
      <c r="M129" s="750"/>
      <c r="P129" s="816"/>
      <c r="Q129" s="816"/>
      <c r="R129" s="816"/>
      <c r="S129" s="816"/>
      <c r="T129" s="816"/>
      <c r="U129" s="816"/>
      <c r="V129" s="816"/>
      <c r="W129" s="816"/>
      <c r="X129" s="816"/>
      <c r="Y129" s="816"/>
    </row>
    <row r="130" spans="5:25" s="813" customFormat="1">
      <c r="E130" s="807"/>
      <c r="F130" s="814"/>
      <c r="G130" s="750"/>
      <c r="H130" s="750"/>
      <c r="I130" s="762"/>
      <c r="J130" s="750"/>
      <c r="K130" s="750"/>
      <c r="L130" s="750"/>
      <c r="M130" s="750"/>
      <c r="P130" s="816"/>
      <c r="Q130" s="816"/>
      <c r="R130" s="816"/>
      <c r="S130" s="816"/>
      <c r="T130" s="816"/>
      <c r="U130" s="816"/>
      <c r="V130" s="816"/>
      <c r="W130" s="816"/>
      <c r="X130" s="816"/>
      <c r="Y130" s="816"/>
    </row>
    <row r="131" spans="5:25" s="813" customFormat="1">
      <c r="E131" s="807"/>
      <c r="F131" s="814"/>
      <c r="G131" s="750"/>
      <c r="H131" s="750"/>
      <c r="I131" s="762"/>
      <c r="J131" s="750"/>
      <c r="K131" s="750"/>
      <c r="L131" s="750"/>
      <c r="M131" s="750"/>
      <c r="P131" s="816"/>
      <c r="Q131" s="816"/>
      <c r="R131" s="816"/>
      <c r="S131" s="816"/>
      <c r="T131" s="816"/>
      <c r="U131" s="816"/>
      <c r="V131" s="816"/>
      <c r="W131" s="816"/>
      <c r="X131" s="816"/>
      <c r="Y131" s="816"/>
    </row>
    <row r="132" spans="5:25" s="813" customFormat="1">
      <c r="E132" s="807"/>
      <c r="F132" s="814"/>
      <c r="G132" s="750"/>
      <c r="H132" s="750"/>
      <c r="I132" s="762"/>
      <c r="J132" s="750"/>
      <c r="K132" s="750"/>
      <c r="L132" s="750"/>
      <c r="M132" s="750"/>
      <c r="P132" s="816"/>
      <c r="Q132" s="816"/>
      <c r="R132" s="816"/>
      <c r="S132" s="816"/>
      <c r="T132" s="816"/>
      <c r="U132" s="816"/>
      <c r="V132" s="816"/>
      <c r="W132" s="816"/>
      <c r="X132" s="816"/>
      <c r="Y132" s="816"/>
    </row>
    <row r="133" spans="5:25" s="813" customFormat="1">
      <c r="E133" s="807"/>
      <c r="F133" s="814"/>
      <c r="G133" s="750"/>
      <c r="H133" s="750"/>
      <c r="I133" s="762"/>
      <c r="J133" s="750"/>
      <c r="K133" s="750"/>
      <c r="L133" s="750"/>
      <c r="M133" s="750"/>
      <c r="P133" s="816"/>
      <c r="Q133" s="816"/>
      <c r="R133" s="816"/>
      <c r="S133" s="816"/>
      <c r="T133" s="816"/>
      <c r="U133" s="816"/>
      <c r="V133" s="816"/>
      <c r="W133" s="816"/>
      <c r="X133" s="816"/>
      <c r="Y133" s="816"/>
    </row>
    <row r="134" spans="5:25" s="813" customFormat="1">
      <c r="E134" s="807"/>
      <c r="F134" s="814"/>
      <c r="G134" s="750"/>
      <c r="H134" s="750"/>
      <c r="I134" s="762"/>
      <c r="J134" s="750"/>
      <c r="K134" s="750"/>
      <c r="L134" s="750"/>
      <c r="P134" s="816"/>
      <c r="Q134" s="816"/>
      <c r="R134" s="816"/>
      <c r="S134" s="816"/>
      <c r="T134" s="816"/>
      <c r="U134" s="816"/>
      <c r="V134" s="816"/>
      <c r="W134" s="816"/>
      <c r="X134" s="816"/>
      <c r="Y134" s="816"/>
    </row>
    <row r="135" spans="5:25" s="813" customFormat="1">
      <c r="E135" s="807"/>
      <c r="F135" s="814"/>
      <c r="G135" s="750"/>
      <c r="H135" s="750"/>
      <c r="I135" s="762"/>
      <c r="J135" s="750"/>
      <c r="K135" s="750"/>
      <c r="L135" s="750"/>
      <c r="P135" s="816"/>
      <c r="Q135" s="816"/>
      <c r="R135" s="816"/>
      <c r="S135" s="816"/>
      <c r="T135" s="816"/>
      <c r="U135" s="816"/>
      <c r="V135" s="816"/>
      <c r="W135" s="816"/>
      <c r="X135" s="816"/>
      <c r="Y135" s="816"/>
    </row>
    <row r="136" spans="5:25" s="813" customFormat="1">
      <c r="E136" s="807"/>
      <c r="F136" s="814"/>
      <c r="G136" s="750"/>
      <c r="H136" s="750"/>
      <c r="I136" s="762"/>
      <c r="J136" s="750"/>
      <c r="K136" s="750"/>
      <c r="L136" s="750"/>
      <c r="P136" s="816"/>
      <c r="Q136" s="816"/>
      <c r="R136" s="816"/>
      <c r="S136" s="816"/>
      <c r="T136" s="816"/>
      <c r="U136" s="816"/>
      <c r="V136" s="816"/>
      <c r="W136" s="816"/>
      <c r="X136" s="816"/>
      <c r="Y136" s="816"/>
    </row>
    <row r="137" spans="5:25" s="813" customFormat="1">
      <c r="E137" s="807"/>
      <c r="F137" s="814"/>
      <c r="G137" s="750"/>
      <c r="H137" s="750"/>
      <c r="I137" s="762"/>
      <c r="J137" s="750"/>
      <c r="K137" s="750"/>
      <c r="L137" s="750"/>
      <c r="P137" s="816"/>
      <c r="Q137" s="816"/>
      <c r="R137" s="816"/>
      <c r="S137" s="816"/>
      <c r="T137" s="816"/>
      <c r="U137" s="816"/>
      <c r="V137" s="816"/>
      <c r="W137" s="816"/>
      <c r="X137" s="816"/>
      <c r="Y137" s="816"/>
    </row>
    <row r="138" spans="5:25" s="813" customFormat="1">
      <c r="E138" s="807"/>
      <c r="F138" s="814"/>
      <c r="G138" s="750"/>
      <c r="H138" s="750"/>
      <c r="I138" s="762"/>
      <c r="J138" s="750"/>
      <c r="K138" s="750"/>
      <c r="L138" s="750"/>
      <c r="P138" s="816"/>
      <c r="Q138" s="816"/>
      <c r="R138" s="816"/>
      <c r="S138" s="816"/>
      <c r="T138" s="816"/>
      <c r="U138" s="816"/>
      <c r="V138" s="816"/>
      <c r="W138" s="816"/>
      <c r="X138" s="816"/>
      <c r="Y138" s="816"/>
    </row>
    <row r="139" spans="5:25" s="813" customFormat="1">
      <c r="E139" s="807"/>
      <c r="F139" s="814"/>
      <c r="G139" s="750"/>
      <c r="H139" s="750"/>
      <c r="I139" s="762"/>
      <c r="J139" s="750"/>
      <c r="K139" s="750"/>
      <c r="L139" s="750"/>
      <c r="P139" s="816"/>
      <c r="Q139" s="816"/>
      <c r="R139" s="816"/>
      <c r="S139" s="816"/>
      <c r="T139" s="816"/>
      <c r="U139" s="816"/>
      <c r="V139" s="816"/>
      <c r="W139" s="816"/>
      <c r="X139" s="816"/>
      <c r="Y139" s="816"/>
    </row>
    <row r="140" spans="5:25" s="813" customFormat="1">
      <c r="E140" s="807"/>
      <c r="F140" s="814"/>
      <c r="G140" s="750"/>
      <c r="H140" s="750"/>
      <c r="I140" s="762"/>
      <c r="J140" s="750"/>
      <c r="K140" s="750"/>
      <c r="L140" s="750"/>
      <c r="P140" s="816"/>
      <c r="Q140" s="816"/>
      <c r="R140" s="816"/>
      <c r="S140" s="816"/>
      <c r="T140" s="816"/>
      <c r="U140" s="816"/>
      <c r="V140" s="816"/>
      <c r="W140" s="816"/>
      <c r="X140" s="816"/>
      <c r="Y140" s="816"/>
    </row>
    <row r="141" spans="5:25" s="813" customFormat="1">
      <c r="E141" s="807"/>
      <c r="F141" s="814"/>
      <c r="G141" s="750"/>
      <c r="H141" s="750"/>
      <c r="I141" s="762"/>
      <c r="J141" s="750"/>
      <c r="K141" s="750"/>
      <c r="L141" s="750"/>
      <c r="P141" s="816"/>
      <c r="Q141" s="816"/>
      <c r="R141" s="816"/>
      <c r="S141" s="816"/>
      <c r="T141" s="816"/>
      <c r="U141" s="816"/>
      <c r="V141" s="816"/>
      <c r="W141" s="816"/>
      <c r="X141" s="816"/>
      <c r="Y141" s="816"/>
    </row>
    <row r="142" spans="5:25" s="813" customFormat="1">
      <c r="E142" s="807"/>
      <c r="F142" s="814"/>
      <c r="G142" s="750"/>
      <c r="H142" s="750"/>
      <c r="I142" s="762"/>
      <c r="J142" s="750"/>
      <c r="K142" s="750"/>
      <c r="L142" s="750"/>
      <c r="P142" s="816"/>
      <c r="Q142" s="816"/>
      <c r="R142" s="816"/>
      <c r="S142" s="816"/>
      <c r="T142" s="816"/>
      <c r="U142" s="816"/>
      <c r="V142" s="816"/>
      <c r="W142" s="816"/>
      <c r="X142" s="816"/>
      <c r="Y142" s="816"/>
    </row>
    <row r="143" spans="5:25" s="813" customFormat="1">
      <c r="E143" s="807"/>
      <c r="F143" s="814"/>
      <c r="G143" s="750"/>
      <c r="H143" s="750"/>
      <c r="I143" s="762"/>
      <c r="J143" s="750"/>
      <c r="K143" s="750"/>
      <c r="L143" s="750"/>
      <c r="P143" s="816"/>
      <c r="Q143" s="816"/>
      <c r="R143" s="816"/>
      <c r="S143" s="816"/>
      <c r="T143" s="816"/>
      <c r="U143" s="816"/>
      <c r="V143" s="816"/>
      <c r="W143" s="816"/>
      <c r="X143" s="816"/>
      <c r="Y143" s="816"/>
    </row>
    <row r="144" spans="5:25" s="813" customFormat="1">
      <c r="E144" s="807"/>
      <c r="F144" s="814"/>
      <c r="G144" s="750"/>
      <c r="H144" s="750"/>
      <c r="I144" s="762"/>
      <c r="J144" s="750"/>
      <c r="K144" s="750"/>
      <c r="L144" s="750"/>
      <c r="P144" s="816"/>
      <c r="Q144" s="816"/>
      <c r="R144" s="816"/>
      <c r="S144" s="816"/>
      <c r="T144" s="816"/>
      <c r="U144" s="816"/>
      <c r="V144" s="816"/>
      <c r="W144" s="816"/>
      <c r="X144" s="816"/>
      <c r="Y144" s="816"/>
    </row>
    <row r="145" spans="1:26">
      <c r="A145" s="813"/>
      <c r="B145" s="813"/>
      <c r="C145" s="813"/>
      <c r="D145" s="813"/>
      <c r="E145" s="807"/>
      <c r="F145" s="814"/>
      <c r="G145" s="750"/>
      <c r="H145" s="750"/>
      <c r="I145" s="762"/>
      <c r="J145" s="750"/>
      <c r="K145" s="750"/>
      <c r="L145" s="750"/>
      <c r="M145" s="813"/>
      <c r="N145" s="813"/>
      <c r="O145" s="813"/>
      <c r="P145" s="816"/>
      <c r="Q145" s="816"/>
      <c r="R145" s="816"/>
      <c r="S145" s="816"/>
      <c r="T145" s="816"/>
      <c r="U145" s="816"/>
      <c r="V145" s="816"/>
      <c r="W145" s="816"/>
      <c r="X145" s="816"/>
      <c r="Y145" s="816"/>
      <c r="Z145" s="813"/>
    </row>
    <row r="146" spans="1:26">
      <c r="A146" s="813"/>
      <c r="B146" s="813"/>
      <c r="C146" s="813"/>
      <c r="D146" s="813"/>
      <c r="E146" s="807"/>
      <c r="F146" s="814"/>
      <c r="G146" s="750"/>
      <c r="H146" s="750"/>
      <c r="I146" s="762"/>
      <c r="J146" s="750"/>
      <c r="K146" s="750"/>
      <c r="L146" s="750"/>
      <c r="M146" s="813"/>
      <c r="N146" s="813"/>
      <c r="O146" s="813"/>
      <c r="P146" s="816"/>
      <c r="Q146" s="816"/>
      <c r="R146" s="816"/>
      <c r="S146" s="816"/>
      <c r="T146" s="816"/>
      <c r="U146" s="816"/>
      <c r="V146" s="816"/>
      <c r="W146" s="816"/>
      <c r="X146" s="816"/>
      <c r="Y146" s="816"/>
      <c r="Z146" s="813"/>
    </row>
    <row r="147" spans="1:26">
      <c r="A147" s="813"/>
      <c r="B147" s="813"/>
      <c r="C147" s="813"/>
      <c r="D147" s="813"/>
      <c r="E147" s="807"/>
      <c r="F147" s="814"/>
      <c r="G147" s="750"/>
      <c r="H147" s="750"/>
      <c r="I147" s="762"/>
      <c r="J147" s="750"/>
      <c r="K147" s="750"/>
      <c r="L147" s="750"/>
      <c r="M147" s="813"/>
      <c r="N147" s="813"/>
      <c r="O147" s="813"/>
      <c r="P147" s="816"/>
      <c r="Q147" s="816"/>
      <c r="R147" s="816"/>
      <c r="S147" s="816"/>
      <c r="T147" s="816"/>
      <c r="U147" s="816"/>
      <c r="V147" s="816"/>
      <c r="W147" s="816"/>
      <c r="X147" s="816"/>
      <c r="Y147" s="816"/>
      <c r="Z147" s="813"/>
    </row>
    <row r="148" spans="1:26">
      <c r="A148" s="813"/>
      <c r="B148" s="813"/>
      <c r="C148" s="813"/>
      <c r="D148" s="813"/>
      <c r="E148" s="807"/>
      <c r="F148" s="814"/>
      <c r="G148" s="750"/>
      <c r="H148" s="750"/>
      <c r="I148" s="762"/>
      <c r="J148" s="750"/>
      <c r="K148" s="750"/>
      <c r="L148" s="750"/>
      <c r="M148" s="813"/>
      <c r="N148" s="813"/>
      <c r="O148" s="813"/>
      <c r="P148" s="816"/>
      <c r="Q148" s="816"/>
      <c r="R148" s="816"/>
      <c r="S148" s="816"/>
      <c r="T148" s="816"/>
      <c r="U148" s="816"/>
      <c r="V148" s="816"/>
      <c r="W148" s="816"/>
      <c r="X148" s="816"/>
      <c r="Y148" s="816"/>
      <c r="Z148" s="813"/>
    </row>
    <row r="149" spans="1:26">
      <c r="A149" s="813"/>
      <c r="B149" s="813"/>
      <c r="C149" s="813"/>
      <c r="D149" s="813"/>
      <c r="E149" s="807"/>
      <c r="F149" s="814"/>
      <c r="G149" s="750"/>
      <c r="H149" s="750"/>
      <c r="I149" s="762"/>
      <c r="J149" s="750"/>
      <c r="K149" s="750"/>
      <c r="L149" s="750"/>
      <c r="M149" s="813"/>
      <c r="N149" s="813"/>
      <c r="O149" s="813"/>
      <c r="P149" s="816"/>
      <c r="Q149" s="816"/>
      <c r="R149" s="816"/>
      <c r="S149" s="816"/>
      <c r="T149" s="816"/>
      <c r="U149" s="816"/>
      <c r="V149" s="816"/>
      <c r="W149" s="816"/>
      <c r="X149" s="816"/>
      <c r="Y149" s="816"/>
      <c r="Z149" s="813"/>
    </row>
    <row r="150" spans="1:26">
      <c r="A150" s="813"/>
      <c r="B150" s="813"/>
      <c r="C150" s="813"/>
      <c r="D150" s="813"/>
      <c r="E150" s="807"/>
      <c r="F150" s="814"/>
      <c r="G150" s="750"/>
      <c r="H150" s="750"/>
      <c r="I150" s="762"/>
      <c r="J150" s="750"/>
      <c r="K150" s="750"/>
      <c r="L150" s="750"/>
      <c r="M150" s="813"/>
      <c r="N150" s="813"/>
      <c r="O150" s="813"/>
      <c r="P150" s="816"/>
      <c r="Q150" s="816"/>
      <c r="R150" s="816"/>
      <c r="S150" s="816"/>
      <c r="T150" s="816"/>
      <c r="U150" s="816"/>
      <c r="V150" s="816"/>
      <c r="W150" s="816"/>
      <c r="X150" s="816"/>
      <c r="Y150" s="816"/>
      <c r="Z150" s="813"/>
    </row>
    <row r="151" spans="1:26">
      <c r="A151" s="813"/>
      <c r="B151" s="813"/>
      <c r="C151" s="813"/>
      <c r="D151" s="813"/>
      <c r="E151" s="807"/>
      <c r="F151" s="814"/>
      <c r="G151" s="750"/>
      <c r="H151" s="750"/>
      <c r="I151" s="762"/>
      <c r="J151" s="750"/>
      <c r="K151" s="750"/>
      <c r="L151" s="750"/>
      <c r="M151" s="813"/>
      <c r="N151" s="813"/>
      <c r="O151" s="813"/>
      <c r="P151" s="816"/>
      <c r="Q151" s="816"/>
      <c r="R151" s="816"/>
      <c r="S151" s="816"/>
      <c r="T151" s="816"/>
      <c r="U151" s="816"/>
      <c r="V151" s="816"/>
      <c r="W151" s="816"/>
      <c r="X151" s="816"/>
      <c r="Y151" s="816"/>
      <c r="Z151" s="813"/>
    </row>
    <row r="152" spans="1:26">
      <c r="A152" s="813"/>
      <c r="B152" s="813"/>
      <c r="C152" s="813"/>
      <c r="D152" s="813"/>
      <c r="E152" s="807"/>
      <c r="F152" s="814"/>
      <c r="G152" s="750"/>
      <c r="H152" s="750"/>
      <c r="I152" s="762"/>
      <c r="J152" s="750"/>
      <c r="K152" s="750"/>
      <c r="L152" s="750"/>
      <c r="M152" s="813"/>
      <c r="N152" s="813"/>
      <c r="O152" s="813"/>
      <c r="P152" s="816"/>
      <c r="Q152" s="816"/>
      <c r="R152" s="816"/>
      <c r="S152" s="816"/>
      <c r="T152" s="816"/>
      <c r="U152" s="816"/>
      <c r="V152" s="816"/>
      <c r="W152" s="816"/>
      <c r="X152" s="816"/>
      <c r="Y152" s="816"/>
      <c r="Z152" s="813"/>
    </row>
    <row r="153" spans="1:26">
      <c r="A153" s="813"/>
      <c r="B153" s="813"/>
      <c r="C153" s="813"/>
      <c r="D153" s="813"/>
      <c r="E153" s="807"/>
      <c r="F153" s="814"/>
      <c r="G153" s="750"/>
      <c r="H153" s="750"/>
      <c r="I153" s="762"/>
      <c r="J153" s="750"/>
      <c r="K153" s="750"/>
      <c r="L153" s="750"/>
      <c r="M153" s="813"/>
      <c r="N153" s="813"/>
      <c r="O153" s="813"/>
      <c r="P153" s="816"/>
      <c r="Q153" s="816"/>
      <c r="R153" s="816"/>
      <c r="S153" s="816"/>
      <c r="T153" s="816"/>
      <c r="U153" s="816"/>
      <c r="V153" s="816"/>
      <c r="W153" s="816"/>
      <c r="X153" s="816"/>
      <c r="Y153" s="816"/>
      <c r="Z153" s="813"/>
    </row>
    <row r="154" spans="1:26">
      <c r="A154" s="813"/>
      <c r="B154" s="813"/>
      <c r="C154" s="813"/>
      <c r="D154" s="813"/>
      <c r="E154" s="807"/>
      <c r="F154" s="814"/>
      <c r="G154" s="750"/>
      <c r="H154" s="750"/>
      <c r="I154" s="762"/>
      <c r="J154" s="750"/>
      <c r="K154" s="750"/>
      <c r="L154" s="750"/>
      <c r="M154" s="813"/>
      <c r="N154" s="813"/>
      <c r="O154" s="813"/>
      <c r="P154" s="816"/>
      <c r="Q154" s="816"/>
      <c r="R154" s="816"/>
      <c r="S154" s="816"/>
      <c r="T154" s="816"/>
      <c r="U154" s="816"/>
      <c r="V154" s="816"/>
      <c r="W154" s="816"/>
      <c r="X154" s="816"/>
      <c r="Y154" s="816"/>
      <c r="Z154" s="813"/>
    </row>
    <row r="155" spans="1:26">
      <c r="A155" s="813"/>
      <c r="B155" s="813"/>
      <c r="C155" s="813"/>
      <c r="D155" s="813"/>
      <c r="E155" s="807"/>
      <c r="F155" s="814"/>
      <c r="G155" s="750"/>
      <c r="H155" s="750"/>
      <c r="I155" s="762"/>
      <c r="J155" s="750"/>
      <c r="K155" s="750"/>
      <c r="L155" s="750"/>
      <c r="M155" s="813"/>
      <c r="N155" s="813"/>
      <c r="O155" s="813"/>
      <c r="P155" s="816"/>
      <c r="Q155" s="816"/>
      <c r="R155" s="816"/>
      <c r="S155" s="816"/>
      <c r="T155" s="816"/>
      <c r="U155" s="816"/>
      <c r="V155" s="816"/>
      <c r="W155" s="816"/>
      <c r="X155" s="816"/>
      <c r="Y155" s="816"/>
      <c r="Z155" s="813"/>
    </row>
    <row r="156" spans="1:26">
      <c r="A156" s="813"/>
      <c r="B156" s="813"/>
      <c r="C156" s="813"/>
      <c r="D156" s="813"/>
      <c r="E156" s="807"/>
      <c r="F156" s="814"/>
      <c r="G156" s="750"/>
      <c r="H156" s="750"/>
      <c r="I156" s="762"/>
      <c r="J156" s="750"/>
      <c r="K156" s="750"/>
      <c r="L156" s="750"/>
      <c r="M156" s="813"/>
      <c r="N156" s="813"/>
      <c r="O156" s="813"/>
      <c r="P156" s="816"/>
      <c r="Q156" s="816"/>
      <c r="R156" s="816"/>
      <c r="S156" s="816"/>
      <c r="T156" s="816"/>
      <c r="U156" s="816"/>
      <c r="V156" s="816"/>
      <c r="W156" s="816"/>
      <c r="X156" s="816"/>
      <c r="Y156" s="816"/>
      <c r="Z156" s="813"/>
    </row>
    <row r="157" spans="1:26">
      <c r="A157" s="813"/>
      <c r="B157" s="813"/>
      <c r="C157" s="813"/>
      <c r="D157" s="813"/>
      <c r="E157" s="807"/>
      <c r="F157" s="814"/>
      <c r="G157" s="750"/>
      <c r="H157" s="750"/>
      <c r="I157" s="762"/>
      <c r="J157" s="750"/>
      <c r="K157" s="750"/>
      <c r="L157" s="750"/>
      <c r="M157" s="813"/>
      <c r="N157" s="813"/>
      <c r="O157" s="813"/>
      <c r="P157" s="816"/>
      <c r="Q157" s="816"/>
      <c r="R157" s="816"/>
      <c r="S157" s="816"/>
      <c r="T157" s="816"/>
      <c r="U157" s="816"/>
      <c r="V157" s="816"/>
      <c r="W157" s="816"/>
      <c r="X157" s="816"/>
      <c r="Y157" s="816"/>
      <c r="Z157" s="813"/>
    </row>
    <row r="158" spans="1:26">
      <c r="A158" s="813"/>
      <c r="B158" s="813"/>
      <c r="C158" s="813"/>
      <c r="D158" s="813"/>
      <c r="E158" s="807"/>
      <c r="F158" s="814"/>
      <c r="G158" s="750"/>
      <c r="H158" s="750"/>
      <c r="I158" s="762"/>
      <c r="J158" s="750"/>
      <c r="K158" s="750"/>
      <c r="L158" s="750"/>
      <c r="M158" s="813"/>
      <c r="N158" s="813"/>
      <c r="O158" s="813"/>
      <c r="P158" s="816"/>
      <c r="Q158" s="816"/>
      <c r="R158" s="816"/>
      <c r="S158" s="816"/>
      <c r="T158" s="816"/>
      <c r="U158" s="816"/>
      <c r="V158" s="816"/>
      <c r="W158" s="816"/>
      <c r="X158" s="816"/>
      <c r="Y158" s="816"/>
      <c r="Z158" s="813"/>
    </row>
    <row r="159" spans="1:26">
      <c r="A159" s="813"/>
      <c r="B159" s="813"/>
      <c r="C159" s="813"/>
      <c r="D159" s="813"/>
      <c r="E159" s="807"/>
      <c r="F159" s="814"/>
      <c r="G159" s="750"/>
      <c r="H159" s="750"/>
      <c r="I159" s="762"/>
      <c r="J159" s="750"/>
      <c r="K159" s="750"/>
      <c r="L159" s="750"/>
      <c r="M159" s="813"/>
      <c r="N159" s="813"/>
      <c r="O159" s="813"/>
      <c r="P159" s="816"/>
      <c r="Q159" s="816"/>
      <c r="R159" s="816"/>
      <c r="S159" s="816"/>
      <c r="T159" s="816"/>
      <c r="U159" s="816"/>
      <c r="V159" s="816"/>
      <c r="W159" s="816"/>
      <c r="X159" s="816"/>
      <c r="Y159" s="816"/>
      <c r="Z159" s="813"/>
    </row>
    <row r="160" spans="1:26">
      <c r="A160" s="813"/>
      <c r="B160" s="813"/>
      <c r="C160" s="813"/>
      <c r="D160" s="813"/>
      <c r="E160" s="807"/>
      <c r="F160" s="814"/>
      <c r="G160" s="750"/>
      <c r="H160" s="750"/>
      <c r="I160" s="762"/>
      <c r="J160" s="750"/>
      <c r="K160" s="750"/>
      <c r="L160" s="750"/>
      <c r="M160" s="813"/>
      <c r="N160" s="813"/>
      <c r="O160" s="813"/>
      <c r="P160" s="816"/>
      <c r="Q160" s="816"/>
      <c r="R160" s="816"/>
      <c r="S160" s="816"/>
      <c r="T160" s="816"/>
      <c r="U160" s="816"/>
      <c r="V160" s="816"/>
      <c r="W160" s="816"/>
      <c r="X160" s="816"/>
      <c r="Y160" s="816"/>
      <c r="Z160" s="813"/>
    </row>
    <row r="161" spans="1:26">
      <c r="A161" s="813"/>
      <c r="B161" s="813"/>
      <c r="C161" s="813"/>
      <c r="D161" s="813"/>
      <c r="E161" s="807"/>
      <c r="F161" s="814"/>
      <c r="G161" s="750"/>
      <c r="H161" s="750"/>
      <c r="I161" s="762"/>
      <c r="J161" s="750"/>
      <c r="K161" s="750"/>
      <c r="L161" s="750"/>
      <c r="M161" s="813"/>
      <c r="N161" s="813"/>
      <c r="O161" s="813"/>
      <c r="P161" s="816"/>
      <c r="Q161" s="816"/>
      <c r="R161" s="816"/>
      <c r="S161" s="816"/>
      <c r="T161" s="816"/>
      <c r="U161" s="816"/>
      <c r="V161" s="816"/>
      <c r="W161" s="816"/>
      <c r="X161" s="816"/>
      <c r="Y161" s="816"/>
      <c r="Z161" s="813"/>
    </row>
    <row r="162" spans="1:26">
      <c r="A162" s="813"/>
      <c r="B162" s="813"/>
      <c r="C162" s="813"/>
      <c r="D162" s="813"/>
      <c r="E162" s="807"/>
      <c r="F162" s="814"/>
      <c r="G162" s="750"/>
      <c r="H162" s="750"/>
      <c r="I162" s="762"/>
      <c r="J162" s="750"/>
      <c r="K162" s="750"/>
      <c r="L162" s="750"/>
      <c r="M162" s="813"/>
      <c r="N162" s="813"/>
      <c r="O162" s="813"/>
      <c r="P162" s="816"/>
      <c r="Q162" s="816"/>
      <c r="R162" s="816"/>
      <c r="S162" s="816"/>
      <c r="T162" s="816"/>
      <c r="U162" s="816"/>
      <c r="V162" s="816"/>
      <c r="W162" s="816"/>
      <c r="X162" s="816"/>
      <c r="Y162" s="816"/>
      <c r="Z162" s="813"/>
    </row>
    <row r="163" spans="1:26">
      <c r="A163" s="813"/>
      <c r="B163" s="813"/>
      <c r="C163" s="813"/>
      <c r="D163" s="813"/>
      <c r="E163" s="807"/>
      <c r="F163" s="814"/>
      <c r="G163" s="750"/>
      <c r="H163" s="750"/>
      <c r="I163" s="762"/>
      <c r="J163" s="750"/>
      <c r="K163" s="750"/>
      <c r="L163" s="750"/>
      <c r="M163" s="813"/>
      <c r="N163" s="813"/>
      <c r="O163" s="813"/>
      <c r="P163" s="816"/>
      <c r="Q163" s="816"/>
      <c r="R163" s="816"/>
      <c r="S163" s="816"/>
      <c r="T163" s="816"/>
      <c r="U163" s="816"/>
      <c r="V163" s="816"/>
      <c r="W163" s="816"/>
      <c r="X163" s="816"/>
      <c r="Y163" s="816"/>
      <c r="Z163" s="813"/>
    </row>
    <row r="164" spans="1:26">
      <c r="A164" s="813"/>
      <c r="B164" s="813"/>
      <c r="C164" s="813"/>
      <c r="D164" s="813"/>
      <c r="E164" s="807"/>
      <c r="F164" s="814"/>
      <c r="G164" s="750"/>
      <c r="H164" s="750"/>
      <c r="I164" s="762"/>
      <c r="J164" s="750"/>
      <c r="K164" s="750"/>
      <c r="L164" s="750"/>
      <c r="M164" s="813"/>
      <c r="N164" s="813"/>
      <c r="O164" s="813"/>
      <c r="P164" s="816"/>
      <c r="Q164" s="816"/>
      <c r="R164" s="816"/>
      <c r="S164" s="816"/>
      <c r="T164" s="816"/>
      <c r="U164" s="816"/>
      <c r="V164" s="816"/>
      <c r="W164" s="816"/>
      <c r="X164" s="816"/>
      <c r="Y164" s="816"/>
      <c r="Z164" s="813"/>
    </row>
    <row r="165" spans="1:26">
      <c r="A165" s="813"/>
      <c r="B165" s="813"/>
      <c r="C165" s="813"/>
      <c r="D165" s="813"/>
      <c r="E165" s="807"/>
      <c r="F165" s="814"/>
      <c r="G165" s="750"/>
      <c r="H165" s="750"/>
      <c r="I165" s="762"/>
      <c r="J165" s="750"/>
      <c r="K165" s="750"/>
      <c r="L165" s="750"/>
      <c r="M165" s="813"/>
      <c r="N165" s="813"/>
      <c r="O165" s="813"/>
      <c r="P165" s="816"/>
      <c r="Q165" s="816"/>
      <c r="R165" s="816"/>
      <c r="S165" s="816"/>
      <c r="T165" s="816"/>
      <c r="U165" s="816"/>
      <c r="V165" s="816"/>
      <c r="W165" s="816"/>
      <c r="X165" s="816"/>
      <c r="Y165" s="816"/>
      <c r="Z165" s="813"/>
    </row>
    <row r="166" spans="1:26">
      <c r="A166" s="813"/>
      <c r="B166" s="813"/>
      <c r="C166" s="813"/>
      <c r="D166" s="813"/>
      <c r="E166" s="807"/>
      <c r="F166" s="814"/>
      <c r="G166" s="750"/>
      <c r="H166" s="750"/>
      <c r="I166" s="762"/>
      <c r="J166" s="750"/>
      <c r="K166" s="750"/>
      <c r="L166" s="750"/>
      <c r="M166" s="813"/>
      <c r="N166" s="813"/>
      <c r="O166" s="813"/>
      <c r="P166" s="816"/>
      <c r="Q166" s="816"/>
      <c r="R166" s="816"/>
      <c r="S166" s="816"/>
      <c r="T166" s="816"/>
      <c r="U166" s="816"/>
      <c r="V166" s="816"/>
      <c r="W166" s="816"/>
      <c r="X166" s="816"/>
      <c r="Y166" s="816"/>
      <c r="Z166" s="813"/>
    </row>
    <row r="167" spans="1:26">
      <c r="A167" s="813"/>
      <c r="B167" s="813"/>
      <c r="C167" s="813"/>
      <c r="D167" s="813"/>
      <c r="E167" s="807"/>
      <c r="F167" s="814"/>
      <c r="G167" s="750"/>
      <c r="H167" s="750"/>
      <c r="I167" s="762"/>
      <c r="J167" s="750"/>
      <c r="K167" s="750"/>
      <c r="L167" s="750"/>
      <c r="M167" s="813"/>
      <c r="N167" s="813"/>
      <c r="O167" s="813"/>
      <c r="P167" s="816"/>
      <c r="Q167" s="816"/>
      <c r="R167" s="816"/>
      <c r="S167" s="816"/>
      <c r="T167" s="816"/>
      <c r="U167" s="816"/>
      <c r="V167" s="816"/>
      <c r="W167" s="816"/>
      <c r="X167" s="816"/>
      <c r="Y167" s="816"/>
      <c r="Z167" s="813"/>
    </row>
    <row r="168" spans="1:26">
      <c r="A168" s="813"/>
      <c r="B168" s="813"/>
      <c r="C168" s="813"/>
      <c r="D168" s="813"/>
      <c r="E168" s="807"/>
      <c r="F168" s="814"/>
      <c r="G168" s="750"/>
      <c r="H168" s="750"/>
      <c r="I168" s="762"/>
      <c r="J168" s="750"/>
      <c r="K168" s="750"/>
      <c r="L168" s="750"/>
      <c r="M168" s="813"/>
      <c r="N168" s="813"/>
      <c r="O168" s="813"/>
      <c r="P168" s="816"/>
      <c r="Q168" s="816"/>
      <c r="R168" s="816"/>
      <c r="S168" s="816"/>
      <c r="T168" s="816"/>
      <c r="U168" s="816"/>
      <c r="V168" s="816"/>
      <c r="W168" s="816"/>
      <c r="X168" s="816"/>
      <c r="Y168" s="816"/>
      <c r="Z168" s="813"/>
    </row>
    <row r="169" spans="1:26">
      <c r="A169" s="813"/>
      <c r="B169" s="813"/>
      <c r="C169" s="813"/>
      <c r="D169" s="813"/>
      <c r="E169" s="807"/>
      <c r="F169" s="814"/>
      <c r="G169" s="750"/>
      <c r="H169" s="750"/>
      <c r="I169" s="762"/>
      <c r="J169" s="750"/>
      <c r="K169" s="750"/>
      <c r="L169" s="750"/>
      <c r="M169" s="813"/>
      <c r="N169" s="813"/>
      <c r="O169" s="813"/>
      <c r="P169" s="816"/>
      <c r="Q169" s="816"/>
      <c r="R169" s="816"/>
      <c r="S169" s="816"/>
      <c r="T169" s="816"/>
      <c r="U169" s="816"/>
      <c r="V169" s="816"/>
      <c r="W169" s="816"/>
      <c r="X169" s="816"/>
      <c r="Y169" s="816"/>
      <c r="Z169" s="813"/>
    </row>
    <row r="170" spans="1:26">
      <c r="A170" s="813"/>
      <c r="B170" s="813"/>
      <c r="C170" s="813"/>
      <c r="D170" s="813"/>
      <c r="E170" s="807"/>
      <c r="F170" s="814"/>
      <c r="G170" s="750"/>
      <c r="H170" s="750"/>
      <c r="I170" s="762"/>
      <c r="J170" s="750"/>
      <c r="K170" s="750"/>
      <c r="L170" s="750"/>
      <c r="M170" s="813"/>
      <c r="N170" s="813"/>
      <c r="O170" s="813"/>
      <c r="P170" s="816"/>
      <c r="Q170" s="816"/>
      <c r="R170" s="816"/>
      <c r="S170" s="816"/>
      <c r="T170" s="816"/>
      <c r="U170" s="816"/>
      <c r="V170" s="816"/>
      <c r="W170" s="816"/>
      <c r="X170" s="816"/>
      <c r="Y170" s="816"/>
      <c r="Z170" s="813"/>
    </row>
    <row r="171" spans="1:26">
      <c r="A171" s="813"/>
      <c r="B171" s="813"/>
      <c r="C171" s="813"/>
      <c r="D171" s="813"/>
      <c r="E171" s="807"/>
      <c r="F171" s="814"/>
      <c r="G171" s="750"/>
      <c r="H171" s="750"/>
      <c r="I171" s="762"/>
      <c r="J171" s="750"/>
      <c r="K171" s="750"/>
      <c r="L171" s="750"/>
      <c r="M171" s="813"/>
      <c r="N171" s="813"/>
      <c r="O171" s="813"/>
      <c r="P171" s="816"/>
      <c r="Q171" s="816"/>
    </row>
    <row r="172" spans="1:26">
      <c r="A172" s="813"/>
      <c r="B172" s="813"/>
      <c r="C172" s="813"/>
      <c r="D172" s="813"/>
      <c r="E172" s="807"/>
      <c r="F172" s="814"/>
      <c r="G172" s="750"/>
      <c r="H172" s="750"/>
      <c r="I172" s="762"/>
      <c r="J172" s="750"/>
      <c r="K172" s="750"/>
      <c r="L172" s="750"/>
      <c r="M172" s="813"/>
      <c r="N172" s="813"/>
      <c r="O172" s="813"/>
      <c r="P172" s="816"/>
      <c r="Q172" s="816"/>
    </row>
    <row r="173" spans="1:26">
      <c r="A173" s="813"/>
      <c r="B173" s="813"/>
      <c r="C173" s="813"/>
      <c r="D173" s="813"/>
      <c r="E173" s="807"/>
      <c r="F173" s="814"/>
      <c r="G173" s="750"/>
      <c r="H173" s="750"/>
      <c r="I173" s="762"/>
      <c r="J173" s="750"/>
      <c r="K173" s="750"/>
      <c r="L173" s="750"/>
      <c r="M173" s="813"/>
      <c r="N173" s="813"/>
      <c r="O173" s="813"/>
      <c r="P173" s="816"/>
      <c r="Q173" s="816"/>
    </row>
    <row r="174" spans="1:26">
      <c r="A174" s="813"/>
      <c r="B174" s="813"/>
      <c r="C174" s="813"/>
      <c r="D174" s="813"/>
      <c r="E174" s="807"/>
      <c r="F174" s="814"/>
      <c r="G174" s="750"/>
      <c r="H174" s="750"/>
      <c r="I174" s="762"/>
      <c r="J174" s="750"/>
      <c r="K174" s="750"/>
      <c r="L174" s="750"/>
      <c r="M174" s="813"/>
      <c r="N174" s="813"/>
      <c r="O174" s="813"/>
      <c r="P174" s="816"/>
      <c r="Q174" s="816"/>
    </row>
    <row r="175" spans="1:26">
      <c r="A175" s="813"/>
      <c r="B175" s="813"/>
      <c r="C175" s="813"/>
      <c r="D175" s="813"/>
      <c r="E175" s="807"/>
      <c r="F175" s="814"/>
      <c r="G175" s="750"/>
      <c r="H175" s="750"/>
      <c r="I175" s="762"/>
      <c r="J175" s="750"/>
      <c r="K175" s="750"/>
      <c r="L175" s="750"/>
      <c r="M175" s="813"/>
      <c r="N175" s="813"/>
      <c r="O175" s="813"/>
      <c r="P175" s="816"/>
      <c r="Q175" s="816"/>
    </row>
    <row r="176" spans="1:26">
      <c r="A176" s="813"/>
      <c r="B176" s="813"/>
      <c r="C176" s="813"/>
      <c r="D176" s="813"/>
      <c r="E176" s="807"/>
      <c r="F176" s="814"/>
      <c r="G176" s="750"/>
      <c r="H176" s="750"/>
      <c r="I176" s="762"/>
      <c r="J176" s="750"/>
      <c r="K176" s="750"/>
      <c r="L176" s="750"/>
      <c r="M176" s="813"/>
    </row>
    <row r="177" spans="1:13">
      <c r="A177" s="813"/>
      <c r="B177" s="813"/>
      <c r="C177" s="813"/>
      <c r="D177" s="813"/>
      <c r="E177" s="807"/>
      <c r="F177" s="814"/>
      <c r="G177" s="750"/>
      <c r="H177" s="750"/>
      <c r="I177" s="762"/>
      <c r="J177" s="750"/>
      <c r="K177" s="750"/>
      <c r="L177" s="750"/>
      <c r="M177" s="813"/>
    </row>
    <row r="178" spans="1:13">
      <c r="A178" s="813"/>
      <c r="B178" s="813"/>
      <c r="C178" s="813"/>
      <c r="D178" s="813"/>
      <c r="E178" s="807"/>
      <c r="F178" s="814"/>
      <c r="G178" s="750"/>
      <c r="H178" s="750"/>
      <c r="I178" s="762"/>
      <c r="J178" s="750"/>
      <c r="K178" s="750"/>
      <c r="L178" s="750"/>
      <c r="M178" s="813"/>
    </row>
    <row r="179" spans="1:13">
      <c r="A179" s="813"/>
      <c r="B179" s="813"/>
      <c r="C179" s="813"/>
      <c r="D179" s="813"/>
      <c r="E179" s="807"/>
      <c r="F179" s="814"/>
      <c r="G179" s="750"/>
      <c r="H179" s="750"/>
      <c r="I179" s="762"/>
      <c r="J179" s="750"/>
      <c r="K179" s="750"/>
      <c r="L179" s="750"/>
      <c r="M179" s="813"/>
    </row>
    <row r="180" spans="1:13">
      <c r="J180" s="750"/>
      <c r="K180" s="750"/>
      <c r="L180" s="750"/>
      <c r="M180" s="813"/>
    </row>
    <row r="181" spans="1:13">
      <c r="J181" s="750"/>
      <c r="K181" s="750"/>
      <c r="L181" s="750"/>
      <c r="M181" s="813"/>
    </row>
    <row r="182" spans="1:13">
      <c r="J182" s="750"/>
      <c r="K182" s="750"/>
      <c r="L182" s="750"/>
      <c r="M182" s="813"/>
    </row>
    <row r="183" spans="1:13">
      <c r="J183" s="750"/>
      <c r="K183" s="750"/>
      <c r="L183" s="750"/>
      <c r="M183" s="813"/>
    </row>
    <row r="184" spans="1:13">
      <c r="J184" s="750"/>
      <c r="K184" s="750"/>
      <c r="L184" s="750"/>
      <c r="M184" s="813"/>
    </row>
    <row r="185" spans="1:13">
      <c r="J185" s="750"/>
      <c r="K185" s="750"/>
      <c r="L185" s="750"/>
      <c r="M185" s="813"/>
    </row>
    <row r="186" spans="1:13">
      <c r="K186" s="750"/>
      <c r="L186" s="750"/>
      <c r="M186" s="813"/>
    </row>
    <row r="187" spans="1:13">
      <c r="K187" s="750"/>
      <c r="L187" s="750"/>
      <c r="M187" s="813"/>
    </row>
    <row r="188" spans="1:13">
      <c r="K188" s="750"/>
      <c r="L188" s="750"/>
      <c r="M188" s="813"/>
    </row>
    <row r="189" spans="1:13">
      <c r="L189" s="750"/>
      <c r="M189" s="813"/>
    </row>
    <row r="190" spans="1:13">
      <c r="L190" s="750"/>
      <c r="M190" s="813"/>
    </row>
    <row r="191" spans="1:13">
      <c r="L191" s="750"/>
    </row>
    <row r="192" spans="1:13">
      <c r="L192" s="750"/>
    </row>
    <row r="193" spans="12:12">
      <c r="L193" s="750"/>
    </row>
  </sheetData>
  <mergeCells count="7">
    <mergeCell ref="X7:Y7"/>
    <mergeCell ref="AA7:AB7"/>
    <mergeCell ref="D9:F9"/>
    <mergeCell ref="H9:K9"/>
    <mergeCell ref="A7:L7"/>
    <mergeCell ref="R7:S7"/>
    <mergeCell ref="T7:W7"/>
  </mergeCells>
  <conditionalFormatting sqref="P82:P98 AF9:AF47">
    <cfRule type="aboveAverage" dxfId="13" priority="1" aboveAverage="0" stdDev="1"/>
    <cfRule type="aboveAverage" dxfId="12" priority="2" stdDev="1"/>
  </conditionalFormatting>
  <dataValidations count="1">
    <dataValidation type="list" allowBlank="1" showInputMessage="1" showErrorMessage="1" sqref="B5" xr:uid="{52A8F6A9-731A-426D-9D5B-982FB61FD1F0}">
      <formula1>$AH$5:$AH$8</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D7084-184D-44A8-9A10-F97882A9D547}">
  <dimension ref="A1:Z169"/>
  <sheetViews>
    <sheetView topLeftCell="C16" workbookViewId="0">
      <selection activeCell="O26" sqref="O26"/>
    </sheetView>
  </sheetViews>
  <sheetFormatPr defaultColWidth="7.85546875" defaultRowHeight="11.25"/>
  <cols>
    <col min="1" max="1" width="15.7109375" style="750" bestFit="1" customWidth="1"/>
    <col min="2" max="2" width="9.5703125" style="750" bestFit="1" customWidth="1"/>
    <col min="3" max="3" width="5.140625" style="817" customWidth="1"/>
    <col min="4" max="6" width="7.7109375" style="817" customWidth="1"/>
    <col min="7" max="7" width="12" style="813" bestFit="1" customWidth="1"/>
    <col min="8" max="8" width="9.28515625" style="816" customWidth="1"/>
    <col min="9" max="10" width="8.42578125" style="813" bestFit="1" customWidth="1"/>
    <col min="11" max="11" width="8.42578125" style="807" bestFit="1" customWidth="1"/>
    <col min="12" max="12" width="13.7109375" style="814" bestFit="1" customWidth="1"/>
    <col min="13" max="13" width="6.28515625" style="750" bestFit="1" customWidth="1"/>
    <col min="14" max="14" width="5.7109375" style="750" bestFit="1" customWidth="1"/>
    <col min="15" max="15" width="5.85546875" style="762" bestFit="1" customWidth="1"/>
    <col min="16" max="16" width="5.85546875" style="643" bestFit="1" customWidth="1"/>
    <col min="17" max="17" width="14" style="810" bestFit="1" customWidth="1"/>
    <col min="18" max="18" width="6" style="810" bestFit="1" customWidth="1"/>
    <col min="19" max="19" width="8.7109375" style="810" bestFit="1" customWidth="1"/>
    <col min="20" max="21" width="17.28515625" style="750" bestFit="1" customWidth="1"/>
    <col min="22" max="22" width="9.28515625" style="750" bestFit="1" customWidth="1"/>
    <col min="23" max="27" width="5.28515625" style="750" customWidth="1"/>
    <col min="28" max="28" width="17" style="750" customWidth="1"/>
    <col min="29" max="16384" width="7.85546875" style="750"/>
  </cols>
  <sheetData>
    <row r="1" spans="1:24" s="585" customFormat="1" ht="12.75">
      <c r="A1" s="577" t="s">
        <v>133</v>
      </c>
      <c r="B1" s="578" t="s">
        <v>189</v>
      </c>
      <c r="C1" s="579"/>
      <c r="D1" s="578"/>
      <c r="E1" s="580"/>
      <c r="F1" s="580"/>
      <c r="G1" s="581"/>
      <c r="H1" s="582" t="s">
        <v>134</v>
      </c>
      <c r="I1" s="583">
        <f>C41</f>
        <v>553</v>
      </c>
      <c r="J1" s="584"/>
      <c r="K1" s="578"/>
      <c r="L1" s="578"/>
      <c r="N1" s="586"/>
      <c r="P1" s="587"/>
      <c r="Q1" s="587"/>
      <c r="R1" s="587"/>
      <c r="S1" s="587"/>
    </row>
    <row r="2" spans="1:24" s="585" customFormat="1" ht="12.75">
      <c r="A2" s="588" t="s">
        <v>135</v>
      </c>
      <c r="B2" s="578" t="s">
        <v>190</v>
      </c>
      <c r="C2" s="589"/>
      <c r="D2" s="578"/>
      <c r="E2" s="590"/>
      <c r="F2" s="590"/>
      <c r="G2" s="591"/>
      <c r="H2" s="592" t="s">
        <v>136</v>
      </c>
      <c r="I2" s="593">
        <f>V12</f>
        <v>439</v>
      </c>
      <c r="J2" s="594"/>
      <c r="K2" s="578"/>
      <c r="L2" s="578"/>
      <c r="N2" s="595"/>
      <c r="P2" s="587"/>
      <c r="Q2" s="587"/>
      <c r="R2" s="587"/>
      <c r="S2" s="587"/>
    </row>
    <row r="3" spans="1:24" s="599" customFormat="1" ht="11.25" customHeight="1">
      <c r="A3" s="596" t="s">
        <v>137</v>
      </c>
      <c r="B3" s="818">
        <v>45051</v>
      </c>
      <c r="C3" s="589"/>
      <c r="D3" s="590"/>
      <c r="E3" s="590"/>
      <c r="F3" s="590"/>
      <c r="G3" s="591"/>
      <c r="H3" s="596" t="s">
        <v>138</v>
      </c>
      <c r="I3" s="602">
        <f>V53/100</f>
        <v>4.4666666666666668</v>
      </c>
      <c r="J3" s="594"/>
      <c r="K3" s="578"/>
      <c r="L3" s="578"/>
      <c r="N3" s="600"/>
      <c r="P3" s="601"/>
      <c r="Q3" s="601"/>
      <c r="R3" s="601"/>
      <c r="S3" s="601"/>
    </row>
    <row r="4" spans="1:24" s="585" customFormat="1" ht="12.75">
      <c r="A4" s="596" t="s">
        <v>139</v>
      </c>
      <c r="B4" s="597" t="s">
        <v>127</v>
      </c>
      <c r="C4" s="589"/>
      <c r="D4" s="590"/>
      <c r="E4" s="590"/>
      <c r="F4" s="590"/>
      <c r="G4" s="591"/>
      <c r="H4" s="596" t="s">
        <v>140</v>
      </c>
      <c r="I4" s="602">
        <f>S37</f>
        <v>0.41472404923400275</v>
      </c>
      <c r="J4" s="594"/>
      <c r="K4" s="578"/>
      <c r="L4" s="578"/>
      <c r="M4" s="586"/>
      <c r="N4" s="586"/>
      <c r="P4" s="587"/>
      <c r="Q4" s="587"/>
      <c r="R4" s="587"/>
      <c r="S4" s="587"/>
    </row>
    <row r="5" spans="1:24" s="606" customFormat="1" ht="12.75">
      <c r="A5" s="588" t="s">
        <v>141</v>
      </c>
      <c r="B5" s="603" t="s">
        <v>142</v>
      </c>
      <c r="C5" s="589"/>
      <c r="D5" s="590"/>
      <c r="E5" s="590"/>
      <c r="F5" s="590"/>
      <c r="G5" s="591"/>
      <c r="H5" s="596"/>
      <c r="I5" s="604"/>
      <c r="J5" s="594"/>
      <c r="K5" s="578"/>
      <c r="L5" s="578"/>
      <c r="M5" s="605"/>
      <c r="N5" s="605"/>
      <c r="P5" s="607"/>
      <c r="Q5" s="607"/>
      <c r="R5" s="607"/>
      <c r="S5" s="607"/>
    </row>
    <row r="6" spans="1:24" s="605" customFormat="1" ht="13.5" thickBot="1">
      <c r="A6" s="608"/>
      <c r="B6" s="609"/>
      <c r="C6" s="610"/>
      <c r="D6" s="611"/>
      <c r="E6" s="611"/>
      <c r="F6" s="611"/>
      <c r="G6" s="612"/>
      <c r="H6" s="613"/>
      <c r="I6" s="614"/>
      <c r="J6" s="612"/>
      <c r="K6" s="609"/>
      <c r="L6" s="609"/>
      <c r="M6" s="615"/>
      <c r="P6" s="616"/>
      <c r="Q6" s="616"/>
      <c r="R6" s="616"/>
      <c r="S6" s="616"/>
    </row>
    <row r="7" spans="1:24" s="606" customFormat="1" ht="13.15" customHeight="1">
      <c r="A7" s="962" t="s">
        <v>143</v>
      </c>
      <c r="B7" s="963"/>
      <c r="C7" s="963"/>
      <c r="D7" s="963"/>
      <c r="E7" s="963"/>
      <c r="F7" s="963"/>
      <c r="G7" s="963"/>
      <c r="H7" s="963"/>
      <c r="I7" s="963"/>
      <c r="J7" s="963"/>
      <c r="K7" s="963"/>
      <c r="L7" s="963"/>
      <c r="M7" s="966" t="s">
        <v>144</v>
      </c>
      <c r="N7" s="967"/>
      <c r="O7" s="968"/>
      <c r="P7" s="618" t="s">
        <v>145</v>
      </c>
      <c r="Q7" s="619"/>
      <c r="R7" s="618" t="s">
        <v>146</v>
      </c>
      <c r="S7" s="618"/>
      <c r="T7" s="620"/>
      <c r="U7" s="954" t="s">
        <v>147</v>
      </c>
      <c r="V7" s="955"/>
      <c r="W7" s="605"/>
      <c r="X7" s="605"/>
    </row>
    <row r="8" spans="1:24" s="637" customFormat="1">
      <c r="A8" s="621"/>
      <c r="B8" s="615"/>
      <c r="C8" s="622"/>
      <c r="D8" s="623"/>
      <c r="E8" s="624"/>
      <c r="F8" s="625"/>
      <c r="G8" s="626"/>
      <c r="H8" s="627"/>
      <c r="I8" s="627"/>
      <c r="J8" s="627"/>
      <c r="K8" s="627"/>
      <c r="L8" s="628"/>
      <c r="M8" s="629"/>
      <c r="N8" s="630"/>
      <c r="O8" s="631"/>
      <c r="P8" s="632"/>
      <c r="Q8" s="633"/>
      <c r="R8" s="632"/>
      <c r="S8" s="632"/>
      <c r="T8" s="634"/>
      <c r="U8" s="635"/>
      <c r="V8" s="635"/>
      <c r="W8" s="636"/>
    </row>
    <row r="9" spans="1:24" s="648" customFormat="1" ht="13.15" customHeight="1">
      <c r="A9" s="638"/>
      <c r="B9" s="605"/>
      <c r="C9" s="639"/>
      <c r="D9" s="956" t="s">
        <v>148</v>
      </c>
      <c r="E9" s="957"/>
      <c r="F9" s="958"/>
      <c r="G9" s="640"/>
      <c r="H9" s="959" t="s">
        <v>149</v>
      </c>
      <c r="I9" s="960"/>
      <c r="J9" s="960"/>
      <c r="K9" s="961"/>
      <c r="L9" s="641"/>
      <c r="M9" s="642"/>
      <c r="N9" s="630" t="s">
        <v>150</v>
      </c>
      <c r="O9" s="631"/>
      <c r="P9" s="632"/>
      <c r="Q9" s="633"/>
      <c r="R9" s="643"/>
      <c r="S9" s="643"/>
      <c r="T9" s="634"/>
      <c r="U9" s="644"/>
      <c r="V9" s="645"/>
      <c r="W9" s="646"/>
      <c r="X9" s="647"/>
    </row>
    <row r="10" spans="1:24" s="648" customFormat="1">
      <c r="A10" s="649" t="s">
        <v>151</v>
      </c>
      <c r="B10" s="650" t="s">
        <v>51</v>
      </c>
      <c r="C10" s="651" t="s">
        <v>152</v>
      </c>
      <c r="D10" s="652" t="s">
        <v>153</v>
      </c>
      <c r="E10" s="653" t="s">
        <v>154</v>
      </c>
      <c r="F10" s="654" t="s">
        <v>155</v>
      </c>
      <c r="G10" s="640" t="s">
        <v>156</v>
      </c>
      <c r="H10" s="655" t="s">
        <v>157</v>
      </c>
      <c r="I10" s="655" t="s">
        <v>158</v>
      </c>
      <c r="J10" s="655" t="s">
        <v>159</v>
      </c>
      <c r="K10" s="655" t="s">
        <v>160</v>
      </c>
      <c r="L10" s="641" t="s">
        <v>161</v>
      </c>
      <c r="M10" s="656" t="s">
        <v>162</v>
      </c>
      <c r="N10" s="657" t="s">
        <v>163</v>
      </c>
      <c r="O10" s="658" t="s">
        <v>164</v>
      </c>
      <c r="P10" s="659" t="s">
        <v>165</v>
      </c>
      <c r="Q10" s="633" t="s">
        <v>166</v>
      </c>
      <c r="R10" s="659" t="s">
        <v>166</v>
      </c>
      <c r="S10" s="659" t="s">
        <v>165</v>
      </c>
      <c r="T10" s="660" t="s">
        <v>167</v>
      </c>
      <c r="U10" s="644" t="s">
        <v>168</v>
      </c>
      <c r="V10" s="644" t="s">
        <v>169</v>
      </c>
      <c r="W10" s="661"/>
    </row>
    <row r="11" spans="1:24" s="648" customFormat="1" ht="12" thickBot="1">
      <c r="A11" s="662" t="s">
        <v>170</v>
      </c>
      <c r="B11" s="663" t="s">
        <v>170</v>
      </c>
      <c r="C11" s="664" t="s">
        <v>171</v>
      </c>
      <c r="D11" s="665" t="s">
        <v>172</v>
      </c>
      <c r="E11" s="666" t="s">
        <v>172</v>
      </c>
      <c r="F11" s="667" t="s">
        <v>172</v>
      </c>
      <c r="G11" s="668" t="s">
        <v>172</v>
      </c>
      <c r="H11" s="669" t="s">
        <v>172</v>
      </c>
      <c r="I11" s="669" t="s">
        <v>172</v>
      </c>
      <c r="J11" s="669" t="s">
        <v>172</v>
      </c>
      <c r="K11" s="669" t="s">
        <v>172</v>
      </c>
      <c r="L11" s="670" t="s">
        <v>172</v>
      </c>
      <c r="M11" s="671" t="s">
        <v>173</v>
      </c>
      <c r="N11" s="672" t="s">
        <v>171</v>
      </c>
      <c r="O11" s="673" t="s">
        <v>171</v>
      </c>
      <c r="P11" s="674" t="s">
        <v>174</v>
      </c>
      <c r="Q11" s="675" t="s">
        <v>175</v>
      </c>
      <c r="R11" s="676" t="s">
        <v>36</v>
      </c>
      <c r="S11" s="676" t="s">
        <v>176</v>
      </c>
      <c r="T11" s="677"/>
      <c r="U11" s="678"/>
      <c r="V11" s="679" t="s">
        <v>172</v>
      </c>
      <c r="W11" s="661"/>
    </row>
    <row r="12" spans="1:24" s="648" customFormat="1">
      <c r="A12" s="680" t="s">
        <v>177</v>
      </c>
      <c r="B12" s="681"/>
      <c r="C12" s="682">
        <v>0</v>
      </c>
      <c r="D12" s="683" t="s">
        <v>178</v>
      </c>
      <c r="E12" s="684" t="s">
        <v>178</v>
      </c>
      <c r="F12" s="685" t="s">
        <v>178</v>
      </c>
      <c r="G12" s="686" t="s">
        <v>178</v>
      </c>
      <c r="H12" s="684" t="s">
        <v>178</v>
      </c>
      <c r="I12" s="684" t="s">
        <v>178</v>
      </c>
      <c r="J12" s="684" t="s">
        <v>178</v>
      </c>
      <c r="K12" s="684" t="s">
        <v>178</v>
      </c>
      <c r="L12" s="687" t="s">
        <v>178</v>
      </c>
      <c r="M12" s="688"/>
      <c r="N12" s="689"/>
      <c r="O12" s="690"/>
      <c r="P12" s="691"/>
      <c r="Q12" s="692"/>
      <c r="R12" s="693"/>
      <c r="S12" s="694"/>
      <c r="T12" s="695"/>
      <c r="U12" s="696" t="s">
        <v>202</v>
      </c>
      <c r="V12" s="697">
        <v>439</v>
      </c>
      <c r="W12" s="698"/>
    </row>
    <row r="13" spans="1:24" s="648" customFormat="1">
      <c r="A13" s="699">
        <v>200</v>
      </c>
      <c r="B13" s="700">
        <v>0</v>
      </c>
      <c r="C13" s="688">
        <v>10</v>
      </c>
      <c r="D13" s="701" t="s">
        <v>178</v>
      </c>
      <c r="E13" s="702" t="s">
        <v>178</v>
      </c>
      <c r="F13" s="703" t="s">
        <v>178</v>
      </c>
      <c r="G13" s="704" t="s">
        <v>178</v>
      </c>
      <c r="H13" s="702" t="s">
        <v>178</v>
      </c>
      <c r="I13" s="702" t="s">
        <v>178</v>
      </c>
      <c r="J13" s="702" t="s">
        <v>178</v>
      </c>
      <c r="K13" s="702" t="s">
        <v>178</v>
      </c>
      <c r="L13" s="705" t="s">
        <v>178</v>
      </c>
      <c r="M13" s="688">
        <v>966</v>
      </c>
      <c r="N13" s="706">
        <f>C12</f>
        <v>0</v>
      </c>
      <c r="O13" s="707">
        <f t="shared" ref="O13:O19" si="0">(C13+C14-10)/2</f>
        <v>10</v>
      </c>
      <c r="P13" s="708">
        <f>(A13-B13)/M13</f>
        <v>0.20703933747412009</v>
      </c>
      <c r="Q13" s="709">
        <f>(P13*(O13-N13))/100</f>
        <v>2.0703933747412008E-2</v>
      </c>
      <c r="R13" s="710">
        <f>SUM(Q$13:Q13)</f>
        <v>2.0703933747412008E-2</v>
      </c>
      <c r="S13" s="711">
        <f>R13/O13*100</f>
        <v>0.20703933747412009</v>
      </c>
      <c r="T13" s="712"/>
      <c r="U13" s="713" t="s">
        <v>203</v>
      </c>
      <c r="V13" s="714">
        <v>455</v>
      </c>
      <c r="W13" s="661"/>
    </row>
    <row r="14" spans="1:24" s="648" customFormat="1">
      <c r="A14" s="699">
        <v>270</v>
      </c>
      <c r="B14" s="700">
        <v>0</v>
      </c>
      <c r="C14" s="688">
        <v>20</v>
      </c>
      <c r="D14" s="701" t="s">
        <v>178</v>
      </c>
      <c r="E14" s="702" t="s">
        <v>178</v>
      </c>
      <c r="F14" s="703" t="s">
        <v>178</v>
      </c>
      <c r="G14" s="704" t="s">
        <v>178</v>
      </c>
      <c r="H14" s="702" t="s">
        <v>178</v>
      </c>
      <c r="I14" s="702" t="s">
        <v>178</v>
      </c>
      <c r="J14" s="702" t="s">
        <v>178</v>
      </c>
      <c r="K14" s="702" t="s">
        <v>178</v>
      </c>
      <c r="L14" s="705" t="s">
        <v>178</v>
      </c>
      <c r="M14" s="688">
        <v>966</v>
      </c>
      <c r="N14" s="706">
        <f t="shared" ref="N14:N20" si="1">(C13+C14-10)/2</f>
        <v>10</v>
      </c>
      <c r="O14" s="707">
        <f t="shared" si="0"/>
        <v>20</v>
      </c>
      <c r="P14" s="708">
        <f t="shared" ref="P14:P20" si="2">(A14-B14)/M14</f>
        <v>0.27950310559006208</v>
      </c>
      <c r="Q14" s="709">
        <f t="shared" ref="Q14:Q17" si="3">(P14*(O14-N14))/100</f>
        <v>2.7950310559006208E-2</v>
      </c>
      <c r="R14" s="710">
        <f>SUM(Q$13:Q14)</f>
        <v>4.8654244306418216E-2</v>
      </c>
      <c r="S14" s="711">
        <f t="shared" ref="S14:S20" si="4">R14/O14*100</f>
        <v>0.2432712215320911</v>
      </c>
      <c r="T14" s="712"/>
      <c r="U14" s="713" t="s">
        <v>204</v>
      </c>
      <c r="V14" s="714">
        <v>446</v>
      </c>
      <c r="W14" s="661"/>
    </row>
    <row r="15" spans="1:24" s="648" customFormat="1">
      <c r="A15" s="699">
        <v>235</v>
      </c>
      <c r="B15" s="700">
        <v>0</v>
      </c>
      <c r="C15" s="688">
        <v>30</v>
      </c>
      <c r="D15" s="701" t="s">
        <v>178</v>
      </c>
      <c r="E15" s="702" t="s">
        <v>178</v>
      </c>
      <c r="F15" s="703" t="s">
        <v>178</v>
      </c>
      <c r="G15" s="704" t="s">
        <v>178</v>
      </c>
      <c r="H15" s="702" t="s">
        <v>178</v>
      </c>
      <c r="I15" s="702" t="s">
        <v>178</v>
      </c>
      <c r="J15" s="702" t="s">
        <v>178</v>
      </c>
      <c r="K15" s="702" t="s">
        <v>178</v>
      </c>
      <c r="L15" s="705" t="s">
        <v>178</v>
      </c>
      <c r="M15" s="688">
        <v>966</v>
      </c>
      <c r="N15" s="706">
        <f t="shared" si="1"/>
        <v>20</v>
      </c>
      <c r="O15" s="707">
        <f t="shared" si="0"/>
        <v>30</v>
      </c>
      <c r="P15" s="708">
        <f t="shared" si="2"/>
        <v>0.2432712215320911</v>
      </c>
      <c r="Q15" s="709">
        <f t="shared" si="3"/>
        <v>2.4327122153209108E-2</v>
      </c>
      <c r="R15" s="710">
        <f>SUM(Q$13:Q15)</f>
        <v>7.2981366459627328E-2</v>
      </c>
      <c r="S15" s="711">
        <f t="shared" si="4"/>
        <v>0.2432712215320911</v>
      </c>
      <c r="T15" s="712"/>
      <c r="U15" s="713" t="s">
        <v>180</v>
      </c>
      <c r="V15" s="715"/>
      <c r="W15" s="661"/>
    </row>
    <row r="16" spans="1:24" s="648" customFormat="1">
      <c r="A16" s="716">
        <v>265</v>
      </c>
      <c r="B16" s="700">
        <v>0</v>
      </c>
      <c r="C16" s="688">
        <v>40</v>
      </c>
      <c r="D16" s="701" t="s">
        <v>178</v>
      </c>
      <c r="E16" s="702" t="s">
        <v>178</v>
      </c>
      <c r="F16" s="703" t="s">
        <v>178</v>
      </c>
      <c r="G16" s="704" t="s">
        <v>178</v>
      </c>
      <c r="H16" s="702" t="s">
        <v>178</v>
      </c>
      <c r="I16" s="702" t="s">
        <v>178</v>
      </c>
      <c r="J16" s="702" t="s">
        <v>178</v>
      </c>
      <c r="K16" s="702" t="s">
        <v>178</v>
      </c>
      <c r="L16" s="705" t="s">
        <v>178</v>
      </c>
      <c r="M16" s="688">
        <v>966</v>
      </c>
      <c r="N16" s="706">
        <f t="shared" si="1"/>
        <v>30</v>
      </c>
      <c r="O16" s="707">
        <f t="shared" si="0"/>
        <v>40</v>
      </c>
      <c r="P16" s="708">
        <f t="shared" si="2"/>
        <v>0.27432712215320909</v>
      </c>
      <c r="Q16" s="709">
        <f t="shared" si="3"/>
        <v>2.7432712215320908E-2</v>
      </c>
      <c r="R16" s="710">
        <f>SUM(Q$13:Q16)</f>
        <v>0.10041407867494824</v>
      </c>
      <c r="S16" s="711">
        <f t="shared" si="4"/>
        <v>0.25103519668737062</v>
      </c>
      <c r="T16" s="712"/>
      <c r="U16" s="713" t="s">
        <v>180</v>
      </c>
      <c r="V16" s="714"/>
      <c r="W16" s="661"/>
    </row>
    <row r="17" spans="1:25" s="648" customFormat="1">
      <c r="A17" s="716">
        <v>270</v>
      </c>
      <c r="B17" s="700">
        <v>0</v>
      </c>
      <c r="C17" s="688">
        <v>50</v>
      </c>
      <c r="D17" s="701" t="s">
        <v>178</v>
      </c>
      <c r="E17" s="702" t="s">
        <v>178</v>
      </c>
      <c r="F17" s="703" t="s">
        <v>178</v>
      </c>
      <c r="G17" s="704" t="s">
        <v>178</v>
      </c>
      <c r="H17" s="702" t="s">
        <v>178</v>
      </c>
      <c r="I17" s="702" t="s">
        <v>178</v>
      </c>
      <c r="J17" s="702" t="s">
        <v>178</v>
      </c>
      <c r="K17" s="702" t="s">
        <v>178</v>
      </c>
      <c r="L17" s="705" t="s">
        <v>178</v>
      </c>
      <c r="M17" s="688">
        <v>966</v>
      </c>
      <c r="N17" s="706">
        <f t="shared" si="1"/>
        <v>40</v>
      </c>
      <c r="O17" s="707">
        <f t="shared" si="0"/>
        <v>50</v>
      </c>
      <c r="P17" s="708">
        <f t="shared" si="2"/>
        <v>0.27950310559006208</v>
      </c>
      <c r="Q17" s="709">
        <f t="shared" si="3"/>
        <v>2.7950310559006208E-2</v>
      </c>
      <c r="R17" s="710">
        <f>SUM(Q$13:Q17)</f>
        <v>0.12836438923395443</v>
      </c>
      <c r="S17" s="711">
        <f t="shared" si="4"/>
        <v>0.25672877846790887</v>
      </c>
      <c r="T17" s="712" t="s">
        <v>181</v>
      </c>
      <c r="U17" s="713" t="s">
        <v>180</v>
      </c>
      <c r="V17" s="714"/>
      <c r="W17" s="646"/>
    </row>
    <row r="18" spans="1:25" s="648" customFormat="1">
      <c r="A18" s="716">
        <v>300</v>
      </c>
      <c r="B18" s="700">
        <v>0</v>
      </c>
      <c r="C18" s="688">
        <v>60</v>
      </c>
      <c r="D18" s="701" t="s">
        <v>178</v>
      </c>
      <c r="E18" s="702" t="s">
        <v>178</v>
      </c>
      <c r="F18" s="703" t="s">
        <v>178</v>
      </c>
      <c r="G18" s="704" t="s">
        <v>178</v>
      </c>
      <c r="H18" s="702" t="s">
        <v>178</v>
      </c>
      <c r="I18" s="702" t="s">
        <v>178</v>
      </c>
      <c r="J18" s="702" t="s">
        <v>178</v>
      </c>
      <c r="K18" s="702" t="s">
        <v>178</v>
      </c>
      <c r="L18" s="705" t="s">
        <v>178</v>
      </c>
      <c r="M18" s="688">
        <v>966</v>
      </c>
      <c r="N18" s="706">
        <f t="shared" si="1"/>
        <v>50</v>
      </c>
      <c r="O18" s="707">
        <f t="shared" si="0"/>
        <v>60</v>
      </c>
      <c r="P18" s="708">
        <f t="shared" si="2"/>
        <v>0.3105590062111801</v>
      </c>
      <c r="Q18" s="709">
        <f>(P18*(O18-N18))/100</f>
        <v>3.1055900621118009E-2</v>
      </c>
      <c r="R18" s="710">
        <f>SUM(Q$13:Q18)</f>
        <v>0.15942028985507245</v>
      </c>
      <c r="S18" s="711">
        <f t="shared" si="4"/>
        <v>0.2657004830917874</v>
      </c>
      <c r="T18" s="717"/>
      <c r="U18" s="713" t="s">
        <v>180</v>
      </c>
      <c r="V18" s="714"/>
      <c r="W18" s="646"/>
    </row>
    <row r="19" spans="1:25" s="648" customFormat="1" ht="10.15" customHeight="1">
      <c r="A19" s="716">
        <v>315</v>
      </c>
      <c r="B19" s="700">
        <v>0</v>
      </c>
      <c r="C19" s="688">
        <v>70</v>
      </c>
      <c r="D19" s="701" t="s">
        <v>178</v>
      </c>
      <c r="E19" s="702" t="s">
        <v>178</v>
      </c>
      <c r="F19" s="703" t="s">
        <v>178</v>
      </c>
      <c r="G19" s="704" t="s">
        <v>178</v>
      </c>
      <c r="H19" s="702" t="s">
        <v>178</v>
      </c>
      <c r="I19" s="702" t="s">
        <v>178</v>
      </c>
      <c r="J19" s="702" t="s">
        <v>178</v>
      </c>
      <c r="K19" s="702" t="s">
        <v>178</v>
      </c>
      <c r="L19" s="705" t="s">
        <v>178</v>
      </c>
      <c r="M19" s="688">
        <v>966</v>
      </c>
      <c r="N19" s="706">
        <f t="shared" si="1"/>
        <v>60</v>
      </c>
      <c r="O19" s="707">
        <f t="shared" si="0"/>
        <v>70</v>
      </c>
      <c r="P19" s="708">
        <f t="shared" si="2"/>
        <v>0.32608695652173914</v>
      </c>
      <c r="Q19" s="709">
        <f>(P19*(O19-N19))/100</f>
        <v>3.2608695652173919E-2</v>
      </c>
      <c r="R19" s="710">
        <f>SUM(Q$13:Q19)</f>
        <v>0.19202898550724637</v>
      </c>
      <c r="S19" s="711">
        <f t="shared" si="4"/>
        <v>0.27432712215320909</v>
      </c>
      <c r="T19" s="717"/>
      <c r="U19" s="713" t="s">
        <v>180</v>
      </c>
      <c r="V19" s="714"/>
      <c r="W19" s="718"/>
    </row>
    <row r="20" spans="1:25" s="648" customFormat="1">
      <c r="A20" s="716">
        <v>350</v>
      </c>
      <c r="B20" s="700">
        <v>0</v>
      </c>
      <c r="C20" s="688">
        <v>80</v>
      </c>
      <c r="D20" s="701" t="s">
        <v>178</v>
      </c>
      <c r="E20" s="702" t="s">
        <v>178</v>
      </c>
      <c r="F20" s="703" t="s">
        <v>178</v>
      </c>
      <c r="G20" s="704" t="s">
        <v>178</v>
      </c>
      <c r="H20" s="702" t="s">
        <v>178</v>
      </c>
      <c r="I20" s="702" t="s">
        <v>178</v>
      </c>
      <c r="J20" s="702" t="s">
        <v>178</v>
      </c>
      <c r="K20" s="702" t="s">
        <v>178</v>
      </c>
      <c r="L20" s="705" t="s">
        <v>178</v>
      </c>
      <c r="M20" s="688">
        <v>966</v>
      </c>
      <c r="N20" s="706">
        <f t="shared" si="1"/>
        <v>70</v>
      </c>
      <c r="O20" s="707">
        <f>C20</f>
        <v>80</v>
      </c>
      <c r="P20" s="708">
        <f t="shared" si="2"/>
        <v>0.36231884057971014</v>
      </c>
      <c r="Q20" s="709">
        <f>(P20*(O20-N20))/100</f>
        <v>3.6231884057971016E-2</v>
      </c>
      <c r="R20" s="710">
        <f>SUM(Q$13:Q20)</f>
        <v>0.22826086956521738</v>
      </c>
      <c r="S20" s="711">
        <f t="shared" si="4"/>
        <v>0.28532608695652173</v>
      </c>
      <c r="T20" s="712"/>
      <c r="U20" s="713" t="s">
        <v>180</v>
      </c>
      <c r="V20" s="714"/>
      <c r="W20" s="719"/>
    </row>
    <row r="21" spans="1:25" s="721" customFormat="1">
      <c r="A21" s="716"/>
      <c r="B21" s="700"/>
      <c r="C21" s="688"/>
      <c r="D21" s="701"/>
      <c r="E21" s="702"/>
      <c r="F21" s="703"/>
      <c r="G21" s="704"/>
      <c r="H21" s="702"/>
      <c r="I21" s="702"/>
      <c r="J21" s="702"/>
      <c r="K21" s="702"/>
      <c r="L21" s="705"/>
      <c r="M21" s="688"/>
      <c r="N21" s="706"/>
      <c r="O21" s="707"/>
      <c r="P21" s="708"/>
      <c r="Q21" s="709"/>
      <c r="R21" s="710"/>
      <c r="S21" s="711"/>
      <c r="T21" s="720"/>
      <c r="U21" s="713" t="s">
        <v>180</v>
      </c>
      <c r="V21" s="714"/>
      <c r="W21" s="719"/>
    </row>
    <row r="22" spans="1:25" s="721" customFormat="1">
      <c r="A22" s="716"/>
      <c r="B22" s="700"/>
      <c r="C22" s="688"/>
      <c r="D22" s="701"/>
      <c r="E22" s="702"/>
      <c r="F22" s="703"/>
      <c r="G22" s="704"/>
      <c r="H22" s="702"/>
      <c r="I22" s="702"/>
      <c r="J22" s="702"/>
      <c r="K22" s="702"/>
      <c r="L22" s="705"/>
      <c r="M22" s="688"/>
      <c r="N22" s="706"/>
      <c r="O22" s="707"/>
      <c r="P22" s="708"/>
      <c r="Q22" s="709"/>
      <c r="R22" s="710"/>
      <c r="S22" s="711"/>
      <c r="T22" s="722"/>
      <c r="U22" s="713" t="s">
        <v>180</v>
      </c>
      <c r="V22" s="723"/>
      <c r="W22" s="719"/>
    </row>
    <row r="23" spans="1:25" s="721" customFormat="1" ht="12" thickBot="1">
      <c r="A23" s="724"/>
      <c r="B23" s="725"/>
      <c r="C23" s="726"/>
      <c r="D23" s="727"/>
      <c r="E23" s="726"/>
      <c r="F23" s="728"/>
      <c r="G23" s="729"/>
      <c r="H23" s="726"/>
      <c r="I23" s="726"/>
      <c r="J23" s="726"/>
      <c r="K23" s="726"/>
      <c r="L23" s="730"/>
      <c r="M23" s="726"/>
      <c r="N23" s="731"/>
      <c r="O23" s="732"/>
      <c r="P23" s="733"/>
      <c r="Q23" s="734"/>
      <c r="R23" s="735"/>
      <c r="S23" s="736"/>
      <c r="T23" s="737"/>
      <c r="U23" s="713" t="s">
        <v>180</v>
      </c>
      <c r="V23" s="738"/>
      <c r="W23" s="739"/>
    </row>
    <row r="24" spans="1:25" s="721" customFormat="1">
      <c r="A24" s="740" t="s">
        <v>182</v>
      </c>
      <c r="B24" s="700"/>
      <c r="C24" s="688"/>
      <c r="D24" s="741"/>
      <c r="E24" s="688"/>
      <c r="F24" s="742"/>
      <c r="G24" s="743"/>
      <c r="H24" s="688"/>
      <c r="I24" s="688"/>
      <c r="J24" s="688"/>
      <c r="K24" s="688"/>
      <c r="L24" s="744"/>
      <c r="M24" s="688"/>
      <c r="N24" s="706"/>
      <c r="O24" s="707"/>
      <c r="P24" s="708"/>
      <c r="Q24" s="709"/>
      <c r="R24" s="710"/>
      <c r="S24" s="711"/>
      <c r="T24" s="722"/>
      <c r="U24" s="713" t="s">
        <v>180</v>
      </c>
      <c r="V24" s="738"/>
      <c r="W24" s="739"/>
    </row>
    <row r="25" spans="1:25" s="721" customFormat="1">
      <c r="A25" s="716">
        <v>190</v>
      </c>
      <c r="B25" s="700">
        <v>0</v>
      </c>
      <c r="C25" s="688">
        <f>C26-D26</f>
        <v>99.800000000000011</v>
      </c>
      <c r="D25" s="745">
        <v>19.399999999999999</v>
      </c>
      <c r="E25" s="746"/>
      <c r="F25" s="747"/>
      <c r="G25" s="748">
        <f t="shared" ref="G25:G41" si="5">AVERAGE(D25:F25)</f>
        <v>19.399999999999999</v>
      </c>
      <c r="H25" s="746">
        <v>5.7</v>
      </c>
      <c r="I25" s="746"/>
      <c r="J25" s="746"/>
      <c r="K25" s="746"/>
      <c r="L25" s="749">
        <f t="shared" ref="L25:L41" si="6">AVERAGE(H25:K25)</f>
        <v>5.7</v>
      </c>
      <c r="M25" s="688">
        <f>G25*    PI()* (L25/2)^2</f>
        <v>495.04117477839202</v>
      </c>
      <c r="N25" s="706">
        <f>C20</f>
        <v>80</v>
      </c>
      <c r="O25" s="707">
        <f>(C25+C26-G26)/2</f>
        <v>99.800000000000011</v>
      </c>
      <c r="P25" s="708">
        <f>(A25-B25)/M25</f>
        <v>0.38380645829118065</v>
      </c>
      <c r="Q25" s="709">
        <f t="shared" ref="Q25:Q41" si="7">(P25*(O25-N25))/100</f>
        <v>7.5993678741653803E-2</v>
      </c>
      <c r="R25" s="710">
        <f>SUM(Q$13:Q25)</f>
        <v>0.30425454830687115</v>
      </c>
      <c r="S25" s="711">
        <f>R25/O25*100</f>
        <v>0.30486427686059231</v>
      </c>
      <c r="T25" s="722"/>
      <c r="U25" s="713" t="s">
        <v>180</v>
      </c>
      <c r="V25" s="738"/>
      <c r="W25" s="739"/>
    </row>
    <row r="26" spans="1:25" s="721" customFormat="1">
      <c r="A26" s="716">
        <v>290</v>
      </c>
      <c r="B26" s="700">
        <v>0</v>
      </c>
      <c r="C26" s="688">
        <f>C27-D27</f>
        <v>129.30000000000001</v>
      </c>
      <c r="D26" s="745">
        <v>29.5</v>
      </c>
      <c r="E26" s="746"/>
      <c r="F26" s="747"/>
      <c r="G26" s="748">
        <f t="shared" si="5"/>
        <v>29.5</v>
      </c>
      <c r="H26" s="746">
        <v>5.7</v>
      </c>
      <c r="I26" s="746"/>
      <c r="J26" s="746"/>
      <c r="K26" s="746"/>
      <c r="L26" s="749">
        <f t="shared" si="6"/>
        <v>5.7</v>
      </c>
      <c r="M26" s="688">
        <f t="shared" ref="M26:M41" si="8">G26*    PI()* (L26/2)^2</f>
        <v>752.76879669910136</v>
      </c>
      <c r="N26" s="706">
        <f>(C25+C26-G26)/2</f>
        <v>99.800000000000011</v>
      </c>
      <c r="O26" s="707">
        <f>(C26+C27-G27)/2</f>
        <v>129.30000000000001</v>
      </c>
      <c r="P26" s="708">
        <f>(A26-B26)/M26</f>
        <v>0.38524444858986301</v>
      </c>
      <c r="Q26" s="709">
        <f t="shared" si="7"/>
        <v>0.11364711233400959</v>
      </c>
      <c r="R26" s="710">
        <f>SUM(Q$13:Q26)</f>
        <v>0.41790166064088075</v>
      </c>
      <c r="S26" s="711">
        <f t="shared" ref="S26:S40" si="9">R26/O26*100</f>
        <v>0.32320314048018617</v>
      </c>
      <c r="T26" s="722"/>
      <c r="U26" s="713" t="s">
        <v>180</v>
      </c>
      <c r="V26" s="714"/>
      <c r="W26" s="739"/>
    </row>
    <row r="27" spans="1:25" s="721" customFormat="1">
      <c r="A27" s="716">
        <v>290</v>
      </c>
      <c r="B27" s="700">
        <v>0</v>
      </c>
      <c r="C27" s="688">
        <f>C28-D28</f>
        <v>158.80000000000001</v>
      </c>
      <c r="D27" s="745">
        <v>29.5</v>
      </c>
      <c r="E27" s="746"/>
      <c r="F27" s="747"/>
      <c r="G27" s="748">
        <f t="shared" si="5"/>
        <v>29.5</v>
      </c>
      <c r="H27" s="746">
        <v>5.7</v>
      </c>
      <c r="I27" s="746"/>
      <c r="J27" s="746"/>
      <c r="K27" s="746"/>
      <c r="L27" s="749">
        <f t="shared" si="6"/>
        <v>5.7</v>
      </c>
      <c r="M27" s="688">
        <f t="shared" si="8"/>
        <v>752.76879669910136</v>
      </c>
      <c r="N27" s="706">
        <f t="shared" ref="N27:N41" si="10">(C26+C27-G27)/2</f>
        <v>129.30000000000001</v>
      </c>
      <c r="O27" s="707">
        <f t="shared" ref="O27:O40" si="11">(C27+C28-G28)/2</f>
        <v>158.80000000000001</v>
      </c>
      <c r="P27" s="708">
        <f t="shared" ref="P27:P41" si="12">(A27-B27)/M27</f>
        <v>0.38524444858986301</v>
      </c>
      <c r="Q27" s="709">
        <f t="shared" si="7"/>
        <v>0.11364711233400959</v>
      </c>
      <c r="R27" s="710">
        <f>SUM(Q$13:Q27)</f>
        <v>0.53154877297489034</v>
      </c>
      <c r="S27" s="711">
        <f t="shared" si="9"/>
        <v>0.33472844645773947</v>
      </c>
      <c r="T27" s="722"/>
      <c r="U27" s="713" t="s">
        <v>180</v>
      </c>
      <c r="V27" s="714"/>
      <c r="W27" s="739"/>
    </row>
    <row r="28" spans="1:25" s="721" customFormat="1">
      <c r="A28" s="716">
        <v>120</v>
      </c>
      <c r="B28" s="700">
        <v>0</v>
      </c>
      <c r="C28" s="688">
        <v>171</v>
      </c>
      <c r="D28" s="745">
        <v>12.2</v>
      </c>
      <c r="E28" s="746"/>
      <c r="F28" s="747"/>
      <c r="G28" s="748">
        <f t="shared" si="5"/>
        <v>12.2</v>
      </c>
      <c r="H28" s="746">
        <v>5.7</v>
      </c>
      <c r="I28" s="746"/>
      <c r="J28" s="746"/>
      <c r="K28" s="746"/>
      <c r="L28" s="749">
        <f t="shared" si="6"/>
        <v>5.7</v>
      </c>
      <c r="M28" s="688">
        <f t="shared" si="8"/>
        <v>311.31455321115374</v>
      </c>
      <c r="N28" s="706">
        <f t="shared" si="10"/>
        <v>158.80000000000001</v>
      </c>
      <c r="O28" s="707">
        <f t="shared" si="11"/>
        <v>171.55</v>
      </c>
      <c r="P28" s="708">
        <f t="shared" si="12"/>
        <v>0.38546222385757922</v>
      </c>
      <c r="Q28" s="709">
        <f t="shared" si="7"/>
        <v>4.9146433541841353E-2</v>
      </c>
      <c r="R28" s="710">
        <f>SUM(Q$13:Q28)</f>
        <v>0.58069520651673168</v>
      </c>
      <c r="S28" s="711">
        <f t="shared" si="9"/>
        <v>0.33849910027206737</v>
      </c>
      <c r="T28" s="722" t="s">
        <v>191</v>
      </c>
      <c r="U28" s="713" t="s">
        <v>180</v>
      </c>
      <c r="V28" s="714"/>
      <c r="W28" s="739"/>
    </row>
    <row r="29" spans="1:25">
      <c r="A29" s="716">
        <v>230</v>
      </c>
      <c r="B29" s="700">
        <v>0</v>
      </c>
      <c r="C29" s="688">
        <f>C30-D30</f>
        <v>193.1</v>
      </c>
      <c r="D29" s="745">
        <v>21</v>
      </c>
      <c r="E29" s="746"/>
      <c r="F29" s="747"/>
      <c r="G29" s="748">
        <f t="shared" si="5"/>
        <v>21</v>
      </c>
      <c r="H29" s="746">
        <v>5.7</v>
      </c>
      <c r="I29" s="746"/>
      <c r="J29" s="746"/>
      <c r="K29" s="746"/>
      <c r="L29" s="749">
        <f t="shared" si="6"/>
        <v>5.7</v>
      </c>
      <c r="M29" s="688">
        <f t="shared" si="8"/>
        <v>535.869312904445</v>
      </c>
      <c r="N29" s="706">
        <f t="shared" si="10"/>
        <v>171.55</v>
      </c>
      <c r="O29" s="707">
        <f t="shared" si="11"/>
        <v>193.1</v>
      </c>
      <c r="P29" s="708">
        <f t="shared" si="12"/>
        <v>0.42920912704141556</v>
      </c>
      <c r="Q29" s="709">
        <f t="shared" si="7"/>
        <v>9.249456687742498E-2</v>
      </c>
      <c r="R29" s="710">
        <f>SUM(Q$13:Q29)</f>
        <v>0.67318977339415664</v>
      </c>
      <c r="S29" s="711">
        <f t="shared" si="9"/>
        <v>0.3486223580497963</v>
      </c>
      <c r="T29" s="722"/>
      <c r="U29" s="713" t="s">
        <v>180</v>
      </c>
      <c r="V29" s="714"/>
      <c r="W29" s="739"/>
      <c r="X29" s="721"/>
      <c r="Y29" s="721"/>
    </row>
    <row r="30" spans="1:25">
      <c r="A30" s="716">
        <v>375</v>
      </c>
      <c r="B30" s="700">
        <v>0</v>
      </c>
      <c r="C30" s="688">
        <f>C31-D31</f>
        <v>226.1</v>
      </c>
      <c r="D30" s="745">
        <v>33</v>
      </c>
      <c r="E30" s="746"/>
      <c r="F30" s="747"/>
      <c r="G30" s="748">
        <f t="shared" si="5"/>
        <v>33</v>
      </c>
      <c r="H30" s="746">
        <v>5.7</v>
      </c>
      <c r="I30" s="746"/>
      <c r="J30" s="746"/>
      <c r="K30" s="746"/>
      <c r="L30" s="749">
        <f t="shared" si="6"/>
        <v>5.7</v>
      </c>
      <c r="M30" s="688">
        <f t="shared" si="8"/>
        <v>842.08034884984215</v>
      </c>
      <c r="N30" s="706">
        <f t="shared" si="10"/>
        <v>193.1</v>
      </c>
      <c r="O30" s="707">
        <f t="shared" si="11"/>
        <v>226.10000000000002</v>
      </c>
      <c r="P30" s="708">
        <f t="shared" si="12"/>
        <v>0.44532567529000627</v>
      </c>
      <c r="Q30" s="709">
        <f t="shared" si="7"/>
        <v>0.14695747284570218</v>
      </c>
      <c r="R30" s="710">
        <f>SUM(Q$13:Q30)</f>
        <v>0.8201472462398588</v>
      </c>
      <c r="S30" s="711">
        <f>R30/O30*100</f>
        <v>0.36273650873058766</v>
      </c>
      <c r="T30" s="722"/>
      <c r="U30" s="713" t="s">
        <v>180</v>
      </c>
      <c r="V30" s="714"/>
      <c r="W30" s="739"/>
      <c r="X30" s="721"/>
      <c r="Y30" s="721"/>
    </row>
    <row r="31" spans="1:25">
      <c r="A31" s="716">
        <v>335</v>
      </c>
      <c r="B31" s="700">
        <v>0</v>
      </c>
      <c r="C31" s="688">
        <v>255</v>
      </c>
      <c r="D31" s="745">
        <v>28.9</v>
      </c>
      <c r="E31" s="746"/>
      <c r="F31" s="747"/>
      <c r="G31" s="748">
        <f t="shared" si="5"/>
        <v>28.9</v>
      </c>
      <c r="H31" s="746">
        <v>5.7</v>
      </c>
      <c r="I31" s="746"/>
      <c r="J31" s="746"/>
      <c r="K31" s="746"/>
      <c r="L31" s="749">
        <f t="shared" si="6"/>
        <v>5.7</v>
      </c>
      <c r="M31" s="688">
        <f t="shared" si="8"/>
        <v>737.45824490183145</v>
      </c>
      <c r="N31" s="706">
        <f t="shared" si="10"/>
        <v>226.10000000000002</v>
      </c>
      <c r="O31" s="707">
        <f t="shared" si="11"/>
        <v>255.05</v>
      </c>
      <c r="P31" s="708">
        <f t="shared" si="12"/>
        <v>0.45426300718163959</v>
      </c>
      <c r="Q31" s="709">
        <f t="shared" si="7"/>
        <v>0.13150914057908461</v>
      </c>
      <c r="R31" s="710">
        <f>SUM(Q$13:Q31)</f>
        <v>0.95165638681894338</v>
      </c>
      <c r="S31" s="711">
        <f t="shared" si="9"/>
        <v>0.37312542121895442</v>
      </c>
      <c r="T31" s="722"/>
      <c r="U31" s="713" t="s">
        <v>180</v>
      </c>
      <c r="V31" s="714"/>
      <c r="W31" s="739"/>
      <c r="X31" s="721"/>
      <c r="Y31" s="721"/>
    </row>
    <row r="32" spans="1:25">
      <c r="A32" s="716">
        <v>370</v>
      </c>
      <c r="B32" s="700">
        <v>0</v>
      </c>
      <c r="C32" s="688">
        <f>C33-D33</f>
        <v>286.5</v>
      </c>
      <c r="D32" s="745">
        <v>31.4</v>
      </c>
      <c r="E32" s="746"/>
      <c r="F32" s="747"/>
      <c r="G32" s="748">
        <f t="shared" si="5"/>
        <v>31.4</v>
      </c>
      <c r="H32" s="746">
        <v>5.7</v>
      </c>
      <c r="I32" s="746"/>
      <c r="J32" s="746"/>
      <c r="K32" s="746"/>
      <c r="L32" s="749">
        <f t="shared" si="6"/>
        <v>5.7</v>
      </c>
      <c r="M32" s="688">
        <f t="shared" si="8"/>
        <v>801.25221072378918</v>
      </c>
      <c r="N32" s="706">
        <f t="shared" si="10"/>
        <v>255.05</v>
      </c>
      <c r="O32" s="707">
        <f t="shared" si="11"/>
        <v>286.5</v>
      </c>
      <c r="P32" s="708">
        <f t="shared" si="12"/>
        <v>0.46177719705231224</v>
      </c>
      <c r="Q32" s="709">
        <f t="shared" si="7"/>
        <v>0.14522892847295213</v>
      </c>
      <c r="R32" s="710">
        <f>SUM(Q$13:Q32)</f>
        <v>1.0968853152918956</v>
      </c>
      <c r="S32" s="711">
        <f t="shared" si="9"/>
        <v>0.38285700359228464</v>
      </c>
      <c r="T32" s="722"/>
      <c r="U32" s="713" t="s">
        <v>180</v>
      </c>
      <c r="V32" s="714"/>
      <c r="W32" s="739"/>
      <c r="X32" s="721"/>
      <c r="Y32" s="721"/>
    </row>
    <row r="33" spans="1:26">
      <c r="A33" s="716">
        <v>380</v>
      </c>
      <c r="B33" s="700">
        <v>0</v>
      </c>
      <c r="C33" s="688">
        <v>318</v>
      </c>
      <c r="D33" s="745">
        <v>31.5</v>
      </c>
      <c r="E33" s="746"/>
      <c r="F33" s="747"/>
      <c r="G33" s="748">
        <f t="shared" si="5"/>
        <v>31.5</v>
      </c>
      <c r="H33" s="746">
        <v>5.7</v>
      </c>
      <c r="I33" s="746"/>
      <c r="J33" s="746"/>
      <c r="K33" s="746"/>
      <c r="L33" s="749">
        <f t="shared" si="6"/>
        <v>5.7</v>
      </c>
      <c r="M33" s="688">
        <f t="shared" si="8"/>
        <v>803.80396935666761</v>
      </c>
      <c r="N33" s="706">
        <f t="shared" si="10"/>
        <v>286.5</v>
      </c>
      <c r="O33" s="707">
        <f t="shared" si="11"/>
        <v>317.14999999999998</v>
      </c>
      <c r="P33" s="708">
        <f t="shared" si="12"/>
        <v>0.47275208195866053</v>
      </c>
      <c r="Q33" s="709">
        <f t="shared" si="7"/>
        <v>0.14489851312032934</v>
      </c>
      <c r="R33" s="710">
        <f>SUM(Q$13:Q33)</f>
        <v>1.2417838284122249</v>
      </c>
      <c r="S33" s="711">
        <f t="shared" si="9"/>
        <v>0.39154464083626833</v>
      </c>
      <c r="T33" s="722"/>
      <c r="U33" s="713" t="s">
        <v>180</v>
      </c>
      <c r="V33" s="714"/>
      <c r="W33" s="739"/>
      <c r="X33" s="721"/>
      <c r="Y33" s="721"/>
    </row>
    <row r="34" spans="1:26">
      <c r="A34" s="716">
        <v>505</v>
      </c>
      <c r="B34" s="700">
        <v>0</v>
      </c>
      <c r="C34" s="688">
        <f>C35-D35</f>
        <v>357.8</v>
      </c>
      <c r="D34" s="745">
        <v>41.5</v>
      </c>
      <c r="E34" s="746"/>
      <c r="F34" s="747"/>
      <c r="G34" s="748">
        <f t="shared" si="5"/>
        <v>41.5</v>
      </c>
      <c r="H34" s="746">
        <v>5.7</v>
      </c>
      <c r="I34" s="746"/>
      <c r="J34" s="746"/>
      <c r="K34" s="746"/>
      <c r="L34" s="749">
        <f t="shared" si="6"/>
        <v>5.7</v>
      </c>
      <c r="M34" s="688">
        <f t="shared" si="8"/>
        <v>1058.9798326444986</v>
      </c>
      <c r="N34" s="706">
        <f t="shared" si="10"/>
        <v>317.14999999999998</v>
      </c>
      <c r="O34" s="707">
        <f t="shared" si="11"/>
        <v>357.79999999999995</v>
      </c>
      <c r="P34" s="708">
        <f t="shared" si="12"/>
        <v>0.47687404843103315</v>
      </c>
      <c r="Q34" s="709">
        <f t="shared" si="7"/>
        <v>0.19384930068721487</v>
      </c>
      <c r="R34" s="710">
        <f>SUM(Q$13:Q34)</f>
        <v>1.4356331290994397</v>
      </c>
      <c r="S34" s="711">
        <f t="shared" si="9"/>
        <v>0.40123899639447735</v>
      </c>
      <c r="T34" s="722"/>
      <c r="U34" s="713"/>
      <c r="V34" s="714"/>
      <c r="W34" s="751"/>
    </row>
    <row r="35" spans="1:26">
      <c r="A35" s="716">
        <v>530</v>
      </c>
      <c r="B35" s="700">
        <v>0</v>
      </c>
      <c r="C35" s="688">
        <v>401</v>
      </c>
      <c r="D35" s="745">
        <v>43.2</v>
      </c>
      <c r="E35" s="746"/>
      <c r="F35" s="747"/>
      <c r="G35" s="748">
        <f t="shared" si="5"/>
        <v>43.2</v>
      </c>
      <c r="H35" s="746">
        <v>5.7</v>
      </c>
      <c r="I35" s="746"/>
      <c r="J35" s="746"/>
      <c r="K35" s="746"/>
      <c r="L35" s="749">
        <f t="shared" si="6"/>
        <v>5.7</v>
      </c>
      <c r="M35" s="688">
        <f t="shared" si="8"/>
        <v>1102.3597294034298</v>
      </c>
      <c r="N35" s="706">
        <f t="shared" si="10"/>
        <v>357.79999999999995</v>
      </c>
      <c r="O35" s="707">
        <f t="shared" si="11"/>
        <v>400.8</v>
      </c>
      <c r="P35" s="708">
        <f t="shared" si="12"/>
        <v>0.48078679387791412</v>
      </c>
      <c r="Q35" s="709">
        <f t="shared" si="7"/>
        <v>0.20673832136750334</v>
      </c>
      <c r="R35" s="710">
        <f>SUM(Q$13:Q35)</f>
        <v>1.6423714504669431</v>
      </c>
      <c r="S35" s="711">
        <f t="shared" si="9"/>
        <v>0.40977331598476618</v>
      </c>
      <c r="T35" s="722"/>
      <c r="U35" s="713"/>
      <c r="V35" s="714"/>
      <c r="W35" s="752"/>
      <c r="X35" s="753"/>
      <c r="Y35" s="754"/>
      <c r="Z35" s="753"/>
    </row>
    <row r="36" spans="1:26">
      <c r="A36" s="716">
        <v>320</v>
      </c>
      <c r="B36" s="700">
        <v>0</v>
      </c>
      <c r="C36" s="688">
        <f>C37-D37</f>
        <v>427.2</v>
      </c>
      <c r="D36" s="745">
        <v>26.6</v>
      </c>
      <c r="E36" s="746"/>
      <c r="F36" s="747"/>
      <c r="G36" s="748">
        <f t="shared" si="5"/>
        <v>26.6</v>
      </c>
      <c r="H36" s="746">
        <v>5.7</v>
      </c>
      <c r="I36" s="746"/>
      <c r="J36" s="746"/>
      <c r="K36" s="746"/>
      <c r="L36" s="749">
        <f t="shared" si="6"/>
        <v>5.7</v>
      </c>
      <c r="M36" s="688">
        <f t="shared" si="8"/>
        <v>678.76779634563036</v>
      </c>
      <c r="N36" s="706">
        <f t="shared" si="10"/>
        <v>400.8</v>
      </c>
      <c r="O36" s="707">
        <f t="shared" si="11"/>
        <v>427.2</v>
      </c>
      <c r="P36" s="708">
        <f t="shared" si="12"/>
        <v>0.47144251940475851</v>
      </c>
      <c r="Q36" s="709">
        <f t="shared" si="7"/>
        <v>0.12446082512285614</v>
      </c>
      <c r="R36" s="710">
        <f>SUM(Q$13:Q36)</f>
        <v>1.7668322755897992</v>
      </c>
      <c r="S36" s="711">
        <f t="shared" si="9"/>
        <v>0.41358433417364215</v>
      </c>
      <c r="T36" s="722"/>
      <c r="U36" s="713"/>
      <c r="V36" s="714"/>
      <c r="W36" s="752"/>
      <c r="X36" s="753"/>
      <c r="Y36" s="755"/>
      <c r="Z36" s="753"/>
    </row>
    <row r="37" spans="1:26">
      <c r="A37" s="716">
        <v>150</v>
      </c>
      <c r="B37" s="700">
        <v>0</v>
      </c>
      <c r="C37" s="688">
        <f>C38-D38</f>
        <v>440.2</v>
      </c>
      <c r="D37" s="745">
        <v>13</v>
      </c>
      <c r="E37" s="746"/>
      <c r="F37" s="747"/>
      <c r="G37" s="748">
        <f t="shared" si="5"/>
        <v>13</v>
      </c>
      <c r="H37" s="746">
        <v>5.7</v>
      </c>
      <c r="I37" s="746"/>
      <c r="J37" s="746"/>
      <c r="K37" s="746"/>
      <c r="L37" s="749">
        <f t="shared" si="6"/>
        <v>5.7</v>
      </c>
      <c r="M37" s="688">
        <f t="shared" si="8"/>
        <v>331.72862227418028</v>
      </c>
      <c r="N37" s="706">
        <f t="shared" si="10"/>
        <v>427.2</v>
      </c>
      <c r="O37" s="707">
        <f t="shared" si="11"/>
        <v>440.20000000000005</v>
      </c>
      <c r="P37" s="708">
        <f t="shared" si="12"/>
        <v>0.45217683952523707</v>
      </c>
      <c r="Q37" s="709">
        <f t="shared" si="7"/>
        <v>5.8782989138281075E-2</v>
      </c>
      <c r="R37" s="710">
        <f>SUM(Q$13:Q37)</f>
        <v>1.8256152647280803</v>
      </c>
      <c r="S37" s="711">
        <f t="shared" si="9"/>
        <v>0.41472404923400275</v>
      </c>
      <c r="T37" s="722" t="s">
        <v>201</v>
      </c>
      <c r="U37" s="713"/>
      <c r="V37" s="714"/>
      <c r="W37" s="756"/>
      <c r="X37" s="753"/>
      <c r="Y37" s="753"/>
      <c r="Z37" s="753"/>
    </row>
    <row r="38" spans="1:26">
      <c r="A38" s="716">
        <v>555</v>
      </c>
      <c r="B38" s="700">
        <v>0</v>
      </c>
      <c r="C38" s="688">
        <v>481</v>
      </c>
      <c r="D38" s="745">
        <v>40.799999999999997</v>
      </c>
      <c r="E38" s="746"/>
      <c r="F38" s="747"/>
      <c r="G38" s="748">
        <f t="shared" si="5"/>
        <v>40.799999999999997</v>
      </c>
      <c r="H38" s="746">
        <v>5.7</v>
      </c>
      <c r="I38" s="746"/>
      <c r="J38" s="746"/>
      <c r="K38" s="746"/>
      <c r="L38" s="749">
        <f t="shared" si="6"/>
        <v>5.7</v>
      </c>
      <c r="M38" s="688">
        <f t="shared" si="8"/>
        <v>1041.1175222143502</v>
      </c>
      <c r="N38" s="706">
        <f t="shared" si="10"/>
        <v>440.20000000000005</v>
      </c>
      <c r="O38" s="707">
        <f t="shared" si="11"/>
        <v>482.15</v>
      </c>
      <c r="P38" s="708">
        <f t="shared" si="12"/>
        <v>0.53308102895009579</v>
      </c>
      <c r="Q38" s="709">
        <f t="shared" si="7"/>
        <v>0.2236274916445648</v>
      </c>
      <c r="R38" s="710">
        <f>SUM(Q$13:Q38)</f>
        <v>2.049242756372645</v>
      </c>
      <c r="S38" s="711">
        <f t="shared" si="9"/>
        <v>0.42502183062794674</v>
      </c>
      <c r="U38" s="713"/>
      <c r="V38" s="714"/>
      <c r="W38" s="757"/>
      <c r="X38" s="758"/>
    </row>
    <row r="39" spans="1:26">
      <c r="A39" s="716">
        <v>270</v>
      </c>
      <c r="B39" s="700">
        <v>0</v>
      </c>
      <c r="C39" s="688">
        <f>C40-D40</f>
        <v>503.00000000000006</v>
      </c>
      <c r="D39" s="745">
        <v>19.7</v>
      </c>
      <c r="E39" s="746"/>
      <c r="F39" s="747"/>
      <c r="G39" s="748">
        <f t="shared" si="5"/>
        <v>19.7</v>
      </c>
      <c r="H39" s="746">
        <v>5.7</v>
      </c>
      <c r="I39" s="746"/>
      <c r="J39" s="746"/>
      <c r="K39" s="746"/>
      <c r="L39" s="749">
        <f t="shared" si="6"/>
        <v>5.7</v>
      </c>
      <c r="M39" s="688">
        <f t="shared" si="8"/>
        <v>502.69645067702697</v>
      </c>
      <c r="N39" s="706">
        <f t="shared" si="10"/>
        <v>482.15</v>
      </c>
      <c r="O39" s="707">
        <f t="shared" si="11"/>
        <v>503</v>
      </c>
      <c r="P39" s="708">
        <f t="shared" si="12"/>
        <v>0.53710345405535775</v>
      </c>
      <c r="Q39" s="709">
        <f>(P39*(O39-N39))/100</f>
        <v>0.11198607017054223</v>
      </c>
      <c r="R39" s="710">
        <f>SUM(Q$13:Q39)</f>
        <v>2.1612288265431872</v>
      </c>
      <c r="S39" s="711">
        <f t="shared" si="9"/>
        <v>0.4296677587561008</v>
      </c>
      <c r="T39" s="722"/>
      <c r="U39" s="713"/>
      <c r="V39" s="714"/>
      <c r="W39" s="758"/>
      <c r="X39" s="758"/>
    </row>
    <row r="40" spans="1:26">
      <c r="A40" s="716">
        <v>235</v>
      </c>
      <c r="B40" s="700">
        <v>0</v>
      </c>
      <c r="C40" s="688">
        <f>C41-D41</f>
        <v>519.70000000000005</v>
      </c>
      <c r="D40" s="745">
        <v>16.7</v>
      </c>
      <c r="E40" s="746"/>
      <c r="F40" s="747"/>
      <c r="G40" s="748">
        <f t="shared" si="5"/>
        <v>16.7</v>
      </c>
      <c r="H40" s="746">
        <v>5.7</v>
      </c>
      <c r="I40" s="746"/>
      <c r="J40" s="746"/>
      <c r="K40" s="746"/>
      <c r="L40" s="749">
        <f t="shared" si="6"/>
        <v>5.7</v>
      </c>
      <c r="M40" s="688">
        <f t="shared" si="8"/>
        <v>426.14369169067771</v>
      </c>
      <c r="N40" s="706">
        <f t="shared" si="10"/>
        <v>503</v>
      </c>
      <c r="O40" s="707">
        <f t="shared" si="11"/>
        <v>519.70000000000005</v>
      </c>
      <c r="P40" s="708">
        <f t="shared" si="12"/>
        <v>0.55145718353277418</v>
      </c>
      <c r="Q40" s="709">
        <f>(P40*(O40-N40))/100</f>
        <v>9.2093349649973538E-2</v>
      </c>
      <c r="R40" s="710">
        <f>SUM(Q$13:Q40)</f>
        <v>2.2533221761931608</v>
      </c>
      <c r="S40" s="711">
        <f t="shared" si="9"/>
        <v>0.43358133080491834</v>
      </c>
      <c r="T40" s="722"/>
      <c r="U40" s="713"/>
      <c r="V40" s="714"/>
    </row>
    <row r="41" spans="1:26">
      <c r="A41" s="716">
        <v>490</v>
      </c>
      <c r="B41" s="700">
        <v>0</v>
      </c>
      <c r="C41" s="688">
        <v>553</v>
      </c>
      <c r="D41" s="745">
        <v>33.299999999999997</v>
      </c>
      <c r="E41" s="746"/>
      <c r="F41" s="747"/>
      <c r="G41" s="748">
        <f t="shared" si="5"/>
        <v>33.299999999999997</v>
      </c>
      <c r="H41" s="746">
        <v>5.7</v>
      </c>
      <c r="I41" s="746"/>
      <c r="J41" s="746"/>
      <c r="K41" s="746"/>
      <c r="L41" s="749">
        <f t="shared" si="6"/>
        <v>5.7</v>
      </c>
      <c r="M41" s="688">
        <f t="shared" si="8"/>
        <v>849.73562474847711</v>
      </c>
      <c r="N41" s="706">
        <f t="shared" si="10"/>
        <v>519.70000000000005</v>
      </c>
      <c r="O41" s="707">
        <f>C41</f>
        <v>553</v>
      </c>
      <c r="P41" s="708">
        <f t="shared" si="12"/>
        <v>0.57664994349865073</v>
      </c>
      <c r="Q41" s="709">
        <f t="shared" si="7"/>
        <v>0.19202443118505044</v>
      </c>
      <c r="R41" s="710">
        <f>SUM(Q$13:Q41)</f>
        <v>2.4453466073782111</v>
      </c>
      <c r="S41" s="711">
        <f>R41/O41*100</f>
        <v>0.44219649319678322</v>
      </c>
      <c r="T41" s="722"/>
      <c r="U41" s="713"/>
      <c r="V41" s="714"/>
    </row>
    <row r="42" spans="1:26">
      <c r="A42" s="716"/>
      <c r="B42" s="700">
        <v>0</v>
      </c>
      <c r="C42" s="688"/>
      <c r="D42" s="745"/>
      <c r="E42" s="746"/>
      <c r="F42" s="747"/>
      <c r="G42" s="748"/>
      <c r="H42" s="746"/>
      <c r="I42" s="746"/>
      <c r="J42" s="746"/>
      <c r="K42" s="746"/>
      <c r="L42" s="749"/>
      <c r="M42" s="688"/>
      <c r="N42" s="706"/>
      <c r="O42" s="707"/>
      <c r="P42" s="708"/>
      <c r="Q42" s="709"/>
      <c r="R42" s="710"/>
      <c r="S42" s="711"/>
      <c r="T42" s="722"/>
      <c r="U42" s="713"/>
      <c r="V42" s="714"/>
    </row>
    <row r="43" spans="1:26">
      <c r="A43" s="716"/>
      <c r="B43" s="700">
        <v>0</v>
      </c>
      <c r="C43" s="688"/>
      <c r="D43" s="745"/>
      <c r="E43" s="746"/>
      <c r="F43" s="747"/>
      <c r="G43" s="748"/>
      <c r="H43" s="746"/>
      <c r="I43" s="746"/>
      <c r="J43" s="746"/>
      <c r="K43" s="746"/>
      <c r="L43" s="749"/>
      <c r="M43" s="688"/>
      <c r="N43" s="706"/>
      <c r="O43" s="707"/>
      <c r="P43" s="708"/>
      <c r="Q43" s="709"/>
      <c r="R43" s="710"/>
      <c r="S43" s="711"/>
      <c r="T43" s="722"/>
      <c r="U43" s="713"/>
      <c r="V43" s="714"/>
    </row>
    <row r="44" spans="1:26">
      <c r="A44" s="716"/>
      <c r="B44" s="700">
        <v>0</v>
      </c>
      <c r="C44" s="688"/>
      <c r="D44" s="745"/>
      <c r="E44" s="746"/>
      <c r="F44" s="747"/>
      <c r="G44" s="748"/>
      <c r="H44" s="746"/>
      <c r="I44" s="746"/>
      <c r="J44" s="746"/>
      <c r="K44" s="746"/>
      <c r="L44" s="749"/>
      <c r="M44" s="688"/>
      <c r="N44" s="706"/>
      <c r="O44" s="707"/>
      <c r="P44" s="708"/>
      <c r="Q44" s="709"/>
      <c r="R44" s="710"/>
      <c r="S44" s="711"/>
      <c r="T44" s="722"/>
      <c r="U44" s="713"/>
      <c r="V44" s="714"/>
    </row>
    <row r="45" spans="1:26">
      <c r="A45" s="716"/>
      <c r="B45" s="700">
        <v>0</v>
      </c>
      <c r="C45" s="688"/>
      <c r="D45" s="745"/>
      <c r="E45" s="746"/>
      <c r="F45" s="747"/>
      <c r="G45" s="748"/>
      <c r="H45" s="746"/>
      <c r="I45" s="746"/>
      <c r="J45" s="746"/>
      <c r="K45" s="746"/>
      <c r="L45" s="749"/>
      <c r="M45" s="688"/>
      <c r="N45" s="706"/>
      <c r="O45" s="707"/>
      <c r="P45" s="708"/>
      <c r="Q45" s="709"/>
      <c r="R45" s="710"/>
      <c r="S45" s="711"/>
      <c r="T45" s="722"/>
      <c r="U45" s="713"/>
      <c r="V45" s="714"/>
    </row>
    <row r="46" spans="1:26">
      <c r="A46" s="716"/>
      <c r="B46" s="700">
        <v>0</v>
      </c>
      <c r="C46" s="688"/>
      <c r="D46" s="745"/>
      <c r="E46" s="746"/>
      <c r="F46" s="747"/>
      <c r="G46" s="748"/>
      <c r="H46" s="746"/>
      <c r="I46" s="746"/>
      <c r="J46" s="746"/>
      <c r="K46" s="746"/>
      <c r="L46" s="749"/>
      <c r="M46" s="688"/>
      <c r="N46" s="706"/>
      <c r="O46" s="707"/>
      <c r="P46" s="708"/>
      <c r="Q46" s="709"/>
      <c r="R46" s="710"/>
      <c r="S46" s="711"/>
      <c r="T46" s="722"/>
      <c r="U46" s="713"/>
      <c r="V46" s="714"/>
    </row>
    <row r="47" spans="1:26">
      <c r="A47" s="716"/>
      <c r="B47" s="700">
        <v>0</v>
      </c>
      <c r="C47" s="688"/>
      <c r="D47" s="745"/>
      <c r="E47" s="746"/>
      <c r="F47" s="747"/>
      <c r="G47" s="748"/>
      <c r="H47" s="746"/>
      <c r="I47" s="746"/>
      <c r="J47" s="746"/>
      <c r="K47" s="746"/>
      <c r="L47" s="749"/>
      <c r="M47" s="688"/>
      <c r="N47" s="706"/>
      <c r="O47" s="707"/>
      <c r="P47" s="708"/>
      <c r="Q47" s="709"/>
      <c r="R47" s="710"/>
      <c r="S47" s="711"/>
      <c r="T47" s="722"/>
      <c r="U47" s="713"/>
      <c r="V47" s="714"/>
    </row>
    <row r="48" spans="1:26">
      <c r="A48" s="716"/>
      <c r="B48" s="700">
        <v>0</v>
      </c>
      <c r="C48" s="688"/>
      <c r="D48" s="745"/>
      <c r="E48" s="746"/>
      <c r="F48" s="747"/>
      <c r="G48" s="748"/>
      <c r="H48" s="746"/>
      <c r="I48" s="746"/>
      <c r="J48" s="746"/>
      <c r="K48" s="746"/>
      <c r="L48" s="749"/>
      <c r="M48" s="688"/>
      <c r="N48" s="706"/>
      <c r="O48" s="707"/>
      <c r="P48" s="708"/>
      <c r="Q48" s="709"/>
      <c r="R48" s="710"/>
      <c r="S48" s="711"/>
      <c r="T48" s="722"/>
      <c r="U48" s="713"/>
      <c r="V48" s="714"/>
    </row>
    <row r="49" spans="1:26">
      <c r="A49" s="716"/>
      <c r="B49" s="700">
        <v>0</v>
      </c>
      <c r="C49" s="688"/>
      <c r="D49" s="745"/>
      <c r="E49" s="746"/>
      <c r="F49" s="747"/>
      <c r="G49" s="748"/>
      <c r="H49" s="746"/>
      <c r="I49" s="746"/>
      <c r="J49" s="746"/>
      <c r="K49" s="746"/>
      <c r="L49" s="749"/>
      <c r="M49" s="688"/>
      <c r="N49" s="706"/>
      <c r="O49" s="707"/>
      <c r="P49" s="708"/>
      <c r="Q49" s="709"/>
      <c r="R49" s="710"/>
      <c r="S49" s="711"/>
      <c r="T49" s="722"/>
      <c r="U49" s="713"/>
      <c r="V49" s="714"/>
    </row>
    <row r="50" spans="1:26">
      <c r="A50" s="716"/>
      <c r="B50" s="700">
        <v>0</v>
      </c>
      <c r="C50" s="688"/>
      <c r="D50" s="745"/>
      <c r="E50" s="746"/>
      <c r="F50" s="747"/>
      <c r="G50" s="748"/>
      <c r="H50" s="746"/>
      <c r="I50" s="746"/>
      <c r="J50" s="746"/>
      <c r="K50" s="746"/>
      <c r="L50" s="749"/>
      <c r="M50" s="688"/>
      <c r="N50" s="706"/>
      <c r="O50" s="707"/>
      <c r="P50" s="708"/>
      <c r="Q50" s="709"/>
      <c r="R50" s="710"/>
      <c r="S50" s="711"/>
      <c r="T50" s="722"/>
      <c r="U50" s="713"/>
      <c r="V50" s="714"/>
    </row>
    <row r="51" spans="1:26">
      <c r="A51" s="716"/>
      <c r="B51" s="700">
        <v>0</v>
      </c>
      <c r="C51" s="688"/>
      <c r="D51" s="745"/>
      <c r="E51" s="746"/>
      <c r="F51" s="747"/>
      <c r="G51" s="748"/>
      <c r="H51" s="746"/>
      <c r="I51" s="746"/>
      <c r="J51" s="746"/>
      <c r="K51" s="746"/>
      <c r="L51" s="749"/>
      <c r="M51" s="688"/>
      <c r="N51" s="706"/>
      <c r="O51" s="707"/>
      <c r="P51" s="708"/>
      <c r="Q51" s="709"/>
      <c r="R51" s="710"/>
      <c r="S51" s="711"/>
      <c r="T51" s="722"/>
      <c r="U51" s="713"/>
      <c r="V51" s="714"/>
    </row>
    <row r="52" spans="1:26" ht="12" thickBot="1">
      <c r="A52" s="716"/>
      <c r="B52" s="700">
        <v>0</v>
      </c>
      <c r="C52" s="688"/>
      <c r="D52" s="745"/>
      <c r="E52" s="746"/>
      <c r="F52" s="747"/>
      <c r="G52" s="748"/>
      <c r="H52" s="746"/>
      <c r="I52" s="746"/>
      <c r="J52" s="746"/>
      <c r="K52" s="746"/>
      <c r="L52" s="749"/>
      <c r="M52" s="688"/>
      <c r="N52" s="706"/>
      <c r="O52" s="707"/>
      <c r="P52" s="708"/>
      <c r="Q52" s="709"/>
      <c r="R52" s="710"/>
      <c r="S52" s="711"/>
      <c r="T52" s="722"/>
      <c r="U52" s="713"/>
      <c r="V52" s="759"/>
    </row>
    <row r="53" spans="1:26">
      <c r="A53" s="716"/>
      <c r="B53" s="700">
        <v>0</v>
      </c>
      <c r="C53" s="688"/>
      <c r="D53" s="745"/>
      <c r="E53" s="746"/>
      <c r="F53" s="747"/>
      <c r="G53" s="748"/>
      <c r="H53" s="746"/>
      <c r="I53" s="746"/>
      <c r="J53" s="746"/>
      <c r="K53" s="746"/>
      <c r="L53" s="749"/>
      <c r="M53" s="688"/>
      <c r="N53" s="706"/>
      <c r="O53" s="707"/>
      <c r="P53" s="708"/>
      <c r="Q53" s="709"/>
      <c r="R53" s="710"/>
      <c r="S53" s="711"/>
      <c r="T53" s="722"/>
      <c r="U53" s="760" t="s">
        <v>183</v>
      </c>
      <c r="V53" s="761">
        <f>AVERAGE(V12:V52)</f>
        <v>446.66666666666669</v>
      </c>
    </row>
    <row r="54" spans="1:26">
      <c r="A54" s="716"/>
      <c r="B54" s="700">
        <v>0</v>
      </c>
      <c r="C54" s="688"/>
      <c r="D54" s="745"/>
      <c r="E54" s="746"/>
      <c r="F54" s="747"/>
      <c r="G54" s="748"/>
      <c r="H54" s="746"/>
      <c r="I54" s="746"/>
      <c r="J54" s="746"/>
      <c r="K54" s="746"/>
      <c r="L54" s="749"/>
      <c r="M54" s="688"/>
      <c r="N54" s="706"/>
      <c r="O54" s="707"/>
      <c r="P54" s="708"/>
      <c r="Q54" s="709"/>
      <c r="R54" s="710"/>
      <c r="S54" s="711"/>
      <c r="T54" s="722"/>
      <c r="U54" s="586" t="s">
        <v>184</v>
      </c>
      <c r="V54" s="759">
        <f>STDEV(V12:V52)</f>
        <v>8.0208062770106423</v>
      </c>
      <c r="W54" s="762"/>
      <c r="X54" s="762"/>
    </row>
    <row r="55" spans="1:26">
      <c r="A55" s="763" t="s">
        <v>185</v>
      </c>
      <c r="B55" s="764"/>
      <c r="C55" s="765"/>
      <c r="D55" s="765"/>
      <c r="E55" s="765"/>
      <c r="F55" s="765"/>
      <c r="G55" s="766"/>
      <c r="H55" s="765"/>
      <c r="I55" s="765"/>
      <c r="J55" s="765"/>
      <c r="K55" s="765"/>
      <c r="L55" s="767"/>
      <c r="M55" s="765"/>
      <c r="N55" s="768"/>
      <c r="O55" s="769"/>
      <c r="P55" s="770"/>
      <c r="Q55" s="771"/>
      <c r="R55" s="772"/>
      <c r="S55" s="773"/>
      <c r="T55" s="774"/>
      <c r="U55" s="586" t="s">
        <v>186</v>
      </c>
      <c r="V55" s="759">
        <f>V54/SQRT(COUNT(V12:V51))</f>
        <v>4.630814663149935</v>
      </c>
      <c r="W55" s="757"/>
      <c r="X55" s="762"/>
      <c r="Y55" s="762"/>
      <c r="Z55" s="762"/>
    </row>
    <row r="56" spans="1:26">
      <c r="A56" s="775"/>
      <c r="B56" s="776"/>
      <c r="C56" s="777"/>
      <c r="D56" s="777"/>
      <c r="E56" s="777"/>
      <c r="F56" s="777"/>
      <c r="G56" s="778"/>
      <c r="H56" s="777"/>
      <c r="I56" s="777"/>
      <c r="J56" s="777"/>
      <c r="K56" s="777"/>
      <c r="L56" s="779"/>
      <c r="M56" s="777"/>
      <c r="N56" s="780"/>
      <c r="O56" s="781"/>
      <c r="P56" s="782"/>
      <c r="Q56" s="783"/>
      <c r="R56" s="784"/>
      <c r="S56" s="785"/>
      <c r="T56" s="786"/>
      <c r="U56" s="586" t="s">
        <v>187</v>
      </c>
      <c r="V56" s="759">
        <f>MAX(V12:V52)</f>
        <v>455</v>
      </c>
      <c r="W56" s="757"/>
    </row>
    <row r="57" spans="1:26" ht="12" thickBot="1">
      <c r="A57" s="787"/>
      <c r="B57" s="788"/>
      <c r="C57" s="789"/>
      <c r="D57" s="789"/>
      <c r="E57" s="789"/>
      <c r="F57" s="789"/>
      <c r="G57" s="790"/>
      <c r="H57" s="789"/>
      <c r="I57" s="789"/>
      <c r="J57" s="789"/>
      <c r="K57" s="789"/>
      <c r="L57" s="791"/>
      <c r="M57" s="789"/>
      <c r="N57" s="792"/>
      <c r="O57" s="793"/>
      <c r="P57" s="794"/>
      <c r="Q57" s="795"/>
      <c r="R57" s="796"/>
      <c r="S57" s="797"/>
      <c r="T57" s="798"/>
      <c r="U57" s="799" t="s">
        <v>188</v>
      </c>
      <c r="V57" s="800">
        <f>MIN(V12:V52)</f>
        <v>439</v>
      </c>
      <c r="W57" s="762"/>
    </row>
    <row r="58" spans="1:26">
      <c r="A58" s="801"/>
      <c r="B58" s="801"/>
      <c r="C58" s="802"/>
      <c r="D58" s="803"/>
      <c r="E58" s="803"/>
      <c r="F58" s="803"/>
      <c r="G58" s="804"/>
      <c r="H58" s="805"/>
      <c r="I58" s="806"/>
      <c r="J58" s="807"/>
      <c r="K58" s="808"/>
      <c r="L58" s="809"/>
      <c r="M58" s="762"/>
      <c r="O58" s="750"/>
      <c r="P58" s="810"/>
    </row>
    <row r="59" spans="1:26">
      <c r="A59" s="762"/>
      <c r="B59" s="762"/>
      <c r="C59" s="811"/>
      <c r="D59" s="811"/>
      <c r="E59" s="811"/>
      <c r="F59" s="811"/>
      <c r="G59" s="806"/>
      <c r="H59" s="805"/>
      <c r="I59" s="806"/>
      <c r="J59" s="807"/>
      <c r="K59" s="812"/>
      <c r="L59" s="809"/>
      <c r="M59" s="762"/>
      <c r="O59" s="750"/>
      <c r="P59" s="810"/>
    </row>
    <row r="60" spans="1:26">
      <c r="A60" s="813"/>
      <c r="B60" s="813"/>
      <c r="C60" s="813"/>
      <c r="D60" s="813"/>
      <c r="E60" s="807"/>
      <c r="F60" s="814"/>
      <c r="G60" s="762"/>
      <c r="H60" s="750"/>
      <c r="I60" s="762"/>
      <c r="J60" s="750"/>
      <c r="K60" s="750"/>
      <c r="L60" s="762"/>
      <c r="M60" s="762"/>
      <c r="O60" s="750"/>
      <c r="P60" s="810"/>
    </row>
    <row r="61" spans="1:26">
      <c r="A61" s="815"/>
      <c r="B61" s="815"/>
      <c r="C61" s="813"/>
      <c r="D61" s="813"/>
      <c r="E61" s="807"/>
      <c r="F61" s="814"/>
      <c r="G61" s="750"/>
      <c r="H61" s="750"/>
      <c r="I61" s="762"/>
      <c r="J61" s="750"/>
      <c r="K61" s="750"/>
      <c r="L61" s="762"/>
      <c r="M61" s="762"/>
      <c r="O61" s="750"/>
      <c r="P61" s="810"/>
    </row>
    <row r="62" spans="1:26">
      <c r="A62" s="659"/>
      <c r="B62" s="659"/>
      <c r="C62" s="813"/>
      <c r="D62" s="813"/>
      <c r="E62" s="807"/>
      <c r="F62" s="814"/>
      <c r="G62" s="750"/>
      <c r="H62" s="750"/>
      <c r="I62" s="762"/>
      <c r="J62" s="750"/>
      <c r="K62" s="750"/>
      <c r="L62" s="762"/>
      <c r="M62" s="762"/>
      <c r="O62" s="750"/>
      <c r="P62" s="810"/>
    </row>
    <row r="63" spans="1:26">
      <c r="A63" s="813"/>
      <c r="B63" s="813"/>
      <c r="C63" s="813"/>
      <c r="D63" s="813"/>
      <c r="E63" s="807"/>
      <c r="F63" s="814"/>
      <c r="G63" s="750"/>
      <c r="H63" s="750"/>
      <c r="I63" s="762"/>
      <c r="J63" s="750"/>
      <c r="K63" s="750"/>
      <c r="L63" s="762"/>
      <c r="M63" s="762"/>
      <c r="O63" s="750"/>
      <c r="P63" s="810"/>
    </row>
    <row r="64" spans="1:26">
      <c r="A64" s="813"/>
      <c r="B64" s="813"/>
      <c r="C64" s="813"/>
      <c r="D64" s="813"/>
      <c r="E64" s="807"/>
      <c r="F64" s="814"/>
      <c r="G64" s="750"/>
      <c r="H64" s="750"/>
      <c r="I64" s="762"/>
      <c r="J64" s="806"/>
      <c r="K64" s="750"/>
      <c r="L64" s="762"/>
      <c r="M64" s="762"/>
      <c r="O64" s="750"/>
      <c r="P64" s="810"/>
    </row>
    <row r="65" spans="1:16">
      <c r="A65" s="813"/>
      <c r="B65" s="813"/>
      <c r="C65" s="813"/>
      <c r="D65" s="813"/>
      <c r="E65" s="807"/>
      <c r="F65" s="814"/>
      <c r="G65" s="750"/>
      <c r="H65" s="750"/>
      <c r="I65" s="762"/>
      <c r="J65" s="806"/>
      <c r="K65" s="750"/>
      <c r="L65" s="762"/>
      <c r="M65" s="762"/>
      <c r="O65" s="750"/>
      <c r="P65" s="810"/>
    </row>
    <row r="66" spans="1:16">
      <c r="A66" s="813"/>
      <c r="B66" s="813"/>
      <c r="C66" s="813"/>
      <c r="D66" s="813"/>
      <c r="E66" s="807"/>
      <c r="F66" s="814"/>
      <c r="G66" s="750"/>
      <c r="H66" s="750"/>
      <c r="I66" s="762"/>
      <c r="J66" s="750"/>
      <c r="K66" s="750"/>
      <c r="L66" s="762"/>
      <c r="M66" s="762"/>
      <c r="O66" s="750"/>
      <c r="P66" s="810"/>
    </row>
    <row r="67" spans="1:16">
      <c r="A67" s="813"/>
      <c r="B67" s="813"/>
      <c r="C67" s="813"/>
      <c r="D67" s="813"/>
      <c r="E67" s="807"/>
      <c r="F67" s="814"/>
      <c r="G67" s="750"/>
      <c r="H67" s="750"/>
      <c r="I67" s="762"/>
      <c r="J67" s="750"/>
      <c r="K67" s="750"/>
      <c r="L67" s="762"/>
      <c r="M67" s="762"/>
      <c r="O67" s="750"/>
      <c r="P67" s="810"/>
    </row>
    <row r="68" spans="1:16">
      <c r="A68" s="813"/>
      <c r="B68" s="813"/>
      <c r="C68" s="813"/>
      <c r="D68" s="813"/>
      <c r="E68" s="807"/>
      <c r="F68" s="814"/>
      <c r="G68" s="750"/>
      <c r="H68" s="750"/>
      <c r="I68" s="762"/>
      <c r="J68" s="750"/>
      <c r="K68" s="750"/>
      <c r="L68" s="762"/>
      <c r="M68" s="762"/>
      <c r="O68" s="750"/>
      <c r="P68" s="810"/>
    </row>
    <row r="69" spans="1:16">
      <c r="A69" s="813"/>
      <c r="B69" s="813"/>
      <c r="C69" s="813"/>
      <c r="D69" s="813"/>
      <c r="E69" s="807"/>
      <c r="F69" s="814"/>
      <c r="G69" s="750"/>
      <c r="H69" s="750"/>
      <c r="I69" s="762"/>
      <c r="J69" s="750"/>
      <c r="K69" s="750"/>
      <c r="L69" s="762"/>
      <c r="M69" s="762"/>
      <c r="O69" s="750"/>
      <c r="P69" s="810"/>
    </row>
    <row r="70" spans="1:16">
      <c r="A70" s="813"/>
      <c r="B70" s="813"/>
      <c r="C70" s="813"/>
      <c r="D70" s="813"/>
      <c r="E70" s="807"/>
      <c r="F70" s="814"/>
      <c r="G70" s="750"/>
      <c r="H70" s="750"/>
      <c r="I70" s="762"/>
      <c r="J70" s="750"/>
      <c r="K70" s="750"/>
      <c r="L70" s="762"/>
      <c r="M70" s="762"/>
      <c r="O70" s="750"/>
      <c r="P70" s="810"/>
    </row>
    <row r="71" spans="1:16">
      <c r="A71" s="813"/>
      <c r="B71" s="813"/>
      <c r="C71" s="813"/>
      <c r="D71" s="813"/>
      <c r="E71" s="807"/>
      <c r="F71" s="814"/>
      <c r="G71" s="750"/>
      <c r="H71" s="750"/>
      <c r="I71" s="762"/>
      <c r="J71" s="750"/>
      <c r="K71" s="750"/>
      <c r="L71" s="762"/>
      <c r="O71" s="750"/>
      <c r="P71" s="810"/>
    </row>
    <row r="72" spans="1:16">
      <c r="A72" s="813"/>
      <c r="B72" s="813"/>
      <c r="C72" s="813"/>
      <c r="D72" s="813"/>
      <c r="E72" s="807"/>
      <c r="F72" s="814"/>
      <c r="G72" s="750"/>
      <c r="H72" s="750"/>
      <c r="I72" s="762"/>
      <c r="J72" s="750"/>
      <c r="K72" s="750"/>
      <c r="L72" s="762"/>
      <c r="O72" s="750"/>
      <c r="P72" s="810"/>
    </row>
    <row r="73" spans="1:16">
      <c r="A73" s="813"/>
      <c r="B73" s="813"/>
      <c r="C73" s="813"/>
      <c r="D73" s="813"/>
      <c r="E73" s="807"/>
      <c r="F73" s="814"/>
      <c r="G73" s="750"/>
      <c r="H73" s="750"/>
      <c r="I73" s="762"/>
      <c r="J73" s="750"/>
      <c r="K73" s="750"/>
      <c r="L73" s="750"/>
      <c r="O73" s="750"/>
      <c r="P73" s="810"/>
    </row>
    <row r="74" spans="1:16">
      <c r="A74" s="813"/>
      <c r="B74" s="813"/>
      <c r="C74" s="813"/>
      <c r="D74" s="813"/>
      <c r="E74" s="807"/>
      <c r="F74" s="814"/>
      <c r="G74" s="750"/>
      <c r="H74" s="750"/>
      <c r="I74" s="762"/>
      <c r="J74" s="750"/>
      <c r="K74" s="750"/>
      <c r="L74" s="750"/>
      <c r="O74" s="750"/>
      <c r="P74" s="810"/>
    </row>
    <row r="75" spans="1:16">
      <c r="A75" s="813"/>
      <c r="B75" s="813"/>
      <c r="C75" s="813"/>
      <c r="D75" s="813"/>
      <c r="E75" s="807"/>
      <c r="F75" s="814"/>
      <c r="G75" s="750"/>
      <c r="H75" s="750"/>
      <c r="I75" s="762"/>
      <c r="J75" s="750"/>
      <c r="K75" s="750"/>
      <c r="L75" s="750"/>
      <c r="O75" s="750"/>
      <c r="P75" s="810"/>
    </row>
    <row r="76" spans="1:16">
      <c r="A76" s="813"/>
      <c r="B76" s="813"/>
      <c r="C76" s="813"/>
      <c r="D76" s="813"/>
      <c r="E76" s="807"/>
      <c r="F76" s="814"/>
      <c r="G76" s="750"/>
      <c r="H76" s="750"/>
      <c r="I76" s="762"/>
      <c r="J76" s="750"/>
      <c r="K76" s="750"/>
      <c r="L76" s="750"/>
      <c r="O76" s="750"/>
      <c r="P76" s="810"/>
    </row>
    <row r="77" spans="1:16">
      <c r="A77" s="813"/>
      <c r="B77" s="813"/>
      <c r="C77" s="813"/>
      <c r="D77" s="813"/>
      <c r="E77" s="807"/>
      <c r="F77" s="814"/>
      <c r="G77" s="750"/>
      <c r="H77" s="750"/>
      <c r="I77" s="762"/>
      <c r="J77" s="750"/>
      <c r="K77" s="750"/>
      <c r="L77" s="750"/>
      <c r="O77" s="750"/>
      <c r="P77" s="810"/>
    </row>
    <row r="78" spans="1:16">
      <c r="A78" s="813"/>
      <c r="B78" s="813"/>
      <c r="C78" s="813"/>
      <c r="D78" s="813"/>
      <c r="E78" s="807"/>
      <c r="F78" s="814"/>
      <c r="G78" s="750"/>
      <c r="H78" s="750"/>
      <c r="I78" s="762"/>
      <c r="J78" s="750"/>
      <c r="K78" s="750"/>
      <c r="L78" s="750"/>
      <c r="O78" s="750"/>
      <c r="P78" s="810"/>
    </row>
    <row r="79" spans="1:16">
      <c r="A79" s="813"/>
      <c r="B79" s="813"/>
      <c r="C79" s="813"/>
      <c r="D79" s="813"/>
      <c r="E79" s="807"/>
      <c r="F79" s="814"/>
      <c r="G79" s="750"/>
      <c r="H79" s="750"/>
      <c r="I79" s="762"/>
      <c r="J79" s="750"/>
      <c r="K79" s="750"/>
      <c r="L79" s="750"/>
      <c r="O79" s="750"/>
      <c r="P79" s="810"/>
    </row>
    <row r="80" spans="1:16">
      <c r="A80" s="813"/>
      <c r="B80" s="813"/>
      <c r="C80" s="813"/>
      <c r="D80" s="813"/>
      <c r="E80" s="807"/>
      <c r="F80" s="814"/>
      <c r="G80" s="750"/>
      <c r="H80" s="750"/>
      <c r="I80" s="762"/>
      <c r="J80" s="750"/>
      <c r="K80" s="750"/>
      <c r="L80" s="750"/>
      <c r="O80" s="750"/>
      <c r="P80" s="810"/>
    </row>
    <row r="81" spans="1:19">
      <c r="A81" s="813"/>
      <c r="B81" s="813"/>
      <c r="C81" s="813"/>
      <c r="D81" s="813"/>
      <c r="E81" s="807"/>
      <c r="F81" s="814"/>
      <c r="G81" s="750"/>
      <c r="H81" s="750"/>
      <c r="I81" s="762"/>
      <c r="J81" s="750"/>
      <c r="K81" s="750"/>
      <c r="L81" s="750"/>
      <c r="O81" s="750"/>
      <c r="P81" s="810"/>
    </row>
    <row r="82" spans="1:19">
      <c r="A82" s="813"/>
      <c r="B82" s="813"/>
      <c r="C82" s="813"/>
      <c r="D82" s="813"/>
      <c r="E82" s="807"/>
      <c r="F82" s="814"/>
      <c r="G82" s="750"/>
      <c r="H82" s="750"/>
      <c r="I82" s="762"/>
      <c r="J82" s="750"/>
      <c r="K82" s="750"/>
      <c r="L82" s="750"/>
      <c r="O82" s="750"/>
      <c r="P82" s="810"/>
    </row>
    <row r="83" spans="1:19">
      <c r="A83" s="813"/>
      <c r="B83" s="813"/>
      <c r="C83" s="813"/>
      <c r="D83" s="813"/>
      <c r="E83" s="807"/>
      <c r="F83" s="814"/>
      <c r="G83" s="750"/>
      <c r="H83" s="750"/>
      <c r="I83" s="762"/>
      <c r="J83" s="750"/>
      <c r="K83" s="750"/>
      <c r="L83" s="750"/>
      <c r="O83" s="750"/>
      <c r="P83" s="810"/>
    </row>
    <row r="84" spans="1:19">
      <c r="A84" s="813"/>
      <c r="B84" s="813"/>
      <c r="C84" s="813"/>
      <c r="D84" s="813"/>
      <c r="E84" s="807"/>
      <c r="F84" s="814"/>
      <c r="G84" s="810"/>
      <c r="H84" s="750"/>
      <c r="I84" s="762"/>
      <c r="J84" s="750"/>
      <c r="K84" s="750"/>
      <c r="L84" s="750"/>
      <c r="O84" s="750"/>
      <c r="P84" s="810"/>
    </row>
    <row r="85" spans="1:19">
      <c r="A85" s="813"/>
      <c r="B85" s="813"/>
      <c r="C85" s="813"/>
      <c r="D85" s="813"/>
      <c r="E85" s="807"/>
      <c r="F85" s="814"/>
      <c r="G85" s="810"/>
      <c r="H85" s="750"/>
      <c r="I85" s="762"/>
      <c r="J85" s="750"/>
      <c r="K85" s="750"/>
      <c r="L85" s="750"/>
      <c r="O85" s="750"/>
      <c r="P85" s="810"/>
    </row>
    <row r="86" spans="1:19">
      <c r="A86" s="813"/>
      <c r="B86" s="813"/>
      <c r="C86" s="813"/>
      <c r="D86" s="813"/>
      <c r="E86" s="807"/>
      <c r="F86" s="814"/>
      <c r="G86" s="810"/>
      <c r="H86" s="750"/>
      <c r="I86" s="762"/>
      <c r="J86" s="750"/>
      <c r="K86" s="750"/>
      <c r="L86" s="750"/>
      <c r="O86" s="750"/>
      <c r="P86" s="810"/>
    </row>
    <row r="87" spans="1:19">
      <c r="A87" s="813"/>
      <c r="B87" s="813"/>
      <c r="C87" s="813"/>
      <c r="D87" s="813"/>
      <c r="E87" s="807"/>
      <c r="F87" s="814"/>
      <c r="G87" s="810"/>
      <c r="H87" s="750"/>
      <c r="I87" s="762"/>
      <c r="J87" s="750"/>
      <c r="K87" s="750"/>
      <c r="L87" s="750"/>
      <c r="O87" s="750"/>
      <c r="P87" s="810"/>
    </row>
    <row r="88" spans="1:19">
      <c r="A88" s="813"/>
      <c r="B88" s="813"/>
      <c r="C88" s="813"/>
      <c r="D88" s="813"/>
      <c r="E88" s="807"/>
      <c r="F88" s="814"/>
      <c r="G88" s="750"/>
      <c r="H88" s="750"/>
      <c r="I88" s="762"/>
      <c r="J88" s="750"/>
      <c r="K88" s="750"/>
      <c r="L88" s="750"/>
      <c r="O88" s="750"/>
      <c r="P88" s="810"/>
    </row>
    <row r="89" spans="1:19">
      <c r="A89" s="813"/>
      <c r="B89" s="813"/>
      <c r="C89" s="813"/>
      <c r="D89" s="813"/>
      <c r="E89" s="807"/>
      <c r="F89" s="814"/>
      <c r="G89" s="750"/>
      <c r="H89" s="750"/>
      <c r="I89" s="762"/>
      <c r="J89" s="750"/>
      <c r="K89" s="750"/>
      <c r="L89" s="750"/>
      <c r="O89" s="750"/>
      <c r="P89" s="810"/>
    </row>
    <row r="90" spans="1:19" s="813" customFormat="1">
      <c r="E90" s="807"/>
      <c r="F90" s="814"/>
      <c r="G90" s="750"/>
      <c r="H90" s="750"/>
      <c r="I90" s="762"/>
      <c r="J90" s="750"/>
      <c r="K90" s="750"/>
      <c r="L90" s="750"/>
      <c r="M90" s="750"/>
      <c r="N90" s="750"/>
      <c r="O90" s="750"/>
      <c r="P90" s="810"/>
      <c r="Q90" s="810"/>
      <c r="R90" s="816"/>
      <c r="S90" s="816"/>
    </row>
    <row r="91" spans="1:19" s="813" customFormat="1">
      <c r="E91" s="807"/>
      <c r="F91" s="814"/>
      <c r="G91" s="750"/>
      <c r="H91" s="750"/>
      <c r="I91" s="762"/>
      <c r="J91" s="750"/>
      <c r="K91" s="750"/>
      <c r="L91" s="750"/>
      <c r="M91" s="750"/>
      <c r="N91" s="750"/>
      <c r="O91" s="750"/>
      <c r="P91" s="810"/>
      <c r="Q91" s="810"/>
      <c r="R91" s="816"/>
      <c r="S91" s="816"/>
    </row>
    <row r="92" spans="1:19" s="813" customFormat="1">
      <c r="E92" s="807"/>
      <c r="F92" s="814"/>
      <c r="G92" s="750"/>
      <c r="H92" s="750"/>
      <c r="I92" s="762"/>
      <c r="J92" s="750"/>
      <c r="K92" s="750"/>
      <c r="L92" s="750"/>
      <c r="M92" s="750"/>
      <c r="N92" s="750"/>
      <c r="O92" s="750"/>
      <c r="P92" s="810"/>
      <c r="Q92" s="810"/>
      <c r="R92" s="816"/>
      <c r="S92" s="816"/>
    </row>
    <row r="93" spans="1:19" s="813" customFormat="1">
      <c r="E93" s="807"/>
      <c r="F93" s="814"/>
      <c r="G93" s="750"/>
      <c r="H93" s="750"/>
      <c r="I93" s="762"/>
      <c r="J93" s="750"/>
      <c r="K93" s="750"/>
      <c r="L93" s="750"/>
      <c r="M93" s="750"/>
      <c r="N93" s="750"/>
      <c r="O93" s="750"/>
      <c r="P93" s="810"/>
      <c r="Q93" s="810"/>
      <c r="R93" s="816"/>
      <c r="S93" s="816"/>
    </row>
    <row r="94" spans="1:19" s="813" customFormat="1">
      <c r="E94" s="807"/>
      <c r="F94" s="814"/>
      <c r="G94" s="750"/>
      <c r="H94" s="750"/>
      <c r="I94" s="762"/>
      <c r="J94" s="750"/>
      <c r="K94" s="750"/>
      <c r="L94" s="750"/>
      <c r="M94" s="750"/>
      <c r="N94" s="750"/>
      <c r="O94" s="750"/>
      <c r="P94" s="810"/>
      <c r="Q94" s="810"/>
      <c r="R94" s="816"/>
      <c r="S94" s="816"/>
    </row>
    <row r="95" spans="1:19" s="813" customFormat="1">
      <c r="E95" s="807"/>
      <c r="F95" s="814"/>
      <c r="G95" s="750"/>
      <c r="H95" s="750"/>
      <c r="I95" s="762"/>
      <c r="J95" s="750"/>
      <c r="K95" s="750"/>
      <c r="L95" s="750"/>
      <c r="M95" s="750"/>
      <c r="P95" s="816"/>
      <c r="Q95" s="816"/>
      <c r="R95" s="816"/>
      <c r="S95" s="816"/>
    </row>
    <row r="96" spans="1:19" s="813" customFormat="1">
      <c r="E96" s="807"/>
      <c r="F96" s="814"/>
      <c r="G96" s="750"/>
      <c r="H96" s="750"/>
      <c r="I96" s="762"/>
      <c r="J96" s="750"/>
      <c r="K96" s="750"/>
      <c r="L96" s="750"/>
      <c r="M96" s="750"/>
      <c r="P96" s="816"/>
      <c r="Q96" s="816"/>
      <c r="R96" s="816"/>
      <c r="S96" s="816"/>
    </row>
    <row r="97" spans="5:19" s="813" customFormat="1">
      <c r="E97" s="807"/>
      <c r="F97" s="814"/>
      <c r="G97" s="750"/>
      <c r="H97" s="750"/>
      <c r="I97" s="762"/>
      <c r="J97" s="750"/>
      <c r="K97" s="750"/>
      <c r="L97" s="750"/>
      <c r="M97" s="750"/>
      <c r="P97" s="816"/>
      <c r="Q97" s="816"/>
      <c r="R97" s="816"/>
      <c r="S97" s="816"/>
    </row>
    <row r="98" spans="5:19" s="813" customFormat="1">
      <c r="E98" s="807"/>
      <c r="F98" s="814"/>
      <c r="G98" s="750"/>
      <c r="H98" s="750"/>
      <c r="I98" s="762"/>
      <c r="J98" s="750"/>
      <c r="K98" s="750"/>
      <c r="L98" s="750"/>
      <c r="M98" s="750"/>
      <c r="P98" s="816"/>
      <c r="Q98" s="816"/>
      <c r="R98" s="816"/>
      <c r="S98" s="816"/>
    </row>
    <row r="99" spans="5:19" s="813" customFormat="1">
      <c r="E99" s="807"/>
      <c r="F99" s="814"/>
      <c r="G99" s="750"/>
      <c r="H99" s="750"/>
      <c r="I99" s="762"/>
      <c r="J99" s="750"/>
      <c r="K99" s="750"/>
      <c r="L99" s="750"/>
      <c r="M99" s="750"/>
      <c r="P99" s="816"/>
      <c r="Q99" s="816"/>
      <c r="R99" s="816"/>
      <c r="S99" s="816"/>
    </row>
    <row r="100" spans="5:19" s="813" customFormat="1">
      <c r="E100" s="807"/>
      <c r="F100" s="814"/>
      <c r="G100" s="750"/>
      <c r="H100" s="750"/>
      <c r="I100" s="762"/>
      <c r="J100" s="750"/>
      <c r="K100" s="750"/>
      <c r="L100" s="750"/>
      <c r="M100" s="750"/>
      <c r="P100" s="816"/>
      <c r="Q100" s="816"/>
      <c r="R100" s="816"/>
      <c r="S100" s="816"/>
    </row>
    <row r="101" spans="5:19" s="813" customFormat="1">
      <c r="E101" s="807"/>
      <c r="F101" s="814"/>
      <c r="G101" s="750"/>
      <c r="H101" s="750"/>
      <c r="I101" s="762"/>
      <c r="J101" s="750"/>
      <c r="K101" s="750"/>
      <c r="L101" s="750"/>
      <c r="M101" s="750"/>
      <c r="P101" s="816"/>
      <c r="Q101" s="816"/>
      <c r="R101" s="816"/>
      <c r="S101" s="816"/>
    </row>
    <row r="102" spans="5:19" s="813" customFormat="1">
      <c r="E102" s="807"/>
      <c r="F102" s="814"/>
      <c r="G102" s="750"/>
      <c r="H102" s="750"/>
      <c r="I102" s="762"/>
      <c r="J102" s="750"/>
      <c r="K102" s="750"/>
      <c r="L102" s="750"/>
      <c r="M102" s="750"/>
      <c r="P102" s="816"/>
      <c r="Q102" s="816"/>
      <c r="R102" s="816"/>
      <c r="S102" s="816"/>
    </row>
    <row r="103" spans="5:19" s="813" customFormat="1">
      <c r="E103" s="807"/>
      <c r="F103" s="814"/>
      <c r="G103" s="750"/>
      <c r="H103" s="750"/>
      <c r="I103" s="762"/>
      <c r="J103" s="750"/>
      <c r="K103" s="750"/>
      <c r="L103" s="750"/>
      <c r="M103" s="750"/>
      <c r="P103" s="816"/>
      <c r="Q103" s="816"/>
      <c r="R103" s="816"/>
      <c r="S103" s="816"/>
    </row>
    <row r="104" spans="5:19" s="813" customFormat="1">
      <c r="E104" s="807"/>
      <c r="F104" s="814"/>
      <c r="G104" s="750"/>
      <c r="H104" s="750"/>
      <c r="I104" s="762"/>
      <c r="J104" s="750"/>
      <c r="K104" s="750"/>
      <c r="L104" s="750"/>
      <c r="M104" s="750"/>
      <c r="P104" s="816"/>
      <c r="Q104" s="816"/>
      <c r="R104" s="816"/>
      <c r="S104" s="816"/>
    </row>
    <row r="105" spans="5:19" s="813" customFormat="1">
      <c r="E105" s="807"/>
      <c r="F105" s="814"/>
      <c r="G105" s="750"/>
      <c r="H105" s="750"/>
      <c r="I105" s="762"/>
      <c r="J105" s="750"/>
      <c r="K105" s="750"/>
      <c r="L105" s="750"/>
      <c r="M105" s="750"/>
      <c r="P105" s="816"/>
      <c r="Q105" s="816"/>
      <c r="R105" s="816"/>
      <c r="S105" s="816"/>
    </row>
    <row r="106" spans="5:19" s="813" customFormat="1">
      <c r="E106" s="807"/>
      <c r="F106" s="814"/>
      <c r="G106" s="750"/>
      <c r="H106" s="750"/>
      <c r="I106" s="762"/>
      <c r="J106" s="750"/>
      <c r="K106" s="750"/>
      <c r="L106" s="750"/>
      <c r="M106" s="750"/>
      <c r="P106" s="816"/>
      <c r="Q106" s="816"/>
      <c r="R106" s="816"/>
      <c r="S106" s="816"/>
    </row>
    <row r="107" spans="5:19" s="813" customFormat="1">
      <c r="E107" s="807"/>
      <c r="F107" s="814"/>
      <c r="G107" s="750"/>
      <c r="H107" s="750"/>
      <c r="I107" s="762"/>
      <c r="J107" s="750"/>
      <c r="K107" s="750"/>
      <c r="L107" s="750"/>
      <c r="M107" s="750"/>
      <c r="P107" s="816"/>
      <c r="Q107" s="816"/>
      <c r="R107" s="816"/>
      <c r="S107" s="816"/>
    </row>
    <row r="108" spans="5:19" s="813" customFormat="1">
      <c r="E108" s="807"/>
      <c r="F108" s="814"/>
      <c r="G108" s="750"/>
      <c r="H108" s="750"/>
      <c r="I108" s="762"/>
      <c r="J108" s="750"/>
      <c r="K108" s="750"/>
      <c r="L108" s="750"/>
      <c r="M108" s="750"/>
      <c r="P108" s="816"/>
      <c r="Q108" s="816"/>
      <c r="R108" s="816"/>
      <c r="S108" s="816"/>
    </row>
    <row r="109" spans="5:19" s="813" customFormat="1">
      <c r="E109" s="807"/>
      <c r="F109" s="814"/>
      <c r="G109" s="750"/>
      <c r="H109" s="750"/>
      <c r="I109" s="762"/>
      <c r="J109" s="750"/>
      <c r="K109" s="750"/>
      <c r="L109" s="750"/>
      <c r="M109" s="750"/>
      <c r="P109" s="816"/>
      <c r="Q109" s="816"/>
      <c r="R109" s="816"/>
      <c r="S109" s="816"/>
    </row>
    <row r="110" spans="5:19" s="813" customFormat="1">
      <c r="E110" s="807"/>
      <c r="F110" s="814"/>
      <c r="G110" s="750"/>
      <c r="H110" s="750"/>
      <c r="I110" s="762"/>
      <c r="J110" s="750"/>
      <c r="K110" s="750"/>
      <c r="L110" s="750"/>
      <c r="P110" s="816"/>
      <c r="Q110" s="816"/>
      <c r="R110" s="816"/>
      <c r="S110" s="816"/>
    </row>
    <row r="111" spans="5:19" s="813" customFormat="1">
      <c r="E111" s="807"/>
      <c r="F111" s="814"/>
      <c r="G111" s="750"/>
      <c r="H111" s="750"/>
      <c r="I111" s="762"/>
      <c r="J111" s="750"/>
      <c r="K111" s="750"/>
      <c r="L111" s="750"/>
      <c r="P111" s="816"/>
      <c r="Q111" s="816"/>
      <c r="R111" s="816"/>
      <c r="S111" s="816"/>
    </row>
    <row r="112" spans="5:19" s="813" customFormat="1">
      <c r="E112" s="807"/>
      <c r="F112" s="814"/>
      <c r="G112" s="750"/>
      <c r="H112" s="750"/>
      <c r="I112" s="762"/>
      <c r="J112" s="750"/>
      <c r="K112" s="750"/>
      <c r="L112" s="750"/>
      <c r="P112" s="816"/>
      <c r="Q112" s="816"/>
      <c r="R112" s="816"/>
      <c r="S112" s="816"/>
    </row>
    <row r="113" spans="5:19" s="813" customFormat="1">
      <c r="E113" s="807"/>
      <c r="F113" s="814"/>
      <c r="G113" s="750"/>
      <c r="H113" s="750"/>
      <c r="I113" s="762"/>
      <c r="J113" s="750"/>
      <c r="K113" s="750"/>
      <c r="L113" s="750"/>
      <c r="P113" s="816"/>
      <c r="Q113" s="816"/>
      <c r="R113" s="816"/>
      <c r="S113" s="816"/>
    </row>
    <row r="114" spans="5:19" s="813" customFormat="1">
      <c r="E114" s="807"/>
      <c r="F114" s="814"/>
      <c r="G114" s="750"/>
      <c r="H114" s="750"/>
      <c r="I114" s="762"/>
      <c r="J114" s="750"/>
      <c r="K114" s="750"/>
      <c r="L114" s="750"/>
      <c r="P114" s="816"/>
      <c r="Q114" s="816"/>
      <c r="R114" s="816"/>
      <c r="S114" s="816"/>
    </row>
    <row r="115" spans="5:19" s="813" customFormat="1">
      <c r="E115" s="807"/>
      <c r="F115" s="814"/>
      <c r="G115" s="750"/>
      <c r="H115" s="750"/>
      <c r="I115" s="762"/>
      <c r="J115" s="750"/>
      <c r="K115" s="750"/>
      <c r="L115" s="750"/>
      <c r="P115" s="816"/>
      <c r="Q115" s="816"/>
      <c r="R115" s="816"/>
      <c r="S115" s="816"/>
    </row>
    <row r="116" spans="5:19" s="813" customFormat="1">
      <c r="E116" s="807"/>
      <c r="F116" s="814"/>
      <c r="G116" s="750"/>
      <c r="H116" s="750"/>
      <c r="I116" s="762"/>
      <c r="J116" s="750"/>
      <c r="K116" s="750"/>
      <c r="L116" s="750"/>
      <c r="P116" s="816"/>
      <c r="Q116" s="816"/>
      <c r="R116" s="816"/>
      <c r="S116" s="816"/>
    </row>
    <row r="117" spans="5:19" s="813" customFormat="1">
      <c r="E117" s="807"/>
      <c r="F117" s="814"/>
      <c r="G117" s="750"/>
      <c r="H117" s="750"/>
      <c r="I117" s="762"/>
      <c r="J117" s="750"/>
      <c r="K117" s="750"/>
      <c r="L117" s="750"/>
      <c r="P117" s="816"/>
      <c r="Q117" s="816"/>
      <c r="R117" s="816"/>
      <c r="S117" s="816"/>
    </row>
    <row r="118" spans="5:19" s="813" customFormat="1">
      <c r="E118" s="807"/>
      <c r="F118" s="814"/>
      <c r="G118" s="750"/>
      <c r="H118" s="750"/>
      <c r="I118" s="762"/>
      <c r="J118" s="750"/>
      <c r="K118" s="750"/>
      <c r="L118" s="750"/>
      <c r="P118" s="816"/>
      <c r="Q118" s="816"/>
      <c r="R118" s="816"/>
      <c r="S118" s="816"/>
    </row>
    <row r="119" spans="5:19" s="813" customFormat="1">
      <c r="E119" s="807"/>
      <c r="F119" s="814"/>
      <c r="G119" s="750"/>
      <c r="H119" s="750"/>
      <c r="I119" s="762"/>
      <c r="J119" s="750"/>
      <c r="K119" s="750"/>
      <c r="L119" s="750"/>
      <c r="P119" s="816"/>
      <c r="Q119" s="816"/>
      <c r="R119" s="816"/>
      <c r="S119" s="816"/>
    </row>
    <row r="120" spans="5:19" s="813" customFormat="1">
      <c r="E120" s="807"/>
      <c r="F120" s="814"/>
      <c r="G120" s="750"/>
      <c r="H120" s="750"/>
      <c r="I120" s="762"/>
      <c r="J120" s="750"/>
      <c r="K120" s="750"/>
      <c r="L120" s="750"/>
      <c r="P120" s="816"/>
      <c r="Q120" s="816"/>
      <c r="R120" s="816"/>
      <c r="S120" s="816"/>
    </row>
    <row r="121" spans="5:19" s="813" customFormat="1">
      <c r="E121" s="807"/>
      <c r="F121" s="814"/>
      <c r="G121" s="750"/>
      <c r="H121" s="750"/>
      <c r="I121" s="762"/>
      <c r="J121" s="750"/>
      <c r="K121" s="750"/>
      <c r="L121" s="750"/>
      <c r="P121" s="816"/>
      <c r="Q121" s="816"/>
      <c r="R121" s="816"/>
      <c r="S121" s="816"/>
    </row>
    <row r="122" spans="5:19" s="813" customFormat="1">
      <c r="E122" s="807"/>
      <c r="F122" s="814"/>
      <c r="G122" s="750"/>
      <c r="H122" s="750"/>
      <c r="I122" s="762"/>
      <c r="J122" s="750"/>
      <c r="K122" s="750"/>
      <c r="L122" s="750"/>
      <c r="P122" s="816"/>
      <c r="Q122" s="816"/>
      <c r="R122" s="816"/>
      <c r="S122" s="816"/>
    </row>
    <row r="123" spans="5:19" s="813" customFormat="1">
      <c r="E123" s="807"/>
      <c r="F123" s="814"/>
      <c r="G123" s="750"/>
      <c r="H123" s="750"/>
      <c r="I123" s="762"/>
      <c r="J123" s="750"/>
      <c r="K123" s="750"/>
      <c r="L123" s="750"/>
      <c r="P123" s="816"/>
      <c r="Q123" s="816"/>
      <c r="R123" s="816"/>
      <c r="S123" s="816"/>
    </row>
    <row r="124" spans="5:19" s="813" customFormat="1">
      <c r="E124" s="807"/>
      <c r="F124" s="814"/>
      <c r="G124" s="750"/>
      <c r="H124" s="750"/>
      <c r="I124" s="762"/>
      <c r="J124" s="750"/>
      <c r="K124" s="750"/>
      <c r="L124" s="750"/>
      <c r="P124" s="816"/>
      <c r="Q124" s="816"/>
      <c r="R124" s="816"/>
      <c r="S124" s="816"/>
    </row>
    <row r="125" spans="5:19" s="813" customFormat="1">
      <c r="E125" s="807"/>
      <c r="F125" s="814"/>
      <c r="G125" s="750"/>
      <c r="H125" s="750"/>
      <c r="I125" s="762"/>
      <c r="J125" s="750"/>
      <c r="K125" s="750"/>
      <c r="L125" s="750"/>
      <c r="P125" s="816"/>
      <c r="Q125" s="816"/>
      <c r="R125" s="816"/>
      <c r="S125" s="816"/>
    </row>
    <row r="126" spans="5:19" s="813" customFormat="1">
      <c r="E126" s="807"/>
      <c r="F126" s="814"/>
      <c r="G126" s="750"/>
      <c r="H126" s="750"/>
      <c r="I126" s="762"/>
      <c r="J126" s="750"/>
      <c r="K126" s="750"/>
      <c r="L126" s="750"/>
      <c r="P126" s="816"/>
      <c r="Q126" s="816"/>
      <c r="R126" s="816"/>
      <c r="S126" s="816"/>
    </row>
    <row r="127" spans="5:19" s="813" customFormat="1">
      <c r="E127" s="807"/>
      <c r="F127" s="814"/>
      <c r="G127" s="750"/>
      <c r="H127" s="750"/>
      <c r="I127" s="762"/>
      <c r="J127" s="750"/>
      <c r="K127" s="750"/>
      <c r="L127" s="750"/>
      <c r="P127" s="816"/>
      <c r="Q127" s="816"/>
      <c r="R127" s="816"/>
      <c r="S127" s="816"/>
    </row>
    <row r="128" spans="5:19" s="813" customFormat="1">
      <c r="E128" s="807"/>
      <c r="F128" s="814"/>
      <c r="G128" s="750"/>
      <c r="H128" s="750"/>
      <c r="I128" s="762"/>
      <c r="J128" s="750"/>
      <c r="K128" s="750"/>
      <c r="L128" s="750"/>
      <c r="P128" s="816"/>
      <c r="Q128" s="816"/>
      <c r="R128" s="816"/>
      <c r="S128" s="816"/>
    </row>
    <row r="129" spans="5:19" s="813" customFormat="1">
      <c r="E129" s="807"/>
      <c r="F129" s="814"/>
      <c r="G129" s="750"/>
      <c r="H129" s="750"/>
      <c r="I129" s="762"/>
      <c r="J129" s="750"/>
      <c r="K129" s="750"/>
      <c r="L129" s="750"/>
      <c r="P129" s="816"/>
      <c r="Q129" s="816"/>
      <c r="R129" s="816"/>
      <c r="S129" s="816"/>
    </row>
    <row r="130" spans="5:19" s="813" customFormat="1">
      <c r="E130" s="807"/>
      <c r="F130" s="814"/>
      <c r="G130" s="750"/>
      <c r="H130" s="750"/>
      <c r="I130" s="762"/>
      <c r="J130" s="750"/>
      <c r="K130" s="750"/>
      <c r="L130" s="750"/>
      <c r="P130" s="816"/>
      <c r="Q130" s="816"/>
      <c r="R130" s="816"/>
      <c r="S130" s="816"/>
    </row>
    <row r="131" spans="5:19" s="813" customFormat="1">
      <c r="E131" s="807"/>
      <c r="F131" s="814"/>
      <c r="G131" s="750"/>
      <c r="H131" s="750"/>
      <c r="I131" s="762"/>
      <c r="J131" s="750"/>
      <c r="K131" s="750"/>
      <c r="L131" s="750"/>
      <c r="P131" s="816"/>
      <c r="Q131" s="816"/>
      <c r="R131" s="816"/>
      <c r="S131" s="816"/>
    </row>
    <row r="132" spans="5:19" s="813" customFormat="1">
      <c r="E132" s="807"/>
      <c r="F132" s="814"/>
      <c r="G132" s="750"/>
      <c r="H132" s="750"/>
      <c r="I132" s="762"/>
      <c r="J132" s="750"/>
      <c r="K132" s="750"/>
      <c r="L132" s="750"/>
      <c r="P132" s="816"/>
      <c r="Q132" s="816"/>
      <c r="R132" s="816"/>
      <c r="S132" s="816"/>
    </row>
    <row r="133" spans="5:19" s="813" customFormat="1">
      <c r="E133" s="807"/>
      <c r="F133" s="814"/>
      <c r="G133" s="750"/>
      <c r="H133" s="750"/>
      <c r="I133" s="762"/>
      <c r="J133" s="750"/>
      <c r="K133" s="750"/>
      <c r="L133" s="750"/>
      <c r="P133" s="816"/>
      <c r="Q133" s="816"/>
      <c r="R133" s="816"/>
      <c r="S133" s="816"/>
    </row>
    <row r="134" spans="5:19" s="813" customFormat="1">
      <c r="E134" s="807"/>
      <c r="F134" s="814"/>
      <c r="G134" s="750"/>
      <c r="H134" s="750"/>
      <c r="I134" s="762"/>
      <c r="J134" s="750"/>
      <c r="K134" s="750"/>
      <c r="L134" s="750"/>
      <c r="P134" s="816"/>
      <c r="Q134" s="816"/>
      <c r="R134" s="816"/>
      <c r="S134" s="816"/>
    </row>
    <row r="135" spans="5:19" s="813" customFormat="1">
      <c r="E135" s="807"/>
      <c r="F135" s="814"/>
      <c r="G135" s="750"/>
      <c r="H135" s="750"/>
      <c r="I135" s="762"/>
      <c r="J135" s="750"/>
      <c r="K135" s="750"/>
      <c r="L135" s="750"/>
      <c r="P135" s="816"/>
      <c r="Q135" s="816"/>
      <c r="R135" s="816"/>
      <c r="S135" s="816"/>
    </row>
    <row r="136" spans="5:19" s="813" customFormat="1">
      <c r="E136" s="807"/>
      <c r="F136" s="814"/>
      <c r="G136" s="750"/>
      <c r="H136" s="750"/>
      <c r="I136" s="762"/>
      <c r="J136" s="750"/>
      <c r="K136" s="750"/>
      <c r="L136" s="750"/>
      <c r="P136" s="816"/>
      <c r="Q136" s="816"/>
      <c r="R136" s="816"/>
      <c r="S136" s="816"/>
    </row>
    <row r="137" spans="5:19" s="813" customFormat="1">
      <c r="E137" s="807"/>
      <c r="F137" s="814"/>
      <c r="G137" s="750"/>
      <c r="H137" s="750"/>
      <c r="I137" s="762"/>
      <c r="J137" s="750"/>
      <c r="K137" s="750"/>
      <c r="L137" s="750"/>
      <c r="P137" s="816"/>
      <c r="Q137" s="816"/>
      <c r="R137" s="816"/>
      <c r="S137" s="816"/>
    </row>
    <row r="138" spans="5:19" s="813" customFormat="1">
      <c r="E138" s="807"/>
      <c r="F138" s="814"/>
      <c r="G138" s="750"/>
      <c r="H138" s="750"/>
      <c r="I138" s="762"/>
      <c r="J138" s="750"/>
      <c r="K138" s="750"/>
      <c r="L138" s="750"/>
      <c r="P138" s="816"/>
      <c r="Q138" s="816"/>
      <c r="R138" s="816"/>
      <c r="S138" s="816"/>
    </row>
    <row r="139" spans="5:19" s="813" customFormat="1">
      <c r="E139" s="807"/>
      <c r="F139" s="814"/>
      <c r="G139" s="750"/>
      <c r="H139" s="750"/>
      <c r="I139" s="762"/>
      <c r="J139" s="750"/>
      <c r="K139" s="750"/>
      <c r="L139" s="750"/>
      <c r="P139" s="816"/>
      <c r="Q139" s="816"/>
      <c r="R139" s="816"/>
      <c r="S139" s="816"/>
    </row>
    <row r="140" spans="5:19" s="813" customFormat="1">
      <c r="E140" s="807"/>
      <c r="F140" s="814"/>
      <c r="G140" s="750"/>
      <c r="H140" s="750"/>
      <c r="I140" s="762"/>
      <c r="J140" s="750"/>
      <c r="K140" s="750"/>
      <c r="L140" s="750"/>
      <c r="P140" s="816"/>
      <c r="Q140" s="816"/>
      <c r="R140" s="816"/>
      <c r="S140" s="816"/>
    </row>
    <row r="141" spans="5:19" s="813" customFormat="1">
      <c r="E141" s="807"/>
      <c r="F141" s="814"/>
      <c r="G141" s="750"/>
      <c r="H141" s="750"/>
      <c r="I141" s="762"/>
      <c r="J141" s="750"/>
      <c r="K141" s="750"/>
      <c r="L141" s="750"/>
      <c r="P141" s="816"/>
      <c r="Q141" s="816"/>
      <c r="R141" s="816"/>
      <c r="S141" s="816"/>
    </row>
    <row r="142" spans="5:19" s="813" customFormat="1">
      <c r="E142" s="807"/>
      <c r="F142" s="814"/>
      <c r="G142" s="750"/>
      <c r="H142" s="750"/>
      <c r="I142" s="762"/>
      <c r="J142" s="750"/>
      <c r="K142" s="750"/>
      <c r="L142" s="750"/>
      <c r="P142" s="816"/>
      <c r="Q142" s="816"/>
      <c r="R142" s="816"/>
      <c r="S142" s="816"/>
    </row>
    <row r="143" spans="5:19" s="813" customFormat="1">
      <c r="E143" s="807"/>
      <c r="F143" s="814"/>
      <c r="G143" s="750"/>
      <c r="H143" s="750"/>
      <c r="I143" s="762"/>
      <c r="J143" s="750"/>
      <c r="K143" s="750"/>
      <c r="L143" s="750"/>
      <c r="P143" s="816"/>
      <c r="Q143" s="816"/>
      <c r="R143" s="816"/>
      <c r="S143" s="816"/>
    </row>
    <row r="144" spans="5:19" s="813" customFormat="1">
      <c r="E144" s="807"/>
      <c r="F144" s="814"/>
      <c r="G144" s="750"/>
      <c r="H144" s="750"/>
      <c r="I144" s="762"/>
      <c r="J144" s="750"/>
      <c r="K144" s="750"/>
      <c r="L144" s="750"/>
      <c r="P144" s="816"/>
      <c r="Q144" s="816"/>
      <c r="R144" s="816"/>
      <c r="S144" s="816"/>
    </row>
    <row r="145" spans="1:19" s="813" customFormat="1">
      <c r="E145" s="807"/>
      <c r="F145" s="814"/>
      <c r="G145" s="750"/>
      <c r="H145" s="750"/>
      <c r="I145" s="762"/>
      <c r="J145" s="750"/>
      <c r="K145" s="750"/>
      <c r="L145" s="750"/>
      <c r="P145" s="816"/>
      <c r="Q145" s="816"/>
      <c r="R145" s="816"/>
      <c r="S145" s="816"/>
    </row>
    <row r="146" spans="1:19" s="813" customFormat="1">
      <c r="E146" s="807"/>
      <c r="F146" s="814"/>
      <c r="G146" s="750"/>
      <c r="H146" s="750"/>
      <c r="I146" s="762"/>
      <c r="J146" s="750"/>
      <c r="K146" s="750"/>
      <c r="L146" s="750"/>
      <c r="P146" s="816"/>
      <c r="Q146" s="816"/>
      <c r="R146" s="816"/>
      <c r="S146" s="816"/>
    </row>
    <row r="147" spans="1:19">
      <c r="A147" s="813"/>
      <c r="B147" s="813"/>
      <c r="C147" s="813"/>
      <c r="D147" s="813"/>
      <c r="E147" s="807"/>
      <c r="F147" s="814"/>
      <c r="G147" s="750"/>
      <c r="H147" s="750"/>
      <c r="I147" s="762"/>
      <c r="J147" s="750"/>
      <c r="K147" s="750"/>
      <c r="L147" s="750"/>
      <c r="M147" s="813"/>
      <c r="N147" s="813"/>
      <c r="O147" s="813"/>
      <c r="P147" s="816"/>
      <c r="Q147" s="816"/>
    </row>
    <row r="148" spans="1:19">
      <c r="A148" s="813"/>
      <c r="B148" s="813"/>
      <c r="C148" s="813"/>
      <c r="D148" s="813"/>
      <c r="E148" s="807"/>
      <c r="F148" s="814"/>
      <c r="G148" s="750"/>
      <c r="H148" s="750"/>
      <c r="I148" s="762"/>
      <c r="J148" s="750"/>
      <c r="K148" s="750"/>
      <c r="L148" s="750"/>
      <c r="M148" s="813"/>
      <c r="N148" s="813"/>
      <c r="O148" s="813"/>
      <c r="P148" s="816"/>
      <c r="Q148" s="816"/>
    </row>
    <row r="149" spans="1:19">
      <c r="A149" s="813"/>
      <c r="B149" s="813"/>
      <c r="C149" s="813"/>
      <c r="D149" s="813"/>
      <c r="E149" s="807"/>
      <c r="F149" s="814"/>
      <c r="G149" s="750"/>
      <c r="H149" s="750"/>
      <c r="I149" s="762"/>
      <c r="J149" s="750"/>
      <c r="K149" s="750"/>
      <c r="L149" s="750"/>
      <c r="M149" s="813"/>
      <c r="N149" s="813"/>
      <c r="O149" s="813"/>
      <c r="P149" s="816"/>
      <c r="Q149" s="816"/>
    </row>
    <row r="150" spans="1:19">
      <c r="A150" s="813"/>
      <c r="B150" s="813"/>
      <c r="C150" s="813"/>
      <c r="D150" s="813"/>
      <c r="E150" s="807"/>
      <c r="F150" s="814"/>
      <c r="G150" s="750"/>
      <c r="H150" s="750"/>
      <c r="I150" s="762"/>
      <c r="J150" s="750"/>
      <c r="K150" s="750"/>
      <c r="L150" s="750"/>
      <c r="M150" s="813"/>
      <c r="N150" s="813"/>
      <c r="O150" s="813"/>
      <c r="P150" s="816"/>
      <c r="Q150" s="816"/>
    </row>
    <row r="151" spans="1:19">
      <c r="A151" s="813"/>
      <c r="B151" s="813"/>
      <c r="C151" s="813"/>
      <c r="D151" s="813"/>
      <c r="E151" s="807"/>
      <c r="F151" s="814"/>
      <c r="G151" s="750"/>
      <c r="H151" s="750"/>
      <c r="I151" s="762"/>
      <c r="J151" s="750"/>
      <c r="K151" s="750"/>
      <c r="L151" s="750"/>
      <c r="M151" s="813"/>
      <c r="N151" s="813"/>
      <c r="O151" s="813"/>
      <c r="P151" s="816"/>
      <c r="Q151" s="816"/>
    </row>
    <row r="152" spans="1:19">
      <c r="A152" s="813"/>
      <c r="B152" s="813"/>
      <c r="C152" s="813"/>
      <c r="D152" s="813"/>
      <c r="E152" s="807"/>
      <c r="F152" s="814"/>
      <c r="G152" s="750"/>
      <c r="H152" s="750"/>
      <c r="I152" s="762"/>
      <c r="J152" s="750"/>
      <c r="K152" s="750"/>
      <c r="L152" s="750"/>
      <c r="M152" s="813"/>
    </row>
    <row r="153" spans="1:19">
      <c r="A153" s="813"/>
      <c r="B153" s="813"/>
      <c r="C153" s="813"/>
      <c r="D153" s="813"/>
      <c r="E153" s="807"/>
      <c r="F153" s="814"/>
      <c r="G153" s="750"/>
      <c r="H153" s="750"/>
      <c r="I153" s="762"/>
      <c r="J153" s="750"/>
      <c r="K153" s="750"/>
      <c r="L153" s="750"/>
      <c r="M153" s="813"/>
    </row>
    <row r="154" spans="1:19">
      <c r="A154" s="813"/>
      <c r="B154" s="813"/>
      <c r="C154" s="813"/>
      <c r="D154" s="813"/>
      <c r="E154" s="807"/>
      <c r="F154" s="814"/>
      <c r="G154" s="750"/>
      <c r="H154" s="750"/>
      <c r="I154" s="762"/>
      <c r="J154" s="750"/>
      <c r="K154" s="750"/>
      <c r="L154" s="750"/>
      <c r="M154" s="813"/>
    </row>
    <row r="155" spans="1:19">
      <c r="A155" s="813"/>
      <c r="B155" s="813"/>
      <c r="C155" s="813"/>
      <c r="D155" s="813"/>
      <c r="E155" s="807"/>
      <c r="F155" s="814"/>
      <c r="G155" s="750"/>
      <c r="H155" s="750"/>
      <c r="I155" s="762"/>
      <c r="J155" s="750"/>
      <c r="K155" s="750"/>
      <c r="L155" s="750"/>
      <c r="M155" s="813"/>
    </row>
    <row r="156" spans="1:19">
      <c r="J156" s="750"/>
      <c r="K156" s="750"/>
      <c r="L156" s="750"/>
      <c r="M156" s="813"/>
    </row>
    <row r="157" spans="1:19">
      <c r="J157" s="750"/>
      <c r="K157" s="750"/>
      <c r="L157" s="750"/>
      <c r="M157" s="813"/>
    </row>
    <row r="158" spans="1:19">
      <c r="J158" s="750"/>
      <c r="K158" s="750"/>
      <c r="L158" s="750"/>
      <c r="M158" s="813"/>
    </row>
    <row r="159" spans="1:19">
      <c r="J159" s="750"/>
      <c r="K159" s="750"/>
      <c r="L159" s="750"/>
      <c r="M159" s="813"/>
    </row>
    <row r="160" spans="1:19">
      <c r="J160" s="750"/>
      <c r="K160" s="750"/>
      <c r="L160" s="750"/>
      <c r="M160" s="813"/>
    </row>
    <row r="161" spans="10:13">
      <c r="J161" s="750"/>
      <c r="K161" s="750"/>
      <c r="L161" s="750"/>
      <c r="M161" s="813"/>
    </row>
    <row r="162" spans="10:13">
      <c r="K162" s="750"/>
      <c r="L162" s="750"/>
      <c r="M162" s="813"/>
    </row>
    <row r="163" spans="10:13">
      <c r="K163" s="750"/>
      <c r="L163" s="750"/>
      <c r="M163" s="813"/>
    </row>
    <row r="164" spans="10:13">
      <c r="K164" s="750"/>
      <c r="L164" s="750"/>
      <c r="M164" s="813"/>
    </row>
    <row r="165" spans="10:13">
      <c r="L165" s="750"/>
      <c r="M165" s="813"/>
    </row>
    <row r="166" spans="10:13">
      <c r="L166" s="750"/>
      <c r="M166" s="813"/>
    </row>
    <row r="167" spans="10:13">
      <c r="L167" s="750"/>
    </row>
    <row r="168" spans="10:13">
      <c r="L168" s="750"/>
    </row>
    <row r="169" spans="10:13">
      <c r="L169" s="750"/>
    </row>
  </sheetData>
  <mergeCells count="5">
    <mergeCell ref="A7:L7"/>
    <mergeCell ref="M7:O7"/>
    <mergeCell ref="U7:V7"/>
    <mergeCell ref="D9:F9"/>
    <mergeCell ref="H9:K9"/>
  </mergeCells>
  <conditionalFormatting sqref="Z9:Z57 P58:P74">
    <cfRule type="aboveAverage" dxfId="11" priority="1" aboveAverage="0" stdDev="1"/>
    <cfRule type="aboveAverage" dxfId="10" priority="2" stdDev="1"/>
  </conditionalFormatting>
  <dataValidations count="1">
    <dataValidation type="list" allowBlank="1" showInputMessage="1" showErrorMessage="1" sqref="B5" xr:uid="{CB349217-7BC1-4455-BD20-819631E00686}">
      <formula1>$AB$5:$AB$8</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63F2-CD76-4410-9D1B-86265E09C0CA}">
  <dimension ref="A1:Q131"/>
  <sheetViews>
    <sheetView workbookViewId="0">
      <selection activeCell="I5" sqref="I5"/>
    </sheetView>
  </sheetViews>
  <sheetFormatPr defaultColWidth="7.85546875" defaultRowHeight="11.25"/>
  <cols>
    <col min="1" max="1" width="15.7109375" style="750" bestFit="1" customWidth="1"/>
    <col min="2" max="2" width="9.5703125" style="750" bestFit="1" customWidth="1"/>
    <col min="3" max="3" width="5.140625" style="817" customWidth="1"/>
    <col min="4" max="6" width="7.7109375" style="817" customWidth="1"/>
    <col min="7" max="7" width="6.28515625" style="813" customWidth="1"/>
    <col min="8" max="8" width="6.85546875" style="816" customWidth="1"/>
    <col min="9" max="9" width="9.7109375" style="813" customWidth="1"/>
    <col min="10" max="10" width="8.7109375" style="813" bestFit="1" customWidth="1"/>
    <col min="11" max="11" width="12.5703125" style="807" customWidth="1"/>
    <col min="12" max="12" width="17.28515625" style="814" bestFit="1" customWidth="1"/>
    <col min="13" max="13" width="12.85546875" style="750" customWidth="1"/>
    <col min="14" max="14" width="11.28515625" style="750" customWidth="1"/>
    <col min="15" max="15" width="14.5703125" style="762" customWidth="1"/>
    <col min="16" max="16" width="2.42578125" style="762" customWidth="1"/>
    <col min="17" max="17" width="14" style="750" bestFit="1" customWidth="1"/>
    <col min="18" max="18" width="5.42578125" style="750" customWidth="1"/>
    <col min="19" max="27" width="5.28515625" style="750" customWidth="1"/>
    <col min="28" max="28" width="17" style="750" customWidth="1"/>
    <col min="29" max="16384" width="7.85546875" style="750"/>
  </cols>
  <sheetData>
    <row r="1" spans="1:16" s="585" customFormat="1" ht="12.75">
      <c r="A1" s="826" t="s">
        <v>133</v>
      </c>
      <c r="B1" s="827" t="s">
        <v>189</v>
      </c>
      <c r="C1" s="579"/>
      <c r="D1" s="827"/>
      <c r="E1" s="580"/>
      <c r="F1" s="580"/>
      <c r="G1" s="581"/>
      <c r="H1" s="582" t="s">
        <v>209</v>
      </c>
      <c r="I1" s="583">
        <f>F16</f>
        <v>40</v>
      </c>
      <c r="J1" s="584"/>
      <c r="K1" s="827"/>
      <c r="L1" s="827"/>
      <c r="M1" s="828"/>
      <c r="N1" s="586"/>
    </row>
    <row r="2" spans="1:16" s="585" customFormat="1" ht="12.75">
      <c r="A2" s="829" t="s">
        <v>135</v>
      </c>
      <c r="B2" s="597" t="s">
        <v>51</v>
      </c>
      <c r="C2" s="589"/>
      <c r="D2" s="597"/>
      <c r="E2" s="590"/>
      <c r="F2" s="590"/>
      <c r="G2" s="591"/>
      <c r="H2" s="592" t="s">
        <v>210</v>
      </c>
      <c r="I2" s="830">
        <v>37</v>
      </c>
      <c r="J2" s="594"/>
      <c r="K2" s="597"/>
      <c r="L2" s="597"/>
      <c r="M2" s="831"/>
      <c r="N2" s="595"/>
    </row>
    <row r="3" spans="1:16" s="599" customFormat="1" ht="11.25" customHeight="1">
      <c r="A3" s="832" t="s">
        <v>137</v>
      </c>
      <c r="B3" s="818">
        <v>45174</v>
      </c>
      <c r="C3" s="589"/>
      <c r="D3" s="590"/>
      <c r="E3" s="590"/>
      <c r="F3" s="590"/>
      <c r="G3" s="591"/>
      <c r="H3" s="596" t="s">
        <v>211</v>
      </c>
      <c r="I3" s="833">
        <f>M15/100</f>
        <v>0.37</v>
      </c>
      <c r="J3" s="594"/>
      <c r="K3" s="597"/>
      <c r="L3" s="597"/>
      <c r="M3" s="834"/>
      <c r="N3" s="600"/>
    </row>
    <row r="4" spans="1:16" s="585" customFormat="1" ht="12.75">
      <c r="A4" s="832" t="s">
        <v>139</v>
      </c>
      <c r="B4" s="597" t="s">
        <v>195</v>
      </c>
      <c r="C4" s="589"/>
      <c r="D4" s="590"/>
      <c r="E4" s="590"/>
      <c r="F4" s="590"/>
      <c r="G4" s="591"/>
      <c r="H4" s="596" t="s">
        <v>212</v>
      </c>
      <c r="I4" s="833">
        <f>J16</f>
        <v>0.55900621118012417</v>
      </c>
      <c r="J4" s="594"/>
      <c r="K4" s="597"/>
      <c r="L4" s="597"/>
      <c r="M4" s="831"/>
      <c r="N4" s="586"/>
    </row>
    <row r="5" spans="1:16" s="606" customFormat="1" ht="12.75">
      <c r="A5" s="829" t="s">
        <v>141</v>
      </c>
      <c r="B5" s="603" t="s">
        <v>142</v>
      </c>
      <c r="C5" s="589"/>
      <c r="D5" s="590"/>
      <c r="E5" s="590"/>
      <c r="F5" s="590"/>
      <c r="G5" s="591"/>
      <c r="H5" s="596"/>
      <c r="I5" s="604"/>
      <c r="J5" s="594"/>
      <c r="K5" s="597"/>
      <c r="L5" s="597"/>
      <c r="M5" s="635"/>
      <c r="N5" s="605"/>
    </row>
    <row r="6" spans="1:16" s="605" customFormat="1" ht="13.5" thickBot="1">
      <c r="A6" s="835"/>
      <c r="B6" s="836"/>
      <c r="C6" s="837"/>
      <c r="D6" s="838"/>
      <c r="E6" s="838"/>
      <c r="F6" s="838"/>
      <c r="G6" s="839"/>
      <c r="H6" s="840"/>
      <c r="I6" s="841"/>
      <c r="J6" s="839"/>
      <c r="K6" s="842"/>
      <c r="L6" s="836"/>
      <c r="M6" s="843"/>
    </row>
    <row r="7" spans="1:16" s="606" customFormat="1" ht="13.15" customHeight="1">
      <c r="A7" s="844" t="s">
        <v>143</v>
      </c>
      <c r="B7" s="845"/>
      <c r="C7" s="846"/>
      <c r="D7" s="847"/>
      <c r="E7" s="848" t="s">
        <v>144</v>
      </c>
      <c r="F7" s="845"/>
      <c r="G7" s="849" t="s">
        <v>145</v>
      </c>
      <c r="H7" s="619"/>
      <c r="I7" s="850" t="s">
        <v>146</v>
      </c>
      <c r="J7" s="850"/>
      <c r="K7" s="620"/>
      <c r="L7" s="954" t="s">
        <v>147</v>
      </c>
      <c r="M7" s="955"/>
      <c r="N7" s="605"/>
      <c r="O7" s="605"/>
    </row>
    <row r="8" spans="1:16" s="637" customFormat="1" ht="11.25" customHeight="1">
      <c r="A8" s="621"/>
      <c r="B8" s="615"/>
      <c r="C8" s="622"/>
      <c r="D8" s="631"/>
      <c r="E8" s="851"/>
      <c r="F8" s="631"/>
      <c r="G8" s="852"/>
      <c r="H8" s="633"/>
      <c r="I8" s="659"/>
      <c r="J8" s="659"/>
      <c r="K8" s="634"/>
      <c r="L8" s="635"/>
      <c r="M8" s="635"/>
      <c r="N8" s="636"/>
    </row>
    <row r="9" spans="1:16" s="648" customFormat="1">
      <c r="C9" s="639"/>
      <c r="D9" s="853"/>
      <c r="E9" s="851" t="s">
        <v>150</v>
      </c>
      <c r="F9" s="631"/>
      <c r="G9" s="852"/>
      <c r="H9" s="633"/>
      <c r="I9" s="762"/>
      <c r="J9" s="762"/>
      <c r="K9" s="634"/>
      <c r="L9" s="644"/>
      <c r="M9" s="645"/>
      <c r="N9" s="646"/>
      <c r="O9" s="647"/>
    </row>
    <row r="10" spans="1:16" s="648" customFormat="1">
      <c r="A10" s="649" t="s">
        <v>151</v>
      </c>
      <c r="B10" s="650" t="s">
        <v>51</v>
      </c>
      <c r="C10" s="651" t="s">
        <v>152</v>
      </c>
      <c r="D10" s="658" t="s">
        <v>162</v>
      </c>
      <c r="E10" s="656" t="s">
        <v>163</v>
      </c>
      <c r="F10" s="658" t="s">
        <v>164</v>
      </c>
      <c r="G10" s="852" t="s">
        <v>165</v>
      </c>
      <c r="H10" s="633" t="s">
        <v>166</v>
      </c>
      <c r="I10" s="659" t="s">
        <v>166</v>
      </c>
      <c r="J10" s="659" t="s">
        <v>165</v>
      </c>
      <c r="K10" s="660" t="s">
        <v>167</v>
      </c>
      <c r="L10" s="644" t="s">
        <v>168</v>
      </c>
      <c r="M10" s="644" t="s">
        <v>169</v>
      </c>
      <c r="N10" s="661"/>
    </row>
    <row r="11" spans="1:16" s="648" customFormat="1" ht="12" thickBot="1">
      <c r="A11" s="662" t="s">
        <v>170</v>
      </c>
      <c r="B11" s="663" t="s">
        <v>170</v>
      </c>
      <c r="C11" s="664" t="s">
        <v>171</v>
      </c>
      <c r="D11" s="673" t="s">
        <v>173</v>
      </c>
      <c r="E11" s="671" t="s">
        <v>171</v>
      </c>
      <c r="F11" s="673" t="s">
        <v>171</v>
      </c>
      <c r="G11" s="854" t="s">
        <v>174</v>
      </c>
      <c r="H11" s="675" t="s">
        <v>175</v>
      </c>
      <c r="I11" s="674" t="s">
        <v>175</v>
      </c>
      <c r="J11" s="674" t="s">
        <v>174</v>
      </c>
      <c r="K11" s="677"/>
      <c r="L11" s="678"/>
      <c r="M11" s="679" t="s">
        <v>171</v>
      </c>
      <c r="N11" s="661"/>
    </row>
    <row r="12" spans="1:16" s="648" customFormat="1">
      <c r="A12" s="699"/>
      <c r="B12" s="700"/>
      <c r="C12" s="688">
        <v>0</v>
      </c>
      <c r="D12" s="855"/>
      <c r="E12" s="856"/>
      <c r="F12" s="857"/>
      <c r="G12" s="858"/>
      <c r="H12" s="709"/>
      <c r="I12" s="859"/>
      <c r="J12" s="860"/>
      <c r="K12" s="712"/>
      <c r="L12" s="696" t="s">
        <v>179</v>
      </c>
      <c r="M12" s="697">
        <v>37</v>
      </c>
      <c r="N12" s="698"/>
    </row>
    <row r="13" spans="1:16" s="648" customFormat="1">
      <c r="A13" s="699">
        <v>530</v>
      </c>
      <c r="B13" s="700">
        <v>0</v>
      </c>
      <c r="C13" s="688">
        <v>10</v>
      </c>
      <c r="D13" s="855">
        <v>966</v>
      </c>
      <c r="E13" s="861">
        <f>C12</f>
        <v>0</v>
      </c>
      <c r="F13" s="862">
        <f t="shared" ref="F13:F15" si="0">(C13+C14-10)/2</f>
        <v>10</v>
      </c>
      <c r="G13" s="708">
        <f t="shared" ref="G13:G16" si="1">(A13-B13)/966</f>
        <v>0.54865424430641818</v>
      </c>
      <c r="H13" s="863">
        <f>(G13*(F13-E13))/100</f>
        <v>5.4865424430641817E-2</v>
      </c>
      <c r="I13" s="864">
        <f>SUM(H$13:H13)</f>
        <v>5.4865424430641817E-2</v>
      </c>
      <c r="J13" s="711">
        <f t="shared" ref="J13:J16" si="2">I13/F13*100</f>
        <v>0.54865424430641818</v>
      </c>
      <c r="K13" s="712"/>
      <c r="L13" s="713" t="s">
        <v>180</v>
      </c>
      <c r="M13" s="714"/>
      <c r="N13" s="661"/>
    </row>
    <row r="14" spans="1:16" ht="12" thickBot="1">
      <c r="A14" s="716">
        <v>535</v>
      </c>
      <c r="B14" s="700">
        <v>0</v>
      </c>
      <c r="C14" s="688">
        <v>20</v>
      </c>
      <c r="D14" s="855">
        <v>966</v>
      </c>
      <c r="E14" s="861">
        <f t="shared" ref="E14:E16" si="3">(C13+C14-10)/2</f>
        <v>10</v>
      </c>
      <c r="F14" s="862">
        <f t="shared" si="0"/>
        <v>20</v>
      </c>
      <c r="G14" s="708">
        <f t="shared" si="1"/>
        <v>0.55383022774327118</v>
      </c>
      <c r="H14" s="863">
        <f t="shared" ref="H14:H16" si="4">(G14*(F14-E14))/100</f>
        <v>5.5383022774327113E-2</v>
      </c>
      <c r="I14" s="864">
        <f>SUM(H$13:H14)</f>
        <v>0.11024844720496893</v>
      </c>
      <c r="J14" s="711">
        <f t="shared" si="2"/>
        <v>0.55124223602484468</v>
      </c>
      <c r="K14" s="722"/>
      <c r="L14" s="713"/>
      <c r="M14" s="759"/>
      <c r="O14" s="750"/>
      <c r="P14" s="750"/>
    </row>
    <row r="15" spans="1:16">
      <c r="A15" s="716">
        <v>555</v>
      </c>
      <c r="B15" s="700">
        <v>0</v>
      </c>
      <c r="C15" s="688">
        <v>30</v>
      </c>
      <c r="D15" s="855">
        <v>966</v>
      </c>
      <c r="E15" s="861">
        <f t="shared" si="3"/>
        <v>20</v>
      </c>
      <c r="F15" s="862">
        <f t="shared" si="0"/>
        <v>30</v>
      </c>
      <c r="G15" s="708">
        <f t="shared" si="1"/>
        <v>0.57453416149068326</v>
      </c>
      <c r="H15" s="863">
        <f t="shared" si="4"/>
        <v>5.7453416149068327E-2</v>
      </c>
      <c r="I15" s="864">
        <f>SUM(H$13:H15)</f>
        <v>0.16770186335403725</v>
      </c>
      <c r="J15" s="711">
        <f t="shared" si="2"/>
        <v>0.55900621118012417</v>
      </c>
      <c r="K15" s="722"/>
      <c r="L15" s="760" t="s">
        <v>183</v>
      </c>
      <c r="M15" s="761">
        <f>AVERAGE(M12:M14)</f>
        <v>37</v>
      </c>
      <c r="O15" s="750"/>
      <c r="P15" s="750"/>
    </row>
    <row r="16" spans="1:16">
      <c r="A16" s="716">
        <v>540</v>
      </c>
      <c r="B16" s="700">
        <v>0</v>
      </c>
      <c r="C16" s="688">
        <v>40</v>
      </c>
      <c r="D16" s="855">
        <v>966</v>
      </c>
      <c r="E16" s="861">
        <f t="shared" si="3"/>
        <v>30</v>
      </c>
      <c r="F16" s="862">
        <f>C16</f>
        <v>40</v>
      </c>
      <c r="G16" s="708">
        <f t="shared" si="1"/>
        <v>0.55900621118012417</v>
      </c>
      <c r="H16" s="863">
        <f t="shared" si="4"/>
        <v>5.5900621118012417E-2</v>
      </c>
      <c r="I16" s="864">
        <f>SUM(H$13:H16)</f>
        <v>0.22360248447204967</v>
      </c>
      <c r="J16" s="711">
        <f t="shared" si="2"/>
        <v>0.55900621118012417</v>
      </c>
      <c r="K16" s="722"/>
      <c r="L16" s="586" t="s">
        <v>184</v>
      </c>
      <c r="M16" s="759" t="e">
        <f>STDEV(M12:M14)</f>
        <v>#DIV/0!</v>
      </c>
      <c r="N16" s="762"/>
      <c r="P16" s="750"/>
    </row>
    <row r="17" spans="1:17">
      <c r="A17" s="763" t="s">
        <v>185</v>
      </c>
      <c r="B17" s="764"/>
      <c r="C17" s="765"/>
      <c r="D17" s="868"/>
      <c r="E17" s="869"/>
      <c r="F17" s="870"/>
      <c r="G17" s="770"/>
      <c r="H17" s="871"/>
      <c r="I17" s="872"/>
      <c r="J17" s="773"/>
      <c r="K17" s="774"/>
      <c r="L17" s="586" t="s">
        <v>186</v>
      </c>
      <c r="M17" s="759" t="e">
        <f>M16/SQRT(COUNT(M12:M13))</f>
        <v>#DIV/0!</v>
      </c>
      <c r="N17" s="757"/>
      <c r="Q17" s="762"/>
    </row>
    <row r="18" spans="1:17">
      <c r="A18" s="775"/>
      <c r="B18" s="776"/>
      <c r="C18" s="777"/>
      <c r="D18" s="873"/>
      <c r="E18" s="874"/>
      <c r="F18" s="875"/>
      <c r="G18" s="876"/>
      <c r="H18" s="783"/>
      <c r="I18" s="877"/>
      <c r="J18" s="878"/>
      <c r="K18" s="786"/>
      <c r="L18" s="586" t="s">
        <v>187</v>
      </c>
      <c r="M18" s="759">
        <f>MAX(M12:M13)</f>
        <v>37</v>
      </c>
      <c r="N18" s="757"/>
      <c r="O18" s="750"/>
      <c r="P18" s="750"/>
    </row>
    <row r="19" spans="1:17" ht="12" thickBot="1">
      <c r="A19" s="787"/>
      <c r="B19" s="788"/>
      <c r="C19" s="789"/>
      <c r="D19" s="879"/>
      <c r="E19" s="880"/>
      <c r="F19" s="881"/>
      <c r="G19" s="882"/>
      <c r="H19" s="795"/>
      <c r="I19" s="883"/>
      <c r="J19" s="884"/>
      <c r="K19" s="798"/>
      <c r="L19" s="799" t="s">
        <v>188</v>
      </c>
      <c r="M19" s="800">
        <f>MIN(M12:M13)</f>
        <v>37</v>
      </c>
      <c r="N19" s="762"/>
      <c r="O19" s="750"/>
      <c r="P19" s="750"/>
    </row>
    <row r="20" spans="1:17">
      <c r="A20" s="801"/>
      <c r="B20" s="801"/>
      <c r="C20" s="802"/>
      <c r="D20" s="803"/>
      <c r="E20" s="803"/>
      <c r="F20" s="803"/>
      <c r="G20" s="804"/>
      <c r="H20" s="805"/>
      <c r="I20" s="806"/>
      <c r="J20" s="807"/>
      <c r="K20" s="808"/>
      <c r="L20" s="809"/>
      <c r="M20" s="762"/>
      <c r="O20" s="750"/>
      <c r="P20" s="750"/>
    </row>
    <row r="21" spans="1:17">
      <c r="A21" s="762"/>
      <c r="B21" s="762"/>
      <c r="C21" s="811"/>
      <c r="D21" s="811"/>
      <c r="E21" s="811"/>
      <c r="F21" s="811"/>
      <c r="G21" s="806"/>
      <c r="H21" s="805"/>
      <c r="I21" s="806"/>
      <c r="J21" s="807"/>
      <c r="K21" s="812"/>
      <c r="L21" s="809"/>
      <c r="M21" s="762"/>
      <c r="O21" s="750"/>
      <c r="P21" s="750"/>
    </row>
    <row r="22" spans="1:17">
      <c r="A22" s="813"/>
      <c r="B22" s="813"/>
      <c r="C22" s="813"/>
      <c r="D22" s="813"/>
      <c r="E22" s="807"/>
      <c r="F22" s="814"/>
      <c r="G22" s="762"/>
      <c r="H22" s="750"/>
      <c r="I22" s="762"/>
      <c r="J22" s="750"/>
      <c r="K22" s="750"/>
      <c r="L22" s="762"/>
      <c r="M22" s="762"/>
      <c r="O22" s="750"/>
      <c r="P22" s="750"/>
    </row>
    <row r="23" spans="1:17">
      <c r="A23" s="815"/>
      <c r="B23" s="815"/>
      <c r="C23" s="813"/>
      <c r="D23" s="813"/>
      <c r="E23" s="807"/>
      <c r="F23" s="814"/>
      <c r="G23" s="750"/>
      <c r="H23" s="750"/>
      <c r="I23" s="762"/>
      <c r="J23" s="750"/>
      <c r="K23" s="750"/>
      <c r="L23" s="762"/>
      <c r="M23" s="762"/>
      <c r="O23" s="750"/>
      <c r="P23" s="750"/>
    </row>
    <row r="24" spans="1:17">
      <c r="A24" s="659"/>
      <c r="B24" s="659"/>
      <c r="C24" s="813"/>
      <c r="D24" s="813"/>
      <c r="E24" s="807"/>
      <c r="F24" s="814"/>
      <c r="G24" s="750"/>
      <c r="H24" s="750"/>
      <c r="I24" s="762"/>
      <c r="J24" s="750"/>
      <c r="K24" s="750"/>
      <c r="L24" s="762"/>
      <c r="M24" s="762"/>
      <c r="O24" s="750"/>
      <c r="P24" s="750"/>
    </row>
    <row r="25" spans="1:17">
      <c r="A25" s="813"/>
      <c r="B25" s="813"/>
      <c r="C25" s="813"/>
      <c r="D25" s="813"/>
      <c r="E25" s="807"/>
      <c r="F25" s="814"/>
      <c r="G25" s="750"/>
      <c r="H25" s="750"/>
      <c r="I25" s="762"/>
      <c r="J25" s="750"/>
      <c r="K25" s="750"/>
      <c r="L25" s="762"/>
      <c r="M25" s="762"/>
      <c r="O25" s="750"/>
      <c r="P25" s="750"/>
    </row>
    <row r="26" spans="1:17">
      <c r="A26" s="813"/>
      <c r="B26" s="813"/>
      <c r="C26" s="813"/>
      <c r="D26" s="813"/>
      <c r="E26" s="807"/>
      <c r="F26" s="814"/>
      <c r="G26" s="750"/>
      <c r="H26" s="750"/>
      <c r="I26" s="762"/>
      <c r="J26" s="806"/>
      <c r="K26" s="750"/>
      <c r="L26" s="762"/>
      <c r="M26" s="762"/>
      <c r="O26" s="750"/>
      <c r="P26" s="750"/>
    </row>
    <row r="27" spans="1:17">
      <c r="A27" s="813"/>
      <c r="B27" s="813"/>
      <c r="C27" s="813"/>
      <c r="D27" s="813"/>
      <c r="E27" s="807"/>
      <c r="F27" s="814"/>
      <c r="G27" s="750"/>
      <c r="H27" s="750"/>
      <c r="I27" s="762"/>
      <c r="J27" s="806"/>
      <c r="K27" s="750"/>
      <c r="L27" s="762"/>
      <c r="M27" s="762"/>
      <c r="O27" s="750"/>
      <c r="P27" s="750"/>
    </row>
    <row r="28" spans="1:17">
      <c r="A28" s="813"/>
      <c r="B28" s="813"/>
      <c r="C28" s="813"/>
      <c r="D28" s="813"/>
      <c r="E28" s="807"/>
      <c r="F28" s="814"/>
      <c r="G28" s="750"/>
      <c r="H28" s="750"/>
      <c r="I28" s="762"/>
      <c r="J28" s="750"/>
      <c r="K28" s="750"/>
      <c r="L28" s="762"/>
      <c r="M28" s="762"/>
      <c r="O28" s="750"/>
      <c r="P28" s="750"/>
    </row>
    <row r="29" spans="1:17">
      <c r="A29" s="813"/>
      <c r="B29" s="813"/>
      <c r="C29" s="813"/>
      <c r="D29" s="813"/>
      <c r="E29" s="807"/>
      <c r="F29" s="814"/>
      <c r="G29" s="750"/>
      <c r="H29" s="750"/>
      <c r="I29" s="762"/>
      <c r="J29" s="750"/>
      <c r="K29" s="750"/>
      <c r="L29" s="762"/>
      <c r="M29" s="762"/>
      <c r="O29" s="750"/>
      <c r="P29" s="750"/>
    </row>
    <row r="30" spans="1:17">
      <c r="A30" s="813"/>
      <c r="B30" s="813"/>
      <c r="C30" s="813"/>
      <c r="D30" s="813"/>
      <c r="E30" s="807"/>
      <c r="F30" s="814"/>
      <c r="G30" s="750"/>
      <c r="H30" s="750"/>
      <c r="I30" s="762"/>
      <c r="J30" s="750"/>
      <c r="K30" s="750"/>
      <c r="L30" s="762"/>
      <c r="M30" s="762"/>
      <c r="O30" s="750"/>
      <c r="P30" s="750"/>
    </row>
    <row r="31" spans="1:17">
      <c r="A31" s="813"/>
      <c r="B31" s="813"/>
      <c r="C31" s="813"/>
      <c r="D31" s="813"/>
      <c r="E31" s="807"/>
      <c r="F31" s="814"/>
      <c r="G31" s="750"/>
      <c r="H31" s="750"/>
      <c r="I31" s="762"/>
      <c r="J31" s="750"/>
      <c r="K31" s="750"/>
      <c r="L31" s="762"/>
      <c r="M31" s="762"/>
      <c r="O31" s="750"/>
      <c r="P31" s="750"/>
    </row>
    <row r="32" spans="1:17">
      <c r="A32" s="813"/>
      <c r="B32" s="813"/>
      <c r="C32" s="813"/>
      <c r="D32" s="813"/>
      <c r="E32" s="807"/>
      <c r="F32" s="814"/>
      <c r="G32" s="750"/>
      <c r="H32" s="750"/>
      <c r="I32" s="762"/>
      <c r="J32" s="750"/>
      <c r="K32" s="750"/>
      <c r="L32" s="762"/>
      <c r="M32" s="762"/>
      <c r="O32" s="750"/>
      <c r="P32" s="750"/>
    </row>
    <row r="33" spans="1:16">
      <c r="A33" s="813"/>
      <c r="B33" s="813"/>
      <c r="C33" s="813"/>
      <c r="D33" s="813"/>
      <c r="E33" s="807"/>
      <c r="F33" s="814"/>
      <c r="G33" s="750"/>
      <c r="H33" s="750"/>
      <c r="I33" s="762"/>
      <c r="J33" s="750"/>
      <c r="K33" s="750"/>
      <c r="L33" s="762"/>
      <c r="O33" s="750"/>
      <c r="P33" s="750"/>
    </row>
    <row r="34" spans="1:16">
      <c r="A34" s="813"/>
      <c r="B34" s="813"/>
      <c r="C34" s="813"/>
      <c r="D34" s="813"/>
      <c r="E34" s="807"/>
      <c r="F34" s="814"/>
      <c r="G34" s="750"/>
      <c r="H34" s="750"/>
      <c r="I34" s="762"/>
      <c r="J34" s="750"/>
      <c r="K34" s="750"/>
      <c r="L34" s="762"/>
      <c r="O34" s="750"/>
      <c r="P34" s="750"/>
    </row>
    <row r="35" spans="1:16">
      <c r="A35" s="813"/>
      <c r="B35" s="813"/>
      <c r="C35" s="813"/>
      <c r="D35" s="813"/>
      <c r="E35" s="807"/>
      <c r="F35" s="814"/>
      <c r="G35" s="750"/>
      <c r="H35" s="750"/>
      <c r="I35" s="762"/>
      <c r="J35" s="750"/>
      <c r="K35" s="750"/>
      <c r="L35" s="750"/>
      <c r="O35" s="750"/>
      <c r="P35" s="750"/>
    </row>
    <row r="36" spans="1:16">
      <c r="A36" s="813"/>
      <c r="B36" s="813"/>
      <c r="C36" s="813"/>
      <c r="D36" s="813"/>
      <c r="E36" s="807"/>
      <c r="F36" s="814"/>
      <c r="G36" s="750"/>
      <c r="H36" s="750"/>
      <c r="I36" s="762"/>
      <c r="J36" s="750"/>
      <c r="K36" s="750"/>
      <c r="L36" s="750"/>
      <c r="O36" s="750"/>
      <c r="P36" s="750"/>
    </row>
    <row r="37" spans="1:16">
      <c r="A37" s="813"/>
      <c r="B37" s="813"/>
      <c r="C37" s="813"/>
      <c r="D37" s="813"/>
      <c r="E37" s="807"/>
      <c r="F37" s="814"/>
      <c r="G37" s="750"/>
      <c r="H37" s="750"/>
      <c r="I37" s="762"/>
      <c r="J37" s="750"/>
      <c r="K37" s="750"/>
      <c r="L37" s="750"/>
      <c r="O37" s="750"/>
      <c r="P37" s="750"/>
    </row>
    <row r="38" spans="1:16">
      <c r="A38" s="813"/>
      <c r="B38" s="813"/>
      <c r="C38" s="813"/>
      <c r="D38" s="813"/>
      <c r="E38" s="807"/>
      <c r="F38" s="814"/>
      <c r="G38" s="750"/>
      <c r="H38" s="750"/>
      <c r="I38" s="762"/>
      <c r="J38" s="750"/>
      <c r="K38" s="750"/>
      <c r="L38" s="750"/>
      <c r="O38" s="750"/>
      <c r="P38" s="750"/>
    </row>
    <row r="39" spans="1:16">
      <c r="A39" s="813"/>
      <c r="B39" s="813"/>
      <c r="C39" s="813"/>
      <c r="D39" s="813"/>
      <c r="E39" s="807"/>
      <c r="F39" s="814"/>
      <c r="G39" s="750"/>
      <c r="H39" s="750"/>
      <c r="I39" s="762"/>
      <c r="J39" s="750"/>
      <c r="K39" s="750"/>
      <c r="L39" s="750"/>
      <c r="O39" s="750"/>
      <c r="P39" s="750"/>
    </row>
    <row r="40" spans="1:16">
      <c r="A40" s="813"/>
      <c r="B40" s="813"/>
      <c r="C40" s="813"/>
      <c r="D40" s="813"/>
      <c r="E40" s="807"/>
      <c r="F40" s="814"/>
      <c r="G40" s="750"/>
      <c r="H40" s="750"/>
      <c r="I40" s="762"/>
      <c r="J40" s="750"/>
      <c r="K40" s="750"/>
      <c r="L40" s="750"/>
      <c r="O40" s="750"/>
      <c r="P40" s="750"/>
    </row>
    <row r="41" spans="1:16">
      <c r="A41" s="813"/>
      <c r="B41" s="813"/>
      <c r="C41" s="813"/>
      <c r="D41" s="813"/>
      <c r="E41" s="807"/>
      <c r="F41" s="814"/>
      <c r="G41" s="750"/>
      <c r="H41" s="750"/>
      <c r="I41" s="762"/>
      <c r="J41" s="750"/>
      <c r="K41" s="750"/>
      <c r="L41" s="750"/>
      <c r="O41" s="750"/>
      <c r="P41" s="750"/>
    </row>
    <row r="42" spans="1:16">
      <c r="A42" s="813"/>
      <c r="B42" s="813"/>
      <c r="C42" s="813"/>
      <c r="D42" s="813"/>
      <c r="E42" s="807"/>
      <c r="F42" s="814"/>
      <c r="G42" s="750"/>
      <c r="H42" s="750"/>
      <c r="I42" s="762"/>
      <c r="J42" s="750"/>
      <c r="K42" s="750"/>
      <c r="L42" s="750"/>
      <c r="O42" s="750"/>
      <c r="P42" s="750"/>
    </row>
    <row r="43" spans="1:16">
      <c r="A43" s="813"/>
      <c r="B43" s="813"/>
      <c r="C43" s="813"/>
      <c r="D43" s="813"/>
      <c r="E43" s="807"/>
      <c r="F43" s="814"/>
      <c r="G43" s="750"/>
      <c r="H43" s="750"/>
      <c r="I43" s="762"/>
      <c r="J43" s="750"/>
      <c r="K43" s="750"/>
      <c r="L43" s="750"/>
      <c r="O43" s="750"/>
      <c r="P43" s="750"/>
    </row>
    <row r="44" spans="1:16">
      <c r="A44" s="813"/>
      <c r="B44" s="813"/>
      <c r="C44" s="813"/>
      <c r="D44" s="813"/>
      <c r="E44" s="807"/>
      <c r="F44" s="814"/>
      <c r="G44" s="750"/>
      <c r="H44" s="750"/>
      <c r="I44" s="762"/>
      <c r="J44" s="750"/>
      <c r="K44" s="750"/>
      <c r="L44" s="750"/>
      <c r="O44" s="750"/>
      <c r="P44" s="750"/>
    </row>
    <row r="45" spans="1:16">
      <c r="A45" s="813"/>
      <c r="B45" s="813"/>
      <c r="C45" s="813"/>
      <c r="D45" s="813"/>
      <c r="E45" s="807"/>
      <c r="F45" s="814"/>
      <c r="G45" s="750"/>
      <c r="H45" s="750"/>
      <c r="I45" s="762"/>
      <c r="J45" s="750"/>
      <c r="K45" s="750"/>
      <c r="L45" s="750"/>
      <c r="O45" s="750"/>
      <c r="P45" s="750"/>
    </row>
    <row r="46" spans="1:16">
      <c r="A46" s="813"/>
      <c r="B46" s="813"/>
      <c r="C46" s="813"/>
      <c r="D46" s="813"/>
      <c r="E46" s="807"/>
      <c r="F46" s="814"/>
      <c r="G46" s="810"/>
      <c r="H46" s="750"/>
      <c r="I46" s="762"/>
      <c r="J46" s="750"/>
      <c r="K46" s="750"/>
      <c r="L46" s="750"/>
      <c r="O46" s="750"/>
      <c r="P46" s="750"/>
    </row>
    <row r="47" spans="1:16">
      <c r="A47" s="813"/>
      <c r="B47" s="813"/>
      <c r="C47" s="813"/>
      <c r="D47" s="813"/>
      <c r="E47" s="807"/>
      <c r="F47" s="814"/>
      <c r="G47" s="810"/>
      <c r="H47" s="750"/>
      <c r="I47" s="762"/>
      <c r="J47" s="750"/>
      <c r="K47" s="750"/>
      <c r="L47" s="750"/>
      <c r="O47" s="750"/>
      <c r="P47" s="750"/>
    </row>
    <row r="48" spans="1:16">
      <c r="A48" s="813"/>
      <c r="B48" s="813"/>
      <c r="C48" s="813"/>
      <c r="D48" s="813"/>
      <c r="E48" s="807"/>
      <c r="F48" s="814"/>
      <c r="G48" s="810"/>
      <c r="H48" s="750"/>
      <c r="I48" s="762"/>
      <c r="J48" s="750"/>
      <c r="K48" s="750"/>
      <c r="L48" s="750"/>
      <c r="O48" s="750"/>
      <c r="P48" s="750"/>
    </row>
    <row r="49" spans="1:17">
      <c r="A49" s="813"/>
      <c r="B49" s="813"/>
      <c r="C49" s="813"/>
      <c r="D49" s="813"/>
      <c r="E49" s="807"/>
      <c r="F49" s="814"/>
      <c r="G49" s="810"/>
      <c r="H49" s="750"/>
      <c r="I49" s="762"/>
      <c r="J49" s="750"/>
      <c r="K49" s="750"/>
      <c r="L49" s="750"/>
      <c r="O49" s="750"/>
      <c r="P49" s="750"/>
    </row>
    <row r="50" spans="1:17">
      <c r="A50" s="813"/>
      <c r="B50" s="813"/>
      <c r="C50" s="813"/>
      <c r="D50" s="813"/>
      <c r="E50" s="807"/>
      <c r="F50" s="814"/>
      <c r="G50" s="750"/>
      <c r="H50" s="750"/>
      <c r="I50" s="762"/>
      <c r="J50" s="750"/>
      <c r="K50" s="750"/>
      <c r="L50" s="750"/>
      <c r="O50" s="750"/>
      <c r="P50" s="750"/>
    </row>
    <row r="51" spans="1:17">
      <c r="A51" s="813"/>
      <c r="B51" s="813"/>
      <c r="C51" s="813"/>
      <c r="D51" s="813"/>
      <c r="E51" s="807"/>
      <c r="F51" s="814"/>
      <c r="G51" s="750"/>
      <c r="H51" s="750"/>
      <c r="I51" s="762"/>
      <c r="J51" s="750"/>
      <c r="K51" s="750"/>
      <c r="L51" s="750"/>
      <c r="O51" s="750"/>
      <c r="P51" s="750"/>
    </row>
    <row r="52" spans="1:17" s="813" customFormat="1">
      <c r="E52" s="807"/>
      <c r="F52" s="814"/>
      <c r="G52" s="750"/>
      <c r="H52" s="750"/>
      <c r="I52" s="762"/>
      <c r="J52" s="750"/>
      <c r="K52" s="750"/>
      <c r="L52" s="750"/>
      <c r="M52" s="750"/>
      <c r="N52" s="750"/>
      <c r="O52" s="750"/>
      <c r="P52" s="750"/>
      <c r="Q52" s="750"/>
    </row>
    <row r="53" spans="1:17" s="813" customFormat="1">
      <c r="E53" s="807"/>
      <c r="F53" s="814"/>
      <c r="G53" s="750"/>
      <c r="H53" s="750"/>
      <c r="I53" s="762"/>
      <c r="J53" s="750"/>
      <c r="K53" s="750"/>
      <c r="L53" s="750"/>
      <c r="M53" s="750"/>
      <c r="N53" s="750"/>
      <c r="O53" s="750"/>
      <c r="P53" s="750"/>
      <c r="Q53" s="750"/>
    </row>
    <row r="54" spans="1:17" s="813" customFormat="1">
      <c r="E54" s="807"/>
      <c r="F54" s="814"/>
      <c r="G54" s="750"/>
      <c r="H54" s="750"/>
      <c r="I54" s="762"/>
      <c r="J54" s="750"/>
      <c r="K54" s="750"/>
      <c r="L54" s="750"/>
      <c r="M54" s="750"/>
      <c r="N54" s="750"/>
      <c r="O54" s="750"/>
      <c r="P54" s="750"/>
      <c r="Q54" s="750"/>
    </row>
    <row r="55" spans="1:17" s="813" customFormat="1">
      <c r="E55" s="807"/>
      <c r="F55" s="814"/>
      <c r="G55" s="750"/>
      <c r="H55" s="750"/>
      <c r="I55" s="762"/>
      <c r="J55" s="750"/>
      <c r="K55" s="750"/>
      <c r="L55" s="750"/>
      <c r="M55" s="750"/>
      <c r="N55" s="750"/>
      <c r="O55" s="750"/>
      <c r="P55" s="750"/>
      <c r="Q55" s="750"/>
    </row>
    <row r="56" spans="1:17" s="813" customFormat="1">
      <c r="E56" s="807"/>
      <c r="F56" s="814"/>
      <c r="G56" s="750"/>
      <c r="H56" s="750"/>
      <c r="I56" s="762"/>
      <c r="J56" s="750"/>
      <c r="K56" s="750"/>
      <c r="L56" s="750"/>
      <c r="M56" s="750"/>
      <c r="N56" s="750"/>
      <c r="O56" s="750"/>
      <c r="P56" s="750"/>
      <c r="Q56" s="750"/>
    </row>
    <row r="57" spans="1:17" s="813" customFormat="1">
      <c r="E57" s="807"/>
      <c r="F57" s="814"/>
      <c r="G57" s="750"/>
      <c r="H57" s="750"/>
      <c r="I57" s="762"/>
      <c r="J57" s="750"/>
      <c r="K57" s="750"/>
      <c r="L57" s="750"/>
      <c r="M57" s="750"/>
    </row>
    <row r="58" spans="1:17" s="813" customFormat="1">
      <c r="E58" s="807"/>
      <c r="F58" s="814"/>
      <c r="G58" s="750"/>
      <c r="H58" s="750"/>
      <c r="I58" s="762"/>
      <c r="J58" s="750"/>
      <c r="K58" s="750"/>
      <c r="L58" s="750"/>
      <c r="M58" s="750"/>
    </row>
    <row r="59" spans="1:17" s="813" customFormat="1">
      <c r="E59" s="807"/>
      <c r="F59" s="814"/>
      <c r="G59" s="750"/>
      <c r="H59" s="750"/>
      <c r="I59" s="762"/>
      <c r="J59" s="750"/>
      <c r="K59" s="750"/>
      <c r="L59" s="750"/>
      <c r="M59" s="750"/>
    </row>
    <row r="60" spans="1:17" s="813" customFormat="1">
      <c r="E60" s="807"/>
      <c r="F60" s="814"/>
      <c r="G60" s="750"/>
      <c r="H60" s="750"/>
      <c r="I60" s="762"/>
      <c r="J60" s="750"/>
      <c r="K60" s="750"/>
      <c r="L60" s="750"/>
      <c r="M60" s="750"/>
    </row>
    <row r="61" spans="1:17" s="813" customFormat="1">
      <c r="E61" s="807"/>
      <c r="F61" s="814"/>
      <c r="G61" s="750"/>
      <c r="H61" s="750"/>
      <c r="I61" s="762"/>
      <c r="J61" s="750"/>
      <c r="K61" s="750"/>
      <c r="L61" s="750"/>
      <c r="M61" s="750"/>
    </row>
    <row r="62" spans="1:17" s="813" customFormat="1">
      <c r="E62" s="807"/>
      <c r="F62" s="814"/>
      <c r="G62" s="750"/>
      <c r="H62" s="750"/>
      <c r="I62" s="762"/>
      <c r="J62" s="750"/>
      <c r="K62" s="750"/>
      <c r="L62" s="750"/>
      <c r="M62" s="750"/>
    </row>
    <row r="63" spans="1:17" s="813" customFormat="1">
      <c r="E63" s="807"/>
      <c r="F63" s="814"/>
      <c r="G63" s="750"/>
      <c r="H63" s="750"/>
      <c r="I63" s="762"/>
      <c r="J63" s="750"/>
      <c r="K63" s="750"/>
      <c r="L63" s="750"/>
      <c r="M63" s="750"/>
    </row>
    <row r="64" spans="1:17" s="813" customFormat="1">
      <c r="E64" s="807"/>
      <c r="F64" s="814"/>
      <c r="G64" s="750"/>
      <c r="H64" s="750"/>
      <c r="I64" s="762"/>
      <c r="J64" s="750"/>
      <c r="K64" s="750"/>
      <c r="L64" s="750"/>
      <c r="M64" s="750"/>
    </row>
    <row r="65" spans="5:13" s="813" customFormat="1">
      <c r="E65" s="807"/>
      <c r="F65" s="814"/>
      <c r="G65" s="750"/>
      <c r="H65" s="750"/>
      <c r="I65" s="762"/>
      <c r="J65" s="750"/>
      <c r="K65" s="750"/>
      <c r="L65" s="750"/>
      <c r="M65" s="750"/>
    </row>
    <row r="66" spans="5:13" s="813" customFormat="1">
      <c r="E66" s="807"/>
      <c r="F66" s="814"/>
      <c r="G66" s="750"/>
      <c r="H66" s="750"/>
      <c r="I66" s="762"/>
      <c r="J66" s="750"/>
      <c r="K66" s="750"/>
      <c r="L66" s="750"/>
      <c r="M66" s="750"/>
    </row>
    <row r="67" spans="5:13" s="813" customFormat="1">
      <c r="E67" s="807"/>
      <c r="F67" s="814"/>
      <c r="G67" s="750"/>
      <c r="H67" s="750"/>
      <c r="I67" s="762"/>
      <c r="J67" s="750"/>
      <c r="K67" s="750"/>
      <c r="L67" s="750"/>
      <c r="M67" s="750"/>
    </row>
    <row r="68" spans="5:13" s="813" customFormat="1">
      <c r="E68" s="807"/>
      <c r="F68" s="814"/>
      <c r="G68" s="750"/>
      <c r="H68" s="750"/>
      <c r="I68" s="762"/>
      <c r="J68" s="750"/>
      <c r="K68" s="750"/>
      <c r="L68" s="750"/>
      <c r="M68" s="750"/>
    </row>
    <row r="69" spans="5:13" s="813" customFormat="1">
      <c r="E69" s="807"/>
      <c r="F69" s="814"/>
      <c r="G69" s="750"/>
      <c r="H69" s="750"/>
      <c r="I69" s="762"/>
      <c r="J69" s="750"/>
      <c r="K69" s="750"/>
      <c r="L69" s="750"/>
      <c r="M69" s="750"/>
    </row>
    <row r="70" spans="5:13" s="813" customFormat="1">
      <c r="E70" s="807"/>
      <c r="F70" s="814"/>
      <c r="G70" s="750"/>
      <c r="H70" s="750"/>
      <c r="I70" s="762"/>
      <c r="J70" s="750"/>
      <c r="K70" s="750"/>
      <c r="L70" s="750"/>
      <c r="M70" s="750"/>
    </row>
    <row r="71" spans="5:13" s="813" customFormat="1">
      <c r="E71" s="807"/>
      <c r="F71" s="814"/>
      <c r="G71" s="750"/>
      <c r="H71" s="750"/>
      <c r="I71" s="762"/>
      <c r="J71" s="750"/>
      <c r="K71" s="750"/>
      <c r="L71" s="750"/>
      <c r="M71" s="750"/>
    </row>
    <row r="72" spans="5:13" s="813" customFormat="1">
      <c r="E72" s="807"/>
      <c r="F72" s="814"/>
      <c r="G72" s="750"/>
      <c r="H72" s="750"/>
      <c r="I72" s="762"/>
      <c r="J72" s="750"/>
      <c r="K72" s="750"/>
      <c r="L72" s="750"/>
    </row>
    <row r="73" spans="5:13" s="813" customFormat="1">
      <c r="E73" s="807"/>
      <c r="F73" s="814"/>
      <c r="G73" s="750"/>
      <c r="H73" s="750"/>
      <c r="I73" s="762"/>
      <c r="J73" s="750"/>
      <c r="K73" s="750"/>
      <c r="L73" s="750"/>
    </row>
    <row r="74" spans="5:13" s="813" customFormat="1">
      <c r="E74" s="807"/>
      <c r="F74" s="814"/>
      <c r="G74" s="750"/>
      <c r="H74" s="750"/>
      <c r="I74" s="762"/>
      <c r="J74" s="750"/>
      <c r="K74" s="750"/>
      <c r="L74" s="750"/>
    </row>
    <row r="75" spans="5:13" s="813" customFormat="1">
      <c r="E75" s="807"/>
      <c r="F75" s="814"/>
      <c r="G75" s="750"/>
      <c r="H75" s="750"/>
      <c r="I75" s="762"/>
      <c r="J75" s="750"/>
      <c r="K75" s="750"/>
      <c r="L75" s="750"/>
    </row>
    <row r="76" spans="5:13" s="813" customFormat="1">
      <c r="E76" s="807"/>
      <c r="F76" s="814"/>
      <c r="G76" s="750"/>
      <c r="H76" s="750"/>
      <c r="I76" s="762"/>
      <c r="J76" s="750"/>
      <c r="K76" s="750"/>
      <c r="L76" s="750"/>
    </row>
    <row r="77" spans="5:13" s="813" customFormat="1">
      <c r="E77" s="807"/>
      <c r="F77" s="814"/>
      <c r="G77" s="750"/>
      <c r="H77" s="750"/>
      <c r="I77" s="762"/>
      <c r="J77" s="750"/>
      <c r="K77" s="750"/>
      <c r="L77" s="750"/>
    </row>
    <row r="78" spans="5:13" s="813" customFormat="1">
      <c r="E78" s="807"/>
      <c r="F78" s="814"/>
      <c r="G78" s="750"/>
      <c r="H78" s="750"/>
      <c r="I78" s="762"/>
      <c r="J78" s="750"/>
      <c r="K78" s="750"/>
      <c r="L78" s="750"/>
    </row>
    <row r="79" spans="5:13" s="813" customFormat="1">
      <c r="E79" s="807"/>
      <c r="F79" s="814"/>
      <c r="G79" s="750"/>
      <c r="H79" s="750"/>
      <c r="I79" s="762"/>
      <c r="J79" s="750"/>
      <c r="K79" s="750"/>
      <c r="L79" s="750"/>
    </row>
    <row r="80" spans="5:13" s="813" customFormat="1">
      <c r="E80" s="807"/>
      <c r="F80" s="814"/>
      <c r="G80" s="750"/>
      <c r="H80" s="750"/>
      <c r="I80" s="762"/>
      <c r="J80" s="750"/>
      <c r="K80" s="750"/>
      <c r="L80" s="750"/>
    </row>
    <row r="81" spans="5:12" s="813" customFormat="1">
      <c r="E81" s="807"/>
      <c r="F81" s="814"/>
      <c r="G81" s="750"/>
      <c r="H81" s="750"/>
      <c r="I81" s="762"/>
      <c r="J81" s="750"/>
      <c r="K81" s="750"/>
      <c r="L81" s="750"/>
    </row>
    <row r="82" spans="5:12" s="813" customFormat="1">
      <c r="E82" s="807"/>
      <c r="F82" s="814"/>
      <c r="G82" s="750"/>
      <c r="H82" s="750"/>
      <c r="I82" s="762"/>
      <c r="J82" s="750"/>
      <c r="K82" s="750"/>
      <c r="L82" s="750"/>
    </row>
    <row r="83" spans="5:12" s="813" customFormat="1">
      <c r="E83" s="807"/>
      <c r="F83" s="814"/>
      <c r="G83" s="750"/>
      <c r="H83" s="750"/>
      <c r="I83" s="762"/>
      <c r="J83" s="750"/>
      <c r="K83" s="750"/>
      <c r="L83" s="750"/>
    </row>
    <row r="84" spans="5:12" s="813" customFormat="1">
      <c r="E84" s="807"/>
      <c r="F84" s="814"/>
      <c r="G84" s="750"/>
      <c r="H84" s="750"/>
      <c r="I84" s="762"/>
      <c r="J84" s="750"/>
      <c r="K84" s="750"/>
      <c r="L84" s="750"/>
    </row>
    <row r="85" spans="5:12" s="813" customFormat="1">
      <c r="E85" s="807"/>
      <c r="F85" s="814"/>
      <c r="G85" s="750"/>
      <c r="H85" s="750"/>
      <c r="I85" s="762"/>
      <c r="J85" s="750"/>
      <c r="K85" s="750"/>
      <c r="L85" s="750"/>
    </row>
    <row r="86" spans="5:12" s="813" customFormat="1">
      <c r="E86" s="807"/>
      <c r="F86" s="814"/>
      <c r="G86" s="750"/>
      <c r="H86" s="750"/>
      <c r="I86" s="762"/>
      <c r="J86" s="750"/>
      <c r="K86" s="750"/>
      <c r="L86" s="750"/>
    </row>
    <row r="87" spans="5:12" s="813" customFormat="1">
      <c r="E87" s="807"/>
      <c r="F87" s="814"/>
      <c r="G87" s="750"/>
      <c r="H87" s="750"/>
      <c r="I87" s="762"/>
      <c r="J87" s="750"/>
      <c r="K87" s="750"/>
      <c r="L87" s="750"/>
    </row>
    <row r="88" spans="5:12" s="813" customFormat="1">
      <c r="E88" s="807"/>
      <c r="F88" s="814"/>
      <c r="G88" s="750"/>
      <c r="H88" s="750"/>
      <c r="I88" s="762"/>
      <c r="J88" s="750"/>
      <c r="K88" s="750"/>
      <c r="L88" s="750"/>
    </row>
    <row r="89" spans="5:12" s="813" customFormat="1">
      <c r="E89" s="807"/>
      <c r="F89" s="814"/>
      <c r="G89" s="750"/>
      <c r="H89" s="750"/>
      <c r="I89" s="762"/>
      <c r="J89" s="750"/>
      <c r="K89" s="750"/>
      <c r="L89" s="750"/>
    </row>
    <row r="90" spans="5:12" s="813" customFormat="1">
      <c r="E90" s="807"/>
      <c r="F90" s="814"/>
      <c r="G90" s="750"/>
      <c r="H90" s="750"/>
      <c r="I90" s="762"/>
      <c r="J90" s="750"/>
      <c r="K90" s="750"/>
      <c r="L90" s="750"/>
    </row>
    <row r="91" spans="5:12" s="813" customFormat="1">
      <c r="E91" s="807"/>
      <c r="F91" s="814"/>
      <c r="G91" s="750"/>
      <c r="H91" s="750"/>
      <c r="I91" s="762"/>
      <c r="J91" s="750"/>
      <c r="K91" s="750"/>
      <c r="L91" s="750"/>
    </row>
    <row r="92" spans="5:12" s="813" customFormat="1">
      <c r="E92" s="807"/>
      <c r="F92" s="814"/>
      <c r="G92" s="750"/>
      <c r="H92" s="750"/>
      <c r="I92" s="762"/>
      <c r="J92" s="750"/>
      <c r="K92" s="750"/>
      <c r="L92" s="750"/>
    </row>
    <row r="93" spans="5:12" s="813" customFormat="1">
      <c r="E93" s="807"/>
      <c r="F93" s="814"/>
      <c r="G93" s="750"/>
      <c r="H93" s="750"/>
      <c r="I93" s="762"/>
      <c r="J93" s="750"/>
      <c r="K93" s="750"/>
      <c r="L93" s="750"/>
    </row>
    <row r="94" spans="5:12" s="813" customFormat="1">
      <c r="E94" s="807"/>
      <c r="F94" s="814"/>
      <c r="G94" s="750"/>
      <c r="H94" s="750"/>
      <c r="I94" s="762"/>
      <c r="J94" s="750"/>
      <c r="K94" s="750"/>
      <c r="L94" s="750"/>
    </row>
    <row r="95" spans="5:12" s="813" customFormat="1">
      <c r="E95" s="807"/>
      <c r="F95" s="814"/>
      <c r="G95" s="750"/>
      <c r="H95" s="750"/>
      <c r="I95" s="762"/>
      <c r="J95" s="750"/>
      <c r="K95" s="750"/>
      <c r="L95" s="750"/>
    </row>
    <row r="96" spans="5:12" s="813" customFormat="1">
      <c r="E96" s="807"/>
      <c r="F96" s="814"/>
      <c r="G96" s="750"/>
      <c r="H96" s="750"/>
      <c r="I96" s="762"/>
      <c r="J96" s="750"/>
      <c r="K96" s="750"/>
      <c r="L96" s="750"/>
    </row>
    <row r="97" spans="1:17" s="813" customFormat="1">
      <c r="E97" s="807"/>
      <c r="F97" s="814"/>
      <c r="G97" s="750"/>
      <c r="H97" s="750"/>
      <c r="I97" s="762"/>
      <c r="J97" s="750"/>
      <c r="K97" s="750"/>
      <c r="L97" s="750"/>
    </row>
    <row r="98" spans="1:17" s="813" customFormat="1">
      <c r="E98" s="807"/>
      <c r="F98" s="814"/>
      <c r="G98" s="750"/>
      <c r="H98" s="750"/>
      <c r="I98" s="762"/>
      <c r="J98" s="750"/>
      <c r="K98" s="750"/>
      <c r="L98" s="750"/>
    </row>
    <row r="99" spans="1:17" s="813" customFormat="1">
      <c r="E99" s="807"/>
      <c r="F99" s="814"/>
      <c r="G99" s="750"/>
      <c r="H99" s="750"/>
      <c r="I99" s="762"/>
      <c r="J99" s="750"/>
      <c r="K99" s="750"/>
      <c r="L99" s="750"/>
    </row>
    <row r="100" spans="1:17" s="813" customFormat="1">
      <c r="E100" s="807"/>
      <c r="F100" s="814"/>
      <c r="G100" s="750"/>
      <c r="H100" s="750"/>
      <c r="I100" s="762"/>
      <c r="J100" s="750"/>
      <c r="K100" s="750"/>
      <c r="L100" s="750"/>
    </row>
    <row r="101" spans="1:17" s="813" customFormat="1">
      <c r="E101" s="807"/>
      <c r="F101" s="814"/>
      <c r="G101" s="750"/>
      <c r="H101" s="750"/>
      <c r="I101" s="762"/>
      <c r="J101" s="750"/>
      <c r="K101" s="750"/>
      <c r="L101" s="750"/>
    </row>
    <row r="102" spans="1:17" s="813" customFormat="1">
      <c r="E102" s="807"/>
      <c r="F102" s="814"/>
      <c r="G102" s="750"/>
      <c r="H102" s="750"/>
      <c r="I102" s="762"/>
      <c r="J102" s="750"/>
      <c r="K102" s="750"/>
      <c r="L102" s="750"/>
    </row>
    <row r="103" spans="1:17" s="813" customFormat="1">
      <c r="E103" s="807"/>
      <c r="F103" s="814"/>
      <c r="G103" s="750"/>
      <c r="H103" s="750"/>
      <c r="I103" s="762"/>
      <c r="J103" s="750"/>
      <c r="K103" s="750"/>
      <c r="L103" s="750"/>
    </row>
    <row r="104" spans="1:17" s="813" customFormat="1">
      <c r="E104" s="807"/>
      <c r="F104" s="814"/>
      <c r="G104" s="750"/>
      <c r="H104" s="750"/>
      <c r="I104" s="762"/>
      <c r="J104" s="750"/>
      <c r="K104" s="750"/>
      <c r="L104" s="750"/>
    </row>
    <row r="105" spans="1:17" s="813" customFormat="1">
      <c r="E105" s="807"/>
      <c r="F105" s="814"/>
      <c r="G105" s="750"/>
      <c r="H105" s="750"/>
      <c r="I105" s="762"/>
      <c r="J105" s="750"/>
      <c r="K105" s="750"/>
      <c r="L105" s="750"/>
    </row>
    <row r="106" spans="1:17" s="813" customFormat="1">
      <c r="E106" s="807"/>
      <c r="F106" s="814"/>
      <c r="G106" s="750"/>
      <c r="H106" s="750"/>
      <c r="I106" s="762"/>
      <c r="J106" s="750"/>
      <c r="K106" s="750"/>
      <c r="L106" s="750"/>
    </row>
    <row r="107" spans="1:17" s="813" customFormat="1">
      <c r="E107" s="807"/>
      <c r="F107" s="814"/>
      <c r="G107" s="750"/>
      <c r="H107" s="750"/>
      <c r="I107" s="762"/>
      <c r="J107" s="750"/>
      <c r="K107" s="750"/>
      <c r="L107" s="750"/>
    </row>
    <row r="108" spans="1:17" s="813" customFormat="1">
      <c r="E108" s="807"/>
      <c r="F108" s="814"/>
      <c r="G108" s="750"/>
      <c r="H108" s="750"/>
      <c r="I108" s="762"/>
      <c r="J108" s="750"/>
      <c r="K108" s="750"/>
      <c r="L108" s="750"/>
    </row>
    <row r="109" spans="1:17">
      <c r="A109" s="813"/>
      <c r="B109" s="813"/>
      <c r="C109" s="813"/>
      <c r="D109" s="813"/>
      <c r="E109" s="807"/>
      <c r="F109" s="814"/>
      <c r="G109" s="750"/>
      <c r="H109" s="750"/>
      <c r="I109" s="762"/>
      <c r="J109" s="750"/>
      <c r="K109" s="750"/>
      <c r="L109" s="750"/>
      <c r="M109" s="813"/>
      <c r="N109" s="813"/>
      <c r="O109" s="813"/>
      <c r="P109" s="813"/>
      <c r="Q109" s="813"/>
    </row>
    <row r="110" spans="1:17">
      <c r="A110" s="813"/>
      <c r="B110" s="813"/>
      <c r="C110" s="813"/>
      <c r="D110" s="813"/>
      <c r="E110" s="807"/>
      <c r="F110" s="814"/>
      <c r="G110" s="750"/>
      <c r="H110" s="750"/>
      <c r="I110" s="762"/>
      <c r="J110" s="750"/>
      <c r="K110" s="750"/>
      <c r="L110" s="750"/>
      <c r="M110" s="813"/>
      <c r="N110" s="813"/>
      <c r="O110" s="813"/>
      <c r="P110" s="813"/>
      <c r="Q110" s="813"/>
    </row>
    <row r="111" spans="1:17">
      <c r="A111" s="813"/>
      <c r="B111" s="813"/>
      <c r="C111" s="813"/>
      <c r="D111" s="813"/>
      <c r="E111" s="807"/>
      <c r="F111" s="814"/>
      <c r="G111" s="750"/>
      <c r="H111" s="750"/>
      <c r="I111" s="762"/>
      <c r="J111" s="750"/>
      <c r="K111" s="750"/>
      <c r="L111" s="750"/>
      <c r="M111" s="813"/>
      <c r="N111" s="813"/>
      <c r="O111" s="813"/>
      <c r="P111" s="813"/>
      <c r="Q111" s="813"/>
    </row>
    <row r="112" spans="1:17">
      <c r="A112" s="813"/>
      <c r="B112" s="813"/>
      <c r="C112" s="813"/>
      <c r="D112" s="813"/>
      <c r="E112" s="807"/>
      <c r="F112" s="814"/>
      <c r="G112" s="750"/>
      <c r="H112" s="750"/>
      <c r="I112" s="762"/>
      <c r="J112" s="750"/>
      <c r="K112" s="750"/>
      <c r="L112" s="750"/>
      <c r="M112" s="813"/>
      <c r="N112" s="813"/>
      <c r="O112" s="813"/>
      <c r="P112" s="813"/>
      <c r="Q112" s="813"/>
    </row>
    <row r="113" spans="1:17">
      <c r="A113" s="813"/>
      <c r="B113" s="813"/>
      <c r="C113" s="813"/>
      <c r="D113" s="813"/>
      <c r="E113" s="807"/>
      <c r="F113" s="814"/>
      <c r="G113" s="750"/>
      <c r="H113" s="750"/>
      <c r="I113" s="762"/>
      <c r="J113" s="750"/>
      <c r="K113" s="750"/>
      <c r="L113" s="750"/>
      <c r="M113" s="813"/>
      <c r="N113" s="813"/>
      <c r="O113" s="813"/>
      <c r="P113" s="813"/>
      <c r="Q113" s="813"/>
    </row>
    <row r="114" spans="1:17">
      <c r="A114" s="813"/>
      <c r="B114" s="813"/>
      <c r="C114" s="813"/>
      <c r="D114" s="813"/>
      <c r="E114" s="807"/>
      <c r="F114" s="814"/>
      <c r="G114" s="750"/>
      <c r="H114" s="750"/>
      <c r="I114" s="762"/>
      <c r="J114" s="750"/>
      <c r="K114" s="750"/>
      <c r="L114" s="750"/>
      <c r="M114" s="813"/>
    </row>
    <row r="115" spans="1:17">
      <c r="A115" s="813"/>
      <c r="B115" s="813"/>
      <c r="C115" s="813"/>
      <c r="D115" s="813"/>
      <c r="E115" s="807"/>
      <c r="F115" s="814"/>
      <c r="G115" s="750"/>
      <c r="H115" s="750"/>
      <c r="I115" s="762"/>
      <c r="J115" s="750"/>
      <c r="K115" s="750"/>
      <c r="L115" s="750"/>
      <c r="M115" s="813"/>
    </row>
    <row r="116" spans="1:17">
      <c r="A116" s="813"/>
      <c r="B116" s="813"/>
      <c r="C116" s="813"/>
      <c r="D116" s="813"/>
      <c r="E116" s="807"/>
      <c r="F116" s="814"/>
      <c r="G116" s="750"/>
      <c r="H116" s="750"/>
      <c r="I116" s="762"/>
      <c r="J116" s="750"/>
      <c r="K116" s="750"/>
      <c r="L116" s="750"/>
      <c r="M116" s="813"/>
    </row>
    <row r="117" spans="1:17">
      <c r="A117" s="813"/>
      <c r="B117" s="813"/>
      <c r="C117" s="813"/>
      <c r="D117" s="813"/>
      <c r="E117" s="807"/>
      <c r="F117" s="814"/>
      <c r="G117" s="750"/>
      <c r="H117" s="750"/>
      <c r="I117" s="762"/>
      <c r="J117" s="750"/>
      <c r="K117" s="750"/>
      <c r="L117" s="750"/>
      <c r="M117" s="813"/>
    </row>
    <row r="118" spans="1:17">
      <c r="J118" s="750"/>
      <c r="K118" s="750"/>
      <c r="L118" s="750"/>
      <c r="M118" s="813"/>
    </row>
    <row r="119" spans="1:17">
      <c r="J119" s="750"/>
      <c r="K119" s="750"/>
      <c r="L119" s="750"/>
      <c r="M119" s="813"/>
    </row>
    <row r="120" spans="1:17">
      <c r="J120" s="750"/>
      <c r="K120" s="750"/>
      <c r="L120" s="750"/>
      <c r="M120" s="813"/>
    </row>
    <row r="121" spans="1:17">
      <c r="J121" s="750"/>
      <c r="K121" s="750"/>
      <c r="L121" s="750"/>
      <c r="M121" s="813"/>
    </row>
    <row r="122" spans="1:17">
      <c r="J122" s="750"/>
      <c r="K122" s="750"/>
      <c r="L122" s="750"/>
      <c r="M122" s="813"/>
    </row>
    <row r="123" spans="1:17">
      <c r="J123" s="750"/>
      <c r="K123" s="750"/>
      <c r="L123" s="750"/>
      <c r="M123" s="813"/>
    </row>
    <row r="124" spans="1:17">
      <c r="K124" s="750"/>
      <c r="L124" s="750"/>
      <c r="M124" s="813"/>
    </row>
    <row r="125" spans="1:17">
      <c r="K125" s="750"/>
      <c r="L125" s="750"/>
      <c r="M125" s="813"/>
    </row>
    <row r="126" spans="1:17">
      <c r="K126" s="750"/>
      <c r="L126" s="750"/>
      <c r="M126" s="813"/>
    </row>
    <row r="127" spans="1:17">
      <c r="L127" s="750"/>
      <c r="M127" s="813"/>
    </row>
    <row r="128" spans="1:17">
      <c r="L128" s="750"/>
      <c r="M128" s="813"/>
    </row>
    <row r="129" spans="12:12">
      <c r="L129" s="750"/>
    </row>
    <row r="130" spans="12:12">
      <c r="L130" s="750"/>
    </row>
    <row r="131" spans="12:12">
      <c r="L131" s="750"/>
    </row>
  </sheetData>
  <mergeCells count="1">
    <mergeCell ref="L7:M7"/>
  </mergeCells>
  <dataValidations count="1">
    <dataValidation type="list" allowBlank="1" showInputMessage="1" showErrorMessage="1" sqref="B5" xr:uid="{39934A84-A22C-467B-BC55-08110BDB699A}">
      <formula1>$AB$5:$AB$8</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664B-D372-455D-AEE6-14336F554C93}">
  <dimension ref="A1:Z169"/>
  <sheetViews>
    <sheetView topLeftCell="D22" workbookViewId="0">
      <selection activeCell="N26" sqref="N26"/>
    </sheetView>
  </sheetViews>
  <sheetFormatPr defaultColWidth="7.85546875" defaultRowHeight="11.25"/>
  <cols>
    <col min="1" max="1" width="15.7109375" style="750" bestFit="1" customWidth="1"/>
    <col min="2" max="2" width="9.5703125" style="750" bestFit="1" customWidth="1"/>
    <col min="3" max="3" width="5.140625" style="817" customWidth="1"/>
    <col min="4" max="6" width="7.7109375" style="817" customWidth="1"/>
    <col min="7" max="7" width="12" style="813" bestFit="1" customWidth="1"/>
    <col min="8" max="8" width="9.28515625" style="816" customWidth="1"/>
    <col min="9" max="10" width="8.42578125" style="813" bestFit="1" customWidth="1"/>
    <col min="11" max="11" width="8.42578125" style="807" bestFit="1" customWidth="1"/>
    <col min="12" max="12" width="13.7109375" style="814" bestFit="1" customWidth="1"/>
    <col min="13" max="13" width="6.28515625" style="750" bestFit="1" customWidth="1"/>
    <col min="14" max="14" width="5.7109375" style="750" bestFit="1" customWidth="1"/>
    <col min="15" max="15" width="5.85546875" style="762" bestFit="1" customWidth="1"/>
    <col min="16" max="16" width="5.85546875" style="643" bestFit="1" customWidth="1"/>
    <col min="17" max="17" width="14" style="810" bestFit="1" customWidth="1"/>
    <col min="18" max="18" width="6" style="810" bestFit="1" customWidth="1"/>
    <col min="19" max="19" width="8.7109375" style="810" bestFit="1" customWidth="1"/>
    <col min="20" max="21" width="17.28515625" style="750" bestFit="1" customWidth="1"/>
    <col min="22" max="22" width="9.28515625" style="750" bestFit="1" customWidth="1"/>
    <col min="23" max="27" width="5.28515625" style="750" customWidth="1"/>
    <col min="28" max="28" width="17" style="750" customWidth="1"/>
    <col min="29" max="16384" width="7.85546875" style="750"/>
  </cols>
  <sheetData>
    <row r="1" spans="1:24" s="585" customFormat="1" ht="12.75">
      <c r="A1" s="577" t="s">
        <v>133</v>
      </c>
      <c r="B1" s="578" t="s">
        <v>189</v>
      </c>
      <c r="C1" s="579"/>
      <c r="D1" s="578"/>
      <c r="E1" s="580"/>
      <c r="F1" s="580"/>
      <c r="G1" s="581"/>
      <c r="H1" s="582" t="s">
        <v>134</v>
      </c>
      <c r="I1" s="583"/>
      <c r="J1" s="584"/>
      <c r="K1" s="578"/>
      <c r="L1" s="578"/>
      <c r="N1" s="586"/>
      <c r="P1" s="587"/>
      <c r="Q1" s="587"/>
      <c r="R1" s="587"/>
      <c r="S1" s="587"/>
    </row>
    <row r="2" spans="1:24" s="585" customFormat="1" ht="12.75">
      <c r="A2" s="588" t="s">
        <v>135</v>
      </c>
      <c r="B2" s="578" t="s">
        <v>192</v>
      </c>
      <c r="C2" s="589"/>
      <c r="D2" s="578"/>
      <c r="E2" s="590"/>
      <c r="F2" s="590"/>
      <c r="G2" s="591"/>
      <c r="H2" s="592" t="s">
        <v>136</v>
      </c>
      <c r="I2" s="593">
        <f>V12</f>
        <v>417</v>
      </c>
      <c r="J2" s="594"/>
      <c r="K2" s="578"/>
      <c r="L2" s="578"/>
      <c r="N2" s="595"/>
      <c r="P2" s="587"/>
      <c r="Q2" s="587"/>
      <c r="R2" s="587"/>
      <c r="S2" s="587"/>
    </row>
    <row r="3" spans="1:24" s="599" customFormat="1" ht="11.25" customHeight="1">
      <c r="A3" s="596" t="s">
        <v>137</v>
      </c>
      <c r="B3" s="818">
        <v>45051</v>
      </c>
      <c r="C3" s="589"/>
      <c r="D3" s="590"/>
      <c r="E3" s="590"/>
      <c r="F3" s="590"/>
      <c r="G3" s="591"/>
      <c r="H3" s="596" t="s">
        <v>138</v>
      </c>
      <c r="I3" s="602">
        <f>V53/100</f>
        <v>4.17</v>
      </c>
      <c r="J3" s="594"/>
      <c r="K3" s="578"/>
      <c r="L3" s="578"/>
      <c r="N3" s="600"/>
      <c r="P3" s="601"/>
      <c r="Q3" s="601"/>
      <c r="R3" s="601"/>
      <c r="S3" s="601"/>
    </row>
    <row r="4" spans="1:24" s="585" customFormat="1" ht="12.75">
      <c r="A4" s="596" t="s">
        <v>139</v>
      </c>
      <c r="B4" s="597" t="s">
        <v>127</v>
      </c>
      <c r="C4" s="589"/>
      <c r="D4" s="590"/>
      <c r="E4" s="590"/>
      <c r="F4" s="590"/>
      <c r="G4" s="591"/>
      <c r="H4" s="596" t="s">
        <v>140</v>
      </c>
      <c r="I4" s="602">
        <f>S33</f>
        <v>0.40626275694089986</v>
      </c>
      <c r="J4" s="594"/>
      <c r="K4" s="578"/>
      <c r="L4" s="578"/>
      <c r="M4" s="586"/>
      <c r="N4" s="586"/>
      <c r="P4" s="587"/>
      <c r="Q4" s="587"/>
      <c r="R4" s="587"/>
      <c r="S4" s="587"/>
    </row>
    <row r="5" spans="1:24" s="606" customFormat="1" ht="12.75">
      <c r="A5" s="588" t="s">
        <v>141</v>
      </c>
      <c r="B5" s="603" t="s">
        <v>142</v>
      </c>
      <c r="C5" s="589"/>
      <c r="D5" s="590"/>
      <c r="E5" s="590"/>
      <c r="F5" s="590"/>
      <c r="G5" s="591"/>
      <c r="H5" s="596"/>
      <c r="I5" s="604"/>
      <c r="J5" s="594"/>
      <c r="K5" s="578"/>
      <c r="L5" s="578"/>
      <c r="M5" s="605"/>
      <c r="N5" s="605"/>
      <c r="P5" s="607"/>
      <c r="Q5" s="607"/>
      <c r="R5" s="607"/>
      <c r="S5" s="607"/>
    </row>
    <row r="6" spans="1:24" s="605" customFormat="1" ht="13.5" thickBot="1">
      <c r="A6" s="608"/>
      <c r="B6" s="609"/>
      <c r="C6" s="610"/>
      <c r="D6" s="611"/>
      <c r="E6" s="611"/>
      <c r="F6" s="611"/>
      <c r="G6" s="612"/>
      <c r="H6" s="613"/>
      <c r="I6" s="614"/>
      <c r="J6" s="612"/>
      <c r="K6" s="609"/>
      <c r="L6" s="609"/>
      <c r="M6" s="615"/>
      <c r="P6" s="616"/>
      <c r="Q6" s="616"/>
      <c r="R6" s="616"/>
      <c r="S6" s="616"/>
    </row>
    <row r="7" spans="1:24" s="606" customFormat="1" ht="13.15" customHeight="1">
      <c r="A7" s="962" t="s">
        <v>143</v>
      </c>
      <c r="B7" s="963"/>
      <c r="C7" s="963"/>
      <c r="D7" s="963"/>
      <c r="E7" s="963"/>
      <c r="F7" s="963"/>
      <c r="G7" s="963"/>
      <c r="H7" s="963"/>
      <c r="I7" s="963"/>
      <c r="J7" s="963"/>
      <c r="K7" s="963"/>
      <c r="L7" s="963"/>
      <c r="M7" s="966" t="s">
        <v>144</v>
      </c>
      <c r="N7" s="967"/>
      <c r="O7" s="968"/>
      <c r="P7" s="618" t="s">
        <v>145</v>
      </c>
      <c r="Q7" s="619"/>
      <c r="R7" s="618" t="s">
        <v>146</v>
      </c>
      <c r="S7" s="618"/>
      <c r="T7" s="620"/>
      <c r="U7" s="954" t="s">
        <v>147</v>
      </c>
      <c r="V7" s="955"/>
      <c r="W7" s="605"/>
      <c r="X7" s="605"/>
    </row>
    <row r="8" spans="1:24" s="637" customFormat="1">
      <c r="A8" s="621"/>
      <c r="B8" s="615"/>
      <c r="C8" s="622"/>
      <c r="D8" s="623"/>
      <c r="E8" s="624"/>
      <c r="F8" s="625"/>
      <c r="G8" s="626"/>
      <c r="H8" s="627"/>
      <c r="I8" s="627"/>
      <c r="J8" s="627"/>
      <c r="K8" s="627"/>
      <c r="L8" s="628"/>
      <c r="M8" s="629"/>
      <c r="N8" s="630"/>
      <c r="O8" s="631"/>
      <c r="P8" s="632"/>
      <c r="Q8" s="633"/>
      <c r="R8" s="632"/>
      <c r="S8" s="632"/>
      <c r="T8" s="634"/>
      <c r="U8" s="635"/>
      <c r="V8" s="635"/>
      <c r="W8" s="636"/>
    </row>
    <row r="9" spans="1:24" s="648" customFormat="1" ht="13.15" customHeight="1">
      <c r="A9" s="638"/>
      <c r="B9" s="605"/>
      <c r="C9" s="639"/>
      <c r="D9" s="956" t="s">
        <v>148</v>
      </c>
      <c r="E9" s="957"/>
      <c r="F9" s="958"/>
      <c r="G9" s="640"/>
      <c r="H9" s="959" t="s">
        <v>149</v>
      </c>
      <c r="I9" s="960"/>
      <c r="J9" s="960"/>
      <c r="K9" s="961"/>
      <c r="L9" s="641"/>
      <c r="M9" s="642"/>
      <c r="N9" s="630" t="s">
        <v>150</v>
      </c>
      <c r="O9" s="631"/>
      <c r="P9" s="632"/>
      <c r="Q9" s="633"/>
      <c r="R9" s="643"/>
      <c r="S9" s="643"/>
      <c r="T9" s="634"/>
      <c r="U9" s="644"/>
      <c r="V9" s="645"/>
      <c r="W9" s="646"/>
      <c r="X9" s="647"/>
    </row>
    <row r="10" spans="1:24" s="648" customFormat="1">
      <c r="A10" s="649" t="s">
        <v>151</v>
      </c>
      <c r="B10" s="650" t="s">
        <v>51</v>
      </c>
      <c r="C10" s="651" t="s">
        <v>152</v>
      </c>
      <c r="D10" s="652" t="s">
        <v>153</v>
      </c>
      <c r="E10" s="653" t="s">
        <v>154</v>
      </c>
      <c r="F10" s="654" t="s">
        <v>155</v>
      </c>
      <c r="G10" s="640" t="s">
        <v>156</v>
      </c>
      <c r="H10" s="655" t="s">
        <v>157</v>
      </c>
      <c r="I10" s="655" t="s">
        <v>158</v>
      </c>
      <c r="J10" s="655" t="s">
        <v>159</v>
      </c>
      <c r="K10" s="655" t="s">
        <v>160</v>
      </c>
      <c r="L10" s="641" t="s">
        <v>161</v>
      </c>
      <c r="M10" s="656" t="s">
        <v>162</v>
      </c>
      <c r="N10" s="657" t="s">
        <v>163</v>
      </c>
      <c r="O10" s="658" t="s">
        <v>164</v>
      </c>
      <c r="P10" s="659" t="s">
        <v>165</v>
      </c>
      <c r="Q10" s="633" t="s">
        <v>166</v>
      </c>
      <c r="R10" s="659" t="s">
        <v>166</v>
      </c>
      <c r="S10" s="659" t="s">
        <v>165</v>
      </c>
      <c r="T10" s="660" t="s">
        <v>167</v>
      </c>
      <c r="U10" s="644" t="s">
        <v>168</v>
      </c>
      <c r="V10" s="644" t="s">
        <v>169</v>
      </c>
      <c r="W10" s="661"/>
    </row>
    <row r="11" spans="1:24" s="648" customFormat="1" ht="12" thickBot="1">
      <c r="A11" s="662" t="s">
        <v>170</v>
      </c>
      <c r="B11" s="663" t="s">
        <v>170</v>
      </c>
      <c r="C11" s="664" t="s">
        <v>171</v>
      </c>
      <c r="D11" s="665" t="s">
        <v>172</v>
      </c>
      <c r="E11" s="666" t="s">
        <v>172</v>
      </c>
      <c r="F11" s="667" t="s">
        <v>172</v>
      </c>
      <c r="G11" s="668" t="s">
        <v>172</v>
      </c>
      <c r="H11" s="669" t="s">
        <v>172</v>
      </c>
      <c r="I11" s="669" t="s">
        <v>172</v>
      </c>
      <c r="J11" s="669" t="s">
        <v>172</v>
      </c>
      <c r="K11" s="669" t="s">
        <v>172</v>
      </c>
      <c r="L11" s="670" t="s">
        <v>172</v>
      </c>
      <c r="M11" s="671" t="s">
        <v>173</v>
      </c>
      <c r="N11" s="672" t="s">
        <v>171</v>
      </c>
      <c r="O11" s="673" t="s">
        <v>171</v>
      </c>
      <c r="P11" s="674" t="s">
        <v>174</v>
      </c>
      <c r="Q11" s="675" t="s">
        <v>175</v>
      </c>
      <c r="R11" s="676" t="s">
        <v>36</v>
      </c>
      <c r="S11" s="676" t="s">
        <v>176</v>
      </c>
      <c r="T11" s="677"/>
      <c r="U11" s="678"/>
      <c r="V11" s="679" t="s">
        <v>172</v>
      </c>
      <c r="W11" s="661"/>
    </row>
    <row r="12" spans="1:24" s="648" customFormat="1">
      <c r="A12" s="680" t="s">
        <v>177</v>
      </c>
      <c r="B12" s="681"/>
      <c r="C12" s="682">
        <v>0</v>
      </c>
      <c r="D12" s="683" t="s">
        <v>178</v>
      </c>
      <c r="E12" s="684" t="s">
        <v>178</v>
      </c>
      <c r="F12" s="685" t="s">
        <v>178</v>
      </c>
      <c r="G12" s="686" t="s">
        <v>178</v>
      </c>
      <c r="H12" s="684" t="s">
        <v>178</v>
      </c>
      <c r="I12" s="684" t="s">
        <v>178</v>
      </c>
      <c r="J12" s="684" t="s">
        <v>178</v>
      </c>
      <c r="K12" s="684" t="s">
        <v>178</v>
      </c>
      <c r="L12" s="687" t="s">
        <v>178</v>
      </c>
      <c r="M12" s="688"/>
      <c r="N12" s="689"/>
      <c r="O12" s="690"/>
      <c r="P12" s="691"/>
      <c r="Q12" s="692"/>
      <c r="R12" s="693"/>
      <c r="S12" s="694"/>
      <c r="T12" s="695"/>
      <c r="U12" s="696" t="s">
        <v>179</v>
      </c>
      <c r="V12" s="697">
        <v>417</v>
      </c>
      <c r="W12" s="698"/>
    </row>
    <row r="13" spans="1:24" s="648" customFormat="1">
      <c r="A13" s="699">
        <v>190</v>
      </c>
      <c r="B13" s="700">
        <v>0</v>
      </c>
      <c r="C13" s="688">
        <v>10</v>
      </c>
      <c r="D13" s="701" t="s">
        <v>178</v>
      </c>
      <c r="E13" s="702" t="s">
        <v>178</v>
      </c>
      <c r="F13" s="703" t="s">
        <v>178</v>
      </c>
      <c r="G13" s="704" t="s">
        <v>178</v>
      </c>
      <c r="H13" s="702" t="s">
        <v>178</v>
      </c>
      <c r="I13" s="702" t="s">
        <v>178</v>
      </c>
      <c r="J13" s="702" t="s">
        <v>178</v>
      </c>
      <c r="K13" s="702" t="s">
        <v>178</v>
      </c>
      <c r="L13" s="705" t="s">
        <v>178</v>
      </c>
      <c r="M13" s="688">
        <v>966</v>
      </c>
      <c r="N13" s="706">
        <f>C12</f>
        <v>0</v>
      </c>
      <c r="O13" s="707">
        <f t="shared" ref="O13:O19" si="0">(C13+C14-10)/2</f>
        <v>10</v>
      </c>
      <c r="P13" s="708">
        <f>(A13-B13)/M13</f>
        <v>0.19668737060041408</v>
      </c>
      <c r="Q13" s="709">
        <f>(P13*(O13-N13))/100</f>
        <v>1.9668737060041408E-2</v>
      </c>
      <c r="R13" s="710">
        <f>SUM(Q$13:Q13)</f>
        <v>1.9668737060041408E-2</v>
      </c>
      <c r="S13" s="711">
        <f>R13/O13*100</f>
        <v>0.19668737060041405</v>
      </c>
      <c r="T13" s="712"/>
      <c r="U13" s="713"/>
      <c r="V13" s="714"/>
      <c r="W13" s="661"/>
    </row>
    <row r="14" spans="1:24" s="648" customFormat="1">
      <c r="A14" s="699">
        <v>230</v>
      </c>
      <c r="B14" s="700">
        <v>0</v>
      </c>
      <c r="C14" s="688">
        <v>20</v>
      </c>
      <c r="D14" s="701" t="s">
        <v>178</v>
      </c>
      <c r="E14" s="702" t="s">
        <v>178</v>
      </c>
      <c r="F14" s="703" t="s">
        <v>178</v>
      </c>
      <c r="G14" s="704" t="s">
        <v>178</v>
      </c>
      <c r="H14" s="702" t="s">
        <v>178</v>
      </c>
      <c r="I14" s="702" t="s">
        <v>178</v>
      </c>
      <c r="J14" s="702" t="s">
        <v>178</v>
      </c>
      <c r="K14" s="702" t="s">
        <v>178</v>
      </c>
      <c r="L14" s="705" t="s">
        <v>178</v>
      </c>
      <c r="M14" s="688">
        <v>966</v>
      </c>
      <c r="N14" s="706">
        <f t="shared" ref="N14:N20" si="1">(C13+C14-10)/2</f>
        <v>10</v>
      </c>
      <c r="O14" s="707">
        <f t="shared" si="0"/>
        <v>20</v>
      </c>
      <c r="P14" s="708">
        <f t="shared" ref="P14:P20" si="2">(A14-B14)/M14</f>
        <v>0.23809523809523808</v>
      </c>
      <c r="Q14" s="709">
        <f t="shared" ref="Q14:Q19" si="3">(P14*(O14-N14))/100</f>
        <v>2.3809523809523808E-2</v>
      </c>
      <c r="R14" s="710">
        <f>SUM(Q$13:Q14)</f>
        <v>4.3478260869565216E-2</v>
      </c>
      <c r="S14" s="711">
        <f t="shared" ref="S14:S19" si="4">R14/O14*100</f>
        <v>0.21739130434782608</v>
      </c>
      <c r="T14" s="712"/>
      <c r="U14" s="713" t="s">
        <v>180</v>
      </c>
      <c r="V14" s="714"/>
      <c r="W14" s="661"/>
    </row>
    <row r="15" spans="1:24" s="648" customFormat="1">
      <c r="A15" s="699">
        <v>220</v>
      </c>
      <c r="B15" s="700">
        <v>0</v>
      </c>
      <c r="C15" s="688">
        <v>30</v>
      </c>
      <c r="D15" s="701" t="s">
        <v>178</v>
      </c>
      <c r="E15" s="702" t="s">
        <v>178</v>
      </c>
      <c r="F15" s="703" t="s">
        <v>178</v>
      </c>
      <c r="G15" s="704" t="s">
        <v>178</v>
      </c>
      <c r="H15" s="702" t="s">
        <v>178</v>
      </c>
      <c r="I15" s="702" t="s">
        <v>178</v>
      </c>
      <c r="J15" s="702" t="s">
        <v>178</v>
      </c>
      <c r="K15" s="702" t="s">
        <v>178</v>
      </c>
      <c r="L15" s="705" t="s">
        <v>178</v>
      </c>
      <c r="M15" s="688">
        <v>966</v>
      </c>
      <c r="N15" s="706">
        <f t="shared" si="1"/>
        <v>20</v>
      </c>
      <c r="O15" s="707">
        <f t="shared" si="0"/>
        <v>30</v>
      </c>
      <c r="P15" s="708">
        <f t="shared" si="2"/>
        <v>0.2277432712215321</v>
      </c>
      <c r="Q15" s="709">
        <f t="shared" si="3"/>
        <v>2.2774327122153212E-2</v>
      </c>
      <c r="R15" s="710">
        <f>SUM(Q$13:Q15)</f>
        <v>6.6252587991718431E-2</v>
      </c>
      <c r="S15" s="711">
        <f t="shared" si="4"/>
        <v>0.22084195997239478</v>
      </c>
      <c r="T15" s="712"/>
      <c r="U15" s="713" t="s">
        <v>180</v>
      </c>
      <c r="V15" s="715"/>
      <c r="W15" s="661"/>
    </row>
    <row r="16" spans="1:24" s="648" customFormat="1">
      <c r="A16" s="716">
        <v>280</v>
      </c>
      <c r="B16" s="700">
        <v>0</v>
      </c>
      <c r="C16" s="688">
        <v>40</v>
      </c>
      <c r="D16" s="701" t="s">
        <v>178</v>
      </c>
      <c r="E16" s="702" t="s">
        <v>178</v>
      </c>
      <c r="F16" s="703" t="s">
        <v>178</v>
      </c>
      <c r="G16" s="704" t="s">
        <v>178</v>
      </c>
      <c r="H16" s="702" t="s">
        <v>178</v>
      </c>
      <c r="I16" s="702" t="s">
        <v>178</v>
      </c>
      <c r="J16" s="702" t="s">
        <v>178</v>
      </c>
      <c r="K16" s="702" t="s">
        <v>178</v>
      </c>
      <c r="L16" s="705" t="s">
        <v>178</v>
      </c>
      <c r="M16" s="688">
        <v>966</v>
      </c>
      <c r="N16" s="706">
        <f t="shared" si="1"/>
        <v>30</v>
      </c>
      <c r="O16" s="707">
        <f t="shared" si="0"/>
        <v>40</v>
      </c>
      <c r="P16" s="708">
        <f t="shared" si="2"/>
        <v>0.28985507246376813</v>
      </c>
      <c r="Q16" s="709">
        <f t="shared" si="3"/>
        <v>2.8985507246376812E-2</v>
      </c>
      <c r="R16" s="710">
        <f>SUM(Q$13:Q16)</f>
        <v>9.5238095238095247E-2</v>
      </c>
      <c r="S16" s="711">
        <f t="shared" si="4"/>
        <v>0.23809523809523811</v>
      </c>
      <c r="T16" s="712"/>
      <c r="U16" s="713" t="s">
        <v>180</v>
      </c>
      <c r="V16" s="714"/>
      <c r="W16" s="661"/>
    </row>
    <row r="17" spans="1:25" s="648" customFormat="1">
      <c r="A17" s="716">
        <v>265</v>
      </c>
      <c r="B17" s="700">
        <v>0</v>
      </c>
      <c r="C17" s="688">
        <v>50</v>
      </c>
      <c r="D17" s="701" t="s">
        <v>178</v>
      </c>
      <c r="E17" s="702" t="s">
        <v>178</v>
      </c>
      <c r="F17" s="703" t="s">
        <v>178</v>
      </c>
      <c r="G17" s="704" t="s">
        <v>178</v>
      </c>
      <c r="H17" s="702" t="s">
        <v>178</v>
      </c>
      <c r="I17" s="702" t="s">
        <v>178</v>
      </c>
      <c r="J17" s="702" t="s">
        <v>178</v>
      </c>
      <c r="K17" s="702" t="s">
        <v>178</v>
      </c>
      <c r="L17" s="705" t="s">
        <v>178</v>
      </c>
      <c r="M17" s="688">
        <v>966</v>
      </c>
      <c r="N17" s="706">
        <f t="shared" si="1"/>
        <v>40</v>
      </c>
      <c r="O17" s="707">
        <f t="shared" si="0"/>
        <v>50</v>
      </c>
      <c r="P17" s="708">
        <f t="shared" si="2"/>
        <v>0.27432712215320909</v>
      </c>
      <c r="Q17" s="709">
        <f t="shared" si="3"/>
        <v>2.7432712215320908E-2</v>
      </c>
      <c r="R17" s="710">
        <f>SUM(Q$13:Q17)</f>
        <v>0.12267080745341616</v>
      </c>
      <c r="S17" s="711">
        <f t="shared" si="4"/>
        <v>0.24534161490683232</v>
      </c>
      <c r="T17" s="712" t="s">
        <v>181</v>
      </c>
      <c r="U17" s="713" t="s">
        <v>180</v>
      </c>
      <c r="V17" s="714"/>
      <c r="W17" s="646"/>
    </row>
    <row r="18" spans="1:25" s="648" customFormat="1">
      <c r="A18" s="716">
        <v>255</v>
      </c>
      <c r="B18" s="700">
        <v>0</v>
      </c>
      <c r="C18" s="688">
        <v>60</v>
      </c>
      <c r="D18" s="701" t="s">
        <v>178</v>
      </c>
      <c r="E18" s="702" t="s">
        <v>178</v>
      </c>
      <c r="F18" s="703" t="s">
        <v>178</v>
      </c>
      <c r="G18" s="704" t="s">
        <v>178</v>
      </c>
      <c r="H18" s="702" t="s">
        <v>178</v>
      </c>
      <c r="I18" s="702" t="s">
        <v>178</v>
      </c>
      <c r="J18" s="702" t="s">
        <v>178</v>
      </c>
      <c r="K18" s="702" t="s">
        <v>178</v>
      </c>
      <c r="L18" s="705" t="s">
        <v>178</v>
      </c>
      <c r="M18" s="688">
        <v>966</v>
      </c>
      <c r="N18" s="706">
        <f t="shared" si="1"/>
        <v>50</v>
      </c>
      <c r="O18" s="707">
        <f t="shared" si="0"/>
        <v>60</v>
      </c>
      <c r="P18" s="708">
        <f t="shared" si="2"/>
        <v>0.2639751552795031</v>
      </c>
      <c r="Q18" s="709">
        <f t="shared" si="3"/>
        <v>2.6397515527950312E-2</v>
      </c>
      <c r="R18" s="710">
        <f>SUM(Q$13:Q18)</f>
        <v>0.14906832298136646</v>
      </c>
      <c r="S18" s="711">
        <f t="shared" si="4"/>
        <v>0.2484472049689441</v>
      </c>
      <c r="T18" s="717"/>
      <c r="U18" s="713" t="s">
        <v>180</v>
      </c>
      <c r="V18" s="714"/>
      <c r="W18" s="646"/>
    </row>
    <row r="19" spans="1:25" s="648" customFormat="1" ht="10.15" customHeight="1">
      <c r="A19" s="716">
        <v>300</v>
      </c>
      <c r="B19" s="700">
        <v>0</v>
      </c>
      <c r="C19" s="688">
        <v>70</v>
      </c>
      <c r="D19" s="701" t="s">
        <v>178</v>
      </c>
      <c r="E19" s="702" t="s">
        <v>178</v>
      </c>
      <c r="F19" s="703" t="s">
        <v>178</v>
      </c>
      <c r="G19" s="704" t="s">
        <v>178</v>
      </c>
      <c r="H19" s="702" t="s">
        <v>178</v>
      </c>
      <c r="I19" s="702" t="s">
        <v>178</v>
      </c>
      <c r="J19" s="702" t="s">
        <v>178</v>
      </c>
      <c r="K19" s="702" t="s">
        <v>178</v>
      </c>
      <c r="L19" s="705" t="s">
        <v>178</v>
      </c>
      <c r="M19" s="688">
        <v>966</v>
      </c>
      <c r="N19" s="706">
        <f t="shared" si="1"/>
        <v>60</v>
      </c>
      <c r="O19" s="707">
        <f t="shared" si="0"/>
        <v>70</v>
      </c>
      <c r="P19" s="708">
        <f t="shared" si="2"/>
        <v>0.3105590062111801</v>
      </c>
      <c r="Q19" s="709">
        <f t="shared" si="3"/>
        <v>3.1055900621118009E-2</v>
      </c>
      <c r="R19" s="710">
        <f>SUM(Q$13:Q19)</f>
        <v>0.18012422360248448</v>
      </c>
      <c r="S19" s="711">
        <f t="shared" si="4"/>
        <v>0.25732031943212069</v>
      </c>
      <c r="T19" s="717"/>
      <c r="U19" s="713" t="s">
        <v>180</v>
      </c>
      <c r="V19" s="714"/>
      <c r="W19" s="718"/>
    </row>
    <row r="20" spans="1:25" s="648" customFormat="1">
      <c r="A20" s="716">
        <v>300</v>
      </c>
      <c r="B20" s="700">
        <v>0</v>
      </c>
      <c r="C20" s="688">
        <v>80</v>
      </c>
      <c r="D20" s="701" t="s">
        <v>178</v>
      </c>
      <c r="E20" s="702" t="s">
        <v>178</v>
      </c>
      <c r="F20" s="703" t="s">
        <v>178</v>
      </c>
      <c r="G20" s="704" t="s">
        <v>178</v>
      </c>
      <c r="H20" s="702" t="s">
        <v>178</v>
      </c>
      <c r="I20" s="702" t="s">
        <v>178</v>
      </c>
      <c r="J20" s="702" t="s">
        <v>178</v>
      </c>
      <c r="K20" s="702" t="s">
        <v>178</v>
      </c>
      <c r="L20" s="705" t="s">
        <v>178</v>
      </c>
      <c r="M20" s="688">
        <v>966</v>
      </c>
      <c r="N20" s="706">
        <f t="shared" si="1"/>
        <v>70</v>
      </c>
      <c r="O20" s="707">
        <f>C20</f>
        <v>80</v>
      </c>
      <c r="P20" s="708">
        <f t="shared" si="2"/>
        <v>0.3105590062111801</v>
      </c>
      <c r="Q20" s="709">
        <f>(P20*(O20-N20))/100</f>
        <v>3.1055900621118009E-2</v>
      </c>
      <c r="R20" s="710">
        <f>SUM(Q$13:Q20)</f>
        <v>0.21118012422360249</v>
      </c>
      <c r="S20" s="711">
        <f>R20/O20*100</f>
        <v>0.2639751552795031</v>
      </c>
      <c r="T20" s="712"/>
      <c r="U20" s="713" t="s">
        <v>180</v>
      </c>
      <c r="V20" s="714"/>
      <c r="W20" s="719"/>
    </row>
    <row r="21" spans="1:25" s="721" customFormat="1">
      <c r="A21" s="716"/>
      <c r="B21" s="700"/>
      <c r="C21" s="688"/>
      <c r="D21" s="701"/>
      <c r="E21" s="702"/>
      <c r="F21" s="703"/>
      <c r="G21" s="704"/>
      <c r="H21" s="702"/>
      <c r="I21" s="702"/>
      <c r="J21" s="702"/>
      <c r="K21" s="702"/>
      <c r="L21" s="705"/>
      <c r="M21" s="688"/>
      <c r="N21" s="706"/>
      <c r="O21" s="707"/>
      <c r="P21" s="708"/>
      <c r="Q21" s="709"/>
      <c r="R21" s="710"/>
      <c r="S21" s="711"/>
      <c r="T21" s="720"/>
      <c r="U21" s="713" t="s">
        <v>180</v>
      </c>
      <c r="V21" s="714"/>
      <c r="W21" s="719"/>
    </row>
    <row r="22" spans="1:25" s="721" customFormat="1">
      <c r="A22" s="716"/>
      <c r="B22" s="700"/>
      <c r="C22" s="688"/>
      <c r="D22" s="701"/>
      <c r="E22" s="702"/>
      <c r="F22" s="703"/>
      <c r="G22" s="704"/>
      <c r="H22" s="702"/>
      <c r="I22" s="702"/>
      <c r="J22" s="702"/>
      <c r="K22" s="702"/>
      <c r="L22" s="705"/>
      <c r="M22" s="688"/>
      <c r="N22" s="706"/>
      <c r="O22" s="707"/>
      <c r="P22" s="708"/>
      <c r="Q22" s="709"/>
      <c r="R22" s="710"/>
      <c r="S22" s="711"/>
      <c r="T22" s="722"/>
      <c r="U22" s="713" t="s">
        <v>180</v>
      </c>
      <c r="V22" s="723"/>
      <c r="W22" s="719"/>
    </row>
    <row r="23" spans="1:25" s="721" customFormat="1" ht="12" thickBot="1">
      <c r="A23" s="724"/>
      <c r="B23" s="725"/>
      <c r="C23" s="726"/>
      <c r="D23" s="727"/>
      <c r="E23" s="726"/>
      <c r="F23" s="728"/>
      <c r="G23" s="729"/>
      <c r="H23" s="726"/>
      <c r="I23" s="726"/>
      <c r="J23" s="726"/>
      <c r="K23" s="726"/>
      <c r="L23" s="730"/>
      <c r="M23" s="726"/>
      <c r="N23" s="731"/>
      <c r="O23" s="732"/>
      <c r="P23" s="733"/>
      <c r="Q23" s="734"/>
      <c r="R23" s="735"/>
      <c r="S23" s="736"/>
      <c r="T23" s="737"/>
      <c r="U23" s="713" t="s">
        <v>180</v>
      </c>
      <c r="V23" s="738"/>
      <c r="W23" s="739"/>
    </row>
    <row r="24" spans="1:25" s="721" customFormat="1">
      <c r="A24" s="740" t="s">
        <v>182</v>
      </c>
      <c r="B24" s="700"/>
      <c r="C24" s="688"/>
      <c r="D24" s="741"/>
      <c r="E24" s="688"/>
      <c r="F24" s="742"/>
      <c r="G24" s="743"/>
      <c r="H24" s="688"/>
      <c r="I24" s="688"/>
      <c r="J24" s="688"/>
      <c r="K24" s="688"/>
      <c r="L24" s="744"/>
      <c r="M24" s="688"/>
      <c r="N24" s="706"/>
      <c r="O24" s="707"/>
      <c r="P24" s="708"/>
      <c r="Q24" s="709"/>
      <c r="R24" s="710"/>
      <c r="S24" s="711"/>
      <c r="T24" s="722"/>
      <c r="U24" s="713" t="s">
        <v>180</v>
      </c>
      <c r="V24" s="738"/>
      <c r="W24" s="739"/>
    </row>
    <row r="25" spans="1:25" s="721" customFormat="1">
      <c r="A25" s="716">
        <v>410</v>
      </c>
      <c r="B25" s="700">
        <v>0</v>
      </c>
      <c r="C25" s="688">
        <f>C26-D26</f>
        <v>127.8</v>
      </c>
      <c r="D25" s="745">
        <v>41.2</v>
      </c>
      <c r="E25" s="746"/>
      <c r="F25" s="747"/>
      <c r="G25" s="748">
        <f t="shared" ref="G25:G34" si="5">AVERAGE(D25:F25)</f>
        <v>41.2</v>
      </c>
      <c r="H25" s="746">
        <v>5.7</v>
      </c>
      <c r="I25" s="746"/>
      <c r="J25" s="746"/>
      <c r="K25" s="746"/>
      <c r="L25" s="749">
        <f t="shared" ref="L25:L34" si="6">AVERAGE(H25:K25)</f>
        <v>5.7</v>
      </c>
      <c r="M25" s="688">
        <f>G25*    PI()* (L25/2)^2</f>
        <v>1051.3245567458637</v>
      </c>
      <c r="N25" s="706">
        <f>C20</f>
        <v>80</v>
      </c>
      <c r="O25" s="707">
        <f>(C25+C26-G26)/2</f>
        <v>127.80000000000001</v>
      </c>
      <c r="P25" s="708">
        <f>(A25-B25)/M25</f>
        <v>0.38998423214717048</v>
      </c>
      <c r="Q25" s="709">
        <f t="shared" ref="Q25:Q34" si="7">(P25*(O25-N25))/100</f>
        <v>0.18641246296634756</v>
      </c>
      <c r="R25" s="710">
        <f>SUM(Q$13:Q25)</f>
        <v>0.39759258718995005</v>
      </c>
      <c r="S25" s="711">
        <f>R25/O25*100</f>
        <v>0.31110531079025822</v>
      </c>
      <c r="T25" s="722"/>
      <c r="U25" s="713" t="s">
        <v>180</v>
      </c>
      <c r="V25" s="738"/>
      <c r="W25" s="739"/>
    </row>
    <row r="26" spans="1:25" s="721" customFormat="1">
      <c r="A26" s="716">
        <v>510</v>
      </c>
      <c r="B26" s="700">
        <v>0</v>
      </c>
      <c r="C26" s="688">
        <v>177</v>
      </c>
      <c r="D26" s="745">
        <v>49.2</v>
      </c>
      <c r="E26" s="746"/>
      <c r="F26" s="747"/>
      <c r="G26" s="748">
        <f t="shared" si="5"/>
        <v>49.2</v>
      </c>
      <c r="H26" s="746">
        <v>5.7</v>
      </c>
      <c r="I26" s="746"/>
      <c r="J26" s="746"/>
      <c r="K26" s="746"/>
      <c r="L26" s="749">
        <f t="shared" si="6"/>
        <v>5.7</v>
      </c>
      <c r="M26" s="688">
        <f t="shared" ref="M26:M34" si="8">G26*    PI()* (L26/2)^2</f>
        <v>1255.4652473761284</v>
      </c>
      <c r="N26" s="706">
        <f>(C25+C26-G26)/2</f>
        <v>127.80000000000001</v>
      </c>
      <c r="O26" s="707">
        <f>(C26+C27-G27)/2</f>
        <v>177.3</v>
      </c>
      <c r="P26" s="708">
        <f>(A26-B26)/M26</f>
        <v>0.4062239086791764</v>
      </c>
      <c r="Q26" s="709">
        <f t="shared" si="7"/>
        <v>0.20108083479619232</v>
      </c>
      <c r="R26" s="710">
        <f>SUM(Q$13:Q26)</f>
        <v>0.59867342198614237</v>
      </c>
      <c r="S26" s="711">
        <f t="shared" ref="S26:S33" si="9">R26/O26*100</f>
        <v>0.3376612645155907</v>
      </c>
      <c r="T26" s="722"/>
      <c r="U26" s="713" t="s">
        <v>180</v>
      </c>
      <c r="V26" s="714"/>
      <c r="W26" s="739"/>
    </row>
    <row r="27" spans="1:25" s="721" customFormat="1">
      <c r="A27" s="716">
        <v>320</v>
      </c>
      <c r="B27" s="700">
        <v>0</v>
      </c>
      <c r="C27" s="688">
        <f>C28-D28</f>
        <v>206.70000000000002</v>
      </c>
      <c r="D27" s="745">
        <v>29.1</v>
      </c>
      <c r="E27" s="746"/>
      <c r="F27" s="747"/>
      <c r="G27" s="748">
        <f t="shared" si="5"/>
        <v>29.1</v>
      </c>
      <c r="H27" s="746">
        <v>5.7</v>
      </c>
      <c r="I27" s="746"/>
      <c r="J27" s="746"/>
      <c r="K27" s="746"/>
      <c r="L27" s="749">
        <f t="shared" si="6"/>
        <v>5.7</v>
      </c>
      <c r="M27" s="688">
        <f t="shared" si="8"/>
        <v>742.56176216758809</v>
      </c>
      <c r="N27" s="706">
        <f t="shared" ref="N27:N34" si="10">(C26+C27-G27)/2</f>
        <v>177.3</v>
      </c>
      <c r="O27" s="707">
        <f t="shared" ref="O27:O33" si="11">(C27+C28-G28)/2</f>
        <v>206.70000000000002</v>
      </c>
      <c r="P27" s="708">
        <f t="shared" ref="P27:P34" si="12">(A27-B27)/M27</f>
        <v>0.43094058474799229</v>
      </c>
      <c r="Q27" s="709">
        <f t="shared" si="7"/>
        <v>0.12669653191590977</v>
      </c>
      <c r="R27" s="710">
        <f>SUM(Q$13:Q27)</f>
        <v>0.72536995390205217</v>
      </c>
      <c r="S27" s="711">
        <f t="shared" si="9"/>
        <v>0.3509288601364548</v>
      </c>
      <c r="T27" s="722"/>
      <c r="U27" s="713" t="s">
        <v>180</v>
      </c>
      <c r="V27" s="714"/>
      <c r="W27" s="739"/>
    </row>
    <row r="28" spans="1:25" s="721" customFormat="1">
      <c r="A28" s="716">
        <v>265</v>
      </c>
      <c r="B28" s="700">
        <v>0</v>
      </c>
      <c r="C28" s="688">
        <f>C29-D29</f>
        <v>228.9</v>
      </c>
      <c r="D28" s="745">
        <v>22.2</v>
      </c>
      <c r="E28" s="746"/>
      <c r="F28" s="747"/>
      <c r="G28" s="748">
        <f t="shared" si="5"/>
        <v>22.2</v>
      </c>
      <c r="H28" s="746">
        <v>5.7</v>
      </c>
      <c r="I28" s="746"/>
      <c r="J28" s="746"/>
      <c r="K28" s="746"/>
      <c r="L28" s="749">
        <f t="shared" si="6"/>
        <v>5.7</v>
      </c>
      <c r="M28" s="688">
        <f t="shared" si="8"/>
        <v>566.4904164989847</v>
      </c>
      <c r="N28" s="706">
        <f t="shared" si="10"/>
        <v>206.70000000000002</v>
      </c>
      <c r="O28" s="707">
        <f t="shared" si="11"/>
        <v>228.89999999999998</v>
      </c>
      <c r="P28" s="708">
        <f t="shared" si="12"/>
        <v>0.46779255620553811</v>
      </c>
      <c r="Q28" s="709">
        <f t="shared" si="7"/>
        <v>0.10384994747762928</v>
      </c>
      <c r="R28" s="710">
        <f>SUM(Q$13:Q28)</f>
        <v>0.82921990137968149</v>
      </c>
      <c r="S28" s="711">
        <f t="shared" si="9"/>
        <v>0.36226295385744062</v>
      </c>
      <c r="T28" s="722"/>
      <c r="U28" s="713" t="s">
        <v>180</v>
      </c>
      <c r="V28" s="714"/>
      <c r="W28" s="739"/>
    </row>
    <row r="29" spans="1:25">
      <c r="A29" s="716">
        <v>325</v>
      </c>
      <c r="B29" s="700">
        <v>0</v>
      </c>
      <c r="C29" s="688">
        <v>257</v>
      </c>
      <c r="D29" s="745">
        <v>28.1</v>
      </c>
      <c r="E29" s="746"/>
      <c r="F29" s="747"/>
      <c r="G29" s="748">
        <f t="shared" si="5"/>
        <v>28.1</v>
      </c>
      <c r="H29" s="746">
        <v>5.7</v>
      </c>
      <c r="I29" s="746"/>
      <c r="J29" s="746"/>
      <c r="K29" s="746"/>
      <c r="L29" s="749">
        <f t="shared" si="6"/>
        <v>5.7</v>
      </c>
      <c r="M29" s="688">
        <f t="shared" si="8"/>
        <v>717.04417583880502</v>
      </c>
      <c r="N29" s="706">
        <f t="shared" si="10"/>
        <v>228.89999999999998</v>
      </c>
      <c r="O29" s="707">
        <f t="shared" si="11"/>
        <v>257.35000000000002</v>
      </c>
      <c r="P29" s="708">
        <f t="shared" si="12"/>
        <v>0.45324961969018429</v>
      </c>
      <c r="Q29" s="709">
        <f t="shared" si="7"/>
        <v>0.12894951680185765</v>
      </c>
      <c r="R29" s="710">
        <f>SUM(Q$13:Q29)</f>
        <v>0.95816941818153911</v>
      </c>
      <c r="S29" s="711">
        <f t="shared" si="9"/>
        <v>0.37232151473928071</v>
      </c>
      <c r="T29" s="722"/>
      <c r="U29" s="713" t="s">
        <v>180</v>
      </c>
      <c r="V29" s="714"/>
      <c r="W29" s="739"/>
      <c r="X29" s="721"/>
      <c r="Y29" s="721"/>
    </row>
    <row r="30" spans="1:25">
      <c r="A30" s="716">
        <v>405</v>
      </c>
      <c r="B30" s="700">
        <v>0</v>
      </c>
      <c r="C30" s="688">
        <f>C31-D31</f>
        <v>291.7</v>
      </c>
      <c r="D30" s="745">
        <v>34</v>
      </c>
      <c r="E30" s="746"/>
      <c r="F30" s="747"/>
      <c r="G30" s="748">
        <f t="shared" si="5"/>
        <v>34</v>
      </c>
      <c r="H30" s="746">
        <v>5.7</v>
      </c>
      <c r="I30" s="746"/>
      <c r="J30" s="746"/>
      <c r="K30" s="746"/>
      <c r="L30" s="749">
        <f t="shared" si="6"/>
        <v>5.7</v>
      </c>
      <c r="M30" s="688">
        <f t="shared" si="8"/>
        <v>867.59793517862533</v>
      </c>
      <c r="N30" s="706">
        <f t="shared" si="10"/>
        <v>257.35000000000002</v>
      </c>
      <c r="O30" s="707">
        <f t="shared" si="11"/>
        <v>291.70000000000005</v>
      </c>
      <c r="P30" s="708">
        <f t="shared" si="12"/>
        <v>0.46680609021575947</v>
      </c>
      <c r="Q30" s="709">
        <f t="shared" si="7"/>
        <v>0.16034789198911348</v>
      </c>
      <c r="R30" s="710">
        <f>SUM(Q$13:Q30)</f>
        <v>1.1185173101706525</v>
      </c>
      <c r="S30" s="711">
        <f t="shared" si="9"/>
        <v>0.38344782659261306</v>
      </c>
      <c r="T30" s="722"/>
      <c r="U30" s="713" t="s">
        <v>180</v>
      </c>
      <c r="V30" s="714"/>
      <c r="W30" s="739"/>
      <c r="X30" s="721"/>
      <c r="Y30" s="721"/>
    </row>
    <row r="31" spans="1:25">
      <c r="A31" s="716">
        <v>445</v>
      </c>
      <c r="B31" s="700">
        <v>0</v>
      </c>
      <c r="C31" s="688">
        <v>328</v>
      </c>
      <c r="D31" s="745">
        <v>36.299999999999997</v>
      </c>
      <c r="E31" s="746"/>
      <c r="F31" s="747"/>
      <c r="G31" s="748">
        <f t="shared" si="5"/>
        <v>36.299999999999997</v>
      </c>
      <c r="H31" s="746">
        <v>5.7</v>
      </c>
      <c r="I31" s="746"/>
      <c r="J31" s="746"/>
      <c r="K31" s="746"/>
      <c r="L31" s="749">
        <f t="shared" si="6"/>
        <v>5.7</v>
      </c>
      <c r="M31" s="688">
        <f t="shared" si="8"/>
        <v>926.28838373482631</v>
      </c>
      <c r="N31" s="706">
        <f t="shared" si="10"/>
        <v>291.70000000000005</v>
      </c>
      <c r="O31" s="707">
        <f t="shared" si="11"/>
        <v>327.95</v>
      </c>
      <c r="P31" s="708">
        <f t="shared" si="12"/>
        <v>0.48041194061588555</v>
      </c>
      <c r="Q31" s="709">
        <f t="shared" si="7"/>
        <v>0.17414932847325823</v>
      </c>
      <c r="R31" s="710">
        <f>SUM(Q$13:Q31)</f>
        <v>1.2926666386439107</v>
      </c>
      <c r="S31" s="711">
        <f t="shared" si="9"/>
        <v>0.39416576875862502</v>
      </c>
      <c r="T31" s="722"/>
      <c r="U31" s="713" t="s">
        <v>180</v>
      </c>
      <c r="V31" s="714"/>
      <c r="W31" s="739"/>
      <c r="X31" s="721"/>
      <c r="Y31" s="721"/>
    </row>
    <row r="32" spans="1:25">
      <c r="A32" s="716">
        <v>545</v>
      </c>
      <c r="B32" s="700">
        <v>0</v>
      </c>
      <c r="C32" s="688">
        <f>C33-D33</f>
        <v>373.4</v>
      </c>
      <c r="D32" s="745">
        <v>45.5</v>
      </c>
      <c r="E32" s="746"/>
      <c r="F32" s="747"/>
      <c r="G32" s="748">
        <f t="shared" si="5"/>
        <v>45.5</v>
      </c>
      <c r="H32" s="746">
        <v>5.7</v>
      </c>
      <c r="I32" s="746"/>
      <c r="J32" s="746"/>
      <c r="K32" s="746"/>
      <c r="L32" s="749">
        <f t="shared" si="6"/>
        <v>5.7</v>
      </c>
      <c r="M32" s="688">
        <f t="shared" si="8"/>
        <v>1161.0501779596309</v>
      </c>
      <c r="N32" s="706">
        <f t="shared" si="10"/>
        <v>327.95</v>
      </c>
      <c r="O32" s="707">
        <f t="shared" si="11"/>
        <v>373.4</v>
      </c>
      <c r="P32" s="708">
        <f t="shared" si="12"/>
        <v>0.46940262388810328</v>
      </c>
      <c r="Q32" s="709">
        <f t="shared" si="7"/>
        <v>0.21334349255714291</v>
      </c>
      <c r="R32" s="710">
        <f>SUM(Q$13:Q32)</f>
        <v>1.5060101312010536</v>
      </c>
      <c r="S32" s="711">
        <f t="shared" si="9"/>
        <v>0.40332354879514026</v>
      </c>
      <c r="T32" s="722"/>
      <c r="U32" s="713" t="s">
        <v>180</v>
      </c>
      <c r="V32" s="714"/>
      <c r="W32" s="739"/>
      <c r="X32" s="721"/>
      <c r="Y32" s="721"/>
    </row>
    <row r="33" spans="1:26">
      <c r="A33" s="716">
        <v>480</v>
      </c>
      <c r="B33" s="700">
        <v>0</v>
      </c>
      <c r="C33" s="688">
        <v>417</v>
      </c>
      <c r="D33" s="745">
        <v>43.6</v>
      </c>
      <c r="E33" s="746"/>
      <c r="F33" s="747"/>
      <c r="G33" s="748">
        <f t="shared" si="5"/>
        <v>43.6</v>
      </c>
      <c r="H33" s="746">
        <v>5.7</v>
      </c>
      <c r="I33" s="746"/>
      <c r="J33" s="746"/>
      <c r="K33" s="746"/>
      <c r="L33" s="749">
        <f t="shared" si="6"/>
        <v>5.7</v>
      </c>
      <c r="M33" s="688">
        <f t="shared" si="8"/>
        <v>1112.5667639349431</v>
      </c>
      <c r="N33" s="706">
        <f t="shared" si="10"/>
        <v>373.4</v>
      </c>
      <c r="O33" s="707">
        <f t="shared" si="11"/>
        <v>417</v>
      </c>
      <c r="P33" s="708">
        <f t="shared" si="12"/>
        <v>0.43143478266628127</v>
      </c>
      <c r="Q33" s="709">
        <f t="shared" si="7"/>
        <v>0.18810556524249872</v>
      </c>
      <c r="R33" s="710">
        <f>SUM(Q$13:Q33)</f>
        <v>1.6941156964435524</v>
      </c>
      <c r="S33" s="711">
        <f t="shared" si="9"/>
        <v>0.40626275694089986</v>
      </c>
      <c r="T33" s="722" t="s">
        <v>194</v>
      </c>
      <c r="U33" s="713" t="s">
        <v>180</v>
      </c>
      <c r="V33" s="714"/>
      <c r="W33" s="739"/>
      <c r="X33" s="721"/>
      <c r="Y33" s="721"/>
    </row>
    <row r="34" spans="1:26">
      <c r="A34" s="716">
        <v>215</v>
      </c>
      <c r="B34" s="700">
        <v>0</v>
      </c>
      <c r="C34" s="688">
        <f>C33+D34</f>
        <v>436</v>
      </c>
      <c r="D34" s="745">
        <v>19</v>
      </c>
      <c r="E34" s="746"/>
      <c r="F34" s="747"/>
      <c r="G34" s="748">
        <f t="shared" si="5"/>
        <v>19</v>
      </c>
      <c r="H34" s="746">
        <v>5.7</v>
      </c>
      <c r="I34" s="746"/>
      <c r="J34" s="746"/>
      <c r="K34" s="746"/>
      <c r="L34" s="749">
        <f t="shared" si="6"/>
        <v>5.7</v>
      </c>
      <c r="M34" s="688">
        <f t="shared" si="8"/>
        <v>484.8341402468788</v>
      </c>
      <c r="N34" s="706">
        <f t="shared" si="10"/>
        <v>417</v>
      </c>
      <c r="O34" s="707">
        <f>C34</f>
        <v>436</v>
      </c>
      <c r="P34" s="708">
        <f t="shared" si="12"/>
        <v>0.44345061981510098</v>
      </c>
      <c r="Q34" s="709">
        <f t="shared" si="7"/>
        <v>8.4255617764869187E-2</v>
      </c>
      <c r="R34" s="710">
        <f>SUM(Q$13:Q34)</f>
        <v>1.7783713142084216</v>
      </c>
      <c r="S34" s="711">
        <f>R34/O34*100</f>
        <v>0.40788332894688573</v>
      </c>
      <c r="T34" s="722" t="s">
        <v>193</v>
      </c>
      <c r="U34" s="713"/>
      <c r="V34" s="714"/>
      <c r="W34" s="751"/>
    </row>
    <row r="35" spans="1:26">
      <c r="A35" s="716"/>
      <c r="B35" s="700">
        <v>0</v>
      </c>
      <c r="C35" s="688"/>
      <c r="D35" s="745"/>
      <c r="E35" s="746"/>
      <c r="F35" s="747"/>
      <c r="G35" s="748"/>
      <c r="H35" s="746"/>
      <c r="I35" s="746"/>
      <c r="J35" s="746"/>
      <c r="K35" s="746"/>
      <c r="L35" s="749"/>
      <c r="M35" s="688"/>
      <c r="N35" s="706"/>
      <c r="O35" s="707"/>
      <c r="P35" s="708"/>
      <c r="Q35" s="709"/>
      <c r="R35" s="710"/>
      <c r="S35" s="711"/>
      <c r="T35" s="722"/>
      <c r="U35" s="713"/>
      <c r="V35" s="714"/>
      <c r="W35" s="752"/>
      <c r="X35" s="753"/>
      <c r="Y35" s="754"/>
      <c r="Z35" s="753"/>
    </row>
    <row r="36" spans="1:26">
      <c r="A36" s="716"/>
      <c r="B36" s="700">
        <v>0</v>
      </c>
      <c r="C36" s="688"/>
      <c r="D36" s="745"/>
      <c r="E36" s="746"/>
      <c r="F36" s="747"/>
      <c r="G36" s="748"/>
      <c r="H36" s="746"/>
      <c r="I36" s="746"/>
      <c r="J36" s="746"/>
      <c r="K36" s="746"/>
      <c r="L36" s="749"/>
      <c r="M36" s="688"/>
      <c r="N36" s="706"/>
      <c r="O36" s="707"/>
      <c r="P36" s="708"/>
      <c r="Q36" s="709"/>
      <c r="R36" s="710"/>
      <c r="S36" s="711"/>
      <c r="T36" s="722"/>
      <c r="U36" s="713"/>
      <c r="V36" s="714"/>
      <c r="W36" s="752"/>
      <c r="X36" s="753"/>
      <c r="Y36" s="755"/>
      <c r="Z36" s="753"/>
    </row>
    <row r="37" spans="1:26">
      <c r="A37" s="716"/>
      <c r="B37" s="700">
        <v>0</v>
      </c>
      <c r="C37" s="688"/>
      <c r="D37" s="745"/>
      <c r="E37" s="746"/>
      <c r="F37" s="747"/>
      <c r="G37" s="748"/>
      <c r="H37" s="746"/>
      <c r="I37" s="746"/>
      <c r="J37" s="746"/>
      <c r="K37" s="746"/>
      <c r="L37" s="749"/>
      <c r="M37" s="688"/>
      <c r="N37" s="706"/>
      <c r="O37" s="707"/>
      <c r="P37" s="708"/>
      <c r="Q37" s="709"/>
      <c r="R37" s="710"/>
      <c r="S37" s="711"/>
      <c r="T37" s="722"/>
      <c r="U37" s="713"/>
      <c r="V37" s="714"/>
      <c r="W37" s="756"/>
      <c r="X37" s="753"/>
      <c r="Y37" s="753"/>
      <c r="Z37" s="753"/>
    </row>
    <row r="38" spans="1:26">
      <c r="A38" s="716"/>
      <c r="B38" s="700">
        <v>0</v>
      </c>
      <c r="C38" s="688"/>
      <c r="D38" s="745"/>
      <c r="E38" s="746"/>
      <c r="F38" s="747"/>
      <c r="G38" s="748"/>
      <c r="H38" s="746"/>
      <c r="I38" s="746"/>
      <c r="J38" s="746"/>
      <c r="K38" s="746"/>
      <c r="L38" s="749"/>
      <c r="M38" s="688"/>
      <c r="N38" s="706"/>
      <c r="O38" s="707"/>
      <c r="P38" s="708"/>
      <c r="Q38" s="709"/>
      <c r="R38" s="710"/>
      <c r="S38" s="711"/>
      <c r="T38" s="722"/>
      <c r="U38" s="713"/>
      <c r="V38" s="714"/>
      <c r="W38" s="757"/>
      <c r="X38" s="758"/>
    </row>
    <row r="39" spans="1:26">
      <c r="A39" s="716"/>
      <c r="B39" s="700">
        <v>0</v>
      </c>
      <c r="C39" s="688"/>
      <c r="D39" s="745"/>
      <c r="E39" s="746"/>
      <c r="F39" s="747"/>
      <c r="G39" s="748"/>
      <c r="H39" s="746"/>
      <c r="I39" s="746"/>
      <c r="J39" s="746"/>
      <c r="K39" s="746"/>
      <c r="L39" s="749"/>
      <c r="M39" s="688"/>
      <c r="N39" s="706"/>
      <c r="O39" s="707"/>
      <c r="P39" s="708"/>
      <c r="Q39" s="709"/>
      <c r="R39" s="710"/>
      <c r="S39" s="711"/>
      <c r="T39" s="722"/>
      <c r="U39" s="713"/>
      <c r="V39" s="714"/>
      <c r="W39" s="758"/>
      <c r="X39" s="758"/>
    </row>
    <row r="40" spans="1:26">
      <c r="A40" s="716"/>
      <c r="B40" s="700">
        <v>0</v>
      </c>
      <c r="C40" s="688"/>
      <c r="D40" s="745"/>
      <c r="E40" s="746"/>
      <c r="F40" s="747"/>
      <c r="G40" s="748"/>
      <c r="H40" s="746"/>
      <c r="I40" s="746"/>
      <c r="J40" s="746"/>
      <c r="K40" s="746"/>
      <c r="L40" s="749"/>
      <c r="M40" s="688"/>
      <c r="N40" s="706"/>
      <c r="O40" s="707"/>
      <c r="P40" s="708"/>
      <c r="Q40" s="709"/>
      <c r="R40" s="710"/>
      <c r="S40" s="711"/>
      <c r="T40" s="722"/>
      <c r="U40" s="713"/>
      <c r="V40" s="714"/>
    </row>
    <row r="41" spans="1:26">
      <c r="A41" s="716"/>
      <c r="B41" s="700">
        <v>0</v>
      </c>
      <c r="C41" s="688"/>
      <c r="D41" s="745"/>
      <c r="E41" s="746"/>
      <c r="F41" s="747"/>
      <c r="G41" s="748"/>
      <c r="H41" s="746"/>
      <c r="I41" s="746"/>
      <c r="J41" s="746"/>
      <c r="K41" s="746"/>
      <c r="L41" s="749"/>
      <c r="M41" s="688"/>
      <c r="N41" s="706"/>
      <c r="O41" s="707"/>
      <c r="P41" s="708"/>
      <c r="Q41" s="709"/>
      <c r="R41" s="710"/>
      <c r="S41" s="711"/>
      <c r="T41" s="722"/>
      <c r="U41" s="713"/>
      <c r="V41" s="714"/>
    </row>
    <row r="42" spans="1:26">
      <c r="A42" s="716"/>
      <c r="B42" s="700">
        <v>0</v>
      </c>
      <c r="C42" s="688"/>
      <c r="D42" s="745"/>
      <c r="E42" s="746"/>
      <c r="F42" s="747"/>
      <c r="G42" s="748"/>
      <c r="H42" s="746"/>
      <c r="I42" s="746"/>
      <c r="J42" s="746"/>
      <c r="K42" s="746"/>
      <c r="L42" s="749"/>
      <c r="M42" s="688"/>
      <c r="N42" s="706"/>
      <c r="O42" s="707"/>
      <c r="P42" s="708"/>
      <c r="Q42" s="709"/>
      <c r="R42" s="710"/>
      <c r="S42" s="711"/>
      <c r="T42" s="722"/>
      <c r="U42" s="713"/>
      <c r="V42" s="714"/>
    </row>
    <row r="43" spans="1:26">
      <c r="A43" s="716"/>
      <c r="B43" s="700">
        <v>0</v>
      </c>
      <c r="C43" s="688"/>
      <c r="D43" s="745"/>
      <c r="E43" s="746"/>
      <c r="F43" s="747"/>
      <c r="G43" s="748"/>
      <c r="H43" s="746"/>
      <c r="I43" s="746"/>
      <c r="J43" s="746"/>
      <c r="K43" s="746"/>
      <c r="L43" s="749"/>
      <c r="M43" s="688"/>
      <c r="N43" s="706"/>
      <c r="O43" s="707"/>
      <c r="P43" s="708"/>
      <c r="Q43" s="709"/>
      <c r="R43" s="710"/>
      <c r="S43" s="711"/>
      <c r="T43" s="722"/>
      <c r="U43" s="713"/>
      <c r="V43" s="714"/>
    </row>
    <row r="44" spans="1:26">
      <c r="A44" s="716"/>
      <c r="B44" s="700">
        <v>0</v>
      </c>
      <c r="C44" s="688"/>
      <c r="D44" s="745"/>
      <c r="E44" s="746"/>
      <c r="F44" s="747"/>
      <c r="G44" s="748"/>
      <c r="H44" s="746"/>
      <c r="I44" s="746"/>
      <c r="J44" s="746"/>
      <c r="K44" s="746"/>
      <c r="L44" s="749"/>
      <c r="M44" s="688"/>
      <c r="N44" s="706"/>
      <c r="O44" s="707"/>
      <c r="P44" s="708"/>
      <c r="Q44" s="709"/>
      <c r="R44" s="710"/>
      <c r="S44" s="711"/>
      <c r="T44" s="722"/>
      <c r="U44" s="713"/>
      <c r="V44" s="714"/>
    </row>
    <row r="45" spans="1:26">
      <c r="A45" s="716"/>
      <c r="B45" s="700">
        <v>0</v>
      </c>
      <c r="C45" s="688"/>
      <c r="D45" s="745"/>
      <c r="E45" s="746"/>
      <c r="F45" s="747"/>
      <c r="G45" s="748"/>
      <c r="H45" s="746"/>
      <c r="I45" s="746"/>
      <c r="J45" s="746"/>
      <c r="K45" s="746"/>
      <c r="L45" s="749"/>
      <c r="M45" s="688"/>
      <c r="N45" s="706"/>
      <c r="O45" s="707"/>
      <c r="P45" s="708"/>
      <c r="Q45" s="709"/>
      <c r="R45" s="710"/>
      <c r="S45" s="711"/>
      <c r="T45" s="722"/>
      <c r="U45" s="713"/>
      <c r="V45" s="714"/>
    </row>
    <row r="46" spans="1:26">
      <c r="A46" s="716"/>
      <c r="B46" s="700">
        <v>0</v>
      </c>
      <c r="C46" s="688"/>
      <c r="D46" s="745"/>
      <c r="E46" s="746"/>
      <c r="F46" s="747"/>
      <c r="G46" s="748"/>
      <c r="H46" s="746"/>
      <c r="I46" s="746"/>
      <c r="J46" s="746"/>
      <c r="K46" s="746"/>
      <c r="L46" s="749"/>
      <c r="M46" s="688"/>
      <c r="N46" s="706"/>
      <c r="O46" s="707"/>
      <c r="P46" s="708"/>
      <c r="Q46" s="709"/>
      <c r="R46" s="710"/>
      <c r="S46" s="711"/>
      <c r="T46" s="722"/>
      <c r="U46" s="713"/>
      <c r="V46" s="714"/>
    </row>
    <row r="47" spans="1:26">
      <c r="A47" s="716"/>
      <c r="B47" s="700">
        <v>0</v>
      </c>
      <c r="C47" s="688"/>
      <c r="D47" s="745"/>
      <c r="E47" s="746"/>
      <c r="F47" s="747"/>
      <c r="G47" s="748"/>
      <c r="H47" s="746"/>
      <c r="I47" s="746"/>
      <c r="J47" s="746"/>
      <c r="K47" s="746"/>
      <c r="L47" s="749"/>
      <c r="M47" s="688"/>
      <c r="N47" s="706"/>
      <c r="O47" s="707"/>
      <c r="P47" s="708"/>
      <c r="Q47" s="709"/>
      <c r="R47" s="710"/>
      <c r="S47" s="711"/>
      <c r="T47" s="722"/>
      <c r="U47" s="713"/>
      <c r="V47" s="714"/>
    </row>
    <row r="48" spans="1:26">
      <c r="A48" s="716"/>
      <c r="B48" s="700">
        <v>0</v>
      </c>
      <c r="C48" s="688"/>
      <c r="D48" s="745"/>
      <c r="E48" s="746"/>
      <c r="F48" s="747"/>
      <c r="G48" s="748"/>
      <c r="H48" s="746"/>
      <c r="I48" s="746"/>
      <c r="J48" s="746"/>
      <c r="K48" s="746"/>
      <c r="L48" s="749"/>
      <c r="M48" s="688"/>
      <c r="N48" s="706"/>
      <c r="O48" s="707"/>
      <c r="P48" s="708"/>
      <c r="Q48" s="709"/>
      <c r="R48" s="710"/>
      <c r="S48" s="711"/>
      <c r="T48" s="722"/>
      <c r="U48" s="713"/>
      <c r="V48" s="714"/>
    </row>
    <row r="49" spans="1:26">
      <c r="A49" s="716"/>
      <c r="B49" s="700">
        <v>0</v>
      </c>
      <c r="C49" s="688"/>
      <c r="D49" s="745"/>
      <c r="E49" s="746"/>
      <c r="F49" s="747"/>
      <c r="G49" s="748"/>
      <c r="H49" s="746"/>
      <c r="I49" s="746"/>
      <c r="J49" s="746"/>
      <c r="K49" s="746"/>
      <c r="L49" s="749"/>
      <c r="M49" s="688"/>
      <c r="N49" s="706"/>
      <c r="O49" s="707"/>
      <c r="P49" s="708"/>
      <c r="Q49" s="709"/>
      <c r="R49" s="710"/>
      <c r="S49" s="711"/>
      <c r="T49" s="722"/>
      <c r="U49" s="713"/>
      <c r="V49" s="714"/>
    </row>
    <row r="50" spans="1:26">
      <c r="A50" s="716"/>
      <c r="B50" s="700">
        <v>0</v>
      </c>
      <c r="C50" s="688"/>
      <c r="D50" s="745"/>
      <c r="E50" s="746"/>
      <c r="F50" s="747"/>
      <c r="G50" s="748"/>
      <c r="H50" s="746"/>
      <c r="I50" s="746"/>
      <c r="J50" s="746"/>
      <c r="K50" s="746"/>
      <c r="L50" s="749"/>
      <c r="M50" s="688"/>
      <c r="N50" s="706"/>
      <c r="O50" s="707"/>
      <c r="P50" s="708"/>
      <c r="Q50" s="709"/>
      <c r="R50" s="710"/>
      <c r="S50" s="711"/>
      <c r="T50" s="722"/>
      <c r="U50" s="713"/>
      <c r="V50" s="714"/>
    </row>
    <row r="51" spans="1:26">
      <c r="A51" s="716"/>
      <c r="B51" s="700">
        <v>0</v>
      </c>
      <c r="C51" s="688"/>
      <c r="D51" s="745"/>
      <c r="E51" s="746"/>
      <c r="F51" s="747"/>
      <c r="G51" s="748"/>
      <c r="H51" s="746"/>
      <c r="I51" s="746"/>
      <c r="J51" s="746"/>
      <c r="K51" s="746"/>
      <c r="L51" s="749"/>
      <c r="M51" s="688"/>
      <c r="N51" s="706"/>
      <c r="O51" s="707"/>
      <c r="P51" s="708"/>
      <c r="Q51" s="709"/>
      <c r="R51" s="710"/>
      <c r="S51" s="711"/>
      <c r="T51" s="722"/>
      <c r="U51" s="713"/>
      <c r="V51" s="714"/>
    </row>
    <row r="52" spans="1:26" ht="12" thickBot="1">
      <c r="A52" s="716"/>
      <c r="B52" s="700">
        <v>0</v>
      </c>
      <c r="C52" s="688"/>
      <c r="D52" s="745"/>
      <c r="E52" s="746"/>
      <c r="F52" s="747"/>
      <c r="G52" s="748"/>
      <c r="H52" s="746"/>
      <c r="I52" s="746"/>
      <c r="J52" s="746"/>
      <c r="K52" s="746"/>
      <c r="L52" s="749"/>
      <c r="M52" s="688"/>
      <c r="N52" s="706"/>
      <c r="O52" s="707"/>
      <c r="P52" s="708"/>
      <c r="Q52" s="709"/>
      <c r="R52" s="710"/>
      <c r="S52" s="711"/>
      <c r="T52" s="722"/>
      <c r="U52" s="713"/>
      <c r="V52" s="759"/>
    </row>
    <row r="53" spans="1:26">
      <c r="A53" s="716"/>
      <c r="B53" s="700">
        <v>0</v>
      </c>
      <c r="C53" s="688"/>
      <c r="D53" s="745"/>
      <c r="E53" s="746"/>
      <c r="F53" s="747"/>
      <c r="G53" s="748"/>
      <c r="H53" s="746"/>
      <c r="I53" s="746"/>
      <c r="J53" s="746"/>
      <c r="K53" s="746"/>
      <c r="L53" s="749"/>
      <c r="M53" s="688"/>
      <c r="N53" s="706"/>
      <c r="O53" s="707"/>
      <c r="P53" s="708"/>
      <c r="Q53" s="709"/>
      <c r="R53" s="710"/>
      <c r="S53" s="711"/>
      <c r="T53" s="722"/>
      <c r="U53" s="760" t="s">
        <v>183</v>
      </c>
      <c r="V53" s="761">
        <f>AVERAGE(V12:V52)</f>
        <v>417</v>
      </c>
    </row>
    <row r="54" spans="1:26">
      <c r="A54" s="716"/>
      <c r="B54" s="700">
        <v>0</v>
      </c>
      <c r="C54" s="688"/>
      <c r="D54" s="745"/>
      <c r="E54" s="746"/>
      <c r="F54" s="747"/>
      <c r="G54" s="748"/>
      <c r="H54" s="746"/>
      <c r="I54" s="746"/>
      <c r="J54" s="746"/>
      <c r="K54" s="746"/>
      <c r="L54" s="749"/>
      <c r="M54" s="688"/>
      <c r="N54" s="706"/>
      <c r="O54" s="707"/>
      <c r="P54" s="708"/>
      <c r="Q54" s="709"/>
      <c r="R54" s="710"/>
      <c r="S54" s="711"/>
      <c r="T54" s="722"/>
      <c r="U54" s="586" t="s">
        <v>184</v>
      </c>
      <c r="V54" s="759" t="e">
        <f>STDEV(V12:V52)</f>
        <v>#DIV/0!</v>
      </c>
      <c r="W54" s="762"/>
      <c r="X54" s="762"/>
    </row>
    <row r="55" spans="1:26">
      <c r="A55" s="763" t="s">
        <v>185</v>
      </c>
      <c r="B55" s="764"/>
      <c r="C55" s="765"/>
      <c r="D55" s="765"/>
      <c r="E55" s="765"/>
      <c r="F55" s="765"/>
      <c r="G55" s="766"/>
      <c r="H55" s="765"/>
      <c r="I55" s="765"/>
      <c r="J55" s="765"/>
      <c r="K55" s="765"/>
      <c r="L55" s="767"/>
      <c r="M55" s="765"/>
      <c r="N55" s="768"/>
      <c r="O55" s="769"/>
      <c r="P55" s="770"/>
      <c r="Q55" s="771"/>
      <c r="R55" s="772"/>
      <c r="S55" s="773"/>
      <c r="T55" s="774"/>
      <c r="U55" s="586" t="s">
        <v>186</v>
      </c>
      <c r="V55" s="759" t="e">
        <f>V54/SQRT(COUNT(V12:V51))</f>
        <v>#DIV/0!</v>
      </c>
      <c r="W55" s="757"/>
      <c r="X55" s="762"/>
      <c r="Y55" s="762"/>
      <c r="Z55" s="762"/>
    </row>
    <row r="56" spans="1:26">
      <c r="A56" s="775"/>
      <c r="B56" s="776"/>
      <c r="C56" s="777"/>
      <c r="D56" s="777"/>
      <c r="E56" s="777"/>
      <c r="F56" s="777"/>
      <c r="G56" s="778"/>
      <c r="H56" s="777"/>
      <c r="I56" s="777"/>
      <c r="J56" s="777"/>
      <c r="K56" s="777"/>
      <c r="L56" s="779"/>
      <c r="M56" s="777"/>
      <c r="N56" s="780"/>
      <c r="O56" s="781"/>
      <c r="P56" s="782"/>
      <c r="Q56" s="783"/>
      <c r="R56" s="784"/>
      <c r="S56" s="785"/>
      <c r="T56" s="786"/>
      <c r="U56" s="586" t="s">
        <v>187</v>
      </c>
      <c r="V56" s="759">
        <f>MAX(V12:V52)</f>
        <v>417</v>
      </c>
      <c r="W56" s="757"/>
    </row>
    <row r="57" spans="1:26" ht="12" thickBot="1">
      <c r="A57" s="787"/>
      <c r="B57" s="788"/>
      <c r="C57" s="789"/>
      <c r="D57" s="789"/>
      <c r="E57" s="789"/>
      <c r="F57" s="789"/>
      <c r="G57" s="790"/>
      <c r="H57" s="789"/>
      <c r="I57" s="789"/>
      <c r="J57" s="789"/>
      <c r="K57" s="789"/>
      <c r="L57" s="791"/>
      <c r="M57" s="789"/>
      <c r="N57" s="792"/>
      <c r="O57" s="793"/>
      <c r="P57" s="794"/>
      <c r="Q57" s="795"/>
      <c r="R57" s="796"/>
      <c r="S57" s="797"/>
      <c r="T57" s="798"/>
      <c r="U57" s="799" t="s">
        <v>188</v>
      </c>
      <c r="V57" s="800">
        <f>MIN(V12:V52)</f>
        <v>417</v>
      </c>
      <c r="W57" s="762"/>
    </row>
    <row r="58" spans="1:26">
      <c r="A58" s="801"/>
      <c r="B58" s="801"/>
      <c r="C58" s="802"/>
      <c r="D58" s="803"/>
      <c r="E58" s="803"/>
      <c r="F58" s="803"/>
      <c r="G58" s="804"/>
      <c r="H58" s="805"/>
      <c r="I58" s="806"/>
      <c r="J58" s="807"/>
      <c r="K58" s="808"/>
      <c r="L58" s="809"/>
      <c r="M58" s="762"/>
      <c r="O58" s="750"/>
      <c r="P58" s="810"/>
    </row>
    <row r="59" spans="1:26">
      <c r="A59" s="762"/>
      <c r="B59" s="762"/>
      <c r="C59" s="811"/>
      <c r="D59" s="811"/>
      <c r="E59" s="811"/>
      <c r="F59" s="811"/>
      <c r="G59" s="806"/>
      <c r="H59" s="805"/>
      <c r="I59" s="806"/>
      <c r="J59" s="807"/>
      <c r="K59" s="812"/>
      <c r="L59" s="809"/>
      <c r="M59" s="762"/>
      <c r="O59" s="750"/>
      <c r="P59" s="810"/>
    </row>
    <row r="60" spans="1:26">
      <c r="A60" s="813"/>
      <c r="B60" s="813"/>
      <c r="C60" s="813"/>
      <c r="D60" s="813"/>
      <c r="E60" s="807"/>
      <c r="F60" s="814"/>
      <c r="G60" s="762"/>
      <c r="H60" s="750"/>
      <c r="I60" s="762"/>
      <c r="J60" s="750"/>
      <c r="K60" s="750"/>
      <c r="L60" s="762"/>
      <c r="M60" s="762"/>
      <c r="O60" s="750"/>
      <c r="P60" s="810"/>
    </row>
    <row r="61" spans="1:26">
      <c r="A61" s="815"/>
      <c r="B61" s="815"/>
      <c r="C61" s="813"/>
      <c r="D61" s="813"/>
      <c r="E61" s="807"/>
      <c r="F61" s="814"/>
      <c r="G61" s="750"/>
      <c r="H61" s="750"/>
      <c r="I61" s="762"/>
      <c r="J61" s="750"/>
      <c r="K61" s="750"/>
      <c r="L61" s="762"/>
      <c r="M61" s="762"/>
      <c r="O61" s="750"/>
      <c r="P61" s="810"/>
    </row>
    <row r="62" spans="1:26">
      <c r="A62" s="659"/>
      <c r="B62" s="659"/>
      <c r="C62" s="813"/>
      <c r="D62" s="813"/>
      <c r="E62" s="807"/>
      <c r="F62" s="814"/>
      <c r="G62" s="750"/>
      <c r="H62" s="750"/>
      <c r="I62" s="762"/>
      <c r="J62" s="750"/>
      <c r="K62" s="750"/>
      <c r="L62" s="762"/>
      <c r="M62" s="762"/>
      <c r="O62" s="750"/>
      <c r="P62" s="810"/>
    </row>
    <row r="63" spans="1:26">
      <c r="A63" s="813"/>
      <c r="B63" s="813"/>
      <c r="C63" s="813"/>
      <c r="D63" s="813"/>
      <c r="E63" s="807"/>
      <c r="F63" s="814"/>
      <c r="G63" s="750"/>
      <c r="H63" s="750"/>
      <c r="I63" s="762"/>
      <c r="J63" s="750"/>
      <c r="K63" s="750"/>
      <c r="L63" s="762"/>
      <c r="M63" s="762"/>
      <c r="O63" s="750"/>
      <c r="P63" s="810"/>
    </row>
    <row r="64" spans="1:26">
      <c r="A64" s="813"/>
      <c r="B64" s="813"/>
      <c r="C64" s="813"/>
      <c r="D64" s="813"/>
      <c r="E64" s="807"/>
      <c r="F64" s="814"/>
      <c r="G64" s="750"/>
      <c r="H64" s="750"/>
      <c r="I64" s="762"/>
      <c r="J64" s="806"/>
      <c r="K64" s="750"/>
      <c r="L64" s="762"/>
      <c r="M64" s="762"/>
      <c r="O64" s="750"/>
      <c r="P64" s="810"/>
    </row>
    <row r="65" spans="1:16">
      <c r="A65" s="813"/>
      <c r="B65" s="813"/>
      <c r="C65" s="813"/>
      <c r="D65" s="813"/>
      <c r="E65" s="807"/>
      <c r="F65" s="814"/>
      <c r="G65" s="750"/>
      <c r="H65" s="750"/>
      <c r="I65" s="762"/>
      <c r="J65" s="806"/>
      <c r="K65" s="750"/>
      <c r="L65" s="762"/>
      <c r="M65" s="762"/>
      <c r="O65" s="750"/>
      <c r="P65" s="810"/>
    </row>
    <row r="66" spans="1:16">
      <c r="A66" s="813"/>
      <c r="B66" s="813"/>
      <c r="C66" s="813"/>
      <c r="D66" s="813"/>
      <c r="E66" s="807"/>
      <c r="F66" s="814"/>
      <c r="G66" s="750"/>
      <c r="H66" s="750"/>
      <c r="I66" s="762"/>
      <c r="J66" s="750"/>
      <c r="K66" s="750"/>
      <c r="L66" s="762"/>
      <c r="M66" s="762"/>
      <c r="O66" s="750"/>
      <c r="P66" s="810"/>
    </row>
    <row r="67" spans="1:16">
      <c r="A67" s="813"/>
      <c r="B67" s="813"/>
      <c r="C67" s="813"/>
      <c r="D67" s="813"/>
      <c r="E67" s="807"/>
      <c r="F67" s="814"/>
      <c r="G67" s="750"/>
      <c r="H67" s="750"/>
      <c r="I67" s="762"/>
      <c r="J67" s="750"/>
      <c r="K67" s="750"/>
      <c r="L67" s="762"/>
      <c r="M67" s="762"/>
      <c r="O67" s="750"/>
      <c r="P67" s="810"/>
    </row>
    <row r="68" spans="1:16">
      <c r="A68" s="813"/>
      <c r="B68" s="813"/>
      <c r="C68" s="813"/>
      <c r="D68" s="813"/>
      <c r="E68" s="807"/>
      <c r="F68" s="814"/>
      <c r="G68" s="750"/>
      <c r="H68" s="750"/>
      <c r="I68" s="762"/>
      <c r="J68" s="750"/>
      <c r="K68" s="750"/>
      <c r="L68" s="762"/>
      <c r="M68" s="762"/>
      <c r="O68" s="750"/>
      <c r="P68" s="810"/>
    </row>
    <row r="69" spans="1:16">
      <c r="A69" s="813"/>
      <c r="B69" s="813"/>
      <c r="C69" s="813"/>
      <c r="D69" s="813"/>
      <c r="E69" s="807"/>
      <c r="F69" s="814"/>
      <c r="G69" s="750"/>
      <c r="H69" s="750"/>
      <c r="I69" s="762"/>
      <c r="J69" s="750"/>
      <c r="K69" s="750"/>
      <c r="L69" s="762"/>
      <c r="M69" s="762"/>
      <c r="O69" s="750"/>
      <c r="P69" s="810"/>
    </row>
    <row r="70" spans="1:16">
      <c r="A70" s="813"/>
      <c r="B70" s="813"/>
      <c r="C70" s="813"/>
      <c r="D70" s="813"/>
      <c r="E70" s="807"/>
      <c r="F70" s="814"/>
      <c r="G70" s="750"/>
      <c r="H70" s="750"/>
      <c r="I70" s="762"/>
      <c r="J70" s="750"/>
      <c r="K70" s="750"/>
      <c r="L70" s="762"/>
      <c r="M70" s="762"/>
      <c r="O70" s="750"/>
      <c r="P70" s="810"/>
    </row>
    <row r="71" spans="1:16">
      <c r="A71" s="813"/>
      <c r="B71" s="813"/>
      <c r="C71" s="813"/>
      <c r="D71" s="813"/>
      <c r="E71" s="807"/>
      <c r="F71" s="814"/>
      <c r="G71" s="750"/>
      <c r="H71" s="750"/>
      <c r="I71" s="762"/>
      <c r="J71" s="750"/>
      <c r="K71" s="750"/>
      <c r="L71" s="762"/>
      <c r="O71" s="750"/>
      <c r="P71" s="810"/>
    </row>
    <row r="72" spans="1:16">
      <c r="A72" s="813"/>
      <c r="B72" s="813"/>
      <c r="C72" s="813"/>
      <c r="D72" s="813"/>
      <c r="E72" s="807"/>
      <c r="F72" s="814"/>
      <c r="G72" s="750"/>
      <c r="H72" s="750"/>
      <c r="I72" s="762"/>
      <c r="J72" s="750"/>
      <c r="K72" s="750"/>
      <c r="L72" s="762"/>
      <c r="O72" s="750"/>
      <c r="P72" s="810"/>
    </row>
    <row r="73" spans="1:16">
      <c r="A73" s="813"/>
      <c r="B73" s="813"/>
      <c r="C73" s="813"/>
      <c r="D73" s="813"/>
      <c r="E73" s="807"/>
      <c r="F73" s="814"/>
      <c r="G73" s="750"/>
      <c r="H73" s="750"/>
      <c r="I73" s="762"/>
      <c r="J73" s="750"/>
      <c r="K73" s="750"/>
      <c r="L73" s="750"/>
      <c r="O73" s="750"/>
      <c r="P73" s="810"/>
    </row>
    <row r="74" spans="1:16">
      <c r="A74" s="813"/>
      <c r="B74" s="813"/>
      <c r="C74" s="813"/>
      <c r="D74" s="813"/>
      <c r="E74" s="807"/>
      <c r="F74" s="814"/>
      <c r="G74" s="750"/>
      <c r="H74" s="750"/>
      <c r="I74" s="762"/>
      <c r="J74" s="750"/>
      <c r="K74" s="750"/>
      <c r="L74" s="750"/>
      <c r="O74" s="750"/>
      <c r="P74" s="810"/>
    </row>
    <row r="75" spans="1:16">
      <c r="A75" s="813"/>
      <c r="B75" s="813"/>
      <c r="C75" s="813"/>
      <c r="D75" s="813"/>
      <c r="E75" s="807"/>
      <c r="F75" s="814"/>
      <c r="G75" s="750"/>
      <c r="H75" s="750"/>
      <c r="I75" s="762"/>
      <c r="J75" s="750"/>
      <c r="K75" s="750"/>
      <c r="L75" s="750"/>
      <c r="O75" s="750"/>
      <c r="P75" s="810"/>
    </row>
    <row r="76" spans="1:16">
      <c r="A76" s="813"/>
      <c r="B76" s="813"/>
      <c r="C76" s="813"/>
      <c r="D76" s="813"/>
      <c r="E76" s="807"/>
      <c r="F76" s="814"/>
      <c r="G76" s="750"/>
      <c r="H76" s="750"/>
      <c r="I76" s="762"/>
      <c r="J76" s="750"/>
      <c r="K76" s="750"/>
      <c r="L76" s="750"/>
      <c r="O76" s="750"/>
      <c r="P76" s="810"/>
    </row>
    <row r="77" spans="1:16">
      <c r="A77" s="813"/>
      <c r="B77" s="813"/>
      <c r="C77" s="813"/>
      <c r="D77" s="813"/>
      <c r="E77" s="807"/>
      <c r="F77" s="814"/>
      <c r="G77" s="750"/>
      <c r="H77" s="750"/>
      <c r="I77" s="762"/>
      <c r="J77" s="750"/>
      <c r="K77" s="750"/>
      <c r="L77" s="750"/>
      <c r="O77" s="750"/>
      <c r="P77" s="810"/>
    </row>
    <row r="78" spans="1:16">
      <c r="A78" s="813"/>
      <c r="B78" s="813"/>
      <c r="C78" s="813"/>
      <c r="D78" s="813"/>
      <c r="E78" s="807"/>
      <c r="F78" s="814"/>
      <c r="G78" s="750"/>
      <c r="H78" s="750"/>
      <c r="I78" s="762"/>
      <c r="J78" s="750"/>
      <c r="K78" s="750"/>
      <c r="L78" s="750"/>
      <c r="O78" s="750"/>
      <c r="P78" s="810"/>
    </row>
    <row r="79" spans="1:16">
      <c r="A79" s="813"/>
      <c r="B79" s="813"/>
      <c r="C79" s="813"/>
      <c r="D79" s="813"/>
      <c r="E79" s="807"/>
      <c r="F79" s="814"/>
      <c r="G79" s="750"/>
      <c r="H79" s="750"/>
      <c r="I79" s="762"/>
      <c r="J79" s="750"/>
      <c r="K79" s="750"/>
      <c r="L79" s="750"/>
      <c r="O79" s="750"/>
      <c r="P79" s="810"/>
    </row>
    <row r="80" spans="1:16">
      <c r="A80" s="813"/>
      <c r="B80" s="813"/>
      <c r="C80" s="813"/>
      <c r="D80" s="813"/>
      <c r="E80" s="807"/>
      <c r="F80" s="814"/>
      <c r="G80" s="750"/>
      <c r="H80" s="750"/>
      <c r="I80" s="762"/>
      <c r="J80" s="750"/>
      <c r="K80" s="750"/>
      <c r="L80" s="750"/>
      <c r="O80" s="750"/>
      <c r="P80" s="810"/>
    </row>
    <row r="81" spans="1:19">
      <c r="A81" s="813"/>
      <c r="B81" s="813"/>
      <c r="C81" s="813"/>
      <c r="D81" s="813"/>
      <c r="E81" s="807"/>
      <c r="F81" s="814"/>
      <c r="G81" s="750"/>
      <c r="H81" s="750"/>
      <c r="I81" s="762"/>
      <c r="J81" s="750"/>
      <c r="K81" s="750"/>
      <c r="L81" s="750"/>
      <c r="O81" s="750"/>
      <c r="P81" s="810"/>
    </row>
    <row r="82" spans="1:19">
      <c r="A82" s="813"/>
      <c r="B82" s="813"/>
      <c r="C82" s="813"/>
      <c r="D82" s="813"/>
      <c r="E82" s="807"/>
      <c r="F82" s="814"/>
      <c r="G82" s="750"/>
      <c r="H82" s="750"/>
      <c r="I82" s="762"/>
      <c r="J82" s="750"/>
      <c r="K82" s="750"/>
      <c r="L82" s="750"/>
      <c r="O82" s="750"/>
      <c r="P82" s="810"/>
    </row>
    <row r="83" spans="1:19">
      <c r="A83" s="813"/>
      <c r="B83" s="813"/>
      <c r="C83" s="813"/>
      <c r="D83" s="813"/>
      <c r="E83" s="807"/>
      <c r="F83" s="814"/>
      <c r="G83" s="750"/>
      <c r="H83" s="750"/>
      <c r="I83" s="762"/>
      <c r="J83" s="750"/>
      <c r="K83" s="750"/>
      <c r="L83" s="750"/>
      <c r="O83" s="750"/>
      <c r="P83" s="810"/>
    </row>
    <row r="84" spans="1:19">
      <c r="A84" s="813"/>
      <c r="B84" s="813"/>
      <c r="C84" s="813"/>
      <c r="D84" s="813"/>
      <c r="E84" s="807"/>
      <c r="F84" s="814"/>
      <c r="G84" s="810"/>
      <c r="H84" s="750"/>
      <c r="I84" s="762"/>
      <c r="J84" s="750"/>
      <c r="K84" s="750"/>
      <c r="L84" s="750"/>
      <c r="O84" s="750"/>
      <c r="P84" s="810"/>
    </row>
    <row r="85" spans="1:19">
      <c r="A85" s="813"/>
      <c r="B85" s="813"/>
      <c r="C85" s="813"/>
      <c r="D85" s="813"/>
      <c r="E85" s="807"/>
      <c r="F85" s="814"/>
      <c r="G85" s="810"/>
      <c r="H85" s="750"/>
      <c r="I85" s="762"/>
      <c r="J85" s="750"/>
      <c r="K85" s="750"/>
      <c r="L85" s="750"/>
      <c r="O85" s="750"/>
      <c r="P85" s="810"/>
    </row>
    <row r="86" spans="1:19">
      <c r="A86" s="813"/>
      <c r="B86" s="813"/>
      <c r="C86" s="813"/>
      <c r="D86" s="813"/>
      <c r="E86" s="807"/>
      <c r="F86" s="814"/>
      <c r="G86" s="810"/>
      <c r="H86" s="750"/>
      <c r="I86" s="762"/>
      <c r="J86" s="750"/>
      <c r="K86" s="750"/>
      <c r="L86" s="750"/>
      <c r="O86" s="750"/>
      <c r="P86" s="810"/>
    </row>
    <row r="87" spans="1:19">
      <c r="A87" s="813"/>
      <c r="B87" s="813"/>
      <c r="C87" s="813"/>
      <c r="D87" s="813"/>
      <c r="E87" s="807"/>
      <c r="F87" s="814"/>
      <c r="G87" s="810"/>
      <c r="H87" s="750"/>
      <c r="I87" s="762"/>
      <c r="J87" s="750"/>
      <c r="K87" s="750"/>
      <c r="L87" s="750"/>
      <c r="O87" s="750"/>
      <c r="P87" s="810"/>
    </row>
    <row r="88" spans="1:19">
      <c r="A88" s="813"/>
      <c r="B88" s="813"/>
      <c r="C88" s="813"/>
      <c r="D88" s="813"/>
      <c r="E88" s="807"/>
      <c r="F88" s="814"/>
      <c r="G88" s="750"/>
      <c r="H88" s="750"/>
      <c r="I88" s="762"/>
      <c r="J88" s="750"/>
      <c r="K88" s="750"/>
      <c r="L88" s="750"/>
      <c r="O88" s="750"/>
      <c r="P88" s="810"/>
    </row>
    <row r="89" spans="1:19">
      <c r="A89" s="813"/>
      <c r="B89" s="813"/>
      <c r="C89" s="813"/>
      <c r="D89" s="813"/>
      <c r="E89" s="807"/>
      <c r="F89" s="814"/>
      <c r="G89" s="750"/>
      <c r="H89" s="750"/>
      <c r="I89" s="762"/>
      <c r="J89" s="750"/>
      <c r="K89" s="750"/>
      <c r="L89" s="750"/>
      <c r="O89" s="750"/>
      <c r="P89" s="810"/>
    </row>
    <row r="90" spans="1:19" s="813" customFormat="1">
      <c r="E90" s="807"/>
      <c r="F90" s="814"/>
      <c r="G90" s="750"/>
      <c r="H90" s="750"/>
      <c r="I90" s="762"/>
      <c r="J90" s="750"/>
      <c r="K90" s="750"/>
      <c r="L90" s="750"/>
      <c r="M90" s="750"/>
      <c r="N90" s="750"/>
      <c r="O90" s="750"/>
      <c r="P90" s="810"/>
      <c r="Q90" s="810"/>
      <c r="R90" s="816"/>
      <c r="S90" s="816"/>
    </row>
    <row r="91" spans="1:19" s="813" customFormat="1">
      <c r="E91" s="807"/>
      <c r="F91" s="814"/>
      <c r="G91" s="750"/>
      <c r="H91" s="750"/>
      <c r="I91" s="762"/>
      <c r="J91" s="750"/>
      <c r="K91" s="750"/>
      <c r="L91" s="750"/>
      <c r="M91" s="750"/>
      <c r="N91" s="750"/>
      <c r="O91" s="750"/>
      <c r="P91" s="810"/>
      <c r="Q91" s="810"/>
      <c r="R91" s="816"/>
      <c r="S91" s="816"/>
    </row>
    <row r="92" spans="1:19" s="813" customFormat="1">
      <c r="E92" s="807"/>
      <c r="F92" s="814"/>
      <c r="G92" s="750"/>
      <c r="H92" s="750"/>
      <c r="I92" s="762"/>
      <c r="J92" s="750"/>
      <c r="K92" s="750"/>
      <c r="L92" s="750"/>
      <c r="M92" s="750"/>
      <c r="N92" s="750"/>
      <c r="O92" s="750"/>
      <c r="P92" s="810"/>
      <c r="Q92" s="810"/>
      <c r="R92" s="816"/>
      <c r="S92" s="816"/>
    </row>
    <row r="93" spans="1:19" s="813" customFormat="1">
      <c r="E93" s="807"/>
      <c r="F93" s="814"/>
      <c r="G93" s="750"/>
      <c r="H93" s="750"/>
      <c r="I93" s="762"/>
      <c r="J93" s="750"/>
      <c r="K93" s="750"/>
      <c r="L93" s="750"/>
      <c r="M93" s="750"/>
      <c r="N93" s="750"/>
      <c r="O93" s="750"/>
      <c r="P93" s="810"/>
      <c r="Q93" s="810"/>
      <c r="R93" s="816"/>
      <c r="S93" s="816"/>
    </row>
    <row r="94" spans="1:19" s="813" customFormat="1">
      <c r="E94" s="807"/>
      <c r="F94" s="814"/>
      <c r="G94" s="750"/>
      <c r="H94" s="750"/>
      <c r="I94" s="762"/>
      <c r="J94" s="750"/>
      <c r="K94" s="750"/>
      <c r="L94" s="750"/>
      <c r="M94" s="750"/>
      <c r="N94" s="750"/>
      <c r="O94" s="750"/>
      <c r="P94" s="810"/>
      <c r="Q94" s="810"/>
      <c r="R94" s="816"/>
      <c r="S94" s="816"/>
    </row>
    <row r="95" spans="1:19" s="813" customFormat="1">
      <c r="E95" s="807"/>
      <c r="F95" s="814"/>
      <c r="G95" s="750"/>
      <c r="H95" s="750"/>
      <c r="I95" s="762"/>
      <c r="J95" s="750"/>
      <c r="K95" s="750"/>
      <c r="L95" s="750"/>
      <c r="M95" s="750"/>
      <c r="P95" s="816"/>
      <c r="Q95" s="816"/>
      <c r="R95" s="816"/>
      <c r="S95" s="816"/>
    </row>
    <row r="96" spans="1:19" s="813" customFormat="1">
      <c r="E96" s="807"/>
      <c r="F96" s="814"/>
      <c r="G96" s="750"/>
      <c r="H96" s="750"/>
      <c r="I96" s="762"/>
      <c r="J96" s="750"/>
      <c r="K96" s="750"/>
      <c r="L96" s="750"/>
      <c r="M96" s="750"/>
      <c r="P96" s="816"/>
      <c r="Q96" s="816"/>
      <c r="R96" s="816"/>
      <c r="S96" s="816"/>
    </row>
    <row r="97" spans="5:19" s="813" customFormat="1">
      <c r="E97" s="807"/>
      <c r="F97" s="814"/>
      <c r="G97" s="750"/>
      <c r="H97" s="750"/>
      <c r="I97" s="762"/>
      <c r="J97" s="750"/>
      <c r="K97" s="750"/>
      <c r="L97" s="750"/>
      <c r="M97" s="750"/>
      <c r="P97" s="816"/>
      <c r="Q97" s="816"/>
      <c r="R97" s="816"/>
      <c r="S97" s="816"/>
    </row>
    <row r="98" spans="5:19" s="813" customFormat="1">
      <c r="E98" s="807"/>
      <c r="F98" s="814"/>
      <c r="G98" s="750"/>
      <c r="H98" s="750"/>
      <c r="I98" s="762"/>
      <c r="J98" s="750"/>
      <c r="K98" s="750"/>
      <c r="L98" s="750"/>
      <c r="M98" s="750"/>
      <c r="P98" s="816"/>
      <c r="Q98" s="816"/>
      <c r="R98" s="816"/>
      <c r="S98" s="816"/>
    </row>
    <row r="99" spans="5:19" s="813" customFormat="1">
      <c r="E99" s="807"/>
      <c r="F99" s="814"/>
      <c r="G99" s="750"/>
      <c r="H99" s="750"/>
      <c r="I99" s="762"/>
      <c r="J99" s="750"/>
      <c r="K99" s="750"/>
      <c r="L99" s="750"/>
      <c r="M99" s="750"/>
      <c r="P99" s="816"/>
      <c r="Q99" s="816"/>
      <c r="R99" s="816"/>
      <c r="S99" s="816"/>
    </row>
    <row r="100" spans="5:19" s="813" customFormat="1">
      <c r="E100" s="807"/>
      <c r="F100" s="814"/>
      <c r="G100" s="750"/>
      <c r="H100" s="750"/>
      <c r="I100" s="762"/>
      <c r="J100" s="750"/>
      <c r="K100" s="750"/>
      <c r="L100" s="750"/>
      <c r="M100" s="750"/>
      <c r="P100" s="816"/>
      <c r="Q100" s="816"/>
      <c r="R100" s="816"/>
      <c r="S100" s="816"/>
    </row>
    <row r="101" spans="5:19" s="813" customFormat="1">
      <c r="E101" s="807"/>
      <c r="F101" s="814"/>
      <c r="G101" s="750"/>
      <c r="H101" s="750"/>
      <c r="I101" s="762"/>
      <c r="J101" s="750"/>
      <c r="K101" s="750"/>
      <c r="L101" s="750"/>
      <c r="M101" s="750"/>
      <c r="P101" s="816"/>
      <c r="Q101" s="816"/>
      <c r="R101" s="816"/>
      <c r="S101" s="816"/>
    </row>
    <row r="102" spans="5:19" s="813" customFormat="1">
      <c r="E102" s="807"/>
      <c r="F102" s="814"/>
      <c r="G102" s="750"/>
      <c r="H102" s="750"/>
      <c r="I102" s="762"/>
      <c r="J102" s="750"/>
      <c r="K102" s="750"/>
      <c r="L102" s="750"/>
      <c r="M102" s="750"/>
      <c r="P102" s="816"/>
      <c r="Q102" s="816"/>
      <c r="R102" s="816"/>
      <c r="S102" s="816"/>
    </row>
    <row r="103" spans="5:19" s="813" customFormat="1">
      <c r="E103" s="807"/>
      <c r="F103" s="814"/>
      <c r="G103" s="750"/>
      <c r="H103" s="750"/>
      <c r="I103" s="762"/>
      <c r="J103" s="750"/>
      <c r="K103" s="750"/>
      <c r="L103" s="750"/>
      <c r="M103" s="750"/>
      <c r="P103" s="816"/>
      <c r="Q103" s="816"/>
      <c r="R103" s="816"/>
      <c r="S103" s="816"/>
    </row>
    <row r="104" spans="5:19" s="813" customFormat="1">
      <c r="E104" s="807"/>
      <c r="F104" s="814"/>
      <c r="G104" s="750"/>
      <c r="H104" s="750"/>
      <c r="I104" s="762"/>
      <c r="J104" s="750"/>
      <c r="K104" s="750"/>
      <c r="L104" s="750"/>
      <c r="M104" s="750"/>
      <c r="P104" s="816"/>
      <c r="Q104" s="816"/>
      <c r="R104" s="816"/>
      <c r="S104" s="816"/>
    </row>
    <row r="105" spans="5:19" s="813" customFormat="1">
      <c r="E105" s="807"/>
      <c r="F105" s="814"/>
      <c r="G105" s="750"/>
      <c r="H105" s="750"/>
      <c r="I105" s="762"/>
      <c r="J105" s="750"/>
      <c r="K105" s="750"/>
      <c r="L105" s="750"/>
      <c r="M105" s="750"/>
      <c r="P105" s="816"/>
      <c r="Q105" s="816"/>
      <c r="R105" s="816"/>
      <c r="S105" s="816"/>
    </row>
    <row r="106" spans="5:19" s="813" customFormat="1">
      <c r="E106" s="807"/>
      <c r="F106" s="814"/>
      <c r="G106" s="750"/>
      <c r="H106" s="750"/>
      <c r="I106" s="762"/>
      <c r="J106" s="750"/>
      <c r="K106" s="750"/>
      <c r="L106" s="750"/>
      <c r="M106" s="750"/>
      <c r="P106" s="816"/>
      <c r="Q106" s="816"/>
      <c r="R106" s="816"/>
      <c r="S106" s="816"/>
    </row>
    <row r="107" spans="5:19" s="813" customFormat="1">
      <c r="E107" s="807"/>
      <c r="F107" s="814"/>
      <c r="G107" s="750"/>
      <c r="H107" s="750"/>
      <c r="I107" s="762"/>
      <c r="J107" s="750"/>
      <c r="K107" s="750"/>
      <c r="L107" s="750"/>
      <c r="M107" s="750"/>
      <c r="P107" s="816"/>
      <c r="Q107" s="816"/>
      <c r="R107" s="816"/>
      <c r="S107" s="816"/>
    </row>
    <row r="108" spans="5:19" s="813" customFormat="1">
      <c r="E108" s="807"/>
      <c r="F108" s="814"/>
      <c r="G108" s="750"/>
      <c r="H108" s="750"/>
      <c r="I108" s="762"/>
      <c r="J108" s="750"/>
      <c r="K108" s="750"/>
      <c r="L108" s="750"/>
      <c r="M108" s="750"/>
      <c r="P108" s="816"/>
      <c r="Q108" s="816"/>
      <c r="R108" s="816"/>
      <c r="S108" s="816"/>
    </row>
    <row r="109" spans="5:19" s="813" customFormat="1">
      <c r="E109" s="807"/>
      <c r="F109" s="814"/>
      <c r="G109" s="750"/>
      <c r="H109" s="750"/>
      <c r="I109" s="762"/>
      <c r="J109" s="750"/>
      <c r="K109" s="750"/>
      <c r="L109" s="750"/>
      <c r="M109" s="750"/>
      <c r="P109" s="816"/>
      <c r="Q109" s="816"/>
      <c r="R109" s="816"/>
      <c r="S109" s="816"/>
    </row>
    <row r="110" spans="5:19" s="813" customFormat="1">
      <c r="E110" s="807"/>
      <c r="F110" s="814"/>
      <c r="G110" s="750"/>
      <c r="H110" s="750"/>
      <c r="I110" s="762"/>
      <c r="J110" s="750"/>
      <c r="K110" s="750"/>
      <c r="L110" s="750"/>
      <c r="P110" s="816"/>
      <c r="Q110" s="816"/>
      <c r="R110" s="816"/>
      <c r="S110" s="816"/>
    </row>
    <row r="111" spans="5:19" s="813" customFormat="1">
      <c r="E111" s="807"/>
      <c r="F111" s="814"/>
      <c r="G111" s="750"/>
      <c r="H111" s="750"/>
      <c r="I111" s="762"/>
      <c r="J111" s="750"/>
      <c r="K111" s="750"/>
      <c r="L111" s="750"/>
      <c r="P111" s="816"/>
      <c r="Q111" s="816"/>
      <c r="R111" s="816"/>
      <c r="S111" s="816"/>
    </row>
    <row r="112" spans="5:19" s="813" customFormat="1">
      <c r="E112" s="807"/>
      <c r="F112" s="814"/>
      <c r="G112" s="750"/>
      <c r="H112" s="750"/>
      <c r="I112" s="762"/>
      <c r="J112" s="750"/>
      <c r="K112" s="750"/>
      <c r="L112" s="750"/>
      <c r="P112" s="816"/>
      <c r="Q112" s="816"/>
      <c r="R112" s="816"/>
      <c r="S112" s="816"/>
    </row>
    <row r="113" spans="5:19" s="813" customFormat="1">
      <c r="E113" s="807"/>
      <c r="F113" s="814"/>
      <c r="G113" s="750"/>
      <c r="H113" s="750"/>
      <c r="I113" s="762"/>
      <c r="J113" s="750"/>
      <c r="K113" s="750"/>
      <c r="L113" s="750"/>
      <c r="P113" s="816"/>
      <c r="Q113" s="816"/>
      <c r="R113" s="816"/>
      <c r="S113" s="816"/>
    </row>
    <row r="114" spans="5:19" s="813" customFormat="1">
      <c r="E114" s="807"/>
      <c r="F114" s="814"/>
      <c r="G114" s="750"/>
      <c r="H114" s="750"/>
      <c r="I114" s="762"/>
      <c r="J114" s="750"/>
      <c r="K114" s="750"/>
      <c r="L114" s="750"/>
      <c r="P114" s="816"/>
      <c r="Q114" s="816"/>
      <c r="R114" s="816"/>
      <c r="S114" s="816"/>
    </row>
    <row r="115" spans="5:19" s="813" customFormat="1">
      <c r="E115" s="807"/>
      <c r="F115" s="814"/>
      <c r="G115" s="750"/>
      <c r="H115" s="750"/>
      <c r="I115" s="762"/>
      <c r="J115" s="750"/>
      <c r="K115" s="750"/>
      <c r="L115" s="750"/>
      <c r="P115" s="816"/>
      <c r="Q115" s="816"/>
      <c r="R115" s="816"/>
      <c r="S115" s="816"/>
    </row>
    <row r="116" spans="5:19" s="813" customFormat="1">
      <c r="E116" s="807"/>
      <c r="F116" s="814"/>
      <c r="G116" s="750"/>
      <c r="H116" s="750"/>
      <c r="I116" s="762"/>
      <c r="J116" s="750"/>
      <c r="K116" s="750"/>
      <c r="L116" s="750"/>
      <c r="P116" s="816"/>
      <c r="Q116" s="816"/>
      <c r="R116" s="816"/>
      <c r="S116" s="816"/>
    </row>
    <row r="117" spans="5:19" s="813" customFormat="1">
      <c r="E117" s="807"/>
      <c r="F117" s="814"/>
      <c r="G117" s="750"/>
      <c r="H117" s="750"/>
      <c r="I117" s="762"/>
      <c r="J117" s="750"/>
      <c r="K117" s="750"/>
      <c r="L117" s="750"/>
      <c r="P117" s="816"/>
      <c r="Q117" s="816"/>
      <c r="R117" s="816"/>
      <c r="S117" s="816"/>
    </row>
    <row r="118" spans="5:19" s="813" customFormat="1">
      <c r="E118" s="807"/>
      <c r="F118" s="814"/>
      <c r="G118" s="750"/>
      <c r="H118" s="750"/>
      <c r="I118" s="762"/>
      <c r="J118" s="750"/>
      <c r="K118" s="750"/>
      <c r="L118" s="750"/>
      <c r="P118" s="816"/>
      <c r="Q118" s="816"/>
      <c r="R118" s="816"/>
      <c r="S118" s="816"/>
    </row>
    <row r="119" spans="5:19" s="813" customFormat="1">
      <c r="E119" s="807"/>
      <c r="F119" s="814"/>
      <c r="G119" s="750"/>
      <c r="H119" s="750"/>
      <c r="I119" s="762"/>
      <c r="J119" s="750"/>
      <c r="K119" s="750"/>
      <c r="L119" s="750"/>
      <c r="P119" s="816"/>
      <c r="Q119" s="816"/>
      <c r="R119" s="816"/>
      <c r="S119" s="816"/>
    </row>
    <row r="120" spans="5:19" s="813" customFormat="1">
      <c r="E120" s="807"/>
      <c r="F120" s="814"/>
      <c r="G120" s="750"/>
      <c r="H120" s="750"/>
      <c r="I120" s="762"/>
      <c r="J120" s="750"/>
      <c r="K120" s="750"/>
      <c r="L120" s="750"/>
      <c r="P120" s="816"/>
      <c r="Q120" s="816"/>
      <c r="R120" s="816"/>
      <c r="S120" s="816"/>
    </row>
    <row r="121" spans="5:19" s="813" customFormat="1">
      <c r="E121" s="807"/>
      <c r="F121" s="814"/>
      <c r="G121" s="750"/>
      <c r="H121" s="750"/>
      <c r="I121" s="762"/>
      <c r="J121" s="750"/>
      <c r="K121" s="750"/>
      <c r="L121" s="750"/>
      <c r="P121" s="816"/>
      <c r="Q121" s="816"/>
      <c r="R121" s="816"/>
      <c r="S121" s="816"/>
    </row>
    <row r="122" spans="5:19" s="813" customFormat="1">
      <c r="E122" s="807"/>
      <c r="F122" s="814"/>
      <c r="G122" s="750"/>
      <c r="H122" s="750"/>
      <c r="I122" s="762"/>
      <c r="J122" s="750"/>
      <c r="K122" s="750"/>
      <c r="L122" s="750"/>
      <c r="P122" s="816"/>
      <c r="Q122" s="816"/>
      <c r="R122" s="816"/>
      <c r="S122" s="816"/>
    </row>
    <row r="123" spans="5:19" s="813" customFormat="1">
      <c r="E123" s="807"/>
      <c r="F123" s="814"/>
      <c r="G123" s="750"/>
      <c r="H123" s="750"/>
      <c r="I123" s="762"/>
      <c r="J123" s="750"/>
      <c r="K123" s="750"/>
      <c r="L123" s="750"/>
      <c r="P123" s="816"/>
      <c r="Q123" s="816"/>
      <c r="R123" s="816"/>
      <c r="S123" s="816"/>
    </row>
    <row r="124" spans="5:19" s="813" customFormat="1">
      <c r="E124" s="807"/>
      <c r="F124" s="814"/>
      <c r="G124" s="750"/>
      <c r="H124" s="750"/>
      <c r="I124" s="762"/>
      <c r="J124" s="750"/>
      <c r="K124" s="750"/>
      <c r="L124" s="750"/>
      <c r="P124" s="816"/>
      <c r="Q124" s="816"/>
      <c r="R124" s="816"/>
      <c r="S124" s="816"/>
    </row>
    <row r="125" spans="5:19" s="813" customFormat="1">
      <c r="E125" s="807"/>
      <c r="F125" s="814"/>
      <c r="G125" s="750"/>
      <c r="H125" s="750"/>
      <c r="I125" s="762"/>
      <c r="J125" s="750"/>
      <c r="K125" s="750"/>
      <c r="L125" s="750"/>
      <c r="P125" s="816"/>
      <c r="Q125" s="816"/>
      <c r="R125" s="816"/>
      <c r="S125" s="816"/>
    </row>
    <row r="126" spans="5:19" s="813" customFormat="1">
      <c r="E126" s="807"/>
      <c r="F126" s="814"/>
      <c r="G126" s="750"/>
      <c r="H126" s="750"/>
      <c r="I126" s="762"/>
      <c r="J126" s="750"/>
      <c r="K126" s="750"/>
      <c r="L126" s="750"/>
      <c r="P126" s="816"/>
      <c r="Q126" s="816"/>
      <c r="R126" s="816"/>
      <c r="S126" s="816"/>
    </row>
    <row r="127" spans="5:19" s="813" customFormat="1">
      <c r="E127" s="807"/>
      <c r="F127" s="814"/>
      <c r="G127" s="750"/>
      <c r="H127" s="750"/>
      <c r="I127" s="762"/>
      <c r="J127" s="750"/>
      <c r="K127" s="750"/>
      <c r="L127" s="750"/>
      <c r="P127" s="816"/>
      <c r="Q127" s="816"/>
      <c r="R127" s="816"/>
      <c r="S127" s="816"/>
    </row>
    <row r="128" spans="5:19" s="813" customFormat="1">
      <c r="E128" s="807"/>
      <c r="F128" s="814"/>
      <c r="G128" s="750"/>
      <c r="H128" s="750"/>
      <c r="I128" s="762"/>
      <c r="J128" s="750"/>
      <c r="K128" s="750"/>
      <c r="L128" s="750"/>
      <c r="P128" s="816"/>
      <c r="Q128" s="816"/>
      <c r="R128" s="816"/>
      <c r="S128" s="816"/>
    </row>
    <row r="129" spans="5:19" s="813" customFormat="1">
      <c r="E129" s="807"/>
      <c r="F129" s="814"/>
      <c r="G129" s="750"/>
      <c r="H129" s="750"/>
      <c r="I129" s="762"/>
      <c r="J129" s="750"/>
      <c r="K129" s="750"/>
      <c r="L129" s="750"/>
      <c r="P129" s="816"/>
      <c r="Q129" s="816"/>
      <c r="R129" s="816"/>
      <c r="S129" s="816"/>
    </row>
    <row r="130" spans="5:19" s="813" customFormat="1">
      <c r="E130" s="807"/>
      <c r="F130" s="814"/>
      <c r="G130" s="750"/>
      <c r="H130" s="750"/>
      <c r="I130" s="762"/>
      <c r="J130" s="750"/>
      <c r="K130" s="750"/>
      <c r="L130" s="750"/>
      <c r="P130" s="816"/>
      <c r="Q130" s="816"/>
      <c r="R130" s="816"/>
      <c r="S130" s="816"/>
    </row>
    <row r="131" spans="5:19" s="813" customFormat="1">
      <c r="E131" s="807"/>
      <c r="F131" s="814"/>
      <c r="G131" s="750"/>
      <c r="H131" s="750"/>
      <c r="I131" s="762"/>
      <c r="J131" s="750"/>
      <c r="K131" s="750"/>
      <c r="L131" s="750"/>
      <c r="P131" s="816"/>
      <c r="Q131" s="816"/>
      <c r="R131" s="816"/>
      <c r="S131" s="816"/>
    </row>
    <row r="132" spans="5:19" s="813" customFormat="1">
      <c r="E132" s="807"/>
      <c r="F132" s="814"/>
      <c r="G132" s="750"/>
      <c r="H132" s="750"/>
      <c r="I132" s="762"/>
      <c r="J132" s="750"/>
      <c r="K132" s="750"/>
      <c r="L132" s="750"/>
      <c r="P132" s="816"/>
      <c r="Q132" s="816"/>
      <c r="R132" s="816"/>
      <c r="S132" s="816"/>
    </row>
    <row r="133" spans="5:19" s="813" customFormat="1">
      <c r="E133" s="807"/>
      <c r="F133" s="814"/>
      <c r="G133" s="750"/>
      <c r="H133" s="750"/>
      <c r="I133" s="762"/>
      <c r="J133" s="750"/>
      <c r="K133" s="750"/>
      <c r="L133" s="750"/>
      <c r="P133" s="816"/>
      <c r="Q133" s="816"/>
      <c r="R133" s="816"/>
      <c r="S133" s="816"/>
    </row>
    <row r="134" spans="5:19" s="813" customFormat="1">
      <c r="E134" s="807"/>
      <c r="F134" s="814"/>
      <c r="G134" s="750"/>
      <c r="H134" s="750"/>
      <c r="I134" s="762"/>
      <c r="J134" s="750"/>
      <c r="K134" s="750"/>
      <c r="L134" s="750"/>
      <c r="P134" s="816"/>
      <c r="Q134" s="816"/>
      <c r="R134" s="816"/>
      <c r="S134" s="816"/>
    </row>
    <row r="135" spans="5:19" s="813" customFormat="1">
      <c r="E135" s="807"/>
      <c r="F135" s="814"/>
      <c r="G135" s="750"/>
      <c r="H135" s="750"/>
      <c r="I135" s="762"/>
      <c r="J135" s="750"/>
      <c r="K135" s="750"/>
      <c r="L135" s="750"/>
      <c r="P135" s="816"/>
      <c r="Q135" s="816"/>
      <c r="R135" s="816"/>
      <c r="S135" s="816"/>
    </row>
    <row r="136" spans="5:19" s="813" customFormat="1">
      <c r="E136" s="807"/>
      <c r="F136" s="814"/>
      <c r="G136" s="750"/>
      <c r="H136" s="750"/>
      <c r="I136" s="762"/>
      <c r="J136" s="750"/>
      <c r="K136" s="750"/>
      <c r="L136" s="750"/>
      <c r="P136" s="816"/>
      <c r="Q136" s="816"/>
      <c r="R136" s="816"/>
      <c r="S136" s="816"/>
    </row>
    <row r="137" spans="5:19" s="813" customFormat="1">
      <c r="E137" s="807"/>
      <c r="F137" s="814"/>
      <c r="G137" s="750"/>
      <c r="H137" s="750"/>
      <c r="I137" s="762"/>
      <c r="J137" s="750"/>
      <c r="K137" s="750"/>
      <c r="L137" s="750"/>
      <c r="P137" s="816"/>
      <c r="Q137" s="816"/>
      <c r="R137" s="816"/>
      <c r="S137" s="816"/>
    </row>
    <row r="138" spans="5:19" s="813" customFormat="1">
      <c r="E138" s="807"/>
      <c r="F138" s="814"/>
      <c r="G138" s="750"/>
      <c r="H138" s="750"/>
      <c r="I138" s="762"/>
      <c r="J138" s="750"/>
      <c r="K138" s="750"/>
      <c r="L138" s="750"/>
      <c r="P138" s="816"/>
      <c r="Q138" s="816"/>
      <c r="R138" s="816"/>
      <c r="S138" s="816"/>
    </row>
    <row r="139" spans="5:19" s="813" customFormat="1">
      <c r="E139" s="807"/>
      <c r="F139" s="814"/>
      <c r="G139" s="750"/>
      <c r="H139" s="750"/>
      <c r="I139" s="762"/>
      <c r="J139" s="750"/>
      <c r="K139" s="750"/>
      <c r="L139" s="750"/>
      <c r="P139" s="816"/>
      <c r="Q139" s="816"/>
      <c r="R139" s="816"/>
      <c r="S139" s="816"/>
    </row>
    <row r="140" spans="5:19" s="813" customFormat="1">
      <c r="E140" s="807"/>
      <c r="F140" s="814"/>
      <c r="G140" s="750"/>
      <c r="H140" s="750"/>
      <c r="I140" s="762"/>
      <c r="J140" s="750"/>
      <c r="K140" s="750"/>
      <c r="L140" s="750"/>
      <c r="P140" s="816"/>
      <c r="Q140" s="816"/>
      <c r="R140" s="816"/>
      <c r="S140" s="816"/>
    </row>
    <row r="141" spans="5:19" s="813" customFormat="1">
      <c r="E141" s="807"/>
      <c r="F141" s="814"/>
      <c r="G141" s="750"/>
      <c r="H141" s="750"/>
      <c r="I141" s="762"/>
      <c r="J141" s="750"/>
      <c r="K141" s="750"/>
      <c r="L141" s="750"/>
      <c r="P141" s="816"/>
      <c r="Q141" s="816"/>
      <c r="R141" s="816"/>
      <c r="S141" s="816"/>
    </row>
    <row r="142" spans="5:19" s="813" customFormat="1">
      <c r="E142" s="807"/>
      <c r="F142" s="814"/>
      <c r="G142" s="750"/>
      <c r="H142" s="750"/>
      <c r="I142" s="762"/>
      <c r="J142" s="750"/>
      <c r="K142" s="750"/>
      <c r="L142" s="750"/>
      <c r="P142" s="816"/>
      <c r="Q142" s="816"/>
      <c r="R142" s="816"/>
      <c r="S142" s="816"/>
    </row>
    <row r="143" spans="5:19" s="813" customFormat="1">
      <c r="E143" s="807"/>
      <c r="F143" s="814"/>
      <c r="G143" s="750"/>
      <c r="H143" s="750"/>
      <c r="I143" s="762"/>
      <c r="J143" s="750"/>
      <c r="K143" s="750"/>
      <c r="L143" s="750"/>
      <c r="P143" s="816"/>
      <c r="Q143" s="816"/>
      <c r="R143" s="816"/>
      <c r="S143" s="816"/>
    </row>
    <row r="144" spans="5:19" s="813" customFormat="1">
      <c r="E144" s="807"/>
      <c r="F144" s="814"/>
      <c r="G144" s="750"/>
      <c r="H144" s="750"/>
      <c r="I144" s="762"/>
      <c r="J144" s="750"/>
      <c r="K144" s="750"/>
      <c r="L144" s="750"/>
      <c r="P144" s="816"/>
      <c r="Q144" s="816"/>
      <c r="R144" s="816"/>
      <c r="S144" s="816"/>
    </row>
    <row r="145" spans="1:19" s="813" customFormat="1">
      <c r="E145" s="807"/>
      <c r="F145" s="814"/>
      <c r="G145" s="750"/>
      <c r="H145" s="750"/>
      <c r="I145" s="762"/>
      <c r="J145" s="750"/>
      <c r="K145" s="750"/>
      <c r="L145" s="750"/>
      <c r="P145" s="816"/>
      <c r="Q145" s="816"/>
      <c r="R145" s="816"/>
      <c r="S145" s="816"/>
    </row>
    <row r="146" spans="1:19" s="813" customFormat="1">
      <c r="E146" s="807"/>
      <c r="F146" s="814"/>
      <c r="G146" s="750"/>
      <c r="H146" s="750"/>
      <c r="I146" s="762"/>
      <c r="J146" s="750"/>
      <c r="K146" s="750"/>
      <c r="L146" s="750"/>
      <c r="P146" s="816"/>
      <c r="Q146" s="816"/>
      <c r="R146" s="816"/>
      <c r="S146" s="816"/>
    </row>
    <row r="147" spans="1:19">
      <c r="A147" s="813"/>
      <c r="B147" s="813"/>
      <c r="C147" s="813"/>
      <c r="D147" s="813"/>
      <c r="E147" s="807"/>
      <c r="F147" s="814"/>
      <c r="G147" s="750"/>
      <c r="H147" s="750"/>
      <c r="I147" s="762"/>
      <c r="J147" s="750"/>
      <c r="K147" s="750"/>
      <c r="L147" s="750"/>
      <c r="M147" s="813"/>
      <c r="N147" s="813"/>
      <c r="O147" s="813"/>
      <c r="P147" s="816"/>
      <c r="Q147" s="816"/>
    </row>
    <row r="148" spans="1:19">
      <c r="A148" s="813"/>
      <c r="B148" s="813"/>
      <c r="C148" s="813"/>
      <c r="D148" s="813"/>
      <c r="E148" s="807"/>
      <c r="F148" s="814"/>
      <c r="G148" s="750"/>
      <c r="H148" s="750"/>
      <c r="I148" s="762"/>
      <c r="J148" s="750"/>
      <c r="K148" s="750"/>
      <c r="L148" s="750"/>
      <c r="M148" s="813"/>
      <c r="N148" s="813"/>
      <c r="O148" s="813"/>
      <c r="P148" s="816"/>
      <c r="Q148" s="816"/>
    </row>
    <row r="149" spans="1:19">
      <c r="A149" s="813"/>
      <c r="B149" s="813"/>
      <c r="C149" s="813"/>
      <c r="D149" s="813"/>
      <c r="E149" s="807"/>
      <c r="F149" s="814"/>
      <c r="G149" s="750"/>
      <c r="H149" s="750"/>
      <c r="I149" s="762"/>
      <c r="J149" s="750"/>
      <c r="K149" s="750"/>
      <c r="L149" s="750"/>
      <c r="M149" s="813"/>
      <c r="N149" s="813"/>
      <c r="O149" s="813"/>
      <c r="P149" s="816"/>
      <c r="Q149" s="816"/>
    </row>
    <row r="150" spans="1:19">
      <c r="A150" s="813"/>
      <c r="B150" s="813"/>
      <c r="C150" s="813"/>
      <c r="D150" s="813"/>
      <c r="E150" s="807"/>
      <c r="F150" s="814"/>
      <c r="G150" s="750"/>
      <c r="H150" s="750"/>
      <c r="I150" s="762"/>
      <c r="J150" s="750"/>
      <c r="K150" s="750"/>
      <c r="L150" s="750"/>
      <c r="M150" s="813"/>
      <c r="N150" s="813"/>
      <c r="O150" s="813"/>
      <c r="P150" s="816"/>
      <c r="Q150" s="816"/>
    </row>
    <row r="151" spans="1:19">
      <c r="A151" s="813"/>
      <c r="B151" s="813"/>
      <c r="C151" s="813"/>
      <c r="D151" s="813"/>
      <c r="E151" s="807"/>
      <c r="F151" s="814"/>
      <c r="G151" s="750"/>
      <c r="H151" s="750"/>
      <c r="I151" s="762"/>
      <c r="J151" s="750"/>
      <c r="K151" s="750"/>
      <c r="L151" s="750"/>
      <c r="M151" s="813"/>
      <c r="N151" s="813"/>
      <c r="O151" s="813"/>
      <c r="P151" s="816"/>
      <c r="Q151" s="816"/>
    </row>
    <row r="152" spans="1:19">
      <c r="A152" s="813"/>
      <c r="B152" s="813"/>
      <c r="C152" s="813"/>
      <c r="D152" s="813"/>
      <c r="E152" s="807"/>
      <c r="F152" s="814"/>
      <c r="G152" s="750"/>
      <c r="H152" s="750"/>
      <c r="I152" s="762"/>
      <c r="J152" s="750"/>
      <c r="K152" s="750"/>
      <c r="L152" s="750"/>
      <c r="M152" s="813"/>
    </row>
    <row r="153" spans="1:19">
      <c r="A153" s="813"/>
      <c r="B153" s="813"/>
      <c r="C153" s="813"/>
      <c r="D153" s="813"/>
      <c r="E153" s="807"/>
      <c r="F153" s="814"/>
      <c r="G153" s="750"/>
      <c r="H153" s="750"/>
      <c r="I153" s="762"/>
      <c r="J153" s="750"/>
      <c r="K153" s="750"/>
      <c r="L153" s="750"/>
      <c r="M153" s="813"/>
    </row>
    <row r="154" spans="1:19">
      <c r="A154" s="813"/>
      <c r="B154" s="813"/>
      <c r="C154" s="813"/>
      <c r="D154" s="813"/>
      <c r="E154" s="807"/>
      <c r="F154" s="814"/>
      <c r="G154" s="750"/>
      <c r="H154" s="750"/>
      <c r="I154" s="762"/>
      <c r="J154" s="750"/>
      <c r="K154" s="750"/>
      <c r="L154" s="750"/>
      <c r="M154" s="813"/>
    </row>
    <row r="155" spans="1:19">
      <c r="A155" s="813"/>
      <c r="B155" s="813"/>
      <c r="C155" s="813"/>
      <c r="D155" s="813"/>
      <c r="E155" s="807"/>
      <c r="F155" s="814"/>
      <c r="G155" s="750"/>
      <c r="H155" s="750"/>
      <c r="I155" s="762"/>
      <c r="J155" s="750"/>
      <c r="K155" s="750"/>
      <c r="L155" s="750"/>
      <c r="M155" s="813"/>
    </row>
    <row r="156" spans="1:19">
      <c r="J156" s="750"/>
      <c r="K156" s="750"/>
      <c r="L156" s="750"/>
      <c r="M156" s="813"/>
    </row>
    <row r="157" spans="1:19">
      <c r="J157" s="750"/>
      <c r="K157" s="750"/>
      <c r="L157" s="750"/>
      <c r="M157" s="813"/>
    </row>
    <row r="158" spans="1:19">
      <c r="J158" s="750"/>
      <c r="K158" s="750"/>
      <c r="L158" s="750"/>
      <c r="M158" s="813"/>
    </row>
    <row r="159" spans="1:19">
      <c r="J159" s="750"/>
      <c r="K159" s="750"/>
      <c r="L159" s="750"/>
      <c r="M159" s="813"/>
    </row>
    <row r="160" spans="1:19">
      <c r="J160" s="750"/>
      <c r="K160" s="750"/>
      <c r="L160" s="750"/>
      <c r="M160" s="813"/>
    </row>
    <row r="161" spans="10:13">
      <c r="J161" s="750"/>
      <c r="K161" s="750"/>
      <c r="L161" s="750"/>
      <c r="M161" s="813"/>
    </row>
    <row r="162" spans="10:13">
      <c r="K162" s="750"/>
      <c r="L162" s="750"/>
      <c r="M162" s="813"/>
    </row>
    <row r="163" spans="10:13">
      <c r="K163" s="750"/>
      <c r="L163" s="750"/>
      <c r="M163" s="813"/>
    </row>
    <row r="164" spans="10:13">
      <c r="K164" s="750"/>
      <c r="L164" s="750"/>
      <c r="M164" s="813"/>
    </row>
    <row r="165" spans="10:13">
      <c r="L165" s="750"/>
      <c r="M165" s="813"/>
    </row>
    <row r="166" spans="10:13">
      <c r="L166" s="750"/>
      <c r="M166" s="813"/>
    </row>
    <row r="167" spans="10:13">
      <c r="L167" s="750"/>
    </row>
    <row r="168" spans="10:13">
      <c r="L168" s="750"/>
    </row>
    <row r="169" spans="10:13">
      <c r="L169" s="750"/>
    </row>
  </sheetData>
  <mergeCells count="5">
    <mergeCell ref="A7:L7"/>
    <mergeCell ref="M7:O7"/>
    <mergeCell ref="U7:V7"/>
    <mergeCell ref="D9:F9"/>
    <mergeCell ref="H9:K9"/>
  </mergeCells>
  <conditionalFormatting sqref="Z9:Z57 P58:P74">
    <cfRule type="aboveAverage" dxfId="9" priority="1" aboveAverage="0" stdDev="1"/>
    <cfRule type="aboveAverage" dxfId="8" priority="2" stdDev="1"/>
  </conditionalFormatting>
  <dataValidations count="1">
    <dataValidation type="list" allowBlank="1" showInputMessage="1" showErrorMessage="1" sqref="B5" xr:uid="{123D4C1D-E73E-492A-ADC1-B03C860E5428}">
      <formula1>$AB$5:$AB$8</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4F24-4378-4D71-B3A4-11AA4F3757D7}">
  <dimension ref="A1:Z169"/>
  <sheetViews>
    <sheetView topLeftCell="A5" zoomScaleNormal="100" workbookViewId="0">
      <selection activeCell="N25" sqref="N25"/>
    </sheetView>
  </sheetViews>
  <sheetFormatPr defaultColWidth="7.85546875" defaultRowHeight="11.25"/>
  <cols>
    <col min="1" max="1" width="15.7109375" style="750" bestFit="1" customWidth="1"/>
    <col min="2" max="2" width="9.5703125" style="750" bestFit="1" customWidth="1"/>
    <col min="3" max="3" width="5.140625" style="817" customWidth="1"/>
    <col min="4" max="6" width="7.7109375" style="817" customWidth="1"/>
    <col min="7" max="7" width="12" style="813" bestFit="1" customWidth="1"/>
    <col min="8" max="8" width="9.28515625" style="816" customWidth="1"/>
    <col min="9" max="10" width="8.42578125" style="813" bestFit="1" customWidth="1"/>
    <col min="11" max="11" width="8.42578125" style="807" bestFit="1" customWidth="1"/>
    <col min="12" max="12" width="13.7109375" style="814" bestFit="1" customWidth="1"/>
    <col min="13" max="13" width="6.28515625" style="750" bestFit="1" customWidth="1"/>
    <col min="14" max="14" width="5.7109375" style="750" bestFit="1" customWidth="1"/>
    <col min="15" max="15" width="5.85546875" style="762" bestFit="1" customWidth="1"/>
    <col min="16" max="16" width="5.85546875" style="643" bestFit="1" customWidth="1"/>
    <col min="17" max="17" width="14" style="810" bestFit="1" customWidth="1"/>
    <col min="18" max="18" width="6" style="810" bestFit="1" customWidth="1"/>
    <col min="19" max="19" width="8.7109375" style="810" bestFit="1" customWidth="1"/>
    <col min="20" max="21" width="17.28515625" style="750" bestFit="1" customWidth="1"/>
    <col min="22" max="22" width="9.28515625" style="750" bestFit="1" customWidth="1"/>
    <col min="23" max="27" width="5.28515625" style="750" customWidth="1"/>
    <col min="28" max="28" width="17" style="750" customWidth="1"/>
    <col min="29" max="16384" width="7.85546875" style="750"/>
  </cols>
  <sheetData>
    <row r="1" spans="1:24" s="585" customFormat="1" ht="12.75">
      <c r="A1" s="577" t="s">
        <v>133</v>
      </c>
      <c r="B1" s="578" t="s">
        <v>189</v>
      </c>
      <c r="C1" s="579"/>
      <c r="D1" s="578"/>
      <c r="E1" s="580"/>
      <c r="F1" s="580"/>
      <c r="G1" s="581"/>
      <c r="H1" s="582" t="s">
        <v>134</v>
      </c>
      <c r="I1" s="583">
        <f>C39</f>
        <v>645</v>
      </c>
      <c r="J1" s="584"/>
      <c r="K1" s="578"/>
      <c r="L1" s="578"/>
      <c r="N1" s="586"/>
      <c r="P1" s="587"/>
      <c r="Q1" s="587"/>
      <c r="R1" s="587"/>
      <c r="S1" s="587"/>
    </row>
    <row r="2" spans="1:24" s="585" customFormat="1" ht="12.75">
      <c r="A2" s="588" t="s">
        <v>135</v>
      </c>
      <c r="B2" s="578" t="s">
        <v>197</v>
      </c>
      <c r="C2" s="589"/>
      <c r="D2" s="578"/>
      <c r="E2" s="590"/>
      <c r="F2" s="590"/>
      <c r="G2" s="591"/>
      <c r="H2" s="592" t="s">
        <v>136</v>
      </c>
      <c r="I2" s="593">
        <f>V12</f>
        <v>476</v>
      </c>
      <c r="J2" s="594"/>
      <c r="K2" s="578"/>
      <c r="L2" s="578"/>
      <c r="N2" s="595"/>
      <c r="P2" s="587"/>
      <c r="Q2" s="587"/>
      <c r="R2" s="587"/>
      <c r="S2" s="587"/>
    </row>
    <row r="3" spans="1:24" s="599" customFormat="1" ht="11.25" customHeight="1">
      <c r="A3" s="596" t="s">
        <v>137</v>
      </c>
      <c r="B3" s="818">
        <v>45051</v>
      </c>
      <c r="C3" s="589"/>
      <c r="D3" s="590"/>
      <c r="E3" s="590"/>
      <c r="F3" s="590"/>
      <c r="G3" s="591"/>
      <c r="H3" s="596" t="s">
        <v>138</v>
      </c>
      <c r="I3" s="598">
        <f>V53/100</f>
        <v>4.76</v>
      </c>
      <c r="J3" s="594"/>
      <c r="K3" s="578"/>
      <c r="L3" s="578"/>
      <c r="N3" s="600"/>
      <c r="P3" s="601"/>
      <c r="Q3" s="601"/>
      <c r="R3" s="601"/>
      <c r="S3" s="601"/>
    </row>
    <row r="4" spans="1:24" s="585" customFormat="1" ht="12.75">
      <c r="A4" s="596" t="s">
        <v>139</v>
      </c>
      <c r="B4" s="597" t="s">
        <v>195</v>
      </c>
      <c r="C4" s="589"/>
      <c r="D4" s="590"/>
      <c r="E4" s="590"/>
      <c r="F4" s="590"/>
      <c r="G4" s="591"/>
      <c r="H4" s="596" t="s">
        <v>140</v>
      </c>
      <c r="I4" s="602">
        <f>S35</f>
        <v>0.42341092113335588</v>
      </c>
      <c r="J4" s="594"/>
      <c r="K4" s="578"/>
      <c r="L4" s="578"/>
      <c r="M4" s="586"/>
      <c r="N4" s="586"/>
      <c r="P4" s="587"/>
      <c r="Q4" s="587"/>
      <c r="R4" s="587"/>
      <c r="S4" s="587"/>
    </row>
    <row r="5" spans="1:24" s="606" customFormat="1" ht="12.75">
      <c r="A5" s="588" t="s">
        <v>141</v>
      </c>
      <c r="B5" s="603" t="s">
        <v>142</v>
      </c>
      <c r="C5" s="589"/>
      <c r="D5" s="590"/>
      <c r="E5" s="590"/>
      <c r="F5" s="590"/>
      <c r="G5" s="591"/>
      <c r="H5" s="596"/>
      <c r="I5" s="604"/>
      <c r="J5" s="594"/>
      <c r="K5" s="578"/>
      <c r="L5" s="578"/>
      <c r="M5" s="605"/>
      <c r="N5" s="605"/>
      <c r="P5" s="607"/>
      <c r="Q5" s="607"/>
      <c r="R5" s="607"/>
      <c r="S5" s="607"/>
    </row>
    <row r="6" spans="1:24" s="605" customFormat="1" ht="13.5" thickBot="1">
      <c r="A6" s="608"/>
      <c r="B6" s="609"/>
      <c r="C6" s="610"/>
      <c r="D6" s="611"/>
      <c r="E6" s="611"/>
      <c r="F6" s="611"/>
      <c r="G6" s="612"/>
      <c r="H6" s="613"/>
      <c r="I6" s="614"/>
      <c r="J6" s="612"/>
      <c r="K6" s="609"/>
      <c r="L6" s="609"/>
      <c r="M6" s="615"/>
      <c r="P6" s="616"/>
      <c r="Q6" s="616"/>
      <c r="R6" s="616"/>
      <c r="S6" s="616"/>
    </row>
    <row r="7" spans="1:24" s="606" customFormat="1" ht="13.15" customHeight="1">
      <c r="A7" s="962" t="s">
        <v>143</v>
      </c>
      <c r="B7" s="963"/>
      <c r="C7" s="963"/>
      <c r="D7" s="963"/>
      <c r="E7" s="963"/>
      <c r="F7" s="963"/>
      <c r="G7" s="963"/>
      <c r="H7" s="963"/>
      <c r="I7" s="963"/>
      <c r="J7" s="963"/>
      <c r="K7" s="963"/>
      <c r="L7" s="963"/>
      <c r="M7" s="966" t="s">
        <v>144</v>
      </c>
      <c r="N7" s="967"/>
      <c r="O7" s="968"/>
      <c r="P7" s="618" t="s">
        <v>145</v>
      </c>
      <c r="Q7" s="619"/>
      <c r="R7" s="618" t="s">
        <v>146</v>
      </c>
      <c r="S7" s="618"/>
      <c r="T7" s="620"/>
      <c r="U7" s="954" t="s">
        <v>147</v>
      </c>
      <c r="V7" s="955"/>
      <c r="W7" s="605"/>
      <c r="X7" s="605"/>
    </row>
    <row r="8" spans="1:24" s="637" customFormat="1">
      <c r="A8" s="621"/>
      <c r="B8" s="615"/>
      <c r="C8" s="622"/>
      <c r="D8" s="623"/>
      <c r="E8" s="624"/>
      <c r="F8" s="625"/>
      <c r="G8" s="626"/>
      <c r="H8" s="627"/>
      <c r="I8" s="627"/>
      <c r="J8" s="627"/>
      <c r="K8" s="627"/>
      <c r="L8" s="628"/>
      <c r="M8" s="629"/>
      <c r="N8" s="630"/>
      <c r="O8" s="631"/>
      <c r="P8" s="632"/>
      <c r="Q8" s="633"/>
      <c r="R8" s="632"/>
      <c r="S8" s="632"/>
      <c r="T8" s="634"/>
      <c r="U8" s="635"/>
      <c r="V8" s="635"/>
      <c r="W8" s="636"/>
    </row>
    <row r="9" spans="1:24" s="648" customFormat="1" ht="13.15" customHeight="1">
      <c r="A9" s="638"/>
      <c r="B9" s="605"/>
      <c r="C9" s="639"/>
      <c r="D9" s="956" t="s">
        <v>148</v>
      </c>
      <c r="E9" s="957"/>
      <c r="F9" s="958"/>
      <c r="G9" s="640"/>
      <c r="H9" s="959" t="s">
        <v>149</v>
      </c>
      <c r="I9" s="960"/>
      <c r="J9" s="960"/>
      <c r="K9" s="961"/>
      <c r="L9" s="641"/>
      <c r="M9" s="642"/>
      <c r="N9" s="630" t="s">
        <v>150</v>
      </c>
      <c r="O9" s="631"/>
      <c r="P9" s="632"/>
      <c r="Q9" s="633"/>
      <c r="R9" s="643"/>
      <c r="S9" s="643"/>
      <c r="T9" s="634"/>
      <c r="U9" s="644"/>
      <c r="V9" s="645"/>
      <c r="W9" s="646"/>
      <c r="X9" s="647"/>
    </row>
    <row r="10" spans="1:24" s="648" customFormat="1">
      <c r="A10" s="649" t="s">
        <v>151</v>
      </c>
      <c r="B10" s="650" t="s">
        <v>51</v>
      </c>
      <c r="C10" s="651" t="s">
        <v>152</v>
      </c>
      <c r="D10" s="652" t="s">
        <v>153</v>
      </c>
      <c r="E10" s="653" t="s">
        <v>154</v>
      </c>
      <c r="F10" s="654" t="s">
        <v>155</v>
      </c>
      <c r="G10" s="640" t="s">
        <v>156</v>
      </c>
      <c r="H10" s="655" t="s">
        <v>157</v>
      </c>
      <c r="I10" s="655" t="s">
        <v>158</v>
      </c>
      <c r="J10" s="655" t="s">
        <v>159</v>
      </c>
      <c r="K10" s="655" t="s">
        <v>160</v>
      </c>
      <c r="L10" s="641" t="s">
        <v>161</v>
      </c>
      <c r="M10" s="656" t="s">
        <v>162</v>
      </c>
      <c r="N10" s="657" t="s">
        <v>163</v>
      </c>
      <c r="O10" s="658" t="s">
        <v>164</v>
      </c>
      <c r="P10" s="659" t="s">
        <v>165</v>
      </c>
      <c r="Q10" s="633" t="s">
        <v>166</v>
      </c>
      <c r="R10" s="659" t="s">
        <v>166</v>
      </c>
      <c r="S10" s="659" t="s">
        <v>165</v>
      </c>
      <c r="T10" s="660" t="s">
        <v>167</v>
      </c>
      <c r="U10" s="644" t="s">
        <v>168</v>
      </c>
      <c r="V10" s="644" t="s">
        <v>169</v>
      </c>
      <c r="W10" s="661"/>
    </row>
    <row r="11" spans="1:24" s="648" customFormat="1" ht="12" thickBot="1">
      <c r="A11" s="662" t="s">
        <v>170</v>
      </c>
      <c r="B11" s="663" t="s">
        <v>170</v>
      </c>
      <c r="C11" s="664" t="s">
        <v>171</v>
      </c>
      <c r="D11" s="665" t="s">
        <v>172</v>
      </c>
      <c r="E11" s="666" t="s">
        <v>172</v>
      </c>
      <c r="F11" s="667" t="s">
        <v>172</v>
      </c>
      <c r="G11" s="668" t="s">
        <v>172</v>
      </c>
      <c r="H11" s="669" t="s">
        <v>172</v>
      </c>
      <c r="I11" s="669" t="s">
        <v>172</v>
      </c>
      <c r="J11" s="669" t="s">
        <v>172</v>
      </c>
      <c r="K11" s="669" t="s">
        <v>172</v>
      </c>
      <c r="L11" s="670" t="s">
        <v>172</v>
      </c>
      <c r="M11" s="671" t="s">
        <v>173</v>
      </c>
      <c r="N11" s="672" t="s">
        <v>171</v>
      </c>
      <c r="O11" s="673" t="s">
        <v>171</v>
      </c>
      <c r="P11" s="674" t="s">
        <v>174</v>
      </c>
      <c r="Q11" s="675" t="s">
        <v>175</v>
      </c>
      <c r="R11" s="676" t="s">
        <v>36</v>
      </c>
      <c r="S11" s="676" t="s">
        <v>176</v>
      </c>
      <c r="T11" s="677"/>
      <c r="U11" s="678"/>
      <c r="V11" s="679" t="s">
        <v>172</v>
      </c>
      <c r="W11" s="661"/>
    </row>
    <row r="12" spans="1:24" s="648" customFormat="1">
      <c r="A12" s="680" t="s">
        <v>177</v>
      </c>
      <c r="B12" s="681"/>
      <c r="C12" s="682">
        <v>0</v>
      </c>
      <c r="D12" s="683" t="s">
        <v>178</v>
      </c>
      <c r="E12" s="684" t="s">
        <v>178</v>
      </c>
      <c r="F12" s="685" t="s">
        <v>178</v>
      </c>
      <c r="G12" s="686" t="s">
        <v>178</v>
      </c>
      <c r="H12" s="684" t="s">
        <v>178</v>
      </c>
      <c r="I12" s="684" t="s">
        <v>178</v>
      </c>
      <c r="J12" s="684" t="s">
        <v>178</v>
      </c>
      <c r="K12" s="684" t="s">
        <v>178</v>
      </c>
      <c r="L12" s="687" t="s">
        <v>178</v>
      </c>
      <c r="M12" s="688"/>
      <c r="N12" s="689"/>
      <c r="O12" s="690"/>
      <c r="P12" s="691"/>
      <c r="Q12" s="692"/>
      <c r="R12" s="693"/>
      <c r="S12" s="694"/>
      <c r="T12" s="695"/>
      <c r="U12" s="696" t="s">
        <v>179</v>
      </c>
      <c r="V12" s="697">
        <v>476</v>
      </c>
      <c r="W12" s="698"/>
    </row>
    <row r="13" spans="1:24" s="648" customFormat="1">
      <c r="A13" s="699">
        <v>185</v>
      </c>
      <c r="B13" s="700">
        <v>0</v>
      </c>
      <c r="C13" s="688">
        <v>10</v>
      </c>
      <c r="D13" s="701" t="s">
        <v>178</v>
      </c>
      <c r="E13" s="702" t="s">
        <v>178</v>
      </c>
      <c r="F13" s="703" t="s">
        <v>178</v>
      </c>
      <c r="G13" s="704" t="s">
        <v>178</v>
      </c>
      <c r="H13" s="702" t="s">
        <v>178</v>
      </c>
      <c r="I13" s="702" t="s">
        <v>178</v>
      </c>
      <c r="J13" s="702" t="s">
        <v>178</v>
      </c>
      <c r="K13" s="702" t="s">
        <v>178</v>
      </c>
      <c r="L13" s="705" t="s">
        <v>178</v>
      </c>
      <c r="M13" s="688">
        <v>966</v>
      </c>
      <c r="N13" s="706">
        <f>C12</f>
        <v>0</v>
      </c>
      <c r="O13" s="707">
        <f t="shared" ref="O13:O20" si="0">(C13+C14-10)/2</f>
        <v>10</v>
      </c>
      <c r="P13" s="708">
        <f>(A13-B13)/M13</f>
        <v>0.19151138716356109</v>
      </c>
      <c r="Q13" s="709">
        <f>(P13*(O13-N13))/100</f>
        <v>1.9151138716356108E-2</v>
      </c>
      <c r="R13" s="710">
        <f>SUM(Q$13:Q13)</f>
        <v>1.9151138716356108E-2</v>
      </c>
      <c r="S13" s="711">
        <f>R13/O13*100</f>
        <v>0.19151138716356109</v>
      </c>
      <c r="T13" s="712"/>
      <c r="U13" s="713" t="s">
        <v>180</v>
      </c>
      <c r="V13" s="714"/>
      <c r="W13" s="661"/>
    </row>
    <row r="14" spans="1:24" s="648" customFormat="1">
      <c r="A14" s="699">
        <v>300</v>
      </c>
      <c r="B14" s="700">
        <v>0</v>
      </c>
      <c r="C14" s="688">
        <v>20</v>
      </c>
      <c r="D14" s="701" t="s">
        <v>178</v>
      </c>
      <c r="E14" s="702" t="s">
        <v>178</v>
      </c>
      <c r="F14" s="703" t="s">
        <v>178</v>
      </c>
      <c r="G14" s="704" t="s">
        <v>178</v>
      </c>
      <c r="H14" s="702" t="s">
        <v>178</v>
      </c>
      <c r="I14" s="702" t="s">
        <v>178</v>
      </c>
      <c r="J14" s="702" t="s">
        <v>178</v>
      </c>
      <c r="K14" s="702" t="s">
        <v>178</v>
      </c>
      <c r="L14" s="705" t="s">
        <v>178</v>
      </c>
      <c r="M14" s="688">
        <v>966</v>
      </c>
      <c r="N14" s="706">
        <f t="shared" ref="N14:N21" si="1">(C13+C14-10)/2</f>
        <v>10</v>
      </c>
      <c r="O14" s="707">
        <f t="shared" si="0"/>
        <v>20</v>
      </c>
      <c r="P14" s="708">
        <f t="shared" ref="P14:P21" si="2">(A14-B14)/M14</f>
        <v>0.3105590062111801</v>
      </c>
      <c r="Q14" s="709">
        <f t="shared" ref="Q14:Q19" si="3">(P14*(O14-N14))/100</f>
        <v>3.1055900621118009E-2</v>
      </c>
      <c r="R14" s="710">
        <f>SUM(Q$13:Q14)</f>
        <v>5.0207039337474113E-2</v>
      </c>
      <c r="S14" s="711">
        <f t="shared" ref="S14:S21" si="4">R14/O14*100</f>
        <v>0.25103519668737057</v>
      </c>
      <c r="T14" s="712"/>
      <c r="U14" s="713" t="s">
        <v>180</v>
      </c>
      <c r="V14" s="714"/>
      <c r="W14" s="661"/>
    </row>
    <row r="15" spans="1:24" s="648" customFormat="1">
      <c r="A15" s="699">
        <v>220</v>
      </c>
      <c r="B15" s="700">
        <v>0</v>
      </c>
      <c r="C15" s="688">
        <v>30</v>
      </c>
      <c r="D15" s="701" t="s">
        <v>178</v>
      </c>
      <c r="E15" s="702" t="s">
        <v>178</v>
      </c>
      <c r="F15" s="703" t="s">
        <v>178</v>
      </c>
      <c r="G15" s="704" t="s">
        <v>178</v>
      </c>
      <c r="H15" s="702" t="s">
        <v>178</v>
      </c>
      <c r="I15" s="702" t="s">
        <v>178</v>
      </c>
      <c r="J15" s="702" t="s">
        <v>178</v>
      </c>
      <c r="K15" s="702" t="s">
        <v>178</v>
      </c>
      <c r="L15" s="705" t="s">
        <v>178</v>
      </c>
      <c r="M15" s="688">
        <v>966</v>
      </c>
      <c r="N15" s="706">
        <f t="shared" si="1"/>
        <v>20</v>
      </c>
      <c r="O15" s="707">
        <f t="shared" si="0"/>
        <v>30</v>
      </c>
      <c r="P15" s="708">
        <f t="shared" si="2"/>
        <v>0.2277432712215321</v>
      </c>
      <c r="Q15" s="709">
        <f t="shared" si="3"/>
        <v>2.2774327122153212E-2</v>
      </c>
      <c r="R15" s="710">
        <f>SUM(Q$13:Q15)</f>
        <v>7.2981366459627328E-2</v>
      </c>
      <c r="S15" s="711">
        <f t="shared" si="4"/>
        <v>0.2432712215320911</v>
      </c>
      <c r="T15" s="712"/>
      <c r="U15" s="713" t="s">
        <v>180</v>
      </c>
      <c r="V15" s="715"/>
      <c r="W15" s="661"/>
    </row>
    <row r="16" spans="1:24" s="648" customFormat="1">
      <c r="A16" s="716">
        <v>250</v>
      </c>
      <c r="B16" s="700">
        <v>0</v>
      </c>
      <c r="C16" s="688">
        <v>40</v>
      </c>
      <c r="D16" s="701" t="s">
        <v>178</v>
      </c>
      <c r="E16" s="702" t="s">
        <v>178</v>
      </c>
      <c r="F16" s="703" t="s">
        <v>178</v>
      </c>
      <c r="G16" s="704" t="s">
        <v>178</v>
      </c>
      <c r="H16" s="702" t="s">
        <v>178</v>
      </c>
      <c r="I16" s="702" t="s">
        <v>178</v>
      </c>
      <c r="J16" s="702" t="s">
        <v>178</v>
      </c>
      <c r="K16" s="702" t="s">
        <v>178</v>
      </c>
      <c r="L16" s="705" t="s">
        <v>178</v>
      </c>
      <c r="M16" s="688">
        <v>966</v>
      </c>
      <c r="N16" s="706">
        <f t="shared" si="1"/>
        <v>30</v>
      </c>
      <c r="O16" s="707">
        <f t="shared" si="0"/>
        <v>40</v>
      </c>
      <c r="P16" s="708">
        <f t="shared" si="2"/>
        <v>0.25879917184265011</v>
      </c>
      <c r="Q16" s="709">
        <f t="shared" si="3"/>
        <v>2.5879917184265012E-2</v>
      </c>
      <c r="R16" s="710">
        <f>SUM(Q$13:Q16)</f>
        <v>9.8861283643892336E-2</v>
      </c>
      <c r="S16" s="711">
        <f t="shared" si="4"/>
        <v>0.24715320910973082</v>
      </c>
      <c r="T16" s="712"/>
      <c r="U16" s="713" t="s">
        <v>180</v>
      </c>
      <c r="V16" s="714"/>
      <c r="W16" s="661"/>
    </row>
    <row r="17" spans="1:25" s="648" customFormat="1">
      <c r="A17" s="716">
        <v>275</v>
      </c>
      <c r="B17" s="700">
        <v>0</v>
      </c>
      <c r="C17" s="688">
        <v>50</v>
      </c>
      <c r="D17" s="701" t="s">
        <v>178</v>
      </c>
      <c r="E17" s="702" t="s">
        <v>178</v>
      </c>
      <c r="F17" s="703" t="s">
        <v>178</v>
      </c>
      <c r="G17" s="704" t="s">
        <v>178</v>
      </c>
      <c r="H17" s="702" t="s">
        <v>178</v>
      </c>
      <c r="I17" s="702" t="s">
        <v>178</v>
      </c>
      <c r="J17" s="702" t="s">
        <v>178</v>
      </c>
      <c r="K17" s="702" t="s">
        <v>178</v>
      </c>
      <c r="L17" s="705" t="s">
        <v>178</v>
      </c>
      <c r="M17" s="688">
        <v>966</v>
      </c>
      <c r="N17" s="706">
        <f t="shared" si="1"/>
        <v>40</v>
      </c>
      <c r="O17" s="707">
        <f t="shared" si="0"/>
        <v>50</v>
      </c>
      <c r="P17" s="708">
        <f t="shared" si="2"/>
        <v>0.28467908902691513</v>
      </c>
      <c r="Q17" s="709">
        <f t="shared" si="3"/>
        <v>2.8467908902691512E-2</v>
      </c>
      <c r="R17" s="710">
        <f>SUM(Q$13:Q17)</f>
        <v>0.12732919254658384</v>
      </c>
      <c r="S17" s="711">
        <f t="shared" si="4"/>
        <v>0.25465838509316768</v>
      </c>
      <c r="T17" s="712" t="s">
        <v>181</v>
      </c>
      <c r="U17" s="713" t="s">
        <v>180</v>
      </c>
      <c r="V17" s="714"/>
      <c r="W17" s="646"/>
    </row>
    <row r="18" spans="1:25" s="648" customFormat="1">
      <c r="A18" s="716">
        <v>250</v>
      </c>
      <c r="B18" s="700">
        <v>0</v>
      </c>
      <c r="C18" s="688">
        <v>60</v>
      </c>
      <c r="D18" s="701" t="s">
        <v>178</v>
      </c>
      <c r="E18" s="702" t="s">
        <v>178</v>
      </c>
      <c r="F18" s="703" t="s">
        <v>178</v>
      </c>
      <c r="G18" s="704" t="s">
        <v>178</v>
      </c>
      <c r="H18" s="702" t="s">
        <v>178</v>
      </c>
      <c r="I18" s="702" t="s">
        <v>178</v>
      </c>
      <c r="J18" s="702" t="s">
        <v>178</v>
      </c>
      <c r="K18" s="702" t="s">
        <v>178</v>
      </c>
      <c r="L18" s="705" t="s">
        <v>178</v>
      </c>
      <c r="M18" s="688">
        <v>966</v>
      </c>
      <c r="N18" s="706">
        <f t="shared" si="1"/>
        <v>50</v>
      </c>
      <c r="O18" s="707">
        <f t="shared" si="0"/>
        <v>60</v>
      </c>
      <c r="P18" s="708">
        <f t="shared" si="2"/>
        <v>0.25879917184265011</v>
      </c>
      <c r="Q18" s="709">
        <f t="shared" si="3"/>
        <v>2.5879917184265012E-2</v>
      </c>
      <c r="R18" s="710">
        <f>SUM(Q$13:Q18)</f>
        <v>0.15320910973084886</v>
      </c>
      <c r="S18" s="711">
        <f t="shared" si="4"/>
        <v>0.25534851621808141</v>
      </c>
      <c r="T18" s="717"/>
      <c r="U18" s="713" t="s">
        <v>180</v>
      </c>
      <c r="V18" s="714"/>
      <c r="W18" s="646"/>
    </row>
    <row r="19" spans="1:25" s="648" customFormat="1" ht="10.15" customHeight="1">
      <c r="A19" s="716">
        <v>280</v>
      </c>
      <c r="B19" s="700">
        <v>0</v>
      </c>
      <c r="C19" s="688">
        <v>70</v>
      </c>
      <c r="D19" s="701" t="s">
        <v>178</v>
      </c>
      <c r="E19" s="702" t="s">
        <v>178</v>
      </c>
      <c r="F19" s="703" t="s">
        <v>178</v>
      </c>
      <c r="G19" s="704" t="s">
        <v>178</v>
      </c>
      <c r="H19" s="702" t="s">
        <v>178</v>
      </c>
      <c r="I19" s="702" t="s">
        <v>178</v>
      </c>
      <c r="J19" s="702" t="s">
        <v>178</v>
      </c>
      <c r="K19" s="702" t="s">
        <v>178</v>
      </c>
      <c r="L19" s="705" t="s">
        <v>178</v>
      </c>
      <c r="M19" s="688">
        <v>966</v>
      </c>
      <c r="N19" s="706">
        <f t="shared" si="1"/>
        <v>60</v>
      </c>
      <c r="O19" s="707">
        <f t="shared" si="0"/>
        <v>70</v>
      </c>
      <c r="P19" s="708">
        <f t="shared" si="2"/>
        <v>0.28985507246376813</v>
      </c>
      <c r="Q19" s="709">
        <f t="shared" si="3"/>
        <v>2.8985507246376812E-2</v>
      </c>
      <c r="R19" s="710">
        <f>SUM(Q$13:Q19)</f>
        <v>0.18219461697722567</v>
      </c>
      <c r="S19" s="711">
        <f t="shared" si="4"/>
        <v>0.26027802425317953</v>
      </c>
      <c r="T19" s="717"/>
      <c r="U19" s="713" t="s">
        <v>180</v>
      </c>
      <c r="V19" s="714"/>
      <c r="W19" s="718"/>
    </row>
    <row r="20" spans="1:25" s="648" customFormat="1">
      <c r="A20" s="716">
        <v>290</v>
      </c>
      <c r="B20" s="700">
        <v>0</v>
      </c>
      <c r="C20" s="688">
        <v>80</v>
      </c>
      <c r="D20" s="701" t="s">
        <v>178</v>
      </c>
      <c r="E20" s="702" t="s">
        <v>178</v>
      </c>
      <c r="F20" s="703" t="s">
        <v>178</v>
      </c>
      <c r="G20" s="704" t="s">
        <v>178</v>
      </c>
      <c r="H20" s="702" t="s">
        <v>178</v>
      </c>
      <c r="I20" s="702" t="s">
        <v>178</v>
      </c>
      <c r="J20" s="702" t="s">
        <v>178</v>
      </c>
      <c r="K20" s="702" t="s">
        <v>178</v>
      </c>
      <c r="L20" s="705" t="s">
        <v>178</v>
      </c>
      <c r="M20" s="688">
        <v>966</v>
      </c>
      <c r="N20" s="706">
        <f t="shared" si="1"/>
        <v>70</v>
      </c>
      <c r="O20" s="707">
        <f t="shared" si="0"/>
        <v>80</v>
      </c>
      <c r="P20" s="708">
        <f t="shared" si="2"/>
        <v>0.30020703933747411</v>
      </c>
      <c r="Q20" s="709">
        <f>(P20*(O21-N20))/100</f>
        <v>6.0041407867494817E-2</v>
      </c>
      <c r="R20" s="710">
        <f>SUM(Q$13:Q20)</f>
        <v>0.24223602484472048</v>
      </c>
      <c r="S20" s="711">
        <f t="shared" si="4"/>
        <v>0.30279503105590061</v>
      </c>
      <c r="T20" s="712"/>
      <c r="U20" s="713" t="s">
        <v>180</v>
      </c>
      <c r="V20" s="714"/>
      <c r="W20" s="719"/>
    </row>
    <row r="21" spans="1:25" s="721" customFormat="1">
      <c r="A21" s="716">
        <v>310</v>
      </c>
      <c r="B21" s="700">
        <v>0</v>
      </c>
      <c r="C21" s="688">
        <v>90</v>
      </c>
      <c r="D21" s="701" t="s">
        <v>178</v>
      </c>
      <c r="E21" s="702" t="s">
        <v>178</v>
      </c>
      <c r="F21" s="703" t="s">
        <v>178</v>
      </c>
      <c r="G21" s="704" t="s">
        <v>178</v>
      </c>
      <c r="H21" s="702" t="s">
        <v>178</v>
      </c>
      <c r="I21" s="702" t="s">
        <v>178</v>
      </c>
      <c r="J21" s="702" t="s">
        <v>178</v>
      </c>
      <c r="K21" s="702" t="s">
        <v>178</v>
      </c>
      <c r="L21" s="705" t="s">
        <v>178</v>
      </c>
      <c r="M21" s="688">
        <v>966</v>
      </c>
      <c r="N21" s="706">
        <f t="shared" si="1"/>
        <v>80</v>
      </c>
      <c r="O21" s="707">
        <f>C21</f>
        <v>90</v>
      </c>
      <c r="P21" s="708">
        <f t="shared" si="2"/>
        <v>0.32091097308488614</v>
      </c>
      <c r="Q21" s="709">
        <f>(P21*(O21-N21))/100</f>
        <v>3.2091097308488609E-2</v>
      </c>
      <c r="R21" s="710">
        <f>SUM(Q$13:Q21)</f>
        <v>0.27432712215320909</v>
      </c>
      <c r="S21" s="711">
        <f t="shared" si="4"/>
        <v>0.30480791350356568</v>
      </c>
      <c r="T21" s="720"/>
      <c r="U21" s="713" t="s">
        <v>180</v>
      </c>
      <c r="V21" s="714"/>
      <c r="W21" s="719"/>
    </row>
    <row r="22" spans="1:25" s="721" customFormat="1">
      <c r="A22" s="716"/>
      <c r="B22" s="700"/>
      <c r="C22" s="688"/>
      <c r="D22" s="701"/>
      <c r="E22" s="702"/>
      <c r="F22" s="703"/>
      <c r="G22" s="704"/>
      <c r="H22" s="702"/>
      <c r="I22" s="702"/>
      <c r="J22" s="702"/>
      <c r="K22" s="702"/>
      <c r="L22" s="705"/>
      <c r="M22" s="688"/>
      <c r="N22" s="706"/>
      <c r="O22" s="707"/>
      <c r="P22" s="708"/>
      <c r="Q22" s="709"/>
      <c r="R22" s="710"/>
      <c r="S22" s="711"/>
      <c r="T22" s="722"/>
      <c r="U22" s="713" t="s">
        <v>180</v>
      </c>
      <c r="V22" s="723"/>
      <c r="W22" s="719"/>
    </row>
    <row r="23" spans="1:25" s="721" customFormat="1" ht="12" thickBot="1">
      <c r="A23" s="724"/>
      <c r="B23" s="725"/>
      <c r="C23" s="726"/>
      <c r="D23" s="727"/>
      <c r="E23" s="726"/>
      <c r="F23" s="728"/>
      <c r="G23" s="729"/>
      <c r="H23" s="726"/>
      <c r="I23" s="726"/>
      <c r="J23" s="726"/>
      <c r="K23" s="726"/>
      <c r="L23" s="730"/>
      <c r="M23" s="726"/>
      <c r="N23" s="731"/>
      <c r="O23" s="732"/>
      <c r="P23" s="733"/>
      <c r="Q23" s="734"/>
      <c r="R23" s="735"/>
      <c r="S23" s="736"/>
      <c r="T23" s="737"/>
      <c r="U23" s="713" t="s">
        <v>180</v>
      </c>
      <c r="V23" s="738"/>
      <c r="W23" s="739"/>
    </row>
    <row r="24" spans="1:25" s="721" customFormat="1">
      <c r="A24" s="740" t="s">
        <v>182</v>
      </c>
      <c r="B24" s="700"/>
      <c r="C24" s="688"/>
      <c r="D24" s="741"/>
      <c r="E24" s="688"/>
      <c r="F24" s="742"/>
      <c r="G24" s="743"/>
      <c r="H24" s="688"/>
      <c r="I24" s="688"/>
      <c r="J24" s="688"/>
      <c r="K24" s="688"/>
      <c r="L24" s="744"/>
      <c r="M24" s="688"/>
      <c r="N24" s="706"/>
      <c r="O24" s="707"/>
      <c r="P24" s="708"/>
      <c r="Q24" s="709"/>
      <c r="R24" s="710"/>
      <c r="S24" s="711"/>
      <c r="T24" s="722"/>
      <c r="U24" s="713" t="s">
        <v>180</v>
      </c>
      <c r="V24" s="738"/>
      <c r="W24" s="739"/>
    </row>
    <row r="25" spans="1:25" s="721" customFormat="1">
      <c r="A25" s="716">
        <v>535</v>
      </c>
      <c r="B25" s="700">
        <v>0</v>
      </c>
      <c r="C25" s="688">
        <v>146</v>
      </c>
      <c r="D25" s="745">
        <v>53.5</v>
      </c>
      <c r="E25" s="746"/>
      <c r="F25" s="747"/>
      <c r="G25" s="748">
        <f t="shared" ref="G25:G39" si="5">AVERAGE(D25:F25)</f>
        <v>53.5</v>
      </c>
      <c r="H25" s="746">
        <v>5.7</v>
      </c>
      <c r="I25" s="746"/>
      <c r="J25" s="746"/>
      <c r="K25" s="746"/>
      <c r="L25" s="749">
        <f t="shared" ref="L25:L39" si="6">AVERAGE(H25:K25)</f>
        <v>5.7</v>
      </c>
      <c r="M25" s="688">
        <f>G25*    PI()* (L25/2)^2</f>
        <v>1365.1908685898957</v>
      </c>
      <c r="N25" s="706">
        <f>C21</f>
        <v>90</v>
      </c>
      <c r="O25" s="707">
        <f>C25</f>
        <v>146</v>
      </c>
      <c r="P25" s="708">
        <f>(A25-B25)/M25</f>
        <v>0.3918865942552055</v>
      </c>
      <c r="Q25" s="709">
        <f>(P25*(O25-N25))/100</f>
        <v>0.2194564927829151</v>
      </c>
      <c r="R25" s="710">
        <f>SUM(Q$13:Q25)</f>
        <v>0.49378361493612422</v>
      </c>
      <c r="S25" s="711">
        <f t="shared" ref="S25:S39" si="7">R25/O25*100</f>
        <v>0.33820795543570153</v>
      </c>
      <c r="T25" s="722"/>
      <c r="U25" s="713" t="s">
        <v>180</v>
      </c>
      <c r="V25" s="738"/>
      <c r="W25" s="739"/>
    </row>
    <row r="26" spans="1:25" s="721" customFormat="1">
      <c r="A26" s="716">
        <v>395</v>
      </c>
      <c r="B26" s="700">
        <v>0</v>
      </c>
      <c r="C26" s="688">
        <f>C27-D27</f>
        <v>185.5</v>
      </c>
      <c r="D26" s="745">
        <v>40</v>
      </c>
      <c r="E26" s="746"/>
      <c r="F26" s="747"/>
      <c r="G26" s="748">
        <f t="shared" si="5"/>
        <v>40</v>
      </c>
      <c r="H26" s="746">
        <v>5.7</v>
      </c>
      <c r="I26" s="746"/>
      <c r="J26" s="746"/>
      <c r="K26" s="746"/>
      <c r="L26" s="749">
        <f t="shared" si="6"/>
        <v>5.7</v>
      </c>
      <c r="M26" s="688">
        <f t="shared" ref="M26:M39" si="8">G26*    PI()* (L26/2)^2</f>
        <v>1020.7034531513239</v>
      </c>
      <c r="N26" s="706">
        <f>(C25+C26-G26)/2</f>
        <v>145.75</v>
      </c>
      <c r="O26" s="707">
        <f>(C26+C27-G27)/2</f>
        <v>185.5</v>
      </c>
      <c r="P26" s="708">
        <f>(A26-B26)/M26</f>
        <v>0.38698801182701542</v>
      </c>
      <c r="Q26" s="709">
        <f t="shared" ref="Q26:Q39" si="9">(P26*(O26-N26))/100</f>
        <v>0.15382773470123864</v>
      </c>
      <c r="R26" s="710">
        <f>SUM(Q$13:Q26)</f>
        <v>0.64761134963736289</v>
      </c>
      <c r="S26" s="711">
        <f t="shared" si="7"/>
        <v>0.3491166305322711</v>
      </c>
      <c r="T26" s="722"/>
      <c r="U26" s="713" t="s">
        <v>180</v>
      </c>
      <c r="V26" s="714"/>
      <c r="W26" s="739"/>
    </row>
    <row r="27" spans="1:25" s="721" customFormat="1">
      <c r="A27" s="716">
        <v>345</v>
      </c>
      <c r="B27" s="700">
        <v>0</v>
      </c>
      <c r="C27" s="688">
        <v>218</v>
      </c>
      <c r="D27" s="745">
        <v>32.5</v>
      </c>
      <c r="E27" s="746"/>
      <c r="F27" s="747"/>
      <c r="G27" s="748">
        <f t="shared" si="5"/>
        <v>32.5</v>
      </c>
      <c r="H27" s="746">
        <v>5.7</v>
      </c>
      <c r="I27" s="746"/>
      <c r="J27" s="746"/>
      <c r="K27" s="746"/>
      <c r="L27" s="749">
        <f t="shared" si="6"/>
        <v>5.7</v>
      </c>
      <c r="M27" s="688">
        <f t="shared" si="8"/>
        <v>829.32155568545056</v>
      </c>
      <c r="N27" s="706">
        <f t="shared" ref="N27:N39" si="10">(C26+C27-G27)/2</f>
        <v>185.5</v>
      </c>
      <c r="O27" s="707">
        <f t="shared" ref="O27:O38" si="11">(C27+C28-G28)/2</f>
        <v>218.25</v>
      </c>
      <c r="P27" s="708">
        <f t="shared" ref="P27:P39" si="12">(A27-B27)/M27</f>
        <v>0.41600269236321819</v>
      </c>
      <c r="Q27" s="709">
        <f>(P27*(O27-N27))/100</f>
        <v>0.13624088174895396</v>
      </c>
      <c r="R27" s="710">
        <f>SUM(Q$13:Q27)</f>
        <v>0.78385223138631688</v>
      </c>
      <c r="S27" s="711">
        <f t="shared" si="7"/>
        <v>0.35915337062374197</v>
      </c>
      <c r="T27" s="722"/>
      <c r="U27" s="713" t="s">
        <v>180</v>
      </c>
      <c r="V27" s="714"/>
      <c r="W27" s="739"/>
    </row>
    <row r="28" spans="1:25" s="721" customFormat="1">
      <c r="A28" s="716">
        <v>440</v>
      </c>
      <c r="B28" s="700">
        <v>0</v>
      </c>
      <c r="C28" s="688">
        <f>C29-D29</f>
        <v>258</v>
      </c>
      <c r="D28" s="745">
        <v>39.5</v>
      </c>
      <c r="E28" s="746"/>
      <c r="F28" s="747"/>
      <c r="G28" s="748">
        <f t="shared" si="5"/>
        <v>39.5</v>
      </c>
      <c r="H28" s="746">
        <v>5.7</v>
      </c>
      <c r="I28" s="746"/>
      <c r="J28" s="746"/>
      <c r="K28" s="746"/>
      <c r="L28" s="749">
        <f t="shared" si="6"/>
        <v>5.7</v>
      </c>
      <c r="M28" s="688">
        <f t="shared" si="8"/>
        <v>1007.9446599869324</v>
      </c>
      <c r="N28" s="706">
        <f t="shared" si="10"/>
        <v>218.25</v>
      </c>
      <c r="O28" s="707">
        <f t="shared" si="11"/>
        <v>258</v>
      </c>
      <c r="P28" s="708">
        <f t="shared" si="12"/>
        <v>0.4365319024614947</v>
      </c>
      <c r="Q28" s="709">
        <f t="shared" si="9"/>
        <v>0.17352143122844413</v>
      </c>
      <c r="R28" s="710">
        <f>SUM(Q$13:Q28)</f>
        <v>0.95737366261476098</v>
      </c>
      <c r="S28" s="711">
        <f t="shared" si="7"/>
        <v>0.37107506302897714</v>
      </c>
      <c r="T28" s="722"/>
      <c r="U28" s="713" t="s">
        <v>180</v>
      </c>
      <c r="V28" s="714"/>
      <c r="W28" s="739"/>
    </row>
    <row r="29" spans="1:25">
      <c r="A29" s="716">
        <v>550</v>
      </c>
      <c r="B29" s="700">
        <v>0</v>
      </c>
      <c r="C29" s="688">
        <v>304</v>
      </c>
      <c r="D29" s="745">
        <v>46</v>
      </c>
      <c r="E29" s="746"/>
      <c r="F29" s="747"/>
      <c r="G29" s="748">
        <f t="shared" si="5"/>
        <v>46</v>
      </c>
      <c r="H29" s="746">
        <v>5.7</v>
      </c>
      <c r="I29" s="746"/>
      <c r="J29" s="746"/>
      <c r="K29" s="746"/>
      <c r="L29" s="749">
        <f t="shared" si="6"/>
        <v>5.7</v>
      </c>
      <c r="M29" s="688">
        <f t="shared" si="8"/>
        <v>1173.8089711240223</v>
      </c>
      <c r="N29" s="706">
        <f t="shared" si="10"/>
        <v>258</v>
      </c>
      <c r="O29" s="707">
        <f t="shared" si="11"/>
        <v>303</v>
      </c>
      <c r="P29" s="708">
        <f t="shared" si="12"/>
        <v>0.4685600583486153</v>
      </c>
      <c r="Q29" s="709">
        <f t="shared" si="9"/>
        <v>0.21085202625687688</v>
      </c>
      <c r="R29" s="710">
        <f>SUM(Q$13:Q29)</f>
        <v>1.1682256888716378</v>
      </c>
      <c r="S29" s="711">
        <f t="shared" si="7"/>
        <v>0.38555303263090357</v>
      </c>
      <c r="T29" s="722"/>
      <c r="U29" s="713" t="s">
        <v>180</v>
      </c>
      <c r="V29" s="714"/>
      <c r="W29" s="739"/>
      <c r="X29" s="721"/>
      <c r="Y29" s="721"/>
    </row>
    <row r="30" spans="1:25">
      <c r="A30" s="716">
        <v>325</v>
      </c>
      <c r="B30" s="700">
        <v>0</v>
      </c>
      <c r="C30" s="688">
        <v>328</v>
      </c>
      <c r="D30" s="745">
        <v>26</v>
      </c>
      <c r="E30" s="746"/>
      <c r="F30" s="747"/>
      <c r="G30" s="748">
        <f t="shared" si="5"/>
        <v>26</v>
      </c>
      <c r="H30" s="746">
        <v>5.7</v>
      </c>
      <c r="I30" s="746"/>
      <c r="J30" s="746"/>
      <c r="K30" s="746"/>
      <c r="L30" s="749">
        <f t="shared" si="6"/>
        <v>5.7</v>
      </c>
      <c r="M30" s="688">
        <f t="shared" si="8"/>
        <v>663.45724454836056</v>
      </c>
      <c r="N30" s="706">
        <f t="shared" si="10"/>
        <v>303</v>
      </c>
      <c r="O30" s="707">
        <f t="shared" si="11"/>
        <v>328.5</v>
      </c>
      <c r="P30" s="708">
        <f t="shared" si="12"/>
        <v>0.48985824281900681</v>
      </c>
      <c r="Q30" s="709">
        <f t="shared" si="9"/>
        <v>0.12491385191884673</v>
      </c>
      <c r="R30" s="710">
        <f>SUM(Q$13:Q30)</f>
        <v>1.2931395407904844</v>
      </c>
      <c r="S30" s="711">
        <f t="shared" si="7"/>
        <v>0.39364978410669232</v>
      </c>
      <c r="T30" s="722" t="s">
        <v>198</v>
      </c>
      <c r="U30" s="713" t="s">
        <v>180</v>
      </c>
      <c r="V30" s="714"/>
      <c r="W30" s="739"/>
      <c r="X30" s="721"/>
      <c r="Y30" s="721"/>
    </row>
    <row r="31" spans="1:25">
      <c r="A31" s="716">
        <v>700</v>
      </c>
      <c r="B31" s="700">
        <v>0</v>
      </c>
      <c r="C31" s="688">
        <v>386</v>
      </c>
      <c r="D31" s="745">
        <v>57</v>
      </c>
      <c r="E31" s="746"/>
      <c r="F31" s="747"/>
      <c r="G31" s="748">
        <f t="shared" si="5"/>
        <v>57</v>
      </c>
      <c r="H31" s="746">
        <v>5.7</v>
      </c>
      <c r="I31" s="746"/>
      <c r="J31" s="746"/>
      <c r="K31" s="746"/>
      <c r="L31" s="749">
        <f t="shared" si="6"/>
        <v>5.7</v>
      </c>
      <c r="M31" s="688">
        <f t="shared" si="8"/>
        <v>1454.5024207406364</v>
      </c>
      <c r="N31" s="706">
        <f t="shared" si="10"/>
        <v>328.5</v>
      </c>
      <c r="O31" s="707">
        <f t="shared" si="11"/>
        <v>388.25</v>
      </c>
      <c r="P31" s="708">
        <f t="shared" si="12"/>
        <v>0.48126423855902434</v>
      </c>
      <c r="Q31" s="709">
        <f t="shared" si="9"/>
        <v>0.28755538253901702</v>
      </c>
      <c r="R31" s="710">
        <f>SUM(Q$13:Q31)</f>
        <v>1.5806949233295016</v>
      </c>
      <c r="S31" s="711">
        <f t="shared" si="7"/>
        <v>0.40713327065795279</v>
      </c>
      <c r="T31" s="722" t="s">
        <v>198</v>
      </c>
      <c r="U31" s="713" t="s">
        <v>180</v>
      </c>
      <c r="V31" s="714"/>
      <c r="W31" s="739"/>
      <c r="X31" s="721"/>
      <c r="Y31" s="721"/>
    </row>
    <row r="32" spans="1:25">
      <c r="A32" s="716">
        <v>410</v>
      </c>
      <c r="B32" s="700">
        <v>0</v>
      </c>
      <c r="C32" s="688">
        <f>C33-D33</f>
        <v>424.5</v>
      </c>
      <c r="D32" s="745">
        <v>34</v>
      </c>
      <c r="E32" s="746"/>
      <c r="F32" s="747"/>
      <c r="G32" s="748">
        <f t="shared" si="5"/>
        <v>34</v>
      </c>
      <c r="H32" s="746">
        <v>5.7</v>
      </c>
      <c r="I32" s="746"/>
      <c r="J32" s="746"/>
      <c r="K32" s="746"/>
      <c r="L32" s="749">
        <f t="shared" si="6"/>
        <v>5.7</v>
      </c>
      <c r="M32" s="688">
        <f t="shared" si="8"/>
        <v>867.59793517862533</v>
      </c>
      <c r="N32" s="706">
        <f t="shared" si="10"/>
        <v>388.25</v>
      </c>
      <c r="O32" s="707">
        <f t="shared" si="11"/>
        <v>424.5</v>
      </c>
      <c r="P32" s="708">
        <f t="shared" si="12"/>
        <v>0.47256912836657128</v>
      </c>
      <c r="Q32" s="709">
        <f t="shared" si="9"/>
        <v>0.1713063090328821</v>
      </c>
      <c r="R32" s="710">
        <f>SUM(Q$13:Q32)</f>
        <v>1.7520012323623837</v>
      </c>
      <c r="S32" s="711">
        <f t="shared" si="7"/>
        <v>0.41272113836569696</v>
      </c>
      <c r="T32" s="722"/>
      <c r="U32" s="713" t="s">
        <v>180</v>
      </c>
      <c r="V32" s="714"/>
      <c r="W32" s="739"/>
      <c r="X32" s="721"/>
      <c r="Y32" s="721"/>
    </row>
    <row r="33" spans="1:26">
      <c r="A33" s="716">
        <v>470</v>
      </c>
      <c r="B33" s="700">
        <v>0</v>
      </c>
      <c r="C33" s="688">
        <f>C34-D34</f>
        <v>461</v>
      </c>
      <c r="D33" s="745">
        <v>36.5</v>
      </c>
      <c r="E33" s="746"/>
      <c r="F33" s="747"/>
      <c r="G33" s="748">
        <f t="shared" si="5"/>
        <v>36.5</v>
      </c>
      <c r="H33" s="746">
        <v>5.7</v>
      </c>
      <c r="I33" s="746"/>
      <c r="J33" s="746"/>
      <c r="K33" s="746"/>
      <c r="L33" s="749">
        <f t="shared" si="6"/>
        <v>5.7</v>
      </c>
      <c r="M33" s="688">
        <f t="shared" si="8"/>
        <v>931.39190100058295</v>
      </c>
      <c r="N33" s="706">
        <f t="shared" si="10"/>
        <v>424.5</v>
      </c>
      <c r="O33" s="707">
        <f t="shared" si="11"/>
        <v>461</v>
      </c>
      <c r="P33" s="708">
        <f t="shared" si="12"/>
        <v>0.50462109397245647</v>
      </c>
      <c r="Q33" s="709">
        <f t="shared" si="9"/>
        <v>0.1841866992999466</v>
      </c>
      <c r="R33" s="710">
        <f>SUM(Q$13:Q33)</f>
        <v>1.9361879316623303</v>
      </c>
      <c r="S33" s="711">
        <f t="shared" si="7"/>
        <v>0.41999738213933413</v>
      </c>
      <c r="T33" s="722"/>
      <c r="U33" s="713" t="s">
        <v>180</v>
      </c>
      <c r="V33" s="714"/>
      <c r="W33" s="739"/>
      <c r="X33" s="721"/>
      <c r="Y33" s="721"/>
    </row>
    <row r="34" spans="1:26">
      <c r="A34" s="716">
        <v>100</v>
      </c>
      <c r="B34" s="700">
        <v>0</v>
      </c>
      <c r="C34" s="688">
        <v>471</v>
      </c>
      <c r="D34" s="745">
        <v>10</v>
      </c>
      <c r="E34" s="746"/>
      <c r="F34" s="747"/>
      <c r="G34" s="748">
        <f t="shared" si="5"/>
        <v>10</v>
      </c>
      <c r="H34" s="746">
        <v>5.7</v>
      </c>
      <c r="I34" s="746"/>
      <c r="J34" s="746"/>
      <c r="K34" s="746"/>
      <c r="L34" s="749">
        <f t="shared" si="6"/>
        <v>5.7</v>
      </c>
      <c r="M34" s="688">
        <f t="shared" si="8"/>
        <v>255.17586328783096</v>
      </c>
      <c r="N34" s="706">
        <f t="shared" si="10"/>
        <v>461</v>
      </c>
      <c r="O34" s="707">
        <f t="shared" si="11"/>
        <v>471.5</v>
      </c>
      <c r="P34" s="708">
        <f t="shared" si="12"/>
        <v>0.3918865942552055</v>
      </c>
      <c r="Q34" s="709">
        <f t="shared" si="9"/>
        <v>4.1148092396796579E-2</v>
      </c>
      <c r="R34" s="710">
        <f>SUM(Q$13:Q34)</f>
        <v>1.9773360240591269</v>
      </c>
      <c r="S34" s="711">
        <f t="shared" si="7"/>
        <v>0.41937137307722733</v>
      </c>
      <c r="U34" s="713"/>
      <c r="V34" s="714"/>
      <c r="W34" s="751"/>
    </row>
    <row r="35" spans="1:26">
      <c r="A35" s="716">
        <v>220</v>
      </c>
      <c r="B35" s="700">
        <v>0</v>
      </c>
      <c r="C35" s="688">
        <f>C36-D36</f>
        <v>488</v>
      </c>
      <c r="D35" s="745">
        <v>16</v>
      </c>
      <c r="E35" s="746"/>
      <c r="F35" s="747"/>
      <c r="G35" s="748">
        <f t="shared" si="5"/>
        <v>16</v>
      </c>
      <c r="H35" s="746">
        <v>5.7</v>
      </c>
      <c r="I35" s="746"/>
      <c r="J35" s="746"/>
      <c r="K35" s="746"/>
      <c r="L35" s="749">
        <f t="shared" si="6"/>
        <v>5.7</v>
      </c>
      <c r="M35" s="688">
        <f t="shared" si="8"/>
        <v>408.28138126052954</v>
      </c>
      <c r="N35" s="706">
        <f t="shared" si="10"/>
        <v>471.5</v>
      </c>
      <c r="O35" s="707">
        <f t="shared" si="11"/>
        <v>488</v>
      </c>
      <c r="P35" s="708">
        <f t="shared" si="12"/>
        <v>0.5388440671009076</v>
      </c>
      <c r="Q35" s="709">
        <f t="shared" si="9"/>
        <v>8.8909271071649754E-2</v>
      </c>
      <c r="R35" s="710">
        <f>SUM(Q$13:Q35)</f>
        <v>2.0662452951307766</v>
      </c>
      <c r="S35" s="711">
        <f t="shared" si="7"/>
        <v>0.42341092113335588</v>
      </c>
      <c r="T35" s="722" t="s">
        <v>199</v>
      </c>
      <c r="U35" s="713"/>
      <c r="V35" s="714"/>
      <c r="W35" s="752"/>
      <c r="X35" s="753"/>
      <c r="Y35" s="754"/>
      <c r="Z35" s="753"/>
    </row>
    <row r="36" spans="1:26">
      <c r="A36" s="716">
        <v>380</v>
      </c>
      <c r="B36" s="700">
        <v>0</v>
      </c>
      <c r="C36" s="688">
        <f>C37-D37</f>
        <v>514.5</v>
      </c>
      <c r="D36" s="745">
        <v>26.5</v>
      </c>
      <c r="E36" s="746"/>
      <c r="F36" s="747"/>
      <c r="G36" s="748">
        <f t="shared" si="5"/>
        <v>26.5</v>
      </c>
      <c r="H36" s="746">
        <v>5.7</v>
      </c>
      <c r="I36" s="746"/>
      <c r="J36" s="746"/>
      <c r="K36" s="746"/>
      <c r="L36" s="749">
        <f t="shared" si="6"/>
        <v>5.7</v>
      </c>
      <c r="M36" s="688">
        <f t="shared" si="8"/>
        <v>676.21603771275204</v>
      </c>
      <c r="N36" s="706">
        <f t="shared" si="10"/>
        <v>488</v>
      </c>
      <c r="O36" s="707">
        <f t="shared" si="11"/>
        <v>514.5</v>
      </c>
      <c r="P36" s="708">
        <f t="shared" si="12"/>
        <v>0.56195058798859654</v>
      </c>
      <c r="Q36" s="709">
        <f t="shared" si="9"/>
        <v>0.14891690581697808</v>
      </c>
      <c r="R36" s="710">
        <f>SUM(Q$13:Q36)</f>
        <v>2.2151622009477547</v>
      </c>
      <c r="S36" s="711">
        <f t="shared" si="7"/>
        <v>0.43054658910549171</v>
      </c>
      <c r="T36" s="722"/>
      <c r="U36" s="713"/>
      <c r="V36" s="714"/>
      <c r="W36" s="752"/>
      <c r="X36" s="753"/>
      <c r="Y36" s="755"/>
      <c r="Z36" s="753"/>
    </row>
    <row r="37" spans="1:26">
      <c r="A37" s="716">
        <v>670</v>
      </c>
      <c r="B37" s="700">
        <v>0</v>
      </c>
      <c r="C37" s="688">
        <v>560</v>
      </c>
      <c r="D37" s="745">
        <v>45.5</v>
      </c>
      <c r="E37" s="746"/>
      <c r="F37" s="747"/>
      <c r="G37" s="748">
        <f t="shared" si="5"/>
        <v>45.5</v>
      </c>
      <c r="H37" s="746">
        <v>5.7</v>
      </c>
      <c r="I37" s="746"/>
      <c r="J37" s="746"/>
      <c r="K37" s="746"/>
      <c r="L37" s="749">
        <f t="shared" si="6"/>
        <v>5.7</v>
      </c>
      <c r="M37" s="688">
        <f t="shared" si="8"/>
        <v>1161.0501779596309</v>
      </c>
      <c r="N37" s="706">
        <f t="shared" si="10"/>
        <v>514.5</v>
      </c>
      <c r="O37" s="707">
        <f t="shared" si="11"/>
        <v>559</v>
      </c>
      <c r="P37" s="708">
        <f t="shared" si="12"/>
        <v>0.57706377615601689</v>
      </c>
      <c r="Q37" s="709">
        <f t="shared" si="9"/>
        <v>0.25679338038942751</v>
      </c>
      <c r="R37" s="710">
        <f>SUM(Q$13:Q37)</f>
        <v>2.4719555813371823</v>
      </c>
      <c r="S37" s="711">
        <f t="shared" si="7"/>
        <v>0.4422103007758823</v>
      </c>
      <c r="T37" s="722"/>
      <c r="U37" s="713"/>
      <c r="V37" s="714"/>
      <c r="W37" s="756"/>
      <c r="X37" s="753"/>
      <c r="Y37" s="753"/>
      <c r="Z37" s="753"/>
    </row>
    <row r="38" spans="1:26">
      <c r="A38" s="716">
        <v>790</v>
      </c>
      <c r="B38" s="700">
        <v>0</v>
      </c>
      <c r="C38" s="688">
        <f>C39-D39</f>
        <v>610</v>
      </c>
      <c r="D38" s="745">
        <v>52</v>
      </c>
      <c r="E38" s="746"/>
      <c r="F38" s="747"/>
      <c r="G38" s="748">
        <f t="shared" si="5"/>
        <v>52</v>
      </c>
      <c r="H38" s="746">
        <v>5.7</v>
      </c>
      <c r="I38" s="746"/>
      <c r="J38" s="746"/>
      <c r="K38" s="746"/>
      <c r="L38" s="749">
        <f t="shared" si="6"/>
        <v>5.7</v>
      </c>
      <c r="M38" s="688">
        <f t="shared" si="8"/>
        <v>1326.9144890967211</v>
      </c>
      <c r="N38" s="706">
        <f t="shared" si="10"/>
        <v>559</v>
      </c>
      <c r="O38" s="707">
        <f t="shared" si="11"/>
        <v>610</v>
      </c>
      <c r="P38" s="708">
        <f t="shared" si="12"/>
        <v>0.59536617204156217</v>
      </c>
      <c r="Q38" s="709">
        <f t="shared" si="9"/>
        <v>0.3036367477411967</v>
      </c>
      <c r="R38" s="710">
        <f>SUM(Q$13:Q38)</f>
        <v>2.7755923290783788</v>
      </c>
      <c r="S38" s="711">
        <f t="shared" si="7"/>
        <v>0.45501513591448839</v>
      </c>
      <c r="T38" s="722"/>
      <c r="U38" s="713"/>
      <c r="V38" s="714"/>
      <c r="W38" s="757"/>
      <c r="X38" s="758"/>
    </row>
    <row r="39" spans="1:26">
      <c r="A39" s="716">
        <v>505</v>
      </c>
      <c r="B39" s="700">
        <v>0</v>
      </c>
      <c r="C39" s="688">
        <v>645</v>
      </c>
      <c r="D39" s="745">
        <v>35</v>
      </c>
      <c r="E39" s="746"/>
      <c r="F39" s="747"/>
      <c r="G39" s="748">
        <f t="shared" si="5"/>
        <v>35</v>
      </c>
      <c r="H39" s="746">
        <v>5.7</v>
      </c>
      <c r="I39" s="746"/>
      <c r="J39" s="746"/>
      <c r="K39" s="746"/>
      <c r="L39" s="749">
        <f t="shared" si="6"/>
        <v>5.7</v>
      </c>
      <c r="M39" s="688">
        <f t="shared" si="8"/>
        <v>893.11552150740829</v>
      </c>
      <c r="N39" s="706">
        <f t="shared" si="10"/>
        <v>610</v>
      </c>
      <c r="O39" s="707">
        <f>C39</f>
        <v>645</v>
      </c>
      <c r="P39" s="708">
        <f t="shared" si="12"/>
        <v>0.5654363717110823</v>
      </c>
      <c r="Q39" s="709">
        <f t="shared" si="9"/>
        <v>0.19790273009887879</v>
      </c>
      <c r="R39" s="710">
        <f>SUM(Q$13:Q39)</f>
        <v>2.9734950591772575</v>
      </c>
      <c r="S39" s="711">
        <f t="shared" si="7"/>
        <v>0.46100698591895461</v>
      </c>
      <c r="T39" s="722"/>
      <c r="U39" s="713"/>
      <c r="V39" s="714"/>
      <c r="W39" s="758"/>
      <c r="X39" s="758"/>
    </row>
    <row r="40" spans="1:26">
      <c r="A40" s="716"/>
      <c r="B40" s="700"/>
      <c r="C40" s="688"/>
      <c r="D40" s="745"/>
      <c r="E40" s="746"/>
      <c r="F40" s="747"/>
      <c r="G40" s="748"/>
      <c r="H40" s="746"/>
      <c r="I40" s="746"/>
      <c r="J40" s="746"/>
      <c r="K40" s="746"/>
      <c r="L40" s="749"/>
      <c r="M40" s="688"/>
      <c r="N40" s="706"/>
      <c r="O40" s="707"/>
      <c r="P40" s="708"/>
      <c r="Q40" s="709"/>
      <c r="R40" s="710"/>
      <c r="S40" s="711"/>
      <c r="T40" s="722"/>
      <c r="U40" s="713"/>
      <c r="V40" s="714"/>
    </row>
    <row r="41" spans="1:26">
      <c r="A41" s="716"/>
      <c r="B41" s="700"/>
      <c r="C41" s="688"/>
      <c r="D41" s="745"/>
      <c r="E41" s="746"/>
      <c r="F41" s="747"/>
      <c r="G41" s="748"/>
      <c r="H41" s="746"/>
      <c r="I41" s="746"/>
      <c r="J41" s="746"/>
      <c r="K41" s="746"/>
      <c r="L41" s="749"/>
      <c r="M41" s="688"/>
      <c r="N41" s="706"/>
      <c r="O41" s="707"/>
      <c r="P41" s="708"/>
      <c r="Q41" s="709"/>
      <c r="R41" s="710"/>
      <c r="S41" s="711"/>
      <c r="T41" s="722"/>
      <c r="U41" s="713"/>
      <c r="V41" s="714"/>
    </row>
    <row r="42" spans="1:26">
      <c r="A42" s="716"/>
      <c r="B42" s="700"/>
      <c r="C42" s="688"/>
      <c r="D42" s="745"/>
      <c r="E42" s="746"/>
      <c r="F42" s="747"/>
      <c r="G42" s="748"/>
      <c r="H42" s="746"/>
      <c r="I42" s="746"/>
      <c r="J42" s="746"/>
      <c r="K42" s="746"/>
      <c r="L42" s="749"/>
      <c r="M42" s="688"/>
      <c r="N42" s="706"/>
      <c r="O42" s="707"/>
      <c r="P42" s="708"/>
      <c r="Q42" s="709"/>
      <c r="R42" s="710"/>
      <c r="S42" s="711"/>
      <c r="T42" s="722"/>
      <c r="U42" s="713"/>
      <c r="V42" s="714"/>
    </row>
    <row r="43" spans="1:26">
      <c r="A43" s="716"/>
      <c r="B43" s="700"/>
      <c r="C43" s="688"/>
      <c r="D43" s="745"/>
      <c r="E43" s="746"/>
      <c r="F43" s="747"/>
      <c r="G43" s="748"/>
      <c r="H43" s="746"/>
      <c r="I43" s="746"/>
      <c r="J43" s="746"/>
      <c r="K43" s="746"/>
      <c r="L43" s="749"/>
      <c r="M43" s="688"/>
      <c r="N43" s="706"/>
      <c r="O43" s="707"/>
      <c r="P43" s="708"/>
      <c r="Q43" s="709"/>
      <c r="R43" s="710"/>
      <c r="S43" s="711"/>
      <c r="T43" s="722"/>
      <c r="U43" s="713"/>
      <c r="V43" s="714"/>
    </row>
    <row r="44" spans="1:26">
      <c r="A44" s="716"/>
      <c r="B44" s="700"/>
      <c r="C44" s="688"/>
      <c r="D44" s="745"/>
      <c r="E44" s="746"/>
      <c r="F44" s="747"/>
      <c r="G44" s="748"/>
      <c r="H44" s="746"/>
      <c r="I44" s="746"/>
      <c r="J44" s="746"/>
      <c r="K44" s="746"/>
      <c r="L44" s="749"/>
      <c r="M44" s="688"/>
      <c r="N44" s="706"/>
      <c r="O44" s="707"/>
      <c r="P44" s="708"/>
      <c r="Q44" s="709"/>
      <c r="R44" s="710"/>
      <c r="S44" s="711"/>
      <c r="T44" s="722"/>
      <c r="U44" s="713"/>
      <c r="V44" s="714"/>
    </row>
    <row r="45" spans="1:26">
      <c r="A45" s="716"/>
      <c r="B45" s="700"/>
      <c r="C45" s="688"/>
      <c r="D45" s="745"/>
      <c r="E45" s="746"/>
      <c r="F45" s="747"/>
      <c r="G45" s="748"/>
      <c r="H45" s="746"/>
      <c r="I45" s="746"/>
      <c r="J45" s="746"/>
      <c r="K45" s="746"/>
      <c r="L45" s="749"/>
      <c r="M45" s="688"/>
      <c r="N45" s="706"/>
      <c r="O45" s="707"/>
      <c r="P45" s="708"/>
      <c r="Q45" s="709"/>
      <c r="R45" s="710"/>
      <c r="S45" s="711"/>
      <c r="T45" s="722"/>
      <c r="U45" s="713"/>
      <c r="V45" s="714"/>
    </row>
    <row r="46" spans="1:26">
      <c r="A46" s="716"/>
      <c r="B46" s="700"/>
      <c r="C46" s="688"/>
      <c r="D46" s="745"/>
      <c r="E46" s="746"/>
      <c r="F46" s="747"/>
      <c r="G46" s="748"/>
      <c r="H46" s="746"/>
      <c r="I46" s="746"/>
      <c r="J46" s="746"/>
      <c r="K46" s="746"/>
      <c r="L46" s="749"/>
      <c r="M46" s="688"/>
      <c r="N46" s="706"/>
      <c r="O46" s="707"/>
      <c r="P46" s="708"/>
      <c r="Q46" s="709"/>
      <c r="R46" s="710"/>
      <c r="S46" s="711"/>
      <c r="T46" s="722"/>
      <c r="U46" s="713"/>
      <c r="V46" s="714"/>
    </row>
    <row r="47" spans="1:26">
      <c r="A47" s="716"/>
      <c r="B47" s="700"/>
      <c r="C47" s="688"/>
      <c r="D47" s="745"/>
      <c r="E47" s="746"/>
      <c r="F47" s="747"/>
      <c r="G47" s="748"/>
      <c r="H47" s="746"/>
      <c r="I47" s="746"/>
      <c r="J47" s="746"/>
      <c r="K47" s="746"/>
      <c r="L47" s="749"/>
      <c r="M47" s="688"/>
      <c r="N47" s="706"/>
      <c r="O47" s="707"/>
      <c r="P47" s="708"/>
      <c r="Q47" s="709"/>
      <c r="R47" s="710"/>
      <c r="S47" s="711"/>
      <c r="T47" s="722"/>
      <c r="U47" s="713"/>
      <c r="V47" s="714"/>
    </row>
    <row r="48" spans="1:26">
      <c r="A48" s="716"/>
      <c r="B48" s="700"/>
      <c r="C48" s="688"/>
      <c r="D48" s="745"/>
      <c r="E48" s="746"/>
      <c r="F48" s="747"/>
      <c r="G48" s="748"/>
      <c r="H48" s="746"/>
      <c r="I48" s="746"/>
      <c r="J48" s="746"/>
      <c r="K48" s="746"/>
      <c r="L48" s="749"/>
      <c r="M48" s="688"/>
      <c r="N48" s="706"/>
      <c r="O48" s="707"/>
      <c r="P48" s="708"/>
      <c r="Q48" s="709"/>
      <c r="R48" s="710"/>
      <c r="S48" s="711"/>
      <c r="T48" s="722"/>
      <c r="U48" s="713"/>
      <c r="V48" s="714"/>
    </row>
    <row r="49" spans="1:26">
      <c r="A49" s="716"/>
      <c r="B49" s="700"/>
      <c r="C49" s="688"/>
      <c r="D49" s="745"/>
      <c r="E49" s="746"/>
      <c r="F49" s="747"/>
      <c r="G49" s="748"/>
      <c r="H49" s="746"/>
      <c r="I49" s="746"/>
      <c r="J49" s="746"/>
      <c r="K49" s="746"/>
      <c r="L49" s="749"/>
      <c r="M49" s="688"/>
      <c r="N49" s="706"/>
      <c r="O49" s="707"/>
      <c r="P49" s="708"/>
      <c r="Q49" s="709"/>
      <c r="R49" s="710"/>
      <c r="S49" s="711"/>
      <c r="T49" s="722"/>
      <c r="U49" s="713"/>
      <c r="V49" s="714"/>
    </row>
    <row r="50" spans="1:26">
      <c r="A50" s="716"/>
      <c r="B50" s="700"/>
      <c r="C50" s="688"/>
      <c r="D50" s="745"/>
      <c r="E50" s="746"/>
      <c r="F50" s="747"/>
      <c r="G50" s="748"/>
      <c r="H50" s="746"/>
      <c r="I50" s="746"/>
      <c r="J50" s="746"/>
      <c r="K50" s="746"/>
      <c r="L50" s="749"/>
      <c r="M50" s="688"/>
      <c r="N50" s="706"/>
      <c r="O50" s="707"/>
      <c r="P50" s="708"/>
      <c r="Q50" s="709"/>
      <c r="R50" s="710"/>
      <c r="S50" s="711"/>
      <c r="T50" s="722"/>
      <c r="U50" s="713"/>
      <c r="V50" s="714"/>
    </row>
    <row r="51" spans="1:26">
      <c r="A51" s="716"/>
      <c r="B51" s="700"/>
      <c r="C51" s="688"/>
      <c r="D51" s="745"/>
      <c r="E51" s="746"/>
      <c r="F51" s="747"/>
      <c r="G51" s="748"/>
      <c r="H51" s="746"/>
      <c r="I51" s="746"/>
      <c r="J51" s="746"/>
      <c r="K51" s="746"/>
      <c r="L51" s="749"/>
      <c r="M51" s="688"/>
      <c r="N51" s="706"/>
      <c r="O51" s="707"/>
      <c r="P51" s="708"/>
      <c r="Q51" s="709"/>
      <c r="R51" s="710"/>
      <c r="S51" s="711"/>
      <c r="T51" s="722"/>
      <c r="U51" s="713"/>
      <c r="V51" s="714"/>
    </row>
    <row r="52" spans="1:26" ht="12" thickBot="1">
      <c r="A52" s="716"/>
      <c r="B52" s="700"/>
      <c r="C52" s="688"/>
      <c r="D52" s="745"/>
      <c r="E52" s="746"/>
      <c r="F52" s="747"/>
      <c r="G52" s="748"/>
      <c r="H52" s="746"/>
      <c r="I52" s="746"/>
      <c r="J52" s="746"/>
      <c r="K52" s="746"/>
      <c r="L52" s="749"/>
      <c r="M52" s="688"/>
      <c r="N52" s="706"/>
      <c r="O52" s="707"/>
      <c r="P52" s="708"/>
      <c r="Q52" s="709"/>
      <c r="R52" s="710"/>
      <c r="S52" s="711"/>
      <c r="T52" s="722"/>
      <c r="U52" s="713"/>
      <c r="V52" s="759"/>
    </row>
    <row r="53" spans="1:26">
      <c r="A53" s="716"/>
      <c r="B53" s="700"/>
      <c r="C53" s="688"/>
      <c r="D53" s="745"/>
      <c r="E53" s="746"/>
      <c r="F53" s="747"/>
      <c r="G53" s="748"/>
      <c r="H53" s="746"/>
      <c r="I53" s="746"/>
      <c r="J53" s="746"/>
      <c r="K53" s="746"/>
      <c r="L53" s="749"/>
      <c r="M53" s="688"/>
      <c r="N53" s="706"/>
      <c r="O53" s="707"/>
      <c r="P53" s="708"/>
      <c r="Q53" s="709"/>
      <c r="R53" s="710"/>
      <c r="S53" s="711"/>
      <c r="T53" s="722"/>
      <c r="U53" s="760" t="s">
        <v>183</v>
      </c>
      <c r="V53" s="761">
        <f>AVERAGE(V12:V52)</f>
        <v>476</v>
      </c>
    </row>
    <row r="54" spans="1:26">
      <c r="A54" s="716"/>
      <c r="B54" s="700"/>
      <c r="C54" s="688"/>
      <c r="D54" s="745"/>
      <c r="E54" s="746"/>
      <c r="F54" s="747"/>
      <c r="G54" s="748"/>
      <c r="H54" s="746"/>
      <c r="I54" s="746"/>
      <c r="J54" s="746"/>
      <c r="K54" s="746"/>
      <c r="L54" s="749"/>
      <c r="M54" s="688"/>
      <c r="N54" s="706"/>
      <c r="O54" s="707"/>
      <c r="P54" s="708"/>
      <c r="Q54" s="709"/>
      <c r="R54" s="710"/>
      <c r="S54" s="711"/>
      <c r="T54" s="722"/>
      <c r="U54" s="586" t="s">
        <v>184</v>
      </c>
      <c r="V54" s="759" t="e">
        <f>STDEV(V12:V52)</f>
        <v>#DIV/0!</v>
      </c>
      <c r="W54" s="762"/>
      <c r="X54" s="762"/>
    </row>
    <row r="55" spans="1:26">
      <c r="A55" s="763" t="s">
        <v>185</v>
      </c>
      <c r="B55" s="764"/>
      <c r="C55" s="765"/>
      <c r="D55" s="765"/>
      <c r="E55" s="765"/>
      <c r="F55" s="765"/>
      <c r="G55" s="766"/>
      <c r="H55" s="765"/>
      <c r="I55" s="765"/>
      <c r="J55" s="765"/>
      <c r="K55" s="765"/>
      <c r="L55" s="767"/>
      <c r="M55" s="765"/>
      <c r="N55" s="768"/>
      <c r="O55" s="769"/>
      <c r="P55" s="770"/>
      <c r="Q55" s="771"/>
      <c r="R55" s="772"/>
      <c r="S55" s="773"/>
      <c r="T55" s="774"/>
      <c r="U55" s="586" t="s">
        <v>186</v>
      </c>
      <c r="V55" s="759" t="e">
        <f>V54/SQRT(COUNT(V12:V51))</f>
        <v>#DIV/0!</v>
      </c>
      <c r="W55" s="757"/>
      <c r="X55" s="762"/>
      <c r="Y55" s="762"/>
      <c r="Z55" s="762"/>
    </row>
    <row r="56" spans="1:26">
      <c r="A56" s="775"/>
      <c r="B56" s="776"/>
      <c r="C56" s="777"/>
      <c r="D56" s="777"/>
      <c r="E56" s="777"/>
      <c r="F56" s="777"/>
      <c r="G56" s="778"/>
      <c r="H56" s="777"/>
      <c r="I56" s="777"/>
      <c r="J56" s="777"/>
      <c r="K56" s="777"/>
      <c r="L56" s="779"/>
      <c r="M56" s="777"/>
      <c r="N56" s="780"/>
      <c r="O56" s="781"/>
      <c r="P56" s="782"/>
      <c r="Q56" s="783"/>
      <c r="R56" s="784"/>
      <c r="S56" s="785"/>
      <c r="T56" s="786"/>
      <c r="U56" s="586" t="s">
        <v>187</v>
      </c>
      <c r="V56" s="759">
        <f>MAX(V12:V52)</f>
        <v>476</v>
      </c>
      <c r="W56" s="757"/>
    </row>
    <row r="57" spans="1:26" ht="12" thickBot="1">
      <c r="A57" s="787"/>
      <c r="B57" s="788"/>
      <c r="C57" s="789"/>
      <c r="D57" s="789"/>
      <c r="E57" s="789"/>
      <c r="F57" s="789"/>
      <c r="G57" s="790"/>
      <c r="H57" s="789"/>
      <c r="I57" s="789"/>
      <c r="J57" s="789"/>
      <c r="K57" s="789"/>
      <c r="L57" s="791"/>
      <c r="M57" s="789"/>
      <c r="N57" s="792"/>
      <c r="O57" s="793"/>
      <c r="P57" s="794"/>
      <c r="Q57" s="795"/>
      <c r="R57" s="796"/>
      <c r="S57" s="797"/>
      <c r="T57" s="798"/>
      <c r="U57" s="799" t="s">
        <v>188</v>
      </c>
      <c r="V57" s="800">
        <f>MIN(V12:V52)</f>
        <v>476</v>
      </c>
      <c r="W57" s="762"/>
    </row>
    <row r="58" spans="1:26">
      <c r="A58" s="801"/>
      <c r="B58" s="801"/>
      <c r="C58" s="802"/>
      <c r="D58" s="803"/>
      <c r="E58" s="803"/>
      <c r="F58" s="803"/>
      <c r="G58" s="804"/>
      <c r="H58" s="805"/>
      <c r="I58" s="806"/>
      <c r="J58" s="807"/>
      <c r="K58" s="808"/>
      <c r="L58" s="809"/>
      <c r="M58" s="762"/>
      <c r="O58" s="750"/>
      <c r="P58" s="810"/>
    </row>
    <row r="59" spans="1:26">
      <c r="A59" s="762"/>
      <c r="B59" s="762"/>
      <c r="C59" s="811"/>
      <c r="D59" s="811"/>
      <c r="E59" s="811"/>
      <c r="F59" s="811"/>
      <c r="G59" s="806"/>
      <c r="H59" s="805"/>
      <c r="I59" s="806"/>
      <c r="J59" s="807"/>
      <c r="K59" s="812"/>
      <c r="L59" s="809"/>
      <c r="M59" s="762"/>
      <c r="O59" s="750"/>
      <c r="P59" s="810"/>
    </row>
    <row r="60" spans="1:26">
      <c r="A60" s="813"/>
      <c r="B60" s="813"/>
      <c r="C60" s="813"/>
      <c r="D60" s="813"/>
      <c r="E60" s="807"/>
      <c r="F60" s="814"/>
      <c r="G60" s="762"/>
      <c r="H60" s="750"/>
      <c r="I60" s="762"/>
      <c r="J60" s="750"/>
      <c r="K60" s="750"/>
      <c r="L60" s="762"/>
      <c r="M60" s="762"/>
      <c r="O60" s="750"/>
      <c r="P60" s="810"/>
    </row>
    <row r="61" spans="1:26">
      <c r="A61" s="815"/>
      <c r="B61" s="815"/>
      <c r="C61" s="813"/>
      <c r="D61" s="813"/>
      <c r="E61" s="807"/>
      <c r="F61" s="814"/>
      <c r="G61" s="750"/>
      <c r="H61" s="750"/>
      <c r="I61" s="762"/>
      <c r="J61" s="750"/>
      <c r="K61" s="750"/>
      <c r="L61" s="762"/>
      <c r="M61" s="762"/>
      <c r="O61" s="750"/>
      <c r="P61" s="810"/>
    </row>
    <row r="62" spans="1:26">
      <c r="A62" s="659"/>
      <c r="B62" s="659"/>
      <c r="C62" s="813"/>
      <c r="D62" s="813"/>
      <c r="E62" s="807"/>
      <c r="F62" s="814"/>
      <c r="G62" s="750"/>
      <c r="H62" s="750"/>
      <c r="I62" s="762"/>
      <c r="J62" s="750"/>
      <c r="K62" s="750"/>
      <c r="L62" s="762"/>
      <c r="M62" s="762"/>
      <c r="O62" s="750"/>
      <c r="P62" s="810"/>
    </row>
    <row r="63" spans="1:26">
      <c r="A63" s="813"/>
      <c r="B63" s="813"/>
      <c r="C63" s="813"/>
      <c r="D63" s="813"/>
      <c r="E63" s="807"/>
      <c r="F63" s="814"/>
      <c r="G63" s="750"/>
      <c r="H63" s="750"/>
      <c r="I63" s="762"/>
      <c r="J63" s="750"/>
      <c r="K63" s="750"/>
      <c r="L63" s="762"/>
      <c r="M63" s="762"/>
      <c r="O63" s="750"/>
      <c r="P63" s="810"/>
    </row>
    <row r="64" spans="1:26">
      <c r="A64" s="813"/>
      <c r="B64" s="813"/>
      <c r="C64" s="813"/>
      <c r="D64" s="813"/>
      <c r="E64" s="807"/>
      <c r="F64" s="814"/>
      <c r="G64" s="750"/>
      <c r="H64" s="750"/>
      <c r="I64" s="762"/>
      <c r="J64" s="806"/>
      <c r="K64" s="750"/>
      <c r="L64" s="762"/>
      <c r="M64" s="762"/>
      <c r="O64" s="750"/>
      <c r="P64" s="810"/>
    </row>
    <row r="65" spans="1:16">
      <c r="A65" s="813"/>
      <c r="B65" s="813"/>
      <c r="C65" s="813"/>
      <c r="D65" s="813"/>
      <c r="E65" s="807"/>
      <c r="F65" s="814"/>
      <c r="G65" s="750"/>
      <c r="H65" s="750"/>
      <c r="I65" s="762"/>
      <c r="J65" s="806"/>
      <c r="K65" s="750"/>
      <c r="L65" s="762"/>
      <c r="M65" s="762"/>
      <c r="O65" s="750"/>
      <c r="P65" s="810"/>
    </row>
    <row r="66" spans="1:16">
      <c r="A66" s="813"/>
      <c r="B66" s="813"/>
      <c r="C66" s="813"/>
      <c r="D66" s="813"/>
      <c r="E66" s="807"/>
      <c r="F66" s="814"/>
      <c r="G66" s="750"/>
      <c r="H66" s="750"/>
      <c r="I66" s="762"/>
      <c r="J66" s="750"/>
      <c r="K66" s="750"/>
      <c r="L66" s="762"/>
      <c r="M66" s="762"/>
      <c r="O66" s="750"/>
      <c r="P66" s="810"/>
    </row>
    <row r="67" spans="1:16">
      <c r="A67" s="813"/>
      <c r="B67" s="813"/>
      <c r="C67" s="813"/>
      <c r="D67" s="813"/>
      <c r="E67" s="807"/>
      <c r="F67" s="814"/>
      <c r="G67" s="750"/>
      <c r="H67" s="750"/>
      <c r="I67" s="762"/>
      <c r="J67" s="750"/>
      <c r="K67" s="750"/>
      <c r="L67" s="762"/>
      <c r="M67" s="762"/>
      <c r="O67" s="750"/>
      <c r="P67" s="810"/>
    </row>
    <row r="68" spans="1:16">
      <c r="A68" s="813"/>
      <c r="B68" s="813"/>
      <c r="C68" s="813"/>
      <c r="D68" s="813"/>
      <c r="E68" s="807"/>
      <c r="F68" s="814"/>
      <c r="G68" s="750"/>
      <c r="H68" s="750"/>
      <c r="I68" s="762"/>
      <c r="J68" s="750"/>
      <c r="K68" s="750"/>
      <c r="L68" s="762"/>
      <c r="M68" s="762"/>
      <c r="O68" s="750"/>
      <c r="P68" s="810"/>
    </row>
    <row r="69" spans="1:16">
      <c r="A69" s="813"/>
      <c r="B69" s="813"/>
      <c r="C69" s="813"/>
      <c r="D69" s="813"/>
      <c r="E69" s="807"/>
      <c r="F69" s="814"/>
      <c r="G69" s="750"/>
      <c r="H69" s="750"/>
      <c r="I69" s="762"/>
      <c r="J69" s="750"/>
      <c r="K69" s="750"/>
      <c r="L69" s="762"/>
      <c r="M69" s="762"/>
      <c r="O69" s="750"/>
      <c r="P69" s="810"/>
    </row>
    <row r="70" spans="1:16">
      <c r="A70" s="813"/>
      <c r="B70" s="813"/>
      <c r="C70" s="813"/>
      <c r="D70" s="813"/>
      <c r="E70" s="807"/>
      <c r="F70" s="814"/>
      <c r="G70" s="750"/>
      <c r="H70" s="750"/>
      <c r="I70" s="762"/>
      <c r="J70" s="750"/>
      <c r="K70" s="750"/>
      <c r="L70" s="762"/>
      <c r="M70" s="762"/>
      <c r="O70" s="750"/>
      <c r="P70" s="810"/>
    </row>
    <row r="71" spans="1:16">
      <c r="A71" s="813"/>
      <c r="B71" s="813"/>
      <c r="C71" s="813"/>
      <c r="D71" s="813"/>
      <c r="E71" s="807"/>
      <c r="F71" s="814"/>
      <c r="G71" s="750"/>
      <c r="H71" s="750"/>
      <c r="I71" s="762"/>
      <c r="J71" s="750"/>
      <c r="K71" s="750"/>
      <c r="L71" s="762"/>
      <c r="O71" s="750"/>
      <c r="P71" s="810"/>
    </row>
    <row r="72" spans="1:16">
      <c r="A72" s="813"/>
      <c r="B72" s="813"/>
      <c r="C72" s="813"/>
      <c r="D72" s="813"/>
      <c r="E72" s="807"/>
      <c r="F72" s="814"/>
      <c r="G72" s="750"/>
      <c r="H72" s="750"/>
      <c r="I72" s="762"/>
      <c r="J72" s="750"/>
      <c r="K72" s="750"/>
      <c r="L72" s="762"/>
      <c r="O72" s="750"/>
      <c r="P72" s="810"/>
    </row>
    <row r="73" spans="1:16">
      <c r="A73" s="813"/>
      <c r="B73" s="813"/>
      <c r="C73" s="813"/>
      <c r="D73" s="813"/>
      <c r="E73" s="807"/>
      <c r="F73" s="814"/>
      <c r="G73" s="750"/>
      <c r="H73" s="750"/>
      <c r="I73" s="762"/>
      <c r="J73" s="750"/>
      <c r="K73" s="750"/>
      <c r="L73" s="750"/>
      <c r="O73" s="750"/>
      <c r="P73" s="810"/>
    </row>
    <row r="74" spans="1:16">
      <c r="A74" s="813"/>
      <c r="B74" s="813"/>
      <c r="C74" s="813"/>
      <c r="D74" s="813"/>
      <c r="E74" s="807"/>
      <c r="F74" s="814"/>
      <c r="G74" s="750"/>
      <c r="H74" s="750"/>
      <c r="I74" s="762"/>
      <c r="J74" s="750"/>
      <c r="K74" s="750"/>
      <c r="L74" s="750"/>
      <c r="O74" s="750"/>
      <c r="P74" s="810"/>
    </row>
    <row r="75" spans="1:16">
      <c r="A75" s="813"/>
      <c r="B75" s="813"/>
      <c r="C75" s="813"/>
      <c r="D75" s="813"/>
      <c r="E75" s="807"/>
      <c r="F75" s="814"/>
      <c r="G75" s="750"/>
      <c r="H75" s="750"/>
      <c r="I75" s="762"/>
      <c r="J75" s="750"/>
      <c r="K75" s="750"/>
      <c r="L75" s="750"/>
      <c r="O75" s="750"/>
      <c r="P75" s="810"/>
    </row>
    <row r="76" spans="1:16">
      <c r="A76" s="813"/>
      <c r="B76" s="813"/>
      <c r="C76" s="813"/>
      <c r="D76" s="813"/>
      <c r="E76" s="807"/>
      <c r="F76" s="814"/>
      <c r="G76" s="750"/>
      <c r="H76" s="750"/>
      <c r="I76" s="762"/>
      <c r="J76" s="750"/>
      <c r="K76" s="750"/>
      <c r="L76" s="750"/>
      <c r="O76" s="750"/>
      <c r="P76" s="810"/>
    </row>
    <row r="77" spans="1:16">
      <c r="A77" s="813"/>
      <c r="B77" s="813"/>
      <c r="C77" s="813"/>
      <c r="D77" s="813"/>
      <c r="E77" s="807"/>
      <c r="F77" s="814"/>
      <c r="G77" s="750"/>
      <c r="H77" s="750"/>
      <c r="I77" s="762"/>
      <c r="J77" s="750"/>
      <c r="K77" s="750"/>
      <c r="L77" s="750"/>
      <c r="O77" s="750"/>
      <c r="P77" s="810"/>
    </row>
    <row r="78" spans="1:16">
      <c r="A78" s="813"/>
      <c r="B78" s="813"/>
      <c r="C78" s="813"/>
      <c r="D78" s="813"/>
      <c r="E78" s="807"/>
      <c r="F78" s="814"/>
      <c r="G78" s="750"/>
      <c r="H78" s="750"/>
      <c r="I78" s="762"/>
      <c r="J78" s="750"/>
      <c r="K78" s="750"/>
      <c r="L78" s="750"/>
      <c r="O78" s="750"/>
      <c r="P78" s="810"/>
    </row>
    <row r="79" spans="1:16">
      <c r="A79" s="813"/>
      <c r="B79" s="813"/>
      <c r="C79" s="813"/>
      <c r="D79" s="813"/>
      <c r="E79" s="807"/>
      <c r="F79" s="814"/>
      <c r="G79" s="750"/>
      <c r="H79" s="750"/>
      <c r="I79" s="762"/>
      <c r="J79" s="750"/>
      <c r="K79" s="750"/>
      <c r="L79" s="750"/>
      <c r="O79" s="750"/>
      <c r="P79" s="810"/>
    </row>
    <row r="80" spans="1:16">
      <c r="A80" s="813"/>
      <c r="B80" s="813"/>
      <c r="C80" s="813"/>
      <c r="D80" s="813"/>
      <c r="E80" s="807"/>
      <c r="F80" s="814"/>
      <c r="G80" s="750"/>
      <c r="H80" s="750"/>
      <c r="I80" s="762"/>
      <c r="J80" s="750"/>
      <c r="K80" s="750"/>
      <c r="L80" s="750"/>
      <c r="O80" s="750"/>
      <c r="P80" s="810"/>
    </row>
    <row r="81" spans="1:19">
      <c r="A81" s="813"/>
      <c r="B81" s="813"/>
      <c r="C81" s="813"/>
      <c r="D81" s="813"/>
      <c r="E81" s="807"/>
      <c r="F81" s="814"/>
      <c r="G81" s="750"/>
      <c r="H81" s="750"/>
      <c r="I81" s="762"/>
      <c r="J81" s="750"/>
      <c r="K81" s="750"/>
      <c r="L81" s="750"/>
      <c r="O81" s="750"/>
      <c r="P81" s="810"/>
    </row>
    <row r="82" spans="1:19">
      <c r="A82" s="813"/>
      <c r="B82" s="813"/>
      <c r="C82" s="813"/>
      <c r="D82" s="813"/>
      <c r="E82" s="807"/>
      <c r="F82" s="814"/>
      <c r="G82" s="750"/>
      <c r="H82" s="750"/>
      <c r="I82" s="762"/>
      <c r="J82" s="750"/>
      <c r="K82" s="750"/>
      <c r="L82" s="750"/>
      <c r="O82" s="750"/>
      <c r="P82" s="810"/>
    </row>
    <row r="83" spans="1:19">
      <c r="A83" s="813"/>
      <c r="B83" s="813"/>
      <c r="C83" s="813"/>
      <c r="D83" s="813"/>
      <c r="E83" s="807"/>
      <c r="F83" s="814"/>
      <c r="G83" s="750"/>
      <c r="H83" s="750"/>
      <c r="I83" s="762"/>
      <c r="J83" s="750"/>
      <c r="K83" s="750"/>
      <c r="L83" s="750"/>
      <c r="O83" s="750"/>
      <c r="P83" s="810"/>
    </row>
    <row r="84" spans="1:19">
      <c r="A84" s="813"/>
      <c r="B84" s="813"/>
      <c r="C84" s="813"/>
      <c r="D84" s="813"/>
      <c r="E84" s="807"/>
      <c r="F84" s="814"/>
      <c r="G84" s="810"/>
      <c r="H84" s="750"/>
      <c r="I84" s="762"/>
      <c r="J84" s="750"/>
      <c r="K84" s="750"/>
      <c r="L84" s="750"/>
      <c r="O84" s="750"/>
      <c r="P84" s="810"/>
    </row>
    <row r="85" spans="1:19">
      <c r="A85" s="813"/>
      <c r="B85" s="813"/>
      <c r="C85" s="813"/>
      <c r="D85" s="813"/>
      <c r="E85" s="807"/>
      <c r="F85" s="814"/>
      <c r="G85" s="810"/>
      <c r="H85" s="750"/>
      <c r="I85" s="762"/>
      <c r="J85" s="750"/>
      <c r="K85" s="750"/>
      <c r="L85" s="750"/>
      <c r="O85" s="750"/>
      <c r="P85" s="810"/>
    </row>
    <row r="86" spans="1:19">
      <c r="A86" s="813"/>
      <c r="B86" s="813"/>
      <c r="C86" s="813"/>
      <c r="D86" s="813"/>
      <c r="E86" s="807"/>
      <c r="F86" s="814"/>
      <c r="G86" s="810"/>
      <c r="H86" s="750"/>
      <c r="I86" s="762"/>
      <c r="J86" s="750"/>
      <c r="K86" s="750"/>
      <c r="L86" s="750"/>
      <c r="O86" s="750"/>
      <c r="P86" s="810"/>
    </row>
    <row r="87" spans="1:19">
      <c r="A87" s="813"/>
      <c r="B87" s="813"/>
      <c r="C87" s="813"/>
      <c r="D87" s="813"/>
      <c r="E87" s="807"/>
      <c r="F87" s="814"/>
      <c r="G87" s="810"/>
      <c r="H87" s="750"/>
      <c r="I87" s="762"/>
      <c r="J87" s="750"/>
      <c r="K87" s="750"/>
      <c r="L87" s="750"/>
      <c r="O87" s="750"/>
      <c r="P87" s="810"/>
    </row>
    <row r="88" spans="1:19">
      <c r="A88" s="813"/>
      <c r="B88" s="813"/>
      <c r="C88" s="813"/>
      <c r="D88" s="813"/>
      <c r="E88" s="807"/>
      <c r="F88" s="814"/>
      <c r="G88" s="750"/>
      <c r="H88" s="750"/>
      <c r="I88" s="762"/>
      <c r="J88" s="750"/>
      <c r="K88" s="750"/>
      <c r="L88" s="750"/>
      <c r="O88" s="750"/>
      <c r="P88" s="810"/>
    </row>
    <row r="89" spans="1:19">
      <c r="A89" s="813"/>
      <c r="B89" s="813"/>
      <c r="C89" s="813"/>
      <c r="D89" s="813"/>
      <c r="E89" s="807"/>
      <c r="F89" s="814"/>
      <c r="G89" s="750"/>
      <c r="H89" s="750"/>
      <c r="I89" s="762"/>
      <c r="J89" s="750"/>
      <c r="K89" s="750"/>
      <c r="L89" s="750"/>
      <c r="O89" s="750"/>
      <c r="P89" s="810"/>
    </row>
    <row r="90" spans="1:19" s="813" customFormat="1">
      <c r="E90" s="807"/>
      <c r="F90" s="814"/>
      <c r="G90" s="750"/>
      <c r="H90" s="750"/>
      <c r="I90" s="762"/>
      <c r="J90" s="750"/>
      <c r="K90" s="750"/>
      <c r="L90" s="750"/>
      <c r="M90" s="750"/>
      <c r="N90" s="750"/>
      <c r="O90" s="750"/>
      <c r="P90" s="810"/>
      <c r="Q90" s="810"/>
      <c r="R90" s="816"/>
      <c r="S90" s="816"/>
    </row>
    <row r="91" spans="1:19" s="813" customFormat="1">
      <c r="E91" s="807"/>
      <c r="F91" s="814"/>
      <c r="G91" s="750"/>
      <c r="H91" s="750"/>
      <c r="I91" s="762"/>
      <c r="J91" s="750"/>
      <c r="K91" s="750"/>
      <c r="L91" s="750"/>
      <c r="M91" s="750"/>
      <c r="N91" s="750"/>
      <c r="O91" s="750"/>
      <c r="P91" s="810"/>
      <c r="Q91" s="810"/>
      <c r="R91" s="816"/>
      <c r="S91" s="816"/>
    </row>
    <row r="92" spans="1:19" s="813" customFormat="1">
      <c r="E92" s="807"/>
      <c r="F92" s="814"/>
      <c r="G92" s="750"/>
      <c r="H92" s="750"/>
      <c r="I92" s="762"/>
      <c r="J92" s="750"/>
      <c r="K92" s="750"/>
      <c r="L92" s="750"/>
      <c r="M92" s="750"/>
      <c r="N92" s="750"/>
      <c r="O92" s="750"/>
      <c r="P92" s="810"/>
      <c r="Q92" s="810"/>
      <c r="R92" s="816"/>
      <c r="S92" s="816"/>
    </row>
    <row r="93" spans="1:19" s="813" customFormat="1">
      <c r="E93" s="807"/>
      <c r="F93" s="814"/>
      <c r="G93" s="750"/>
      <c r="H93" s="750"/>
      <c r="I93" s="762"/>
      <c r="J93" s="750"/>
      <c r="K93" s="750"/>
      <c r="L93" s="750"/>
      <c r="M93" s="750"/>
      <c r="N93" s="750"/>
      <c r="O93" s="750"/>
      <c r="P93" s="810"/>
      <c r="Q93" s="810"/>
      <c r="R93" s="816"/>
      <c r="S93" s="816"/>
    </row>
    <row r="94" spans="1:19" s="813" customFormat="1">
      <c r="E94" s="807"/>
      <c r="F94" s="814"/>
      <c r="G94" s="750"/>
      <c r="H94" s="750"/>
      <c r="I94" s="762"/>
      <c r="J94" s="750"/>
      <c r="K94" s="750"/>
      <c r="L94" s="750"/>
      <c r="M94" s="750"/>
      <c r="N94" s="750"/>
      <c r="O94" s="750"/>
      <c r="P94" s="810"/>
      <c r="Q94" s="810"/>
      <c r="R94" s="816"/>
      <c r="S94" s="816"/>
    </row>
    <row r="95" spans="1:19" s="813" customFormat="1">
      <c r="E95" s="807"/>
      <c r="F95" s="814"/>
      <c r="G95" s="750"/>
      <c r="H95" s="750"/>
      <c r="I95" s="762"/>
      <c r="J95" s="750"/>
      <c r="K95" s="750"/>
      <c r="L95" s="750"/>
      <c r="M95" s="750"/>
      <c r="P95" s="816"/>
      <c r="Q95" s="816"/>
      <c r="R95" s="816"/>
      <c r="S95" s="816"/>
    </row>
    <row r="96" spans="1:19" s="813" customFormat="1">
      <c r="E96" s="807"/>
      <c r="F96" s="814"/>
      <c r="G96" s="750"/>
      <c r="H96" s="750"/>
      <c r="I96" s="762"/>
      <c r="J96" s="750"/>
      <c r="K96" s="750"/>
      <c r="L96" s="750"/>
      <c r="M96" s="750"/>
      <c r="P96" s="816"/>
      <c r="Q96" s="816"/>
      <c r="R96" s="816"/>
      <c r="S96" s="816"/>
    </row>
    <row r="97" spans="5:19" s="813" customFormat="1">
      <c r="E97" s="807"/>
      <c r="F97" s="814"/>
      <c r="G97" s="750"/>
      <c r="H97" s="750"/>
      <c r="I97" s="762"/>
      <c r="J97" s="750"/>
      <c r="K97" s="750"/>
      <c r="L97" s="750"/>
      <c r="M97" s="750"/>
      <c r="P97" s="816"/>
      <c r="Q97" s="816"/>
      <c r="R97" s="816"/>
      <c r="S97" s="816"/>
    </row>
    <row r="98" spans="5:19" s="813" customFormat="1">
      <c r="E98" s="807"/>
      <c r="F98" s="814"/>
      <c r="G98" s="750"/>
      <c r="H98" s="750"/>
      <c r="I98" s="762"/>
      <c r="J98" s="750"/>
      <c r="K98" s="750"/>
      <c r="L98" s="750"/>
      <c r="M98" s="750"/>
      <c r="P98" s="816"/>
      <c r="Q98" s="816"/>
      <c r="R98" s="816"/>
      <c r="S98" s="816"/>
    </row>
    <row r="99" spans="5:19" s="813" customFormat="1">
      <c r="E99" s="807"/>
      <c r="F99" s="814"/>
      <c r="G99" s="750"/>
      <c r="H99" s="750"/>
      <c r="I99" s="762"/>
      <c r="J99" s="750"/>
      <c r="K99" s="750"/>
      <c r="L99" s="750"/>
      <c r="M99" s="750"/>
      <c r="P99" s="816"/>
      <c r="Q99" s="816"/>
      <c r="R99" s="816"/>
      <c r="S99" s="816"/>
    </row>
    <row r="100" spans="5:19" s="813" customFormat="1">
      <c r="E100" s="807"/>
      <c r="F100" s="814"/>
      <c r="G100" s="750"/>
      <c r="H100" s="750"/>
      <c r="I100" s="762"/>
      <c r="J100" s="750"/>
      <c r="K100" s="750"/>
      <c r="L100" s="750"/>
      <c r="M100" s="750"/>
      <c r="P100" s="816"/>
      <c r="Q100" s="816"/>
      <c r="R100" s="816"/>
      <c r="S100" s="816"/>
    </row>
    <row r="101" spans="5:19" s="813" customFormat="1">
      <c r="E101" s="807"/>
      <c r="F101" s="814"/>
      <c r="G101" s="750"/>
      <c r="H101" s="750"/>
      <c r="I101" s="762"/>
      <c r="J101" s="750"/>
      <c r="K101" s="750"/>
      <c r="L101" s="750"/>
      <c r="M101" s="750"/>
      <c r="P101" s="816"/>
      <c r="Q101" s="816"/>
      <c r="R101" s="816"/>
      <c r="S101" s="816"/>
    </row>
    <row r="102" spans="5:19" s="813" customFormat="1">
      <c r="E102" s="807"/>
      <c r="F102" s="814"/>
      <c r="G102" s="750"/>
      <c r="H102" s="750"/>
      <c r="I102" s="762"/>
      <c r="J102" s="750"/>
      <c r="K102" s="750"/>
      <c r="L102" s="750"/>
      <c r="M102" s="750"/>
      <c r="P102" s="816"/>
      <c r="Q102" s="816"/>
      <c r="R102" s="816"/>
      <c r="S102" s="816"/>
    </row>
    <row r="103" spans="5:19" s="813" customFormat="1">
      <c r="E103" s="807"/>
      <c r="F103" s="814"/>
      <c r="G103" s="750"/>
      <c r="H103" s="750"/>
      <c r="I103" s="762"/>
      <c r="J103" s="750"/>
      <c r="K103" s="750"/>
      <c r="L103" s="750"/>
      <c r="M103" s="750"/>
      <c r="P103" s="816"/>
      <c r="Q103" s="816"/>
      <c r="R103" s="816"/>
      <c r="S103" s="816"/>
    </row>
    <row r="104" spans="5:19" s="813" customFormat="1">
      <c r="E104" s="807"/>
      <c r="F104" s="814"/>
      <c r="G104" s="750"/>
      <c r="H104" s="750"/>
      <c r="I104" s="762"/>
      <c r="J104" s="750"/>
      <c r="K104" s="750"/>
      <c r="L104" s="750"/>
      <c r="M104" s="750"/>
      <c r="P104" s="816"/>
      <c r="Q104" s="816"/>
      <c r="R104" s="816"/>
      <c r="S104" s="816"/>
    </row>
    <row r="105" spans="5:19" s="813" customFormat="1">
      <c r="E105" s="807"/>
      <c r="F105" s="814"/>
      <c r="G105" s="750"/>
      <c r="H105" s="750"/>
      <c r="I105" s="762"/>
      <c r="J105" s="750"/>
      <c r="K105" s="750"/>
      <c r="L105" s="750"/>
      <c r="M105" s="750"/>
      <c r="P105" s="816"/>
      <c r="Q105" s="816"/>
      <c r="R105" s="816"/>
      <c r="S105" s="816"/>
    </row>
    <row r="106" spans="5:19" s="813" customFormat="1">
      <c r="E106" s="807"/>
      <c r="F106" s="814"/>
      <c r="G106" s="750"/>
      <c r="H106" s="750"/>
      <c r="I106" s="762"/>
      <c r="J106" s="750"/>
      <c r="K106" s="750"/>
      <c r="L106" s="750"/>
      <c r="M106" s="750"/>
      <c r="P106" s="816"/>
      <c r="Q106" s="816"/>
      <c r="R106" s="816"/>
      <c r="S106" s="816"/>
    </row>
    <row r="107" spans="5:19" s="813" customFormat="1">
      <c r="E107" s="807"/>
      <c r="F107" s="814"/>
      <c r="G107" s="750"/>
      <c r="H107" s="750"/>
      <c r="I107" s="762"/>
      <c r="J107" s="750"/>
      <c r="K107" s="750"/>
      <c r="L107" s="750"/>
      <c r="M107" s="750"/>
      <c r="P107" s="816"/>
      <c r="Q107" s="816"/>
      <c r="R107" s="816"/>
      <c r="S107" s="816"/>
    </row>
    <row r="108" spans="5:19" s="813" customFormat="1">
      <c r="E108" s="807"/>
      <c r="F108" s="814"/>
      <c r="G108" s="750"/>
      <c r="H108" s="750"/>
      <c r="I108" s="762"/>
      <c r="J108" s="750"/>
      <c r="K108" s="750"/>
      <c r="L108" s="750"/>
      <c r="M108" s="750"/>
      <c r="P108" s="816"/>
      <c r="Q108" s="816"/>
      <c r="R108" s="816"/>
      <c r="S108" s="816"/>
    </row>
    <row r="109" spans="5:19" s="813" customFormat="1">
      <c r="E109" s="807"/>
      <c r="F109" s="814"/>
      <c r="G109" s="750"/>
      <c r="H109" s="750"/>
      <c r="I109" s="762"/>
      <c r="J109" s="750"/>
      <c r="K109" s="750"/>
      <c r="L109" s="750"/>
      <c r="M109" s="750"/>
      <c r="P109" s="816"/>
      <c r="Q109" s="816"/>
      <c r="R109" s="816"/>
      <c r="S109" s="816"/>
    </row>
    <row r="110" spans="5:19" s="813" customFormat="1">
      <c r="E110" s="807"/>
      <c r="F110" s="814"/>
      <c r="G110" s="750"/>
      <c r="H110" s="750"/>
      <c r="I110" s="762"/>
      <c r="J110" s="750"/>
      <c r="K110" s="750"/>
      <c r="L110" s="750"/>
      <c r="P110" s="816"/>
      <c r="Q110" s="816"/>
      <c r="R110" s="816"/>
      <c r="S110" s="816"/>
    </row>
    <row r="111" spans="5:19" s="813" customFormat="1">
      <c r="E111" s="807"/>
      <c r="F111" s="814"/>
      <c r="G111" s="750"/>
      <c r="H111" s="750"/>
      <c r="I111" s="762"/>
      <c r="J111" s="750"/>
      <c r="K111" s="750"/>
      <c r="L111" s="750"/>
      <c r="P111" s="816"/>
      <c r="Q111" s="816"/>
      <c r="R111" s="816"/>
      <c r="S111" s="816"/>
    </row>
    <row r="112" spans="5:19" s="813" customFormat="1">
      <c r="E112" s="807"/>
      <c r="F112" s="814"/>
      <c r="G112" s="750"/>
      <c r="H112" s="750"/>
      <c r="I112" s="762"/>
      <c r="J112" s="750"/>
      <c r="K112" s="750"/>
      <c r="L112" s="750"/>
      <c r="P112" s="816"/>
      <c r="Q112" s="816"/>
      <c r="R112" s="816"/>
      <c r="S112" s="816"/>
    </row>
    <row r="113" spans="5:19" s="813" customFormat="1">
      <c r="E113" s="807"/>
      <c r="F113" s="814"/>
      <c r="G113" s="750"/>
      <c r="H113" s="750"/>
      <c r="I113" s="762"/>
      <c r="J113" s="750"/>
      <c r="K113" s="750"/>
      <c r="L113" s="750"/>
      <c r="P113" s="816"/>
      <c r="Q113" s="816"/>
      <c r="R113" s="816"/>
      <c r="S113" s="816"/>
    </row>
    <row r="114" spans="5:19" s="813" customFormat="1">
      <c r="E114" s="807"/>
      <c r="F114" s="814"/>
      <c r="G114" s="750"/>
      <c r="H114" s="750"/>
      <c r="I114" s="762"/>
      <c r="J114" s="750"/>
      <c r="K114" s="750"/>
      <c r="L114" s="750"/>
      <c r="P114" s="816"/>
      <c r="Q114" s="816"/>
      <c r="R114" s="816"/>
      <c r="S114" s="816"/>
    </row>
    <row r="115" spans="5:19" s="813" customFormat="1">
      <c r="E115" s="807"/>
      <c r="F115" s="814"/>
      <c r="G115" s="750"/>
      <c r="H115" s="750"/>
      <c r="I115" s="762"/>
      <c r="J115" s="750"/>
      <c r="K115" s="750"/>
      <c r="L115" s="750"/>
      <c r="P115" s="816"/>
      <c r="Q115" s="816"/>
      <c r="R115" s="816"/>
      <c r="S115" s="816"/>
    </row>
    <row r="116" spans="5:19" s="813" customFormat="1">
      <c r="E116" s="807"/>
      <c r="F116" s="814"/>
      <c r="G116" s="750"/>
      <c r="H116" s="750"/>
      <c r="I116" s="762"/>
      <c r="J116" s="750"/>
      <c r="K116" s="750"/>
      <c r="L116" s="750"/>
      <c r="P116" s="816"/>
      <c r="Q116" s="816"/>
      <c r="R116" s="816"/>
      <c r="S116" s="816"/>
    </row>
    <row r="117" spans="5:19" s="813" customFormat="1">
      <c r="E117" s="807"/>
      <c r="F117" s="814"/>
      <c r="G117" s="750"/>
      <c r="H117" s="750"/>
      <c r="I117" s="762"/>
      <c r="J117" s="750"/>
      <c r="K117" s="750"/>
      <c r="L117" s="750"/>
      <c r="P117" s="816"/>
      <c r="Q117" s="816"/>
      <c r="R117" s="816"/>
      <c r="S117" s="816"/>
    </row>
    <row r="118" spans="5:19" s="813" customFormat="1">
      <c r="E118" s="807"/>
      <c r="F118" s="814"/>
      <c r="G118" s="750"/>
      <c r="H118" s="750"/>
      <c r="I118" s="762"/>
      <c r="J118" s="750"/>
      <c r="K118" s="750"/>
      <c r="L118" s="750"/>
      <c r="P118" s="816"/>
      <c r="Q118" s="816"/>
      <c r="R118" s="816"/>
      <c r="S118" s="816"/>
    </row>
    <row r="119" spans="5:19" s="813" customFormat="1">
      <c r="E119" s="807"/>
      <c r="F119" s="814"/>
      <c r="G119" s="750"/>
      <c r="H119" s="750"/>
      <c r="I119" s="762"/>
      <c r="J119" s="750"/>
      <c r="K119" s="750"/>
      <c r="L119" s="750"/>
      <c r="P119" s="816"/>
      <c r="Q119" s="816"/>
      <c r="R119" s="816"/>
      <c r="S119" s="816"/>
    </row>
    <row r="120" spans="5:19" s="813" customFormat="1">
      <c r="E120" s="807"/>
      <c r="F120" s="814"/>
      <c r="G120" s="750"/>
      <c r="H120" s="750"/>
      <c r="I120" s="762"/>
      <c r="J120" s="750"/>
      <c r="K120" s="750"/>
      <c r="L120" s="750"/>
      <c r="P120" s="816"/>
      <c r="Q120" s="816"/>
      <c r="R120" s="816"/>
      <c r="S120" s="816"/>
    </row>
    <row r="121" spans="5:19" s="813" customFormat="1">
      <c r="E121" s="807"/>
      <c r="F121" s="814"/>
      <c r="G121" s="750"/>
      <c r="H121" s="750"/>
      <c r="I121" s="762"/>
      <c r="J121" s="750"/>
      <c r="K121" s="750"/>
      <c r="L121" s="750"/>
      <c r="P121" s="816"/>
      <c r="Q121" s="816"/>
      <c r="R121" s="816"/>
      <c r="S121" s="816"/>
    </row>
    <row r="122" spans="5:19" s="813" customFormat="1">
      <c r="E122" s="807"/>
      <c r="F122" s="814"/>
      <c r="G122" s="750"/>
      <c r="H122" s="750"/>
      <c r="I122" s="762"/>
      <c r="J122" s="750"/>
      <c r="K122" s="750"/>
      <c r="L122" s="750"/>
      <c r="P122" s="816"/>
      <c r="Q122" s="816"/>
      <c r="R122" s="816"/>
      <c r="S122" s="816"/>
    </row>
    <row r="123" spans="5:19" s="813" customFormat="1">
      <c r="E123" s="807"/>
      <c r="F123" s="814"/>
      <c r="G123" s="750"/>
      <c r="H123" s="750"/>
      <c r="I123" s="762"/>
      <c r="J123" s="750"/>
      <c r="K123" s="750"/>
      <c r="L123" s="750"/>
      <c r="P123" s="816"/>
      <c r="Q123" s="816"/>
      <c r="R123" s="816"/>
      <c r="S123" s="816"/>
    </row>
    <row r="124" spans="5:19" s="813" customFormat="1">
      <c r="E124" s="807"/>
      <c r="F124" s="814"/>
      <c r="G124" s="750"/>
      <c r="H124" s="750"/>
      <c r="I124" s="762"/>
      <c r="J124" s="750"/>
      <c r="K124" s="750"/>
      <c r="L124" s="750"/>
      <c r="P124" s="816"/>
      <c r="Q124" s="816"/>
      <c r="R124" s="816"/>
      <c r="S124" s="816"/>
    </row>
    <row r="125" spans="5:19" s="813" customFormat="1">
      <c r="E125" s="807"/>
      <c r="F125" s="814"/>
      <c r="G125" s="750"/>
      <c r="H125" s="750"/>
      <c r="I125" s="762"/>
      <c r="J125" s="750"/>
      <c r="K125" s="750"/>
      <c r="L125" s="750"/>
      <c r="P125" s="816"/>
      <c r="Q125" s="816"/>
      <c r="R125" s="816"/>
      <c r="S125" s="816"/>
    </row>
    <row r="126" spans="5:19" s="813" customFormat="1">
      <c r="E126" s="807"/>
      <c r="F126" s="814"/>
      <c r="G126" s="750"/>
      <c r="H126" s="750"/>
      <c r="I126" s="762"/>
      <c r="J126" s="750"/>
      <c r="K126" s="750"/>
      <c r="L126" s="750"/>
      <c r="P126" s="816"/>
      <c r="Q126" s="816"/>
      <c r="R126" s="816"/>
      <c r="S126" s="816"/>
    </row>
    <row r="127" spans="5:19" s="813" customFormat="1">
      <c r="E127" s="807"/>
      <c r="F127" s="814"/>
      <c r="G127" s="750"/>
      <c r="H127" s="750"/>
      <c r="I127" s="762"/>
      <c r="J127" s="750"/>
      <c r="K127" s="750"/>
      <c r="L127" s="750"/>
      <c r="P127" s="816"/>
      <c r="Q127" s="816"/>
      <c r="R127" s="816"/>
      <c r="S127" s="816"/>
    </row>
    <row r="128" spans="5:19" s="813" customFormat="1">
      <c r="E128" s="807"/>
      <c r="F128" s="814"/>
      <c r="G128" s="750"/>
      <c r="H128" s="750"/>
      <c r="I128" s="762"/>
      <c r="J128" s="750"/>
      <c r="K128" s="750"/>
      <c r="L128" s="750"/>
      <c r="P128" s="816"/>
      <c r="Q128" s="816"/>
      <c r="R128" s="816"/>
      <c r="S128" s="816"/>
    </row>
    <row r="129" spans="5:19" s="813" customFormat="1">
      <c r="E129" s="807"/>
      <c r="F129" s="814"/>
      <c r="G129" s="750"/>
      <c r="H129" s="750"/>
      <c r="I129" s="762"/>
      <c r="J129" s="750"/>
      <c r="K129" s="750"/>
      <c r="L129" s="750"/>
      <c r="P129" s="816"/>
      <c r="Q129" s="816"/>
      <c r="R129" s="816"/>
      <c r="S129" s="816"/>
    </row>
    <row r="130" spans="5:19" s="813" customFormat="1">
      <c r="E130" s="807"/>
      <c r="F130" s="814"/>
      <c r="G130" s="750"/>
      <c r="H130" s="750"/>
      <c r="I130" s="762"/>
      <c r="J130" s="750"/>
      <c r="K130" s="750"/>
      <c r="L130" s="750"/>
      <c r="P130" s="816"/>
      <c r="Q130" s="816"/>
      <c r="R130" s="816"/>
      <c r="S130" s="816"/>
    </row>
    <row r="131" spans="5:19" s="813" customFormat="1">
      <c r="E131" s="807"/>
      <c r="F131" s="814"/>
      <c r="G131" s="750"/>
      <c r="H131" s="750"/>
      <c r="I131" s="762"/>
      <c r="J131" s="750"/>
      <c r="K131" s="750"/>
      <c r="L131" s="750"/>
      <c r="P131" s="816"/>
      <c r="Q131" s="816"/>
      <c r="R131" s="816"/>
      <c r="S131" s="816"/>
    </row>
    <row r="132" spans="5:19" s="813" customFormat="1">
      <c r="E132" s="807"/>
      <c r="F132" s="814"/>
      <c r="G132" s="750"/>
      <c r="H132" s="750"/>
      <c r="I132" s="762"/>
      <c r="J132" s="750"/>
      <c r="K132" s="750"/>
      <c r="L132" s="750"/>
      <c r="P132" s="816"/>
      <c r="Q132" s="816"/>
      <c r="R132" s="816"/>
      <c r="S132" s="816"/>
    </row>
    <row r="133" spans="5:19" s="813" customFormat="1">
      <c r="E133" s="807"/>
      <c r="F133" s="814"/>
      <c r="G133" s="750"/>
      <c r="H133" s="750"/>
      <c r="I133" s="762"/>
      <c r="J133" s="750"/>
      <c r="K133" s="750"/>
      <c r="L133" s="750"/>
      <c r="P133" s="816"/>
      <c r="Q133" s="816"/>
      <c r="R133" s="816"/>
      <c r="S133" s="816"/>
    </row>
    <row r="134" spans="5:19" s="813" customFormat="1">
      <c r="E134" s="807"/>
      <c r="F134" s="814"/>
      <c r="G134" s="750"/>
      <c r="H134" s="750"/>
      <c r="I134" s="762"/>
      <c r="J134" s="750"/>
      <c r="K134" s="750"/>
      <c r="L134" s="750"/>
      <c r="P134" s="816"/>
      <c r="Q134" s="816"/>
      <c r="R134" s="816"/>
      <c r="S134" s="816"/>
    </row>
    <row r="135" spans="5:19" s="813" customFormat="1">
      <c r="E135" s="807"/>
      <c r="F135" s="814"/>
      <c r="G135" s="750"/>
      <c r="H135" s="750"/>
      <c r="I135" s="762"/>
      <c r="J135" s="750"/>
      <c r="K135" s="750"/>
      <c r="L135" s="750"/>
      <c r="P135" s="816"/>
      <c r="Q135" s="816"/>
      <c r="R135" s="816"/>
      <c r="S135" s="816"/>
    </row>
    <row r="136" spans="5:19" s="813" customFormat="1">
      <c r="E136" s="807"/>
      <c r="F136" s="814"/>
      <c r="G136" s="750"/>
      <c r="H136" s="750"/>
      <c r="I136" s="762"/>
      <c r="J136" s="750"/>
      <c r="K136" s="750"/>
      <c r="L136" s="750"/>
      <c r="P136" s="816"/>
      <c r="Q136" s="816"/>
      <c r="R136" s="816"/>
      <c r="S136" s="816"/>
    </row>
    <row r="137" spans="5:19" s="813" customFormat="1">
      <c r="E137" s="807"/>
      <c r="F137" s="814"/>
      <c r="G137" s="750"/>
      <c r="H137" s="750"/>
      <c r="I137" s="762"/>
      <c r="J137" s="750"/>
      <c r="K137" s="750"/>
      <c r="L137" s="750"/>
      <c r="P137" s="816"/>
      <c r="Q137" s="816"/>
      <c r="R137" s="816"/>
      <c r="S137" s="816"/>
    </row>
    <row r="138" spans="5:19" s="813" customFormat="1">
      <c r="E138" s="807"/>
      <c r="F138" s="814"/>
      <c r="G138" s="750"/>
      <c r="H138" s="750"/>
      <c r="I138" s="762"/>
      <c r="J138" s="750"/>
      <c r="K138" s="750"/>
      <c r="L138" s="750"/>
      <c r="P138" s="816"/>
      <c r="Q138" s="816"/>
      <c r="R138" s="816"/>
      <c r="S138" s="816"/>
    </row>
    <row r="139" spans="5:19" s="813" customFormat="1">
      <c r="E139" s="807"/>
      <c r="F139" s="814"/>
      <c r="G139" s="750"/>
      <c r="H139" s="750"/>
      <c r="I139" s="762"/>
      <c r="J139" s="750"/>
      <c r="K139" s="750"/>
      <c r="L139" s="750"/>
      <c r="P139" s="816"/>
      <c r="Q139" s="816"/>
      <c r="R139" s="816"/>
      <c r="S139" s="816"/>
    </row>
    <row r="140" spans="5:19" s="813" customFormat="1">
      <c r="E140" s="807"/>
      <c r="F140" s="814"/>
      <c r="G140" s="750"/>
      <c r="H140" s="750"/>
      <c r="I140" s="762"/>
      <c r="J140" s="750"/>
      <c r="K140" s="750"/>
      <c r="L140" s="750"/>
      <c r="P140" s="816"/>
      <c r="Q140" s="816"/>
      <c r="R140" s="816"/>
      <c r="S140" s="816"/>
    </row>
    <row r="141" spans="5:19" s="813" customFormat="1">
      <c r="E141" s="807"/>
      <c r="F141" s="814"/>
      <c r="G141" s="750"/>
      <c r="H141" s="750"/>
      <c r="I141" s="762"/>
      <c r="J141" s="750"/>
      <c r="K141" s="750"/>
      <c r="L141" s="750"/>
      <c r="P141" s="816"/>
      <c r="Q141" s="816"/>
      <c r="R141" s="816"/>
      <c r="S141" s="816"/>
    </row>
    <row r="142" spans="5:19" s="813" customFormat="1">
      <c r="E142" s="807"/>
      <c r="F142" s="814"/>
      <c r="G142" s="750"/>
      <c r="H142" s="750"/>
      <c r="I142" s="762"/>
      <c r="J142" s="750"/>
      <c r="K142" s="750"/>
      <c r="L142" s="750"/>
      <c r="P142" s="816"/>
      <c r="Q142" s="816"/>
      <c r="R142" s="816"/>
      <c r="S142" s="816"/>
    </row>
    <row r="143" spans="5:19" s="813" customFormat="1">
      <c r="E143" s="807"/>
      <c r="F143" s="814"/>
      <c r="G143" s="750"/>
      <c r="H143" s="750"/>
      <c r="I143" s="762"/>
      <c r="J143" s="750"/>
      <c r="K143" s="750"/>
      <c r="L143" s="750"/>
      <c r="P143" s="816"/>
      <c r="Q143" s="816"/>
      <c r="R143" s="816"/>
      <c r="S143" s="816"/>
    </row>
    <row r="144" spans="5:19" s="813" customFormat="1">
      <c r="E144" s="807"/>
      <c r="F144" s="814"/>
      <c r="G144" s="750"/>
      <c r="H144" s="750"/>
      <c r="I144" s="762"/>
      <c r="J144" s="750"/>
      <c r="K144" s="750"/>
      <c r="L144" s="750"/>
      <c r="P144" s="816"/>
      <c r="Q144" s="816"/>
      <c r="R144" s="816"/>
      <c r="S144" s="816"/>
    </row>
    <row r="145" spans="1:19" s="813" customFormat="1">
      <c r="E145" s="807"/>
      <c r="F145" s="814"/>
      <c r="G145" s="750"/>
      <c r="H145" s="750"/>
      <c r="I145" s="762"/>
      <c r="J145" s="750"/>
      <c r="K145" s="750"/>
      <c r="L145" s="750"/>
      <c r="P145" s="816"/>
      <c r="Q145" s="816"/>
      <c r="R145" s="816"/>
      <c r="S145" s="816"/>
    </row>
    <row r="146" spans="1:19" s="813" customFormat="1">
      <c r="E146" s="807"/>
      <c r="F146" s="814"/>
      <c r="G146" s="750"/>
      <c r="H146" s="750"/>
      <c r="I146" s="762"/>
      <c r="J146" s="750"/>
      <c r="K146" s="750"/>
      <c r="L146" s="750"/>
      <c r="P146" s="816"/>
      <c r="Q146" s="816"/>
      <c r="R146" s="816"/>
      <c r="S146" s="816"/>
    </row>
    <row r="147" spans="1:19">
      <c r="A147" s="813"/>
      <c r="B147" s="813"/>
      <c r="C147" s="813"/>
      <c r="D147" s="813"/>
      <c r="E147" s="807"/>
      <c r="F147" s="814"/>
      <c r="G147" s="750"/>
      <c r="H147" s="750"/>
      <c r="I147" s="762"/>
      <c r="J147" s="750"/>
      <c r="K147" s="750"/>
      <c r="L147" s="750"/>
      <c r="M147" s="813"/>
      <c r="N147" s="813"/>
      <c r="O147" s="813"/>
      <c r="P147" s="816"/>
      <c r="Q147" s="816"/>
    </row>
    <row r="148" spans="1:19">
      <c r="A148" s="813"/>
      <c r="B148" s="813"/>
      <c r="C148" s="813"/>
      <c r="D148" s="813"/>
      <c r="E148" s="807"/>
      <c r="F148" s="814"/>
      <c r="G148" s="750"/>
      <c r="H148" s="750"/>
      <c r="I148" s="762"/>
      <c r="J148" s="750"/>
      <c r="K148" s="750"/>
      <c r="L148" s="750"/>
      <c r="M148" s="813"/>
      <c r="N148" s="813"/>
      <c r="O148" s="813"/>
      <c r="P148" s="816"/>
      <c r="Q148" s="816"/>
    </row>
    <row r="149" spans="1:19">
      <c r="A149" s="813"/>
      <c r="B149" s="813"/>
      <c r="C149" s="813"/>
      <c r="D149" s="813"/>
      <c r="E149" s="807"/>
      <c r="F149" s="814"/>
      <c r="G149" s="750"/>
      <c r="H149" s="750"/>
      <c r="I149" s="762"/>
      <c r="J149" s="750"/>
      <c r="K149" s="750"/>
      <c r="L149" s="750"/>
      <c r="M149" s="813"/>
      <c r="N149" s="813"/>
      <c r="O149" s="813"/>
      <c r="P149" s="816"/>
      <c r="Q149" s="816"/>
    </row>
    <row r="150" spans="1:19">
      <c r="A150" s="813"/>
      <c r="B150" s="813"/>
      <c r="C150" s="813"/>
      <c r="D150" s="813"/>
      <c r="E150" s="807"/>
      <c r="F150" s="814"/>
      <c r="G150" s="750"/>
      <c r="H150" s="750"/>
      <c r="I150" s="762"/>
      <c r="J150" s="750"/>
      <c r="K150" s="750"/>
      <c r="L150" s="750"/>
      <c r="M150" s="813"/>
      <c r="N150" s="813"/>
      <c r="O150" s="813"/>
      <c r="P150" s="816"/>
      <c r="Q150" s="816"/>
    </row>
    <row r="151" spans="1:19">
      <c r="A151" s="813"/>
      <c r="B151" s="813"/>
      <c r="C151" s="813"/>
      <c r="D151" s="813"/>
      <c r="E151" s="807"/>
      <c r="F151" s="814"/>
      <c r="G151" s="750"/>
      <c r="H151" s="750"/>
      <c r="I151" s="762"/>
      <c r="J151" s="750"/>
      <c r="K151" s="750"/>
      <c r="L151" s="750"/>
      <c r="M151" s="813"/>
      <c r="N151" s="813"/>
      <c r="O151" s="813"/>
      <c r="P151" s="816"/>
      <c r="Q151" s="816"/>
    </row>
    <row r="152" spans="1:19">
      <c r="A152" s="813"/>
      <c r="B152" s="813"/>
      <c r="C152" s="813"/>
      <c r="D152" s="813"/>
      <c r="E152" s="807"/>
      <c r="F152" s="814"/>
      <c r="G152" s="750"/>
      <c r="H152" s="750"/>
      <c r="I152" s="762"/>
      <c r="J152" s="750"/>
      <c r="K152" s="750"/>
      <c r="L152" s="750"/>
      <c r="M152" s="813"/>
    </row>
    <row r="153" spans="1:19">
      <c r="A153" s="813"/>
      <c r="B153" s="813"/>
      <c r="C153" s="813"/>
      <c r="D153" s="813"/>
      <c r="E153" s="807"/>
      <c r="F153" s="814"/>
      <c r="G153" s="750"/>
      <c r="H153" s="750"/>
      <c r="I153" s="762"/>
      <c r="J153" s="750"/>
      <c r="K153" s="750"/>
      <c r="L153" s="750"/>
      <c r="M153" s="813"/>
    </row>
    <row r="154" spans="1:19">
      <c r="A154" s="813"/>
      <c r="B154" s="813"/>
      <c r="C154" s="813"/>
      <c r="D154" s="813"/>
      <c r="E154" s="807"/>
      <c r="F154" s="814"/>
      <c r="G154" s="750"/>
      <c r="H154" s="750"/>
      <c r="I154" s="762"/>
      <c r="J154" s="750"/>
      <c r="K154" s="750"/>
      <c r="L154" s="750"/>
      <c r="M154" s="813"/>
    </row>
    <row r="155" spans="1:19">
      <c r="A155" s="813"/>
      <c r="B155" s="813"/>
      <c r="C155" s="813"/>
      <c r="D155" s="813"/>
      <c r="E155" s="807"/>
      <c r="F155" s="814"/>
      <c r="G155" s="750"/>
      <c r="H155" s="750"/>
      <c r="I155" s="762"/>
      <c r="J155" s="750"/>
      <c r="K155" s="750"/>
      <c r="L155" s="750"/>
      <c r="M155" s="813"/>
    </row>
    <row r="156" spans="1:19">
      <c r="J156" s="750"/>
      <c r="K156" s="750"/>
      <c r="L156" s="750"/>
      <c r="M156" s="813"/>
    </row>
    <row r="157" spans="1:19">
      <c r="J157" s="750"/>
      <c r="K157" s="750"/>
      <c r="L157" s="750"/>
      <c r="M157" s="813"/>
    </row>
    <row r="158" spans="1:19">
      <c r="J158" s="750"/>
      <c r="K158" s="750"/>
      <c r="L158" s="750"/>
      <c r="M158" s="813"/>
    </row>
    <row r="159" spans="1:19">
      <c r="J159" s="750"/>
      <c r="K159" s="750"/>
      <c r="L159" s="750"/>
      <c r="M159" s="813"/>
    </row>
    <row r="160" spans="1:19">
      <c r="J160" s="750"/>
      <c r="K160" s="750"/>
      <c r="L160" s="750"/>
      <c r="M160" s="813"/>
    </row>
    <row r="161" spans="10:13">
      <c r="J161" s="750"/>
      <c r="K161" s="750"/>
      <c r="L161" s="750"/>
      <c r="M161" s="813"/>
    </row>
    <row r="162" spans="10:13">
      <c r="K162" s="750"/>
      <c r="L162" s="750"/>
      <c r="M162" s="813"/>
    </row>
    <row r="163" spans="10:13">
      <c r="K163" s="750"/>
      <c r="L163" s="750"/>
      <c r="M163" s="813"/>
    </row>
    <row r="164" spans="10:13">
      <c r="K164" s="750"/>
      <c r="L164" s="750"/>
      <c r="M164" s="813"/>
    </row>
    <row r="165" spans="10:13">
      <c r="L165" s="750"/>
      <c r="M165" s="813"/>
    </row>
    <row r="166" spans="10:13">
      <c r="L166" s="750"/>
      <c r="M166" s="813"/>
    </row>
    <row r="167" spans="10:13">
      <c r="L167" s="750"/>
    </row>
    <row r="168" spans="10:13">
      <c r="L168" s="750"/>
    </row>
    <row r="169" spans="10:13">
      <c r="L169" s="750"/>
    </row>
  </sheetData>
  <mergeCells count="5">
    <mergeCell ref="A7:L7"/>
    <mergeCell ref="M7:O7"/>
    <mergeCell ref="U7:V7"/>
    <mergeCell ref="D9:F9"/>
    <mergeCell ref="H9:K9"/>
  </mergeCells>
  <conditionalFormatting sqref="Z9:Z57 P58:P74">
    <cfRule type="aboveAverage" dxfId="7" priority="1" aboveAverage="0" stdDev="1"/>
    <cfRule type="aboveAverage" dxfId="6" priority="2" stdDev="1"/>
  </conditionalFormatting>
  <dataValidations count="1">
    <dataValidation type="list" allowBlank="1" showInputMessage="1" showErrorMessage="1" sqref="B5" xr:uid="{4E7F95F6-9E56-4AE0-850D-BF87B3ED3BC0}">
      <formula1>$AB$5:$AB$8</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A8C1-D2ED-4174-98D4-811AAA3A10BB}">
  <dimension ref="A1:Z133"/>
  <sheetViews>
    <sheetView workbookViewId="0">
      <selection activeCell="I3" sqref="I3"/>
    </sheetView>
  </sheetViews>
  <sheetFormatPr defaultColWidth="7.85546875" defaultRowHeight="11.25"/>
  <cols>
    <col min="1" max="1" width="15.7109375" style="750" bestFit="1" customWidth="1"/>
    <col min="2" max="2" width="9.5703125" style="750" bestFit="1" customWidth="1"/>
    <col min="3" max="3" width="5.140625" style="817" customWidth="1"/>
    <col min="4" max="6" width="7.7109375" style="817" customWidth="1"/>
    <col min="7" max="7" width="12" style="813" bestFit="1" customWidth="1"/>
    <col min="8" max="8" width="9.28515625" style="816" customWidth="1"/>
    <col min="9" max="10" width="8.42578125" style="813" bestFit="1" customWidth="1"/>
    <col min="11" max="11" width="8.42578125" style="807" bestFit="1" customWidth="1"/>
    <col min="12" max="12" width="13.7109375" style="814" bestFit="1" customWidth="1"/>
    <col min="13" max="13" width="6.28515625" style="750" bestFit="1" customWidth="1"/>
    <col min="14" max="14" width="5.7109375" style="750" bestFit="1" customWidth="1"/>
    <col min="15" max="15" width="5.85546875" style="762" bestFit="1" customWidth="1"/>
    <col min="16" max="16" width="5.85546875" style="643" bestFit="1" customWidth="1"/>
    <col min="17" max="17" width="14" style="810" bestFit="1" customWidth="1"/>
    <col min="18" max="18" width="6" style="810" bestFit="1" customWidth="1"/>
    <col min="19" max="19" width="8.7109375" style="810" bestFit="1" customWidth="1"/>
    <col min="20" max="21" width="17.28515625" style="750" bestFit="1" customWidth="1"/>
    <col min="22" max="22" width="9.28515625" style="750" bestFit="1" customWidth="1"/>
    <col min="23" max="27" width="5.28515625" style="750" customWidth="1"/>
    <col min="28" max="28" width="17" style="750" customWidth="1"/>
    <col min="29" max="16384" width="7.85546875" style="750"/>
  </cols>
  <sheetData>
    <row r="1" spans="1:24" s="585" customFormat="1" ht="12.75">
      <c r="A1" s="577" t="s">
        <v>133</v>
      </c>
      <c r="B1" s="578" t="s">
        <v>189</v>
      </c>
      <c r="C1" s="579"/>
      <c r="D1" s="578"/>
      <c r="E1" s="580"/>
      <c r="F1" s="580"/>
      <c r="G1" s="581"/>
      <c r="H1" s="582" t="s">
        <v>134</v>
      </c>
      <c r="I1" s="583">
        <f>C18</f>
        <v>150</v>
      </c>
      <c r="J1" s="584"/>
      <c r="K1" s="578"/>
      <c r="L1" s="578"/>
      <c r="N1" s="586"/>
      <c r="P1" s="587"/>
      <c r="Q1" s="587"/>
      <c r="R1" s="587"/>
      <c r="S1" s="587"/>
    </row>
    <row r="2" spans="1:24" s="585" customFormat="1" ht="12.75">
      <c r="A2" s="588" t="s">
        <v>135</v>
      </c>
      <c r="B2" s="931" t="s">
        <v>60</v>
      </c>
      <c r="C2" s="589"/>
      <c r="D2" s="578"/>
      <c r="E2" s="590"/>
      <c r="F2" s="590"/>
      <c r="G2" s="591"/>
      <c r="H2" s="592" t="s">
        <v>136</v>
      </c>
      <c r="I2" s="593">
        <f>V17</f>
        <v>94</v>
      </c>
      <c r="J2" s="594"/>
      <c r="K2" s="578"/>
      <c r="L2" s="578"/>
      <c r="N2" s="595"/>
      <c r="P2" s="587"/>
      <c r="Q2" s="587"/>
      <c r="R2" s="587"/>
      <c r="S2" s="587"/>
    </row>
    <row r="3" spans="1:24" s="599" customFormat="1" ht="11.25" customHeight="1">
      <c r="A3" s="596" t="s">
        <v>137</v>
      </c>
      <c r="B3" s="818">
        <v>45174</v>
      </c>
      <c r="C3" s="589"/>
      <c r="D3" s="590"/>
      <c r="E3" s="590"/>
      <c r="F3" s="590"/>
      <c r="G3" s="591"/>
      <c r="H3" s="596" t="s">
        <v>138</v>
      </c>
      <c r="I3" s="598">
        <f>V17/100</f>
        <v>0.94</v>
      </c>
      <c r="J3" s="594"/>
      <c r="K3" s="578"/>
      <c r="L3" s="578"/>
      <c r="N3" s="600"/>
      <c r="P3" s="601"/>
      <c r="Q3" s="601"/>
      <c r="R3" s="601"/>
      <c r="S3" s="601"/>
    </row>
    <row r="4" spans="1:24" s="585" customFormat="1" ht="12.75">
      <c r="A4" s="596" t="s">
        <v>139</v>
      </c>
      <c r="B4" s="597" t="s">
        <v>195</v>
      </c>
      <c r="C4" s="589"/>
      <c r="D4" s="590"/>
      <c r="E4" s="590"/>
      <c r="F4" s="590"/>
      <c r="G4" s="591"/>
      <c r="H4" s="596" t="s">
        <v>140</v>
      </c>
      <c r="I4" s="602">
        <f>S17</f>
        <v>0.61147357107386857</v>
      </c>
      <c r="J4" s="594"/>
      <c r="K4" s="578"/>
      <c r="L4" s="578"/>
      <c r="M4" s="586"/>
      <c r="N4" s="586"/>
      <c r="P4" s="587"/>
      <c r="Q4" s="587"/>
      <c r="R4" s="587"/>
      <c r="S4" s="587"/>
    </row>
    <row r="5" spans="1:24" s="606" customFormat="1" ht="12.75">
      <c r="A5" s="588" t="s">
        <v>141</v>
      </c>
      <c r="B5" s="603" t="s">
        <v>142</v>
      </c>
      <c r="C5" s="589"/>
      <c r="D5" s="590"/>
      <c r="E5" s="590"/>
      <c r="F5" s="590"/>
      <c r="G5" s="591"/>
      <c r="H5" s="596"/>
      <c r="I5" s="604"/>
      <c r="J5" s="594"/>
      <c r="K5" s="578"/>
      <c r="L5" s="578"/>
      <c r="M5" s="605"/>
      <c r="N5" s="605"/>
      <c r="P5" s="607"/>
      <c r="Q5" s="607"/>
      <c r="R5" s="607"/>
      <c r="S5" s="607"/>
    </row>
    <row r="6" spans="1:24" s="605" customFormat="1" ht="13.5" thickBot="1">
      <c r="A6" s="608"/>
      <c r="B6" s="609"/>
      <c r="C6" s="610"/>
      <c r="D6" s="611"/>
      <c r="E6" s="611"/>
      <c r="F6" s="611"/>
      <c r="G6" s="612"/>
      <c r="H6" s="613"/>
      <c r="I6" s="614"/>
      <c r="J6" s="612"/>
      <c r="K6" s="609"/>
      <c r="L6" s="609"/>
      <c r="M6" s="615"/>
      <c r="P6" s="616"/>
      <c r="Q6" s="616"/>
      <c r="R6" s="616"/>
      <c r="S6" s="616"/>
    </row>
    <row r="7" spans="1:24" s="606" customFormat="1" ht="13.15" customHeight="1">
      <c r="A7" s="962" t="s">
        <v>143</v>
      </c>
      <c r="B7" s="963"/>
      <c r="C7" s="963"/>
      <c r="D7" s="963"/>
      <c r="E7" s="963"/>
      <c r="F7" s="963"/>
      <c r="G7" s="963"/>
      <c r="H7" s="963"/>
      <c r="I7" s="963"/>
      <c r="J7" s="963"/>
      <c r="K7" s="963"/>
      <c r="L7" s="963"/>
      <c r="M7" s="966" t="s">
        <v>144</v>
      </c>
      <c r="N7" s="967"/>
      <c r="O7" s="968"/>
      <c r="P7" s="618" t="s">
        <v>145</v>
      </c>
      <c r="Q7" s="619"/>
      <c r="R7" s="618" t="s">
        <v>146</v>
      </c>
      <c r="S7" s="618"/>
      <c r="T7" s="620"/>
      <c r="U7" s="954" t="s">
        <v>147</v>
      </c>
      <c r="V7" s="955"/>
      <c r="W7" s="605"/>
      <c r="X7" s="605"/>
    </row>
    <row r="8" spans="1:24" s="637" customFormat="1">
      <c r="A8" s="621"/>
      <c r="B8" s="615"/>
      <c r="C8" s="622"/>
      <c r="D8" s="623"/>
      <c r="E8" s="624"/>
      <c r="F8" s="625"/>
      <c r="G8" s="626"/>
      <c r="H8" s="627"/>
      <c r="I8" s="627"/>
      <c r="J8" s="627"/>
      <c r="K8" s="627"/>
      <c r="L8" s="628"/>
      <c r="M8" s="629"/>
      <c r="N8" s="630"/>
      <c r="O8" s="631"/>
      <c r="P8" s="632"/>
      <c r="Q8" s="633"/>
      <c r="R8" s="632"/>
      <c r="S8" s="632"/>
      <c r="T8" s="634"/>
      <c r="U8" s="635"/>
      <c r="V8" s="635"/>
      <c r="W8" s="636"/>
    </row>
    <row r="9" spans="1:24" s="648" customFormat="1" ht="13.15" customHeight="1">
      <c r="A9" s="638"/>
      <c r="B9" s="605"/>
      <c r="C9" s="639"/>
      <c r="D9" s="956" t="s">
        <v>148</v>
      </c>
      <c r="E9" s="957"/>
      <c r="F9" s="958"/>
      <c r="G9" s="640"/>
      <c r="H9" s="959" t="s">
        <v>149</v>
      </c>
      <c r="I9" s="960"/>
      <c r="J9" s="960"/>
      <c r="K9" s="961"/>
      <c r="L9" s="914"/>
      <c r="M9" s="642"/>
      <c r="N9" s="630" t="s">
        <v>150</v>
      </c>
      <c r="O9" s="631"/>
      <c r="P9" s="632"/>
      <c r="Q9" s="633"/>
      <c r="R9" s="643"/>
      <c r="S9" s="643"/>
      <c r="T9" s="634"/>
      <c r="U9" s="644"/>
      <c r="V9" s="645"/>
      <c r="W9" s="646"/>
      <c r="X9" s="647"/>
    </row>
    <row r="10" spans="1:24" s="648" customFormat="1">
      <c r="A10" s="649" t="s">
        <v>151</v>
      </c>
      <c r="B10" s="650" t="s">
        <v>51</v>
      </c>
      <c r="C10" s="651" t="s">
        <v>152</v>
      </c>
      <c r="D10" s="652" t="s">
        <v>153</v>
      </c>
      <c r="E10" s="653" t="s">
        <v>154</v>
      </c>
      <c r="F10" s="654" t="s">
        <v>155</v>
      </c>
      <c r="G10" s="640" t="s">
        <v>156</v>
      </c>
      <c r="H10" s="915" t="s">
        <v>157</v>
      </c>
      <c r="I10" s="915" t="s">
        <v>158</v>
      </c>
      <c r="J10" s="915" t="s">
        <v>159</v>
      </c>
      <c r="K10" s="915" t="s">
        <v>160</v>
      </c>
      <c r="L10" s="914" t="s">
        <v>161</v>
      </c>
      <c r="M10" s="656" t="s">
        <v>162</v>
      </c>
      <c r="N10" s="657" t="s">
        <v>163</v>
      </c>
      <c r="O10" s="658" t="s">
        <v>164</v>
      </c>
      <c r="P10" s="659" t="s">
        <v>165</v>
      </c>
      <c r="Q10" s="633" t="s">
        <v>166</v>
      </c>
      <c r="R10" s="659" t="s">
        <v>166</v>
      </c>
      <c r="S10" s="659" t="s">
        <v>165</v>
      </c>
      <c r="T10" s="660" t="s">
        <v>167</v>
      </c>
      <c r="U10" s="644" t="s">
        <v>168</v>
      </c>
      <c r="V10" s="644" t="s">
        <v>169</v>
      </c>
      <c r="W10" s="661"/>
    </row>
    <row r="11" spans="1:24" s="648" customFormat="1" ht="12" thickBot="1">
      <c r="A11" s="662" t="s">
        <v>170</v>
      </c>
      <c r="B11" s="663" t="s">
        <v>170</v>
      </c>
      <c r="C11" s="664" t="s">
        <v>171</v>
      </c>
      <c r="D11" s="665" t="s">
        <v>172</v>
      </c>
      <c r="E11" s="666" t="s">
        <v>172</v>
      </c>
      <c r="F11" s="667" t="s">
        <v>172</v>
      </c>
      <c r="G11" s="668" t="s">
        <v>172</v>
      </c>
      <c r="H11" s="669" t="s">
        <v>172</v>
      </c>
      <c r="I11" s="669" t="s">
        <v>172</v>
      </c>
      <c r="J11" s="669" t="s">
        <v>172</v>
      </c>
      <c r="K11" s="669" t="s">
        <v>172</v>
      </c>
      <c r="L11" s="670" t="s">
        <v>172</v>
      </c>
      <c r="M11" s="671" t="s">
        <v>173</v>
      </c>
      <c r="N11" s="672" t="s">
        <v>171</v>
      </c>
      <c r="O11" s="673" t="s">
        <v>171</v>
      </c>
      <c r="P11" s="674" t="s">
        <v>174</v>
      </c>
      <c r="Q11" s="675" t="s">
        <v>175</v>
      </c>
      <c r="R11" s="676" t="s">
        <v>36</v>
      </c>
      <c r="S11" s="676" t="s">
        <v>176</v>
      </c>
      <c r="T11" s="677"/>
      <c r="U11" s="678"/>
      <c r="V11" s="679" t="s">
        <v>172</v>
      </c>
      <c r="W11" s="661"/>
    </row>
    <row r="12" spans="1:24" s="648" customFormat="1">
      <c r="A12" s="680" t="s">
        <v>177</v>
      </c>
      <c r="B12" s="681"/>
      <c r="C12" s="682">
        <v>0</v>
      </c>
      <c r="D12" s="683" t="s">
        <v>178</v>
      </c>
      <c r="E12" s="684" t="s">
        <v>178</v>
      </c>
      <c r="F12" s="685" t="s">
        <v>178</v>
      </c>
      <c r="G12" s="686" t="s">
        <v>178</v>
      </c>
      <c r="H12" s="684" t="s">
        <v>178</v>
      </c>
      <c r="I12" s="684" t="s">
        <v>178</v>
      </c>
      <c r="J12" s="684" t="s">
        <v>178</v>
      </c>
      <c r="K12" s="684" t="s">
        <v>178</v>
      </c>
      <c r="L12" s="687" t="s">
        <v>178</v>
      </c>
      <c r="M12" s="688"/>
      <c r="N12" s="689"/>
      <c r="O12" s="690"/>
      <c r="P12" s="691"/>
      <c r="Q12" s="692"/>
      <c r="R12" s="693"/>
      <c r="S12" s="694"/>
      <c r="T12" s="695"/>
      <c r="U12" s="696" t="s">
        <v>179</v>
      </c>
      <c r="V12" s="697">
        <v>94</v>
      </c>
      <c r="W12" s="698"/>
    </row>
    <row r="13" spans="1:24" s="721" customFormat="1" ht="12" thickBot="1">
      <c r="A13" s="724"/>
      <c r="B13" s="725"/>
      <c r="C13" s="726"/>
      <c r="D13" s="727"/>
      <c r="E13" s="726"/>
      <c r="F13" s="728"/>
      <c r="G13" s="729"/>
      <c r="H13" s="726"/>
      <c r="I13" s="726"/>
      <c r="J13" s="726"/>
      <c r="K13" s="726"/>
      <c r="L13" s="730"/>
      <c r="M13" s="726"/>
      <c r="N13" s="731"/>
      <c r="O13" s="732"/>
      <c r="P13" s="733"/>
      <c r="Q13" s="734"/>
      <c r="R13" s="735"/>
      <c r="S13" s="736"/>
      <c r="T13" s="737"/>
      <c r="U13" s="713" t="s">
        <v>180</v>
      </c>
      <c r="V13" s="738"/>
      <c r="W13" s="739"/>
    </row>
    <row r="14" spans="1:24" s="721" customFormat="1">
      <c r="A14" s="740" t="s">
        <v>182</v>
      </c>
      <c r="B14" s="700"/>
      <c r="C14" s="688"/>
      <c r="D14" s="741"/>
      <c r="E14" s="688"/>
      <c r="F14" s="742"/>
      <c r="G14" s="743"/>
      <c r="H14" s="688"/>
      <c r="I14" s="688"/>
      <c r="J14" s="688"/>
      <c r="K14" s="688"/>
      <c r="L14" s="744"/>
      <c r="M14" s="688"/>
      <c r="N14" s="706"/>
      <c r="O14" s="707"/>
      <c r="P14" s="708"/>
      <c r="Q14" s="709"/>
      <c r="R14" s="710"/>
      <c r="S14" s="711"/>
      <c r="T14" s="722"/>
      <c r="U14" s="713" t="s">
        <v>180</v>
      </c>
      <c r="V14" s="738"/>
      <c r="W14" s="739"/>
    </row>
    <row r="15" spans="1:24" s="721" customFormat="1">
      <c r="A15" s="716">
        <v>705</v>
      </c>
      <c r="B15" s="700">
        <v>0</v>
      </c>
      <c r="C15" s="688">
        <f>C16-D16</f>
        <v>51</v>
      </c>
      <c r="D15" s="745">
        <v>46.5</v>
      </c>
      <c r="E15" s="746"/>
      <c r="F15" s="747"/>
      <c r="G15" s="748">
        <f t="shared" ref="G15:G18" si="0">AVERAGE(D15:F15)</f>
        <v>46.5</v>
      </c>
      <c r="H15" s="746">
        <v>5.7</v>
      </c>
      <c r="I15" s="746"/>
      <c r="J15" s="746"/>
      <c r="K15" s="746"/>
      <c r="L15" s="749">
        <f t="shared" ref="L15:L18" si="1">AVERAGE(H15:K15)</f>
        <v>5.7</v>
      </c>
      <c r="M15" s="688">
        <f>G15*    PI()* (L15/2)^2</f>
        <v>1186.5677642884139</v>
      </c>
      <c r="N15" s="706">
        <v>0</v>
      </c>
      <c r="O15" s="707">
        <f>(C15+C16-G16)/2</f>
        <v>51</v>
      </c>
      <c r="P15" s="708">
        <f>(A15-B15)/M15</f>
        <v>0.59415064290305353</v>
      </c>
      <c r="Q15" s="709">
        <f t="shared" ref="Q15:Q18" si="2">(P15*(O15-N15))/100</f>
        <v>0.30301682788055728</v>
      </c>
      <c r="R15" s="710">
        <f>SUM(Q$13:Q15)</f>
        <v>0.30301682788055728</v>
      </c>
      <c r="S15" s="711">
        <f t="shared" ref="S15:S18" si="3">R15/O15*100</f>
        <v>0.59415064290305353</v>
      </c>
      <c r="T15" s="722"/>
      <c r="U15" s="713" t="s">
        <v>180</v>
      </c>
      <c r="V15" s="738"/>
      <c r="W15" s="739"/>
    </row>
    <row r="16" spans="1:24" s="721" customFormat="1" ht="12" thickBot="1">
      <c r="A16" s="716">
        <v>625</v>
      </c>
      <c r="B16" s="700">
        <v>0</v>
      </c>
      <c r="C16" s="688">
        <v>90</v>
      </c>
      <c r="D16" s="745">
        <v>39</v>
      </c>
      <c r="E16" s="746"/>
      <c r="F16" s="747"/>
      <c r="G16" s="748">
        <f t="shared" si="0"/>
        <v>39</v>
      </c>
      <c r="H16" s="746">
        <v>5.7</v>
      </c>
      <c r="I16" s="746"/>
      <c r="J16" s="746"/>
      <c r="K16" s="746"/>
      <c r="L16" s="749">
        <f t="shared" si="1"/>
        <v>5.7</v>
      </c>
      <c r="M16" s="688">
        <f t="shared" ref="M16:M18" si="4">G16*    PI()* (L16/2)^2</f>
        <v>995.18586682254067</v>
      </c>
      <c r="N16" s="706">
        <f>(C15+C16-G16)/2</f>
        <v>51</v>
      </c>
      <c r="O16" s="707">
        <f t="shared" ref="O16:O17" si="5">(C16+C17-G17)/2</f>
        <v>89.5</v>
      </c>
      <c r="P16" s="708">
        <f>(A16-B16)/M16</f>
        <v>0.62802338822949599</v>
      </c>
      <c r="Q16" s="709">
        <f t="shared" si="2"/>
        <v>0.24178900446835594</v>
      </c>
      <c r="R16" s="710">
        <f>SUM(Q$13:Q16)</f>
        <v>0.54480583234891322</v>
      </c>
      <c r="S16" s="711">
        <f t="shared" si="3"/>
        <v>0.60872160038984724</v>
      </c>
      <c r="T16" s="722"/>
      <c r="U16" s="713" t="s">
        <v>180</v>
      </c>
      <c r="V16" s="714"/>
      <c r="W16" s="739"/>
    </row>
    <row r="17" spans="1:26">
      <c r="A17" s="716">
        <v>85</v>
      </c>
      <c r="B17" s="700">
        <v>0</v>
      </c>
      <c r="C17" s="688">
        <f>C18-D18</f>
        <v>94</v>
      </c>
      <c r="D17" s="745">
        <v>5</v>
      </c>
      <c r="E17" s="746"/>
      <c r="F17" s="747"/>
      <c r="G17" s="748">
        <f t="shared" si="0"/>
        <v>5</v>
      </c>
      <c r="H17" s="746">
        <v>5.7</v>
      </c>
      <c r="I17" s="746"/>
      <c r="J17" s="746"/>
      <c r="K17" s="746"/>
      <c r="L17" s="749">
        <f t="shared" si="1"/>
        <v>5.7</v>
      </c>
      <c r="M17" s="688">
        <f t="shared" si="4"/>
        <v>127.58793164391548</v>
      </c>
      <c r="N17" s="706">
        <f t="shared" ref="N17:N18" si="6">(C16+C17-G17)/2</f>
        <v>89.5</v>
      </c>
      <c r="O17" s="707">
        <f t="shared" si="5"/>
        <v>94</v>
      </c>
      <c r="P17" s="708">
        <f t="shared" ref="P17:P18" si="7">(A17-B17)/M17</f>
        <v>0.66620721023384932</v>
      </c>
      <c r="Q17" s="709">
        <f t="shared" si="2"/>
        <v>2.9979324460523218E-2</v>
      </c>
      <c r="R17" s="710">
        <f>SUM(Q$13:Q17)</f>
        <v>0.57478515680943643</v>
      </c>
      <c r="S17" s="711">
        <f t="shared" si="3"/>
        <v>0.61147357107386857</v>
      </c>
      <c r="T17" s="722"/>
      <c r="U17" s="760" t="s">
        <v>183</v>
      </c>
      <c r="V17" s="761">
        <f>AVERAGE(V12:V16)</f>
        <v>94</v>
      </c>
    </row>
    <row r="18" spans="1:26">
      <c r="A18" s="716">
        <v>860</v>
      </c>
      <c r="B18" s="700">
        <v>0</v>
      </c>
      <c r="C18" s="688">
        <v>150</v>
      </c>
      <c r="D18" s="745">
        <v>56</v>
      </c>
      <c r="E18" s="746"/>
      <c r="F18" s="747"/>
      <c r="G18" s="748">
        <f t="shared" si="0"/>
        <v>56</v>
      </c>
      <c r="H18" s="746">
        <v>5.7</v>
      </c>
      <c r="I18" s="746"/>
      <c r="J18" s="746"/>
      <c r="K18" s="746"/>
      <c r="L18" s="749">
        <f t="shared" si="1"/>
        <v>5.7</v>
      </c>
      <c r="M18" s="688">
        <f t="shared" si="4"/>
        <v>1428.9848344118534</v>
      </c>
      <c r="N18" s="706">
        <f t="shared" si="6"/>
        <v>94</v>
      </c>
      <c r="O18" s="707">
        <f>C18</f>
        <v>150</v>
      </c>
      <c r="P18" s="708">
        <f t="shared" si="7"/>
        <v>0.60182584117763704</v>
      </c>
      <c r="Q18" s="709">
        <f t="shared" si="2"/>
        <v>0.33702247105947675</v>
      </c>
      <c r="R18" s="710">
        <f>SUM(Q$13:Q18)</f>
        <v>0.91180762786891312</v>
      </c>
      <c r="S18" s="711">
        <f t="shared" si="3"/>
        <v>0.60787175191260878</v>
      </c>
      <c r="T18" s="722"/>
      <c r="U18" s="586" t="s">
        <v>184</v>
      </c>
      <c r="V18" s="759" t="e">
        <f>STDEV(V12:V16)</f>
        <v>#DIV/0!</v>
      </c>
      <c r="W18" s="762"/>
      <c r="X18" s="762"/>
    </row>
    <row r="19" spans="1:26">
      <c r="A19" s="763" t="s">
        <v>185</v>
      </c>
      <c r="B19" s="764"/>
      <c r="C19" s="765"/>
      <c r="D19" s="765"/>
      <c r="E19" s="765"/>
      <c r="F19" s="765"/>
      <c r="G19" s="766"/>
      <c r="H19" s="765"/>
      <c r="I19" s="765"/>
      <c r="J19" s="765"/>
      <c r="K19" s="765"/>
      <c r="L19" s="767"/>
      <c r="M19" s="765"/>
      <c r="N19" s="768"/>
      <c r="O19" s="769"/>
      <c r="P19" s="770"/>
      <c r="Q19" s="771"/>
      <c r="R19" s="772"/>
      <c r="S19" s="773"/>
      <c r="T19" s="774"/>
      <c r="U19" s="586" t="s">
        <v>186</v>
      </c>
      <c r="V19" s="759" t="e">
        <f>V18/SQRT(COUNT(V12:V16))</f>
        <v>#DIV/0!</v>
      </c>
      <c r="W19" s="757"/>
      <c r="X19" s="762"/>
      <c r="Y19" s="762"/>
      <c r="Z19" s="762"/>
    </row>
    <row r="20" spans="1:26">
      <c r="A20" s="775"/>
      <c r="B20" s="776"/>
      <c r="C20" s="777"/>
      <c r="D20" s="777"/>
      <c r="E20" s="777"/>
      <c r="F20" s="777"/>
      <c r="G20" s="778"/>
      <c r="H20" s="777"/>
      <c r="I20" s="777"/>
      <c r="J20" s="777"/>
      <c r="K20" s="777"/>
      <c r="L20" s="779"/>
      <c r="M20" s="777"/>
      <c r="N20" s="780"/>
      <c r="O20" s="781"/>
      <c r="P20" s="782"/>
      <c r="Q20" s="783"/>
      <c r="R20" s="784"/>
      <c r="S20" s="785"/>
      <c r="T20" s="786"/>
      <c r="U20" s="586" t="s">
        <v>187</v>
      </c>
      <c r="V20" s="759">
        <f>MAX(V12:V16)</f>
        <v>94</v>
      </c>
      <c r="W20" s="757"/>
    </row>
    <row r="21" spans="1:26" ht="12" thickBot="1">
      <c r="A21" s="787"/>
      <c r="B21" s="788"/>
      <c r="C21" s="789"/>
      <c r="D21" s="789"/>
      <c r="E21" s="789"/>
      <c r="F21" s="789"/>
      <c r="G21" s="790"/>
      <c r="H21" s="789"/>
      <c r="I21" s="789"/>
      <c r="J21" s="789"/>
      <c r="K21" s="789"/>
      <c r="L21" s="791"/>
      <c r="M21" s="789"/>
      <c r="N21" s="792"/>
      <c r="O21" s="793"/>
      <c r="P21" s="794"/>
      <c r="Q21" s="795"/>
      <c r="R21" s="796"/>
      <c r="S21" s="797"/>
      <c r="T21" s="798"/>
      <c r="U21" s="799" t="s">
        <v>188</v>
      </c>
      <c r="V21" s="800">
        <f>MIN(V12:V16)</f>
        <v>94</v>
      </c>
      <c r="W21" s="762"/>
    </row>
    <row r="22" spans="1:26">
      <c r="A22" s="801"/>
      <c r="B22" s="801"/>
      <c r="C22" s="802"/>
      <c r="D22" s="803"/>
      <c r="E22" s="803"/>
      <c r="F22" s="803"/>
      <c r="G22" s="804"/>
      <c r="H22" s="805"/>
      <c r="I22" s="806"/>
      <c r="J22" s="807"/>
      <c r="K22" s="808"/>
      <c r="L22" s="809"/>
      <c r="M22" s="762"/>
      <c r="O22" s="750"/>
      <c r="P22" s="810"/>
    </row>
    <row r="23" spans="1:26">
      <c r="A23" s="762"/>
      <c r="B23" s="762"/>
      <c r="C23" s="811"/>
      <c r="D23" s="811"/>
      <c r="E23" s="811"/>
      <c r="F23" s="811"/>
      <c r="G23" s="806"/>
      <c r="H23" s="805"/>
      <c r="I23" s="806"/>
      <c r="J23" s="807"/>
      <c r="K23" s="812"/>
      <c r="L23" s="809"/>
      <c r="M23" s="762"/>
      <c r="O23" s="750"/>
      <c r="P23" s="810"/>
    </row>
    <row r="24" spans="1:26">
      <c r="A24" s="813"/>
      <c r="B24" s="813"/>
      <c r="C24" s="813"/>
      <c r="D24" s="813"/>
      <c r="E24" s="807"/>
      <c r="F24" s="814"/>
      <c r="G24" s="762"/>
      <c r="H24" s="750"/>
      <c r="I24" s="762"/>
      <c r="J24" s="750"/>
      <c r="K24" s="750"/>
      <c r="L24" s="762"/>
      <c r="M24" s="762"/>
      <c r="O24" s="750"/>
      <c r="P24" s="810"/>
    </row>
    <row r="25" spans="1:26">
      <c r="A25" s="815"/>
      <c r="B25" s="815"/>
      <c r="C25" s="813"/>
      <c r="D25" s="813"/>
      <c r="E25" s="807"/>
      <c r="F25" s="814"/>
      <c r="G25" s="750"/>
      <c r="H25" s="750"/>
      <c r="I25" s="762"/>
      <c r="J25" s="750"/>
      <c r="K25" s="750"/>
      <c r="L25" s="762"/>
      <c r="M25" s="762"/>
      <c r="O25" s="750"/>
      <c r="P25" s="810"/>
    </row>
    <row r="26" spans="1:26">
      <c r="A26" s="659"/>
      <c r="B26" s="659"/>
      <c r="C26" s="813"/>
      <c r="D26" s="813"/>
      <c r="E26" s="807"/>
      <c r="F26" s="814"/>
      <c r="G26" s="750"/>
      <c r="H26" s="750"/>
      <c r="I26" s="762"/>
      <c r="J26" s="750"/>
      <c r="K26" s="750"/>
      <c r="L26" s="762"/>
      <c r="M26" s="762"/>
      <c r="O26" s="750"/>
      <c r="P26" s="810"/>
    </row>
    <row r="27" spans="1:26">
      <c r="A27" s="813"/>
      <c r="B27" s="813"/>
      <c r="C27" s="813"/>
      <c r="D27" s="813"/>
      <c r="E27" s="807"/>
      <c r="F27" s="814"/>
      <c r="G27" s="750"/>
      <c r="H27" s="750"/>
      <c r="I27" s="762"/>
      <c r="J27" s="750"/>
      <c r="K27" s="750"/>
      <c r="L27" s="762"/>
      <c r="M27" s="762"/>
      <c r="O27" s="750"/>
      <c r="P27" s="810"/>
    </row>
    <row r="28" spans="1:26">
      <c r="A28" s="813"/>
      <c r="B28" s="813"/>
      <c r="C28" s="813"/>
      <c r="D28" s="813"/>
      <c r="E28" s="807"/>
      <c r="F28" s="814"/>
      <c r="G28" s="750"/>
      <c r="H28" s="750"/>
      <c r="I28" s="762"/>
      <c r="J28" s="806"/>
      <c r="K28" s="750"/>
      <c r="L28" s="762"/>
      <c r="M28" s="762"/>
      <c r="O28" s="750"/>
      <c r="P28" s="810"/>
    </row>
    <row r="29" spans="1:26">
      <c r="A29" s="813"/>
      <c r="B29" s="813"/>
      <c r="C29" s="813"/>
      <c r="D29" s="813"/>
      <c r="E29" s="807"/>
      <c r="F29" s="814"/>
      <c r="G29" s="750"/>
      <c r="H29" s="750"/>
      <c r="I29" s="762"/>
      <c r="J29" s="806"/>
      <c r="K29" s="750"/>
      <c r="L29" s="762"/>
      <c r="M29" s="762"/>
      <c r="O29" s="750"/>
      <c r="P29" s="810"/>
    </row>
    <row r="30" spans="1:26">
      <c r="A30" s="813"/>
      <c r="B30" s="813"/>
      <c r="C30" s="813"/>
      <c r="D30" s="813"/>
      <c r="E30" s="807"/>
      <c r="F30" s="814"/>
      <c r="G30" s="750"/>
      <c r="H30" s="750"/>
      <c r="I30" s="762"/>
      <c r="J30" s="750"/>
      <c r="K30" s="750"/>
      <c r="L30" s="762"/>
      <c r="M30" s="762"/>
      <c r="O30" s="750"/>
      <c r="P30" s="810"/>
    </row>
    <row r="31" spans="1:26">
      <c r="A31" s="813"/>
      <c r="B31" s="813"/>
      <c r="C31" s="813"/>
      <c r="D31" s="813"/>
      <c r="E31" s="807"/>
      <c r="F31" s="814"/>
      <c r="G31" s="750"/>
      <c r="H31" s="750"/>
      <c r="I31" s="762"/>
      <c r="J31" s="750"/>
      <c r="K31" s="750"/>
      <c r="L31" s="762"/>
      <c r="M31" s="762"/>
      <c r="O31" s="750"/>
      <c r="P31" s="810"/>
    </row>
    <row r="32" spans="1:26">
      <c r="A32" s="813"/>
      <c r="B32" s="813"/>
      <c r="C32" s="813"/>
      <c r="D32" s="813"/>
      <c r="E32" s="807"/>
      <c r="F32" s="814"/>
      <c r="G32" s="750"/>
      <c r="H32" s="750"/>
      <c r="I32" s="762"/>
      <c r="J32" s="750"/>
      <c r="K32" s="750"/>
      <c r="L32" s="762"/>
      <c r="M32" s="762"/>
      <c r="O32" s="750"/>
      <c r="P32" s="810"/>
    </row>
    <row r="33" spans="1:16">
      <c r="A33" s="813"/>
      <c r="B33" s="813"/>
      <c r="C33" s="813"/>
      <c r="D33" s="813"/>
      <c r="E33" s="807"/>
      <c r="F33" s="814"/>
      <c r="G33" s="750"/>
      <c r="H33" s="750"/>
      <c r="I33" s="762"/>
      <c r="J33" s="750"/>
      <c r="K33" s="750"/>
      <c r="L33" s="762"/>
      <c r="M33" s="762"/>
      <c r="O33" s="750"/>
      <c r="P33" s="810"/>
    </row>
    <row r="34" spans="1:16">
      <c r="A34" s="813"/>
      <c r="B34" s="813"/>
      <c r="C34" s="813"/>
      <c r="D34" s="813"/>
      <c r="E34" s="807"/>
      <c r="F34" s="814"/>
      <c r="G34" s="750"/>
      <c r="H34" s="750"/>
      <c r="I34" s="762"/>
      <c r="J34" s="750"/>
      <c r="K34" s="750"/>
      <c r="L34" s="762"/>
      <c r="M34" s="762"/>
      <c r="O34" s="750"/>
      <c r="P34" s="810"/>
    </row>
    <row r="35" spans="1:16">
      <c r="A35" s="813"/>
      <c r="B35" s="813"/>
      <c r="C35" s="813"/>
      <c r="D35" s="813"/>
      <c r="E35" s="807"/>
      <c r="F35" s="814"/>
      <c r="G35" s="750"/>
      <c r="H35" s="750"/>
      <c r="I35" s="762"/>
      <c r="J35" s="750"/>
      <c r="K35" s="750"/>
      <c r="L35" s="762"/>
      <c r="O35" s="750"/>
      <c r="P35" s="810"/>
    </row>
    <row r="36" spans="1:16">
      <c r="A36" s="813"/>
      <c r="B36" s="813"/>
      <c r="C36" s="813"/>
      <c r="D36" s="813"/>
      <c r="E36" s="807"/>
      <c r="F36" s="814"/>
      <c r="G36" s="750"/>
      <c r="H36" s="750"/>
      <c r="I36" s="762"/>
      <c r="J36" s="750"/>
      <c r="K36" s="750"/>
      <c r="L36" s="762"/>
      <c r="O36" s="750"/>
      <c r="P36" s="810"/>
    </row>
    <row r="37" spans="1:16">
      <c r="A37" s="813"/>
      <c r="B37" s="813"/>
      <c r="C37" s="813"/>
      <c r="D37" s="813"/>
      <c r="E37" s="807"/>
      <c r="F37" s="814"/>
      <c r="G37" s="750"/>
      <c r="H37" s="750"/>
      <c r="I37" s="762"/>
      <c r="J37" s="750"/>
      <c r="K37" s="750"/>
      <c r="L37" s="750"/>
      <c r="O37" s="750"/>
      <c r="P37" s="810"/>
    </row>
    <row r="38" spans="1:16">
      <c r="A38" s="813"/>
      <c r="B38" s="813"/>
      <c r="C38" s="813"/>
      <c r="D38" s="813"/>
      <c r="E38" s="807"/>
      <c r="F38" s="814"/>
      <c r="G38" s="750"/>
      <c r="H38" s="750"/>
      <c r="I38" s="762"/>
      <c r="J38" s="750"/>
      <c r="K38" s="750"/>
      <c r="L38" s="750"/>
      <c r="O38" s="750"/>
      <c r="P38" s="810"/>
    </row>
    <row r="39" spans="1:16">
      <c r="A39" s="813"/>
      <c r="B39" s="813"/>
      <c r="C39" s="813"/>
      <c r="D39" s="813"/>
      <c r="E39" s="807"/>
      <c r="F39" s="814"/>
      <c r="G39" s="750"/>
      <c r="H39" s="750"/>
      <c r="I39" s="762"/>
      <c r="J39" s="750"/>
      <c r="K39" s="750"/>
      <c r="L39" s="750"/>
      <c r="O39" s="750"/>
      <c r="P39" s="810"/>
    </row>
    <row r="40" spans="1:16">
      <c r="A40" s="813"/>
      <c r="B40" s="813"/>
      <c r="C40" s="813"/>
      <c r="D40" s="813"/>
      <c r="E40" s="807"/>
      <c r="F40" s="814"/>
      <c r="G40" s="750"/>
      <c r="H40" s="750"/>
      <c r="I40" s="762"/>
      <c r="J40" s="750"/>
      <c r="K40" s="750"/>
      <c r="L40" s="750"/>
      <c r="O40" s="750"/>
      <c r="P40" s="810"/>
    </row>
    <row r="41" spans="1:16">
      <c r="A41" s="813"/>
      <c r="B41" s="813"/>
      <c r="C41" s="813"/>
      <c r="D41" s="813"/>
      <c r="E41" s="807"/>
      <c r="F41" s="814"/>
      <c r="G41" s="750"/>
      <c r="H41" s="750"/>
      <c r="I41" s="762"/>
      <c r="J41" s="750"/>
      <c r="K41" s="750"/>
      <c r="L41" s="750"/>
      <c r="O41" s="750"/>
      <c r="P41" s="810"/>
    </row>
    <row r="42" spans="1:16">
      <c r="A42" s="813"/>
      <c r="B42" s="813"/>
      <c r="C42" s="813"/>
      <c r="D42" s="813"/>
      <c r="E42" s="807"/>
      <c r="F42" s="814"/>
      <c r="G42" s="750"/>
      <c r="H42" s="750"/>
      <c r="I42" s="762"/>
      <c r="J42" s="750"/>
      <c r="K42" s="750"/>
      <c r="L42" s="750"/>
      <c r="O42" s="750"/>
      <c r="P42" s="810"/>
    </row>
    <row r="43" spans="1:16">
      <c r="A43" s="813"/>
      <c r="B43" s="813"/>
      <c r="C43" s="813"/>
      <c r="D43" s="813"/>
      <c r="E43" s="807"/>
      <c r="F43" s="814"/>
      <c r="G43" s="750"/>
      <c r="H43" s="750"/>
      <c r="I43" s="762"/>
      <c r="J43" s="750"/>
      <c r="K43" s="750"/>
      <c r="L43" s="750"/>
      <c r="O43" s="750"/>
      <c r="P43" s="810"/>
    </row>
    <row r="44" spans="1:16">
      <c r="A44" s="813"/>
      <c r="B44" s="813"/>
      <c r="C44" s="813"/>
      <c r="D44" s="813"/>
      <c r="E44" s="807"/>
      <c r="F44" s="814"/>
      <c r="G44" s="750"/>
      <c r="H44" s="750"/>
      <c r="I44" s="762"/>
      <c r="J44" s="750"/>
      <c r="K44" s="750"/>
      <c r="L44" s="750"/>
      <c r="O44" s="750"/>
      <c r="P44" s="810"/>
    </row>
    <row r="45" spans="1:16">
      <c r="A45" s="813"/>
      <c r="B45" s="813"/>
      <c r="C45" s="813"/>
      <c r="D45" s="813"/>
      <c r="E45" s="807"/>
      <c r="F45" s="814"/>
      <c r="G45" s="750"/>
      <c r="H45" s="750"/>
      <c r="I45" s="762"/>
      <c r="J45" s="750"/>
      <c r="K45" s="750"/>
      <c r="L45" s="750"/>
      <c r="O45" s="750"/>
      <c r="P45" s="810"/>
    </row>
    <row r="46" spans="1:16">
      <c r="A46" s="813"/>
      <c r="B46" s="813"/>
      <c r="C46" s="813"/>
      <c r="D46" s="813"/>
      <c r="E46" s="807"/>
      <c r="F46" s="814"/>
      <c r="G46" s="750"/>
      <c r="H46" s="750"/>
      <c r="I46" s="762"/>
      <c r="J46" s="750"/>
      <c r="K46" s="750"/>
      <c r="L46" s="750"/>
      <c r="O46" s="750"/>
      <c r="P46" s="810"/>
    </row>
    <row r="47" spans="1:16">
      <c r="A47" s="813"/>
      <c r="B47" s="813"/>
      <c r="C47" s="813"/>
      <c r="D47" s="813"/>
      <c r="E47" s="807"/>
      <c r="F47" s="814"/>
      <c r="G47" s="750"/>
      <c r="H47" s="750"/>
      <c r="I47" s="762"/>
      <c r="J47" s="750"/>
      <c r="K47" s="750"/>
      <c r="L47" s="750"/>
      <c r="O47" s="750"/>
      <c r="P47" s="810"/>
    </row>
    <row r="48" spans="1:16">
      <c r="A48" s="813"/>
      <c r="B48" s="813"/>
      <c r="C48" s="813"/>
      <c r="D48" s="813"/>
      <c r="E48" s="807"/>
      <c r="F48" s="814"/>
      <c r="G48" s="810"/>
      <c r="H48" s="750"/>
      <c r="I48" s="762"/>
      <c r="J48" s="750"/>
      <c r="K48" s="750"/>
      <c r="L48" s="750"/>
      <c r="O48" s="750"/>
      <c r="P48" s="810"/>
    </row>
    <row r="49" spans="1:19">
      <c r="A49" s="813"/>
      <c r="B49" s="813"/>
      <c r="C49" s="813"/>
      <c r="D49" s="813"/>
      <c r="E49" s="807"/>
      <c r="F49" s="814"/>
      <c r="G49" s="810"/>
      <c r="H49" s="750"/>
      <c r="I49" s="762"/>
      <c r="J49" s="750"/>
      <c r="K49" s="750"/>
      <c r="L49" s="750"/>
      <c r="O49" s="750"/>
      <c r="P49" s="810"/>
    </row>
    <row r="50" spans="1:19">
      <c r="A50" s="813"/>
      <c r="B50" s="813"/>
      <c r="C50" s="813"/>
      <c r="D50" s="813"/>
      <c r="E50" s="807"/>
      <c r="F50" s="814"/>
      <c r="G50" s="810"/>
      <c r="H50" s="750"/>
      <c r="I50" s="762"/>
      <c r="J50" s="750"/>
      <c r="K50" s="750"/>
      <c r="L50" s="750"/>
      <c r="O50" s="750"/>
      <c r="P50" s="810"/>
    </row>
    <row r="51" spans="1:19">
      <c r="A51" s="813"/>
      <c r="B51" s="813"/>
      <c r="C51" s="813"/>
      <c r="D51" s="813"/>
      <c r="E51" s="807"/>
      <c r="F51" s="814"/>
      <c r="G51" s="810"/>
      <c r="H51" s="750"/>
      <c r="I51" s="762"/>
      <c r="J51" s="750"/>
      <c r="K51" s="750"/>
      <c r="L51" s="750"/>
      <c r="O51" s="750"/>
      <c r="P51" s="810"/>
    </row>
    <row r="52" spans="1:19">
      <c r="A52" s="813"/>
      <c r="B52" s="813"/>
      <c r="C52" s="813"/>
      <c r="D52" s="813"/>
      <c r="E52" s="807"/>
      <c r="F52" s="814"/>
      <c r="G52" s="750"/>
      <c r="H52" s="750"/>
      <c r="I52" s="762"/>
      <c r="J52" s="750"/>
      <c r="K52" s="750"/>
      <c r="L52" s="750"/>
      <c r="O52" s="750"/>
      <c r="P52" s="810"/>
    </row>
    <row r="53" spans="1:19">
      <c r="A53" s="813"/>
      <c r="B53" s="813"/>
      <c r="C53" s="813"/>
      <c r="D53" s="813"/>
      <c r="E53" s="807"/>
      <c r="F53" s="814"/>
      <c r="G53" s="750"/>
      <c r="H53" s="750"/>
      <c r="I53" s="762"/>
      <c r="J53" s="750"/>
      <c r="K53" s="750"/>
      <c r="L53" s="750"/>
      <c r="O53" s="750"/>
      <c r="P53" s="810"/>
    </row>
    <row r="54" spans="1:19" s="813" customFormat="1">
      <c r="E54" s="807"/>
      <c r="F54" s="814"/>
      <c r="G54" s="750"/>
      <c r="H54" s="750"/>
      <c r="I54" s="762"/>
      <c r="J54" s="750"/>
      <c r="K54" s="750"/>
      <c r="L54" s="750"/>
      <c r="M54" s="750"/>
      <c r="N54" s="750"/>
      <c r="O54" s="750"/>
      <c r="P54" s="810"/>
      <c r="Q54" s="810"/>
      <c r="R54" s="816"/>
      <c r="S54" s="816"/>
    </row>
    <row r="55" spans="1:19" s="813" customFormat="1">
      <c r="E55" s="807"/>
      <c r="F55" s="814"/>
      <c r="G55" s="750"/>
      <c r="H55" s="750"/>
      <c r="I55" s="762"/>
      <c r="J55" s="750"/>
      <c r="K55" s="750"/>
      <c r="L55" s="750"/>
      <c r="M55" s="750"/>
      <c r="N55" s="750"/>
      <c r="O55" s="750"/>
      <c r="P55" s="810"/>
      <c r="Q55" s="810"/>
      <c r="R55" s="816"/>
      <c r="S55" s="816"/>
    </row>
    <row r="56" spans="1:19" s="813" customFormat="1">
      <c r="E56" s="807"/>
      <c r="F56" s="814"/>
      <c r="G56" s="750"/>
      <c r="H56" s="750"/>
      <c r="I56" s="762"/>
      <c r="J56" s="750"/>
      <c r="K56" s="750"/>
      <c r="L56" s="750"/>
      <c r="M56" s="750"/>
      <c r="N56" s="750"/>
      <c r="O56" s="750"/>
      <c r="P56" s="810"/>
      <c r="Q56" s="810"/>
      <c r="R56" s="816"/>
      <c r="S56" s="816"/>
    </row>
    <row r="57" spans="1:19" s="813" customFormat="1">
      <c r="E57" s="807"/>
      <c r="F57" s="814"/>
      <c r="G57" s="750"/>
      <c r="H57" s="750"/>
      <c r="I57" s="762"/>
      <c r="J57" s="750"/>
      <c r="K57" s="750"/>
      <c r="L57" s="750"/>
      <c r="M57" s="750"/>
      <c r="N57" s="750"/>
      <c r="O57" s="750"/>
      <c r="P57" s="810"/>
      <c r="Q57" s="810"/>
      <c r="R57" s="816"/>
      <c r="S57" s="816"/>
    </row>
    <row r="58" spans="1:19" s="813" customFormat="1">
      <c r="E58" s="807"/>
      <c r="F58" s="814"/>
      <c r="G58" s="750"/>
      <c r="H58" s="750"/>
      <c r="I58" s="762"/>
      <c r="J58" s="750"/>
      <c r="K58" s="750"/>
      <c r="L58" s="750"/>
      <c r="M58" s="750"/>
      <c r="N58" s="750"/>
      <c r="O58" s="750"/>
      <c r="P58" s="810"/>
      <c r="Q58" s="810"/>
      <c r="R58" s="816"/>
      <c r="S58" s="816"/>
    </row>
    <row r="59" spans="1:19" s="813" customFormat="1">
      <c r="E59" s="807"/>
      <c r="F59" s="814"/>
      <c r="G59" s="750"/>
      <c r="H59" s="750"/>
      <c r="I59" s="762"/>
      <c r="J59" s="750"/>
      <c r="K59" s="750"/>
      <c r="L59" s="750"/>
      <c r="M59" s="750"/>
      <c r="P59" s="816"/>
      <c r="Q59" s="816"/>
      <c r="R59" s="816"/>
      <c r="S59" s="816"/>
    </row>
    <row r="60" spans="1:19" s="813" customFormat="1">
      <c r="E60" s="807"/>
      <c r="F60" s="814"/>
      <c r="G60" s="750"/>
      <c r="H60" s="750"/>
      <c r="I60" s="762"/>
      <c r="J60" s="750"/>
      <c r="K60" s="750"/>
      <c r="L60" s="750"/>
      <c r="M60" s="750"/>
      <c r="P60" s="816"/>
      <c r="Q60" s="816"/>
      <c r="R60" s="816"/>
      <c r="S60" s="816"/>
    </row>
    <row r="61" spans="1:19" s="813" customFormat="1">
      <c r="E61" s="807"/>
      <c r="F61" s="814"/>
      <c r="G61" s="750"/>
      <c r="H61" s="750"/>
      <c r="I61" s="762"/>
      <c r="J61" s="750"/>
      <c r="K61" s="750"/>
      <c r="L61" s="750"/>
      <c r="M61" s="750"/>
      <c r="P61" s="816"/>
      <c r="Q61" s="816"/>
      <c r="R61" s="816"/>
      <c r="S61" s="816"/>
    </row>
    <row r="62" spans="1:19" s="813" customFormat="1">
      <c r="E62" s="807"/>
      <c r="F62" s="814"/>
      <c r="G62" s="750"/>
      <c r="H62" s="750"/>
      <c r="I62" s="762"/>
      <c r="J62" s="750"/>
      <c r="K62" s="750"/>
      <c r="L62" s="750"/>
      <c r="M62" s="750"/>
      <c r="P62" s="816"/>
      <c r="Q62" s="816"/>
      <c r="R62" s="816"/>
      <c r="S62" s="816"/>
    </row>
    <row r="63" spans="1:19" s="813" customFormat="1">
      <c r="E63" s="807"/>
      <c r="F63" s="814"/>
      <c r="G63" s="750"/>
      <c r="H63" s="750"/>
      <c r="I63" s="762"/>
      <c r="J63" s="750"/>
      <c r="K63" s="750"/>
      <c r="L63" s="750"/>
      <c r="M63" s="750"/>
      <c r="P63" s="816"/>
      <c r="Q63" s="816"/>
      <c r="R63" s="816"/>
      <c r="S63" s="816"/>
    </row>
    <row r="64" spans="1:19" s="813" customFormat="1">
      <c r="E64" s="807"/>
      <c r="F64" s="814"/>
      <c r="G64" s="750"/>
      <c r="H64" s="750"/>
      <c r="I64" s="762"/>
      <c r="J64" s="750"/>
      <c r="K64" s="750"/>
      <c r="L64" s="750"/>
      <c r="M64" s="750"/>
      <c r="P64" s="816"/>
      <c r="Q64" s="816"/>
      <c r="R64" s="816"/>
      <c r="S64" s="816"/>
    </row>
    <row r="65" spans="5:19" s="813" customFormat="1">
      <c r="E65" s="807"/>
      <c r="F65" s="814"/>
      <c r="G65" s="750"/>
      <c r="H65" s="750"/>
      <c r="I65" s="762"/>
      <c r="J65" s="750"/>
      <c r="K65" s="750"/>
      <c r="L65" s="750"/>
      <c r="M65" s="750"/>
      <c r="P65" s="816"/>
      <c r="Q65" s="816"/>
      <c r="R65" s="816"/>
      <c r="S65" s="816"/>
    </row>
    <row r="66" spans="5:19" s="813" customFormat="1">
      <c r="E66" s="807"/>
      <c r="F66" s="814"/>
      <c r="G66" s="750"/>
      <c r="H66" s="750"/>
      <c r="I66" s="762"/>
      <c r="J66" s="750"/>
      <c r="K66" s="750"/>
      <c r="L66" s="750"/>
      <c r="M66" s="750"/>
      <c r="P66" s="816"/>
      <c r="Q66" s="816"/>
      <c r="R66" s="816"/>
      <c r="S66" s="816"/>
    </row>
    <row r="67" spans="5:19" s="813" customFormat="1">
      <c r="E67" s="807"/>
      <c r="F67" s="814"/>
      <c r="G67" s="750"/>
      <c r="H67" s="750"/>
      <c r="I67" s="762"/>
      <c r="J67" s="750"/>
      <c r="K67" s="750"/>
      <c r="L67" s="750"/>
      <c r="M67" s="750"/>
      <c r="P67" s="816"/>
      <c r="Q67" s="816"/>
      <c r="R67" s="816"/>
      <c r="S67" s="816"/>
    </row>
    <row r="68" spans="5:19" s="813" customFormat="1">
      <c r="E68" s="807"/>
      <c r="F68" s="814"/>
      <c r="G68" s="750"/>
      <c r="H68" s="750"/>
      <c r="I68" s="762"/>
      <c r="J68" s="750"/>
      <c r="K68" s="750"/>
      <c r="L68" s="750"/>
      <c r="M68" s="750"/>
      <c r="P68" s="816"/>
      <c r="Q68" s="816"/>
      <c r="R68" s="816"/>
      <c r="S68" s="816"/>
    </row>
    <row r="69" spans="5:19" s="813" customFormat="1">
      <c r="E69" s="807"/>
      <c r="F69" s="814"/>
      <c r="G69" s="750"/>
      <c r="H69" s="750"/>
      <c r="I69" s="762"/>
      <c r="J69" s="750"/>
      <c r="K69" s="750"/>
      <c r="L69" s="750"/>
      <c r="M69" s="750"/>
      <c r="P69" s="816"/>
      <c r="Q69" s="816"/>
      <c r="R69" s="816"/>
      <c r="S69" s="816"/>
    </row>
    <row r="70" spans="5:19" s="813" customFormat="1">
      <c r="E70" s="807"/>
      <c r="F70" s="814"/>
      <c r="G70" s="750"/>
      <c r="H70" s="750"/>
      <c r="I70" s="762"/>
      <c r="J70" s="750"/>
      <c r="K70" s="750"/>
      <c r="L70" s="750"/>
      <c r="M70" s="750"/>
      <c r="P70" s="816"/>
      <c r="Q70" s="816"/>
      <c r="R70" s="816"/>
      <c r="S70" s="816"/>
    </row>
    <row r="71" spans="5:19" s="813" customFormat="1">
      <c r="E71" s="807"/>
      <c r="F71" s="814"/>
      <c r="G71" s="750"/>
      <c r="H71" s="750"/>
      <c r="I71" s="762"/>
      <c r="J71" s="750"/>
      <c r="K71" s="750"/>
      <c r="L71" s="750"/>
      <c r="M71" s="750"/>
      <c r="P71" s="816"/>
      <c r="Q71" s="816"/>
      <c r="R71" s="816"/>
      <c r="S71" s="816"/>
    </row>
    <row r="72" spans="5:19" s="813" customFormat="1">
      <c r="E72" s="807"/>
      <c r="F72" s="814"/>
      <c r="G72" s="750"/>
      <c r="H72" s="750"/>
      <c r="I72" s="762"/>
      <c r="J72" s="750"/>
      <c r="K72" s="750"/>
      <c r="L72" s="750"/>
      <c r="M72" s="750"/>
      <c r="P72" s="816"/>
      <c r="Q72" s="816"/>
      <c r="R72" s="816"/>
      <c r="S72" s="816"/>
    </row>
    <row r="73" spans="5:19" s="813" customFormat="1">
      <c r="E73" s="807"/>
      <c r="F73" s="814"/>
      <c r="G73" s="750"/>
      <c r="H73" s="750"/>
      <c r="I73" s="762"/>
      <c r="J73" s="750"/>
      <c r="K73" s="750"/>
      <c r="L73" s="750"/>
      <c r="M73" s="750"/>
      <c r="P73" s="816"/>
      <c r="Q73" s="816"/>
      <c r="R73" s="816"/>
      <c r="S73" s="816"/>
    </row>
    <row r="74" spans="5:19" s="813" customFormat="1">
      <c r="E74" s="807"/>
      <c r="F74" s="814"/>
      <c r="G74" s="750"/>
      <c r="H74" s="750"/>
      <c r="I74" s="762"/>
      <c r="J74" s="750"/>
      <c r="K74" s="750"/>
      <c r="L74" s="750"/>
      <c r="P74" s="816"/>
      <c r="Q74" s="816"/>
      <c r="R74" s="816"/>
      <c r="S74" s="816"/>
    </row>
    <row r="75" spans="5:19" s="813" customFormat="1">
      <c r="E75" s="807"/>
      <c r="F75" s="814"/>
      <c r="G75" s="750"/>
      <c r="H75" s="750"/>
      <c r="I75" s="762"/>
      <c r="J75" s="750"/>
      <c r="K75" s="750"/>
      <c r="L75" s="750"/>
      <c r="P75" s="816"/>
      <c r="Q75" s="816"/>
      <c r="R75" s="816"/>
      <c r="S75" s="816"/>
    </row>
    <row r="76" spans="5:19" s="813" customFormat="1">
      <c r="E76" s="807"/>
      <c r="F76" s="814"/>
      <c r="G76" s="750"/>
      <c r="H76" s="750"/>
      <c r="I76" s="762"/>
      <c r="J76" s="750"/>
      <c r="K76" s="750"/>
      <c r="L76" s="750"/>
      <c r="P76" s="816"/>
      <c r="Q76" s="816"/>
      <c r="R76" s="816"/>
      <c r="S76" s="816"/>
    </row>
    <row r="77" spans="5:19" s="813" customFormat="1">
      <c r="E77" s="807"/>
      <c r="F77" s="814"/>
      <c r="G77" s="750"/>
      <c r="H77" s="750"/>
      <c r="I77" s="762"/>
      <c r="J77" s="750"/>
      <c r="K77" s="750"/>
      <c r="L77" s="750"/>
      <c r="P77" s="816"/>
      <c r="Q77" s="816"/>
      <c r="R77" s="816"/>
      <c r="S77" s="816"/>
    </row>
    <row r="78" spans="5:19" s="813" customFormat="1">
      <c r="E78" s="807"/>
      <c r="F78" s="814"/>
      <c r="G78" s="750"/>
      <c r="H78" s="750"/>
      <c r="I78" s="762"/>
      <c r="J78" s="750"/>
      <c r="K78" s="750"/>
      <c r="L78" s="750"/>
      <c r="P78" s="816"/>
      <c r="Q78" s="816"/>
      <c r="R78" s="816"/>
      <c r="S78" s="816"/>
    </row>
    <row r="79" spans="5:19" s="813" customFormat="1">
      <c r="E79" s="807"/>
      <c r="F79" s="814"/>
      <c r="G79" s="750"/>
      <c r="H79" s="750"/>
      <c r="I79" s="762"/>
      <c r="J79" s="750"/>
      <c r="K79" s="750"/>
      <c r="L79" s="750"/>
      <c r="P79" s="816"/>
      <c r="Q79" s="816"/>
      <c r="R79" s="816"/>
      <c r="S79" s="816"/>
    </row>
    <row r="80" spans="5:19" s="813" customFormat="1">
      <c r="E80" s="807"/>
      <c r="F80" s="814"/>
      <c r="G80" s="750"/>
      <c r="H80" s="750"/>
      <c r="I80" s="762"/>
      <c r="J80" s="750"/>
      <c r="K80" s="750"/>
      <c r="L80" s="750"/>
      <c r="P80" s="816"/>
      <c r="Q80" s="816"/>
      <c r="R80" s="816"/>
      <c r="S80" s="816"/>
    </row>
    <row r="81" spans="5:19" s="813" customFormat="1">
      <c r="E81" s="807"/>
      <c r="F81" s="814"/>
      <c r="G81" s="750"/>
      <c r="H81" s="750"/>
      <c r="I81" s="762"/>
      <c r="J81" s="750"/>
      <c r="K81" s="750"/>
      <c r="L81" s="750"/>
      <c r="P81" s="816"/>
      <c r="Q81" s="816"/>
      <c r="R81" s="816"/>
      <c r="S81" s="816"/>
    </row>
    <row r="82" spans="5:19" s="813" customFormat="1">
      <c r="E82" s="807"/>
      <c r="F82" s="814"/>
      <c r="G82" s="750"/>
      <c r="H82" s="750"/>
      <c r="I82" s="762"/>
      <c r="J82" s="750"/>
      <c r="K82" s="750"/>
      <c r="L82" s="750"/>
      <c r="P82" s="816"/>
      <c r="Q82" s="816"/>
      <c r="R82" s="816"/>
      <c r="S82" s="816"/>
    </row>
    <row r="83" spans="5:19" s="813" customFormat="1">
      <c r="E83" s="807"/>
      <c r="F83" s="814"/>
      <c r="G83" s="750"/>
      <c r="H83" s="750"/>
      <c r="I83" s="762"/>
      <c r="J83" s="750"/>
      <c r="K83" s="750"/>
      <c r="L83" s="750"/>
      <c r="P83" s="816"/>
      <c r="Q83" s="816"/>
      <c r="R83" s="816"/>
      <c r="S83" s="816"/>
    </row>
    <row r="84" spans="5:19" s="813" customFormat="1">
      <c r="E84" s="807"/>
      <c r="F84" s="814"/>
      <c r="G84" s="750"/>
      <c r="H84" s="750"/>
      <c r="I84" s="762"/>
      <c r="J84" s="750"/>
      <c r="K84" s="750"/>
      <c r="L84" s="750"/>
      <c r="P84" s="816"/>
      <c r="Q84" s="816"/>
      <c r="R84" s="816"/>
      <c r="S84" s="816"/>
    </row>
    <row r="85" spans="5:19" s="813" customFormat="1">
      <c r="E85" s="807"/>
      <c r="F85" s="814"/>
      <c r="G85" s="750"/>
      <c r="H85" s="750"/>
      <c r="I85" s="762"/>
      <c r="J85" s="750"/>
      <c r="K85" s="750"/>
      <c r="L85" s="750"/>
      <c r="P85" s="816"/>
      <c r="Q85" s="816"/>
      <c r="R85" s="816"/>
      <c r="S85" s="816"/>
    </row>
    <row r="86" spans="5:19" s="813" customFormat="1">
      <c r="E86" s="807"/>
      <c r="F86" s="814"/>
      <c r="G86" s="750"/>
      <c r="H86" s="750"/>
      <c r="I86" s="762"/>
      <c r="J86" s="750"/>
      <c r="K86" s="750"/>
      <c r="L86" s="750"/>
      <c r="P86" s="816"/>
      <c r="Q86" s="816"/>
      <c r="R86" s="816"/>
      <c r="S86" s="816"/>
    </row>
    <row r="87" spans="5:19" s="813" customFormat="1">
      <c r="E87" s="807"/>
      <c r="F87" s="814"/>
      <c r="G87" s="750"/>
      <c r="H87" s="750"/>
      <c r="I87" s="762"/>
      <c r="J87" s="750"/>
      <c r="K87" s="750"/>
      <c r="L87" s="750"/>
      <c r="P87" s="816"/>
      <c r="Q87" s="816"/>
      <c r="R87" s="816"/>
      <c r="S87" s="816"/>
    </row>
    <row r="88" spans="5:19" s="813" customFormat="1">
      <c r="E88" s="807"/>
      <c r="F88" s="814"/>
      <c r="G88" s="750"/>
      <c r="H88" s="750"/>
      <c r="I88" s="762"/>
      <c r="J88" s="750"/>
      <c r="K88" s="750"/>
      <c r="L88" s="750"/>
      <c r="P88" s="816"/>
      <c r="Q88" s="816"/>
      <c r="R88" s="816"/>
      <c r="S88" s="816"/>
    </row>
    <row r="89" spans="5:19" s="813" customFormat="1">
      <c r="E89" s="807"/>
      <c r="F89" s="814"/>
      <c r="G89" s="750"/>
      <c r="H89" s="750"/>
      <c r="I89" s="762"/>
      <c r="J89" s="750"/>
      <c r="K89" s="750"/>
      <c r="L89" s="750"/>
      <c r="P89" s="816"/>
      <c r="Q89" s="816"/>
      <c r="R89" s="816"/>
      <c r="S89" s="816"/>
    </row>
    <row r="90" spans="5:19" s="813" customFormat="1">
      <c r="E90" s="807"/>
      <c r="F90" s="814"/>
      <c r="G90" s="750"/>
      <c r="H90" s="750"/>
      <c r="I90" s="762"/>
      <c r="J90" s="750"/>
      <c r="K90" s="750"/>
      <c r="L90" s="750"/>
      <c r="P90" s="816"/>
      <c r="Q90" s="816"/>
      <c r="R90" s="816"/>
      <c r="S90" s="816"/>
    </row>
    <row r="91" spans="5:19" s="813" customFormat="1">
      <c r="E91" s="807"/>
      <c r="F91" s="814"/>
      <c r="G91" s="750"/>
      <c r="H91" s="750"/>
      <c r="I91" s="762"/>
      <c r="J91" s="750"/>
      <c r="K91" s="750"/>
      <c r="L91" s="750"/>
      <c r="P91" s="816"/>
      <c r="Q91" s="816"/>
      <c r="R91" s="816"/>
      <c r="S91" s="816"/>
    </row>
    <row r="92" spans="5:19" s="813" customFormat="1">
      <c r="E92" s="807"/>
      <c r="F92" s="814"/>
      <c r="G92" s="750"/>
      <c r="H92" s="750"/>
      <c r="I92" s="762"/>
      <c r="J92" s="750"/>
      <c r="K92" s="750"/>
      <c r="L92" s="750"/>
      <c r="P92" s="816"/>
      <c r="Q92" s="816"/>
      <c r="R92" s="816"/>
      <c r="S92" s="816"/>
    </row>
    <row r="93" spans="5:19" s="813" customFormat="1">
      <c r="E93" s="807"/>
      <c r="F93" s="814"/>
      <c r="G93" s="750"/>
      <c r="H93" s="750"/>
      <c r="I93" s="762"/>
      <c r="J93" s="750"/>
      <c r="K93" s="750"/>
      <c r="L93" s="750"/>
      <c r="P93" s="816"/>
      <c r="Q93" s="816"/>
      <c r="R93" s="816"/>
      <c r="S93" s="816"/>
    </row>
    <row r="94" spans="5:19" s="813" customFormat="1">
      <c r="E94" s="807"/>
      <c r="F94" s="814"/>
      <c r="G94" s="750"/>
      <c r="H94" s="750"/>
      <c r="I94" s="762"/>
      <c r="J94" s="750"/>
      <c r="K94" s="750"/>
      <c r="L94" s="750"/>
      <c r="P94" s="816"/>
      <c r="Q94" s="816"/>
      <c r="R94" s="816"/>
      <c r="S94" s="816"/>
    </row>
    <row r="95" spans="5:19" s="813" customFormat="1">
      <c r="E95" s="807"/>
      <c r="F95" s="814"/>
      <c r="G95" s="750"/>
      <c r="H95" s="750"/>
      <c r="I95" s="762"/>
      <c r="J95" s="750"/>
      <c r="K95" s="750"/>
      <c r="L95" s="750"/>
      <c r="P95" s="816"/>
      <c r="Q95" s="816"/>
      <c r="R95" s="816"/>
      <c r="S95" s="816"/>
    </row>
    <row r="96" spans="5:19" s="813" customFormat="1">
      <c r="E96" s="807"/>
      <c r="F96" s="814"/>
      <c r="G96" s="750"/>
      <c r="H96" s="750"/>
      <c r="I96" s="762"/>
      <c r="J96" s="750"/>
      <c r="K96" s="750"/>
      <c r="L96" s="750"/>
      <c r="P96" s="816"/>
      <c r="Q96" s="816"/>
      <c r="R96" s="816"/>
      <c r="S96" s="816"/>
    </row>
    <row r="97" spans="1:19" s="813" customFormat="1">
      <c r="E97" s="807"/>
      <c r="F97" s="814"/>
      <c r="G97" s="750"/>
      <c r="H97" s="750"/>
      <c r="I97" s="762"/>
      <c r="J97" s="750"/>
      <c r="K97" s="750"/>
      <c r="L97" s="750"/>
      <c r="P97" s="816"/>
      <c r="Q97" s="816"/>
      <c r="R97" s="816"/>
      <c r="S97" s="816"/>
    </row>
    <row r="98" spans="1:19" s="813" customFormat="1">
      <c r="E98" s="807"/>
      <c r="F98" s="814"/>
      <c r="G98" s="750"/>
      <c r="H98" s="750"/>
      <c r="I98" s="762"/>
      <c r="J98" s="750"/>
      <c r="K98" s="750"/>
      <c r="L98" s="750"/>
      <c r="P98" s="816"/>
      <c r="Q98" s="816"/>
      <c r="R98" s="816"/>
      <c r="S98" s="816"/>
    </row>
    <row r="99" spans="1:19" s="813" customFormat="1">
      <c r="E99" s="807"/>
      <c r="F99" s="814"/>
      <c r="G99" s="750"/>
      <c r="H99" s="750"/>
      <c r="I99" s="762"/>
      <c r="J99" s="750"/>
      <c r="K99" s="750"/>
      <c r="L99" s="750"/>
      <c r="P99" s="816"/>
      <c r="Q99" s="816"/>
      <c r="R99" s="816"/>
      <c r="S99" s="816"/>
    </row>
    <row r="100" spans="1:19" s="813" customFormat="1">
      <c r="E100" s="807"/>
      <c r="F100" s="814"/>
      <c r="G100" s="750"/>
      <c r="H100" s="750"/>
      <c r="I100" s="762"/>
      <c r="J100" s="750"/>
      <c r="K100" s="750"/>
      <c r="L100" s="750"/>
      <c r="P100" s="816"/>
      <c r="Q100" s="816"/>
      <c r="R100" s="816"/>
      <c r="S100" s="816"/>
    </row>
    <row r="101" spans="1:19" s="813" customFormat="1">
      <c r="E101" s="807"/>
      <c r="F101" s="814"/>
      <c r="G101" s="750"/>
      <c r="H101" s="750"/>
      <c r="I101" s="762"/>
      <c r="J101" s="750"/>
      <c r="K101" s="750"/>
      <c r="L101" s="750"/>
      <c r="P101" s="816"/>
      <c r="Q101" s="816"/>
      <c r="R101" s="816"/>
      <c r="S101" s="816"/>
    </row>
    <row r="102" spans="1:19" s="813" customFormat="1">
      <c r="E102" s="807"/>
      <c r="F102" s="814"/>
      <c r="G102" s="750"/>
      <c r="H102" s="750"/>
      <c r="I102" s="762"/>
      <c r="J102" s="750"/>
      <c r="K102" s="750"/>
      <c r="L102" s="750"/>
      <c r="P102" s="816"/>
      <c r="Q102" s="816"/>
      <c r="R102" s="816"/>
      <c r="S102" s="816"/>
    </row>
    <row r="103" spans="1:19" s="813" customFormat="1">
      <c r="E103" s="807"/>
      <c r="F103" s="814"/>
      <c r="G103" s="750"/>
      <c r="H103" s="750"/>
      <c r="I103" s="762"/>
      <c r="J103" s="750"/>
      <c r="K103" s="750"/>
      <c r="L103" s="750"/>
      <c r="P103" s="816"/>
      <c r="Q103" s="816"/>
      <c r="R103" s="816"/>
      <c r="S103" s="816"/>
    </row>
    <row r="104" spans="1:19" s="813" customFormat="1">
      <c r="E104" s="807"/>
      <c r="F104" s="814"/>
      <c r="G104" s="750"/>
      <c r="H104" s="750"/>
      <c r="I104" s="762"/>
      <c r="J104" s="750"/>
      <c r="K104" s="750"/>
      <c r="L104" s="750"/>
      <c r="P104" s="816"/>
      <c r="Q104" s="816"/>
      <c r="R104" s="816"/>
      <c r="S104" s="816"/>
    </row>
    <row r="105" spans="1:19" s="813" customFormat="1">
      <c r="E105" s="807"/>
      <c r="F105" s="814"/>
      <c r="G105" s="750"/>
      <c r="H105" s="750"/>
      <c r="I105" s="762"/>
      <c r="J105" s="750"/>
      <c r="K105" s="750"/>
      <c r="L105" s="750"/>
      <c r="P105" s="816"/>
      <c r="Q105" s="816"/>
      <c r="R105" s="816"/>
      <c r="S105" s="816"/>
    </row>
    <row r="106" spans="1:19" s="813" customFormat="1">
      <c r="E106" s="807"/>
      <c r="F106" s="814"/>
      <c r="G106" s="750"/>
      <c r="H106" s="750"/>
      <c r="I106" s="762"/>
      <c r="J106" s="750"/>
      <c r="K106" s="750"/>
      <c r="L106" s="750"/>
      <c r="P106" s="816"/>
      <c r="Q106" s="816"/>
      <c r="R106" s="816"/>
      <c r="S106" s="816"/>
    </row>
    <row r="107" spans="1:19" s="813" customFormat="1">
      <c r="E107" s="807"/>
      <c r="F107" s="814"/>
      <c r="G107" s="750"/>
      <c r="H107" s="750"/>
      <c r="I107" s="762"/>
      <c r="J107" s="750"/>
      <c r="K107" s="750"/>
      <c r="L107" s="750"/>
      <c r="P107" s="816"/>
      <c r="Q107" s="816"/>
      <c r="R107" s="816"/>
      <c r="S107" s="816"/>
    </row>
    <row r="108" spans="1:19" s="813" customFormat="1">
      <c r="E108" s="807"/>
      <c r="F108" s="814"/>
      <c r="G108" s="750"/>
      <c r="H108" s="750"/>
      <c r="I108" s="762"/>
      <c r="J108" s="750"/>
      <c r="K108" s="750"/>
      <c r="L108" s="750"/>
      <c r="P108" s="816"/>
      <c r="Q108" s="816"/>
      <c r="R108" s="816"/>
      <c r="S108" s="816"/>
    </row>
    <row r="109" spans="1:19" s="813" customFormat="1">
      <c r="E109" s="807"/>
      <c r="F109" s="814"/>
      <c r="G109" s="750"/>
      <c r="H109" s="750"/>
      <c r="I109" s="762"/>
      <c r="J109" s="750"/>
      <c r="K109" s="750"/>
      <c r="L109" s="750"/>
      <c r="P109" s="816"/>
      <c r="Q109" s="816"/>
      <c r="R109" s="816"/>
      <c r="S109" s="816"/>
    </row>
    <row r="110" spans="1:19" s="813" customFormat="1">
      <c r="E110" s="807"/>
      <c r="F110" s="814"/>
      <c r="G110" s="750"/>
      <c r="H110" s="750"/>
      <c r="I110" s="762"/>
      <c r="J110" s="750"/>
      <c r="K110" s="750"/>
      <c r="L110" s="750"/>
      <c r="P110" s="816"/>
      <c r="Q110" s="816"/>
      <c r="R110" s="816"/>
      <c r="S110" s="816"/>
    </row>
    <row r="111" spans="1:19">
      <c r="A111" s="813"/>
      <c r="B111" s="813"/>
      <c r="C111" s="813"/>
      <c r="D111" s="813"/>
      <c r="E111" s="807"/>
      <c r="F111" s="814"/>
      <c r="G111" s="750"/>
      <c r="H111" s="750"/>
      <c r="I111" s="762"/>
      <c r="J111" s="750"/>
      <c r="K111" s="750"/>
      <c r="L111" s="750"/>
      <c r="M111" s="813"/>
      <c r="N111" s="813"/>
      <c r="O111" s="813"/>
      <c r="P111" s="816"/>
      <c r="Q111" s="816"/>
    </row>
    <row r="112" spans="1:19">
      <c r="A112" s="813"/>
      <c r="B112" s="813"/>
      <c r="C112" s="813"/>
      <c r="D112" s="813"/>
      <c r="E112" s="807"/>
      <c r="F112" s="814"/>
      <c r="G112" s="750"/>
      <c r="H112" s="750"/>
      <c r="I112" s="762"/>
      <c r="J112" s="750"/>
      <c r="K112" s="750"/>
      <c r="L112" s="750"/>
      <c r="M112" s="813"/>
      <c r="N112" s="813"/>
      <c r="O112" s="813"/>
      <c r="P112" s="816"/>
      <c r="Q112" s="816"/>
    </row>
    <row r="113" spans="1:17">
      <c r="A113" s="813"/>
      <c r="B113" s="813"/>
      <c r="C113" s="813"/>
      <c r="D113" s="813"/>
      <c r="E113" s="807"/>
      <c r="F113" s="814"/>
      <c r="G113" s="750"/>
      <c r="H113" s="750"/>
      <c r="I113" s="762"/>
      <c r="J113" s="750"/>
      <c r="K113" s="750"/>
      <c r="L113" s="750"/>
      <c r="M113" s="813"/>
      <c r="N113" s="813"/>
      <c r="O113" s="813"/>
      <c r="P113" s="816"/>
      <c r="Q113" s="816"/>
    </row>
    <row r="114" spans="1:17">
      <c r="A114" s="813"/>
      <c r="B114" s="813"/>
      <c r="C114" s="813"/>
      <c r="D114" s="813"/>
      <c r="E114" s="807"/>
      <c r="F114" s="814"/>
      <c r="G114" s="750"/>
      <c r="H114" s="750"/>
      <c r="I114" s="762"/>
      <c r="J114" s="750"/>
      <c r="K114" s="750"/>
      <c r="L114" s="750"/>
      <c r="M114" s="813"/>
      <c r="N114" s="813"/>
      <c r="O114" s="813"/>
      <c r="P114" s="816"/>
      <c r="Q114" s="816"/>
    </row>
    <row r="115" spans="1:17">
      <c r="A115" s="813"/>
      <c r="B115" s="813"/>
      <c r="C115" s="813"/>
      <c r="D115" s="813"/>
      <c r="E115" s="807"/>
      <c r="F115" s="814"/>
      <c r="G115" s="750"/>
      <c r="H115" s="750"/>
      <c r="I115" s="762"/>
      <c r="J115" s="750"/>
      <c r="K115" s="750"/>
      <c r="L115" s="750"/>
      <c r="M115" s="813"/>
      <c r="N115" s="813"/>
      <c r="O115" s="813"/>
      <c r="P115" s="816"/>
      <c r="Q115" s="816"/>
    </row>
    <row r="116" spans="1:17">
      <c r="A116" s="813"/>
      <c r="B116" s="813"/>
      <c r="C116" s="813"/>
      <c r="D116" s="813"/>
      <c r="E116" s="807"/>
      <c r="F116" s="814"/>
      <c r="G116" s="750"/>
      <c r="H116" s="750"/>
      <c r="I116" s="762"/>
      <c r="J116" s="750"/>
      <c r="K116" s="750"/>
      <c r="L116" s="750"/>
      <c r="M116" s="813"/>
    </row>
    <row r="117" spans="1:17">
      <c r="A117" s="813"/>
      <c r="B117" s="813"/>
      <c r="C117" s="813"/>
      <c r="D117" s="813"/>
      <c r="E117" s="807"/>
      <c r="F117" s="814"/>
      <c r="G117" s="750"/>
      <c r="H117" s="750"/>
      <c r="I117" s="762"/>
      <c r="J117" s="750"/>
      <c r="K117" s="750"/>
      <c r="L117" s="750"/>
      <c r="M117" s="813"/>
    </row>
    <row r="118" spans="1:17">
      <c r="A118" s="813"/>
      <c r="B118" s="813"/>
      <c r="C118" s="813"/>
      <c r="D118" s="813"/>
      <c r="E118" s="807"/>
      <c r="F118" s="814"/>
      <c r="G118" s="750"/>
      <c r="H118" s="750"/>
      <c r="I118" s="762"/>
      <c r="J118" s="750"/>
      <c r="K118" s="750"/>
      <c r="L118" s="750"/>
      <c r="M118" s="813"/>
    </row>
    <row r="119" spans="1:17">
      <c r="A119" s="813"/>
      <c r="B119" s="813"/>
      <c r="C119" s="813"/>
      <c r="D119" s="813"/>
      <c r="E119" s="807"/>
      <c r="F119" s="814"/>
      <c r="G119" s="750"/>
      <c r="H119" s="750"/>
      <c r="I119" s="762"/>
      <c r="J119" s="750"/>
      <c r="K119" s="750"/>
      <c r="L119" s="750"/>
      <c r="M119" s="813"/>
    </row>
    <row r="120" spans="1:17">
      <c r="J120" s="750"/>
      <c r="K120" s="750"/>
      <c r="L120" s="750"/>
      <c r="M120" s="813"/>
    </row>
    <row r="121" spans="1:17">
      <c r="J121" s="750"/>
      <c r="K121" s="750"/>
      <c r="L121" s="750"/>
      <c r="M121" s="813"/>
    </row>
    <row r="122" spans="1:17">
      <c r="J122" s="750"/>
      <c r="K122" s="750"/>
      <c r="L122" s="750"/>
      <c r="M122" s="813"/>
    </row>
    <row r="123" spans="1:17">
      <c r="J123" s="750"/>
      <c r="K123" s="750"/>
      <c r="L123" s="750"/>
      <c r="M123" s="813"/>
    </row>
    <row r="124" spans="1:17">
      <c r="J124" s="750"/>
      <c r="K124" s="750"/>
      <c r="L124" s="750"/>
      <c r="M124" s="813"/>
    </row>
    <row r="125" spans="1:17">
      <c r="J125" s="750"/>
      <c r="K125" s="750"/>
      <c r="L125" s="750"/>
      <c r="M125" s="813"/>
    </row>
    <row r="126" spans="1:17">
      <c r="K126" s="750"/>
      <c r="L126" s="750"/>
      <c r="M126" s="813"/>
    </row>
    <row r="127" spans="1:17">
      <c r="K127" s="750"/>
      <c r="L127" s="750"/>
      <c r="M127" s="813"/>
    </row>
    <row r="128" spans="1:17">
      <c r="K128" s="750"/>
      <c r="L128" s="750"/>
      <c r="M128" s="813"/>
    </row>
    <row r="129" spans="12:13">
      <c r="L129" s="750"/>
      <c r="M129" s="813"/>
    </row>
    <row r="130" spans="12:13">
      <c r="L130" s="750"/>
      <c r="M130" s="813"/>
    </row>
    <row r="131" spans="12:13">
      <c r="L131" s="750"/>
    </row>
    <row r="132" spans="12:13">
      <c r="L132" s="750"/>
    </row>
    <row r="133" spans="12:13">
      <c r="L133" s="750"/>
    </row>
  </sheetData>
  <mergeCells count="5">
    <mergeCell ref="A7:L7"/>
    <mergeCell ref="M7:O7"/>
    <mergeCell ref="U7:V7"/>
    <mergeCell ref="D9:F9"/>
    <mergeCell ref="H9:K9"/>
  </mergeCells>
  <conditionalFormatting sqref="P22:P38 Z9:Z21">
    <cfRule type="aboveAverage" dxfId="5" priority="1" aboveAverage="0" stdDev="1"/>
    <cfRule type="aboveAverage" dxfId="4" priority="2" stdDev="1"/>
  </conditionalFormatting>
  <dataValidations count="1">
    <dataValidation type="list" allowBlank="1" showInputMessage="1" showErrorMessage="1" sqref="B5" xr:uid="{6C5199A8-0109-46F8-826A-6D353632AE3D}">
      <formula1>$AB$5:$AB$8</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E0C7-BCC6-4051-B687-912368532042}">
  <dimension ref="A1:Z169"/>
  <sheetViews>
    <sheetView topLeftCell="G16" workbookViewId="0">
      <selection activeCell="O25" sqref="O25"/>
    </sheetView>
  </sheetViews>
  <sheetFormatPr defaultColWidth="7.85546875" defaultRowHeight="11.25"/>
  <cols>
    <col min="1" max="1" width="15.7109375" style="750" bestFit="1" customWidth="1"/>
    <col min="2" max="2" width="9.5703125" style="750" bestFit="1" customWidth="1"/>
    <col min="3" max="3" width="5.140625" style="817" customWidth="1"/>
    <col min="4" max="6" width="7.7109375" style="817" customWidth="1"/>
    <col min="7" max="7" width="12" style="813" bestFit="1" customWidth="1"/>
    <col min="8" max="8" width="9.28515625" style="816" customWidth="1"/>
    <col min="9" max="10" width="8.42578125" style="813" bestFit="1" customWidth="1"/>
    <col min="11" max="11" width="8.42578125" style="807" bestFit="1" customWidth="1"/>
    <col min="12" max="12" width="13.7109375" style="814" bestFit="1" customWidth="1"/>
    <col min="13" max="13" width="6.28515625" style="750" bestFit="1" customWidth="1"/>
    <col min="14" max="14" width="5.7109375" style="750" bestFit="1" customWidth="1"/>
    <col min="15" max="15" width="5.85546875" style="762" bestFit="1" customWidth="1"/>
    <col min="16" max="16" width="5.85546875" style="643" bestFit="1" customWidth="1"/>
    <col min="17" max="17" width="14" style="810" bestFit="1" customWidth="1"/>
    <col min="18" max="18" width="6" style="810" bestFit="1" customWidth="1"/>
    <col min="19" max="19" width="8.7109375" style="810" bestFit="1" customWidth="1"/>
    <col min="20" max="21" width="17.28515625" style="750" bestFit="1" customWidth="1"/>
    <col min="22" max="22" width="9.28515625" style="750" bestFit="1" customWidth="1"/>
    <col min="23" max="27" width="5.28515625" style="750" customWidth="1"/>
    <col min="28" max="28" width="17" style="750" customWidth="1"/>
    <col min="29" max="16384" width="7.85546875" style="750"/>
  </cols>
  <sheetData>
    <row r="1" spans="1:24" s="585" customFormat="1" ht="12.75">
      <c r="A1" s="577" t="s">
        <v>133</v>
      </c>
      <c r="B1" s="578" t="s">
        <v>189</v>
      </c>
      <c r="C1" s="579"/>
      <c r="D1" s="578"/>
      <c r="E1" s="580"/>
      <c r="F1" s="580"/>
      <c r="G1" s="581"/>
      <c r="H1" s="582" t="s">
        <v>134</v>
      </c>
      <c r="I1" s="583">
        <f>C29</f>
        <v>284</v>
      </c>
      <c r="J1" s="584"/>
      <c r="K1" s="578"/>
      <c r="L1" s="578"/>
      <c r="N1" s="586"/>
      <c r="P1" s="587"/>
      <c r="Q1" s="587"/>
      <c r="R1" s="587"/>
      <c r="S1" s="587"/>
    </row>
    <row r="2" spans="1:24" s="585" customFormat="1" ht="12.75">
      <c r="A2" s="588" t="s">
        <v>135</v>
      </c>
      <c r="B2" s="578" t="s">
        <v>200</v>
      </c>
      <c r="C2" s="589"/>
      <c r="D2" s="578"/>
      <c r="E2" s="590"/>
      <c r="F2" s="590"/>
      <c r="G2" s="591"/>
      <c r="H2" s="592" t="s">
        <v>136</v>
      </c>
      <c r="I2" s="593">
        <f>V12</f>
        <v>284</v>
      </c>
      <c r="J2" s="594"/>
      <c r="K2" s="578"/>
      <c r="L2" s="578"/>
      <c r="N2" s="595"/>
      <c r="P2" s="587"/>
      <c r="Q2" s="587"/>
      <c r="R2" s="587"/>
      <c r="S2" s="587"/>
    </row>
    <row r="3" spans="1:24" s="599" customFormat="1" ht="11.25" customHeight="1">
      <c r="A3" s="596" t="s">
        <v>137</v>
      </c>
      <c r="B3" s="818">
        <v>45052</v>
      </c>
      <c r="C3" s="589"/>
      <c r="D3" s="590"/>
      <c r="E3" s="590"/>
      <c r="F3" s="590"/>
      <c r="G3" s="591"/>
      <c r="H3" s="596" t="s">
        <v>138</v>
      </c>
      <c r="I3" s="825">
        <f>V12/100</f>
        <v>2.84</v>
      </c>
      <c r="J3" s="594"/>
      <c r="K3" s="578"/>
      <c r="L3" s="578"/>
      <c r="N3" s="600"/>
      <c r="P3" s="601"/>
      <c r="Q3" s="601"/>
      <c r="R3" s="601"/>
      <c r="S3" s="601"/>
    </row>
    <row r="4" spans="1:24" s="585" customFormat="1" ht="12.75">
      <c r="A4" s="596" t="s">
        <v>139</v>
      </c>
      <c r="B4" s="597" t="s">
        <v>195</v>
      </c>
      <c r="C4" s="589"/>
      <c r="D4" s="590"/>
      <c r="E4" s="590"/>
      <c r="F4" s="590"/>
      <c r="G4" s="591"/>
      <c r="H4" s="596" t="s">
        <v>140</v>
      </c>
      <c r="I4" s="602">
        <f>S29</f>
        <v>0.43116748958812579</v>
      </c>
      <c r="J4" s="594"/>
      <c r="K4" s="578"/>
      <c r="L4" s="578"/>
      <c r="M4" s="586"/>
      <c r="N4" s="586"/>
      <c r="P4" s="587"/>
      <c r="Q4" s="587"/>
      <c r="R4" s="587"/>
      <c r="S4" s="587"/>
    </row>
    <row r="5" spans="1:24" s="606" customFormat="1" ht="12.75">
      <c r="A5" s="588" t="s">
        <v>141</v>
      </c>
      <c r="B5" s="603" t="s">
        <v>142</v>
      </c>
      <c r="C5" s="589"/>
      <c r="D5" s="590"/>
      <c r="E5" s="590"/>
      <c r="F5" s="590"/>
      <c r="G5" s="591"/>
      <c r="H5" s="596"/>
      <c r="I5" s="604"/>
      <c r="J5" s="594"/>
      <c r="K5" s="578"/>
      <c r="L5" s="578"/>
      <c r="M5" s="605"/>
      <c r="N5" s="605"/>
      <c r="P5" s="607"/>
      <c r="Q5" s="607"/>
      <c r="R5" s="607"/>
      <c r="S5" s="607"/>
    </row>
    <row r="6" spans="1:24" s="605" customFormat="1" ht="13.5" thickBot="1">
      <c r="A6" s="608"/>
      <c r="B6" s="609"/>
      <c r="C6" s="610"/>
      <c r="D6" s="611"/>
      <c r="E6" s="611"/>
      <c r="F6" s="611"/>
      <c r="G6" s="612"/>
      <c r="H6" s="613"/>
      <c r="I6" s="614"/>
      <c r="J6" s="612"/>
      <c r="K6" s="609"/>
      <c r="L6" s="609"/>
      <c r="M6" s="615"/>
      <c r="P6" s="616"/>
      <c r="Q6" s="616"/>
      <c r="R6" s="616"/>
      <c r="S6" s="616"/>
    </row>
    <row r="7" spans="1:24" s="606" customFormat="1" ht="13.15" customHeight="1">
      <c r="A7" s="962" t="s">
        <v>143</v>
      </c>
      <c r="B7" s="963"/>
      <c r="C7" s="963"/>
      <c r="D7" s="963"/>
      <c r="E7" s="963"/>
      <c r="F7" s="963"/>
      <c r="G7" s="963"/>
      <c r="H7" s="963"/>
      <c r="I7" s="963"/>
      <c r="J7" s="963"/>
      <c r="K7" s="963"/>
      <c r="L7" s="963"/>
      <c r="M7" s="966" t="s">
        <v>144</v>
      </c>
      <c r="N7" s="967"/>
      <c r="O7" s="968"/>
      <c r="P7" s="618" t="s">
        <v>145</v>
      </c>
      <c r="Q7" s="619"/>
      <c r="R7" s="618" t="s">
        <v>146</v>
      </c>
      <c r="S7" s="618"/>
      <c r="T7" s="620"/>
      <c r="U7" s="954" t="s">
        <v>147</v>
      </c>
      <c r="V7" s="955"/>
      <c r="W7" s="605"/>
      <c r="X7" s="605"/>
    </row>
    <row r="8" spans="1:24" s="637" customFormat="1">
      <c r="A8" s="621"/>
      <c r="B8" s="615"/>
      <c r="C8" s="622"/>
      <c r="D8" s="623"/>
      <c r="E8" s="624"/>
      <c r="F8" s="625"/>
      <c r="G8" s="626"/>
      <c r="H8" s="627"/>
      <c r="I8" s="627"/>
      <c r="J8" s="627"/>
      <c r="K8" s="627"/>
      <c r="L8" s="628"/>
      <c r="M8" s="629"/>
      <c r="N8" s="630"/>
      <c r="O8" s="631"/>
      <c r="P8" s="632"/>
      <c r="Q8" s="633"/>
      <c r="R8" s="632"/>
      <c r="S8" s="632"/>
      <c r="T8" s="634"/>
      <c r="U8" s="635"/>
      <c r="V8" s="635"/>
      <c r="W8" s="636"/>
    </row>
    <row r="9" spans="1:24" s="648" customFormat="1" ht="13.15" customHeight="1">
      <c r="A9" s="638"/>
      <c r="B9" s="605"/>
      <c r="C9" s="639"/>
      <c r="D9" s="956" t="s">
        <v>148</v>
      </c>
      <c r="E9" s="957"/>
      <c r="F9" s="958"/>
      <c r="G9" s="640"/>
      <c r="H9" s="959" t="s">
        <v>149</v>
      </c>
      <c r="I9" s="960"/>
      <c r="J9" s="960"/>
      <c r="K9" s="961"/>
      <c r="L9" s="641"/>
      <c r="M9" s="642"/>
      <c r="N9" s="630" t="s">
        <v>150</v>
      </c>
      <c r="O9" s="631"/>
      <c r="P9" s="632"/>
      <c r="Q9" s="633"/>
      <c r="R9" s="643"/>
      <c r="S9" s="643"/>
      <c r="T9" s="634"/>
      <c r="U9" s="644"/>
      <c r="V9" s="645"/>
      <c r="W9" s="646"/>
      <c r="X9" s="647"/>
    </row>
    <row r="10" spans="1:24" s="648" customFormat="1">
      <c r="A10" s="649" t="s">
        <v>151</v>
      </c>
      <c r="B10" s="650" t="s">
        <v>51</v>
      </c>
      <c r="C10" s="651" t="s">
        <v>152</v>
      </c>
      <c r="D10" s="652" t="s">
        <v>153</v>
      </c>
      <c r="E10" s="653" t="s">
        <v>154</v>
      </c>
      <c r="F10" s="654" t="s">
        <v>155</v>
      </c>
      <c r="G10" s="640" t="s">
        <v>156</v>
      </c>
      <c r="H10" s="655" t="s">
        <v>157</v>
      </c>
      <c r="I10" s="655" t="s">
        <v>158</v>
      </c>
      <c r="J10" s="655" t="s">
        <v>159</v>
      </c>
      <c r="K10" s="655" t="s">
        <v>160</v>
      </c>
      <c r="L10" s="641" t="s">
        <v>161</v>
      </c>
      <c r="M10" s="656" t="s">
        <v>162</v>
      </c>
      <c r="N10" s="657" t="s">
        <v>163</v>
      </c>
      <c r="O10" s="658" t="s">
        <v>164</v>
      </c>
      <c r="P10" s="659" t="s">
        <v>165</v>
      </c>
      <c r="Q10" s="633" t="s">
        <v>166</v>
      </c>
      <c r="R10" s="659" t="s">
        <v>166</v>
      </c>
      <c r="S10" s="659" t="s">
        <v>165</v>
      </c>
      <c r="T10" s="660" t="s">
        <v>167</v>
      </c>
      <c r="U10" s="644" t="s">
        <v>168</v>
      </c>
      <c r="V10" s="644" t="s">
        <v>169</v>
      </c>
      <c r="W10" s="661"/>
    </row>
    <row r="11" spans="1:24" s="648" customFormat="1" ht="12" thickBot="1">
      <c r="A11" s="662" t="s">
        <v>170</v>
      </c>
      <c r="B11" s="663" t="s">
        <v>170</v>
      </c>
      <c r="C11" s="664" t="s">
        <v>171</v>
      </c>
      <c r="D11" s="665" t="s">
        <v>172</v>
      </c>
      <c r="E11" s="666" t="s">
        <v>172</v>
      </c>
      <c r="F11" s="667" t="s">
        <v>172</v>
      </c>
      <c r="G11" s="668" t="s">
        <v>172</v>
      </c>
      <c r="H11" s="669" t="s">
        <v>172</v>
      </c>
      <c r="I11" s="669" t="s">
        <v>172</v>
      </c>
      <c r="J11" s="669" t="s">
        <v>172</v>
      </c>
      <c r="K11" s="669" t="s">
        <v>172</v>
      </c>
      <c r="L11" s="670" t="s">
        <v>172</v>
      </c>
      <c r="M11" s="671" t="s">
        <v>173</v>
      </c>
      <c r="N11" s="672" t="s">
        <v>171</v>
      </c>
      <c r="O11" s="673" t="s">
        <v>171</v>
      </c>
      <c r="P11" s="674" t="s">
        <v>174</v>
      </c>
      <c r="Q11" s="675" t="s">
        <v>175</v>
      </c>
      <c r="R11" s="676" t="s">
        <v>36</v>
      </c>
      <c r="S11" s="676" t="s">
        <v>176</v>
      </c>
      <c r="T11" s="677"/>
      <c r="U11" s="678"/>
      <c r="V11" s="679" t="s">
        <v>172</v>
      </c>
      <c r="W11" s="661"/>
    </row>
    <row r="12" spans="1:24" s="648" customFormat="1">
      <c r="A12" s="680" t="s">
        <v>177</v>
      </c>
      <c r="B12" s="681"/>
      <c r="C12" s="682">
        <v>0</v>
      </c>
      <c r="D12" s="683" t="s">
        <v>178</v>
      </c>
      <c r="E12" s="684" t="s">
        <v>178</v>
      </c>
      <c r="F12" s="685" t="s">
        <v>178</v>
      </c>
      <c r="G12" s="686" t="s">
        <v>178</v>
      </c>
      <c r="H12" s="684" t="s">
        <v>178</v>
      </c>
      <c r="I12" s="684" t="s">
        <v>178</v>
      </c>
      <c r="J12" s="684" t="s">
        <v>178</v>
      </c>
      <c r="K12" s="684" t="s">
        <v>178</v>
      </c>
      <c r="L12" s="687" t="s">
        <v>178</v>
      </c>
      <c r="M12" s="688"/>
      <c r="N12" s="689"/>
      <c r="O12" s="690"/>
      <c r="P12" s="691"/>
      <c r="Q12" s="692"/>
      <c r="R12" s="693"/>
      <c r="S12" s="694"/>
      <c r="T12" s="695"/>
      <c r="U12" s="696" t="s">
        <v>179</v>
      </c>
      <c r="V12" s="697">
        <f>C29</f>
        <v>284</v>
      </c>
      <c r="W12" s="698"/>
    </row>
    <row r="13" spans="1:24" s="648" customFormat="1">
      <c r="A13" s="699">
        <v>180</v>
      </c>
      <c r="B13" s="700">
        <v>0</v>
      </c>
      <c r="C13" s="688">
        <v>10</v>
      </c>
      <c r="D13" s="701" t="s">
        <v>178</v>
      </c>
      <c r="E13" s="702" t="s">
        <v>178</v>
      </c>
      <c r="F13" s="703" t="s">
        <v>178</v>
      </c>
      <c r="G13" s="704" t="s">
        <v>178</v>
      </c>
      <c r="H13" s="702" t="s">
        <v>178</v>
      </c>
      <c r="I13" s="702" t="s">
        <v>178</v>
      </c>
      <c r="J13" s="702" t="s">
        <v>178</v>
      </c>
      <c r="K13" s="702" t="s">
        <v>178</v>
      </c>
      <c r="L13" s="705" t="s">
        <v>178</v>
      </c>
      <c r="M13" s="688">
        <v>966</v>
      </c>
      <c r="N13" s="706">
        <f>C12</f>
        <v>0</v>
      </c>
      <c r="O13" s="707">
        <f t="shared" ref="O13:O18" si="0">(C13+C14-10)/2</f>
        <v>10</v>
      </c>
      <c r="P13" s="708">
        <f>(A13-B13)/M13</f>
        <v>0.18633540372670807</v>
      </c>
      <c r="Q13" s="709">
        <f>(P13*(O13-N13))/100</f>
        <v>1.8633540372670808E-2</v>
      </c>
      <c r="R13" s="710">
        <f>SUM(Q$13:Q13)</f>
        <v>1.8633540372670808E-2</v>
      </c>
      <c r="S13" s="711">
        <f>R13/O13*100</f>
        <v>0.18633540372670807</v>
      </c>
      <c r="T13" s="712"/>
      <c r="U13" s="713" t="s">
        <v>205</v>
      </c>
      <c r="V13" s="714">
        <v>266</v>
      </c>
      <c r="W13" s="661"/>
    </row>
    <row r="14" spans="1:24" s="648" customFormat="1">
      <c r="A14" s="699">
        <v>310</v>
      </c>
      <c r="B14" s="700">
        <v>0</v>
      </c>
      <c r="C14" s="688">
        <v>20</v>
      </c>
      <c r="D14" s="701" t="s">
        <v>178</v>
      </c>
      <c r="E14" s="702" t="s">
        <v>178</v>
      </c>
      <c r="F14" s="703" t="s">
        <v>178</v>
      </c>
      <c r="G14" s="704" t="s">
        <v>178</v>
      </c>
      <c r="H14" s="702" t="s">
        <v>178</v>
      </c>
      <c r="I14" s="702" t="s">
        <v>178</v>
      </c>
      <c r="J14" s="702" t="s">
        <v>178</v>
      </c>
      <c r="K14" s="702" t="s">
        <v>178</v>
      </c>
      <c r="L14" s="705" t="s">
        <v>178</v>
      </c>
      <c r="M14" s="688">
        <v>966</v>
      </c>
      <c r="N14" s="706">
        <f t="shared" ref="N14:N19" si="1">(C13+C14-10)/2</f>
        <v>10</v>
      </c>
      <c r="O14" s="707">
        <f t="shared" si="0"/>
        <v>20</v>
      </c>
      <c r="P14" s="708">
        <f t="shared" ref="P14:P19" si="2">(A14-B14)/M14</f>
        <v>0.32091097308488614</v>
      </c>
      <c r="Q14" s="709">
        <f t="shared" ref="Q14:Q19" si="3">(P14*(O14-N14))/100</f>
        <v>3.2091097308488609E-2</v>
      </c>
      <c r="R14" s="710">
        <f>SUM(Q$13:Q14)</f>
        <v>5.0724637681159417E-2</v>
      </c>
      <c r="S14" s="711">
        <f t="shared" ref="S14:S19" si="4">R14/O14*100</f>
        <v>0.25362318840579706</v>
      </c>
      <c r="T14" s="712"/>
      <c r="U14" s="713" t="s">
        <v>206</v>
      </c>
      <c r="V14" s="714">
        <v>272</v>
      </c>
      <c r="W14" s="661"/>
    </row>
    <row r="15" spans="1:24" s="648" customFormat="1">
      <c r="A15" s="699">
        <v>320</v>
      </c>
      <c r="B15" s="700">
        <v>0</v>
      </c>
      <c r="C15" s="688">
        <v>30</v>
      </c>
      <c r="D15" s="701" t="s">
        <v>178</v>
      </c>
      <c r="E15" s="702" t="s">
        <v>178</v>
      </c>
      <c r="F15" s="703" t="s">
        <v>178</v>
      </c>
      <c r="G15" s="704" t="s">
        <v>178</v>
      </c>
      <c r="H15" s="702" t="s">
        <v>178</v>
      </c>
      <c r="I15" s="702" t="s">
        <v>178</v>
      </c>
      <c r="J15" s="702" t="s">
        <v>178</v>
      </c>
      <c r="K15" s="702" t="s">
        <v>178</v>
      </c>
      <c r="L15" s="705" t="s">
        <v>178</v>
      </c>
      <c r="M15" s="688">
        <v>966</v>
      </c>
      <c r="N15" s="706">
        <f t="shared" si="1"/>
        <v>20</v>
      </c>
      <c r="O15" s="707">
        <f t="shared" si="0"/>
        <v>30</v>
      </c>
      <c r="P15" s="708">
        <f t="shared" si="2"/>
        <v>0.33126293995859213</v>
      </c>
      <c r="Q15" s="709">
        <f t="shared" si="3"/>
        <v>3.3126293995859209E-2</v>
      </c>
      <c r="R15" s="710">
        <f>SUM(Q$13:Q15)</f>
        <v>8.3850931677018625E-2</v>
      </c>
      <c r="S15" s="711">
        <f t="shared" si="4"/>
        <v>0.27950310559006208</v>
      </c>
      <c r="T15" s="712"/>
      <c r="U15" s="713" t="s">
        <v>207</v>
      </c>
      <c r="V15" s="715">
        <v>287</v>
      </c>
      <c r="W15" s="661"/>
    </row>
    <row r="16" spans="1:24" s="648" customFormat="1">
      <c r="A16" s="716">
        <v>320</v>
      </c>
      <c r="B16" s="700">
        <v>0</v>
      </c>
      <c r="C16" s="688">
        <v>40</v>
      </c>
      <c r="D16" s="701" t="s">
        <v>178</v>
      </c>
      <c r="E16" s="702" t="s">
        <v>178</v>
      </c>
      <c r="F16" s="703" t="s">
        <v>178</v>
      </c>
      <c r="G16" s="704" t="s">
        <v>178</v>
      </c>
      <c r="H16" s="702" t="s">
        <v>178</v>
      </c>
      <c r="I16" s="702" t="s">
        <v>178</v>
      </c>
      <c r="J16" s="702" t="s">
        <v>178</v>
      </c>
      <c r="K16" s="702" t="s">
        <v>178</v>
      </c>
      <c r="L16" s="705" t="s">
        <v>178</v>
      </c>
      <c r="M16" s="688">
        <v>966</v>
      </c>
      <c r="N16" s="706">
        <f t="shared" si="1"/>
        <v>30</v>
      </c>
      <c r="O16" s="707">
        <f t="shared" si="0"/>
        <v>40</v>
      </c>
      <c r="P16" s="708">
        <f>(A16-B16)/M16</f>
        <v>0.33126293995859213</v>
      </c>
      <c r="Q16" s="709">
        <f t="shared" si="3"/>
        <v>3.3126293995859209E-2</v>
      </c>
      <c r="R16" s="710">
        <f>SUM(Q$13:Q16)</f>
        <v>0.11697722567287783</v>
      </c>
      <c r="S16" s="711">
        <f t="shared" si="4"/>
        <v>0.29244306418219457</v>
      </c>
      <c r="T16" s="712"/>
      <c r="U16" s="713" t="s">
        <v>208</v>
      </c>
      <c r="V16" s="714">
        <v>291</v>
      </c>
      <c r="W16" s="661"/>
    </row>
    <row r="17" spans="1:25" s="648" customFormat="1">
      <c r="A17" s="716">
        <v>355</v>
      </c>
      <c r="B17" s="700">
        <v>0</v>
      </c>
      <c r="C17" s="688">
        <v>50</v>
      </c>
      <c r="D17" s="701" t="s">
        <v>178</v>
      </c>
      <c r="E17" s="702" t="s">
        <v>178</v>
      </c>
      <c r="F17" s="703" t="s">
        <v>178</v>
      </c>
      <c r="G17" s="704" t="s">
        <v>178</v>
      </c>
      <c r="H17" s="702" t="s">
        <v>178</v>
      </c>
      <c r="I17" s="702" t="s">
        <v>178</v>
      </c>
      <c r="J17" s="702" t="s">
        <v>178</v>
      </c>
      <c r="K17" s="702" t="s">
        <v>178</v>
      </c>
      <c r="L17" s="705" t="s">
        <v>178</v>
      </c>
      <c r="M17" s="688">
        <v>966</v>
      </c>
      <c r="N17" s="706">
        <f t="shared" si="1"/>
        <v>40</v>
      </c>
      <c r="O17" s="707">
        <f t="shared" si="0"/>
        <v>50</v>
      </c>
      <c r="P17" s="708">
        <f t="shared" si="2"/>
        <v>0.36749482401656314</v>
      </c>
      <c r="Q17" s="709">
        <f t="shared" si="3"/>
        <v>3.6749482401656312E-2</v>
      </c>
      <c r="R17" s="710">
        <f>SUM(Q$13:Q17)</f>
        <v>0.15372670807453415</v>
      </c>
      <c r="S17" s="711">
        <f t="shared" si="4"/>
        <v>0.30745341614906829</v>
      </c>
      <c r="T17" s="712" t="s">
        <v>181</v>
      </c>
      <c r="U17" s="713" t="s">
        <v>217</v>
      </c>
      <c r="V17" s="714">
        <v>276</v>
      </c>
      <c r="W17" s="646"/>
    </row>
    <row r="18" spans="1:25" s="648" customFormat="1">
      <c r="A18" s="716">
        <v>355</v>
      </c>
      <c r="B18" s="700">
        <v>0</v>
      </c>
      <c r="C18" s="688">
        <v>60</v>
      </c>
      <c r="D18" s="701" t="s">
        <v>178</v>
      </c>
      <c r="E18" s="702" t="s">
        <v>178</v>
      </c>
      <c r="F18" s="703" t="s">
        <v>178</v>
      </c>
      <c r="G18" s="704" t="s">
        <v>178</v>
      </c>
      <c r="H18" s="702" t="s">
        <v>178</v>
      </c>
      <c r="I18" s="702" t="s">
        <v>178</v>
      </c>
      <c r="J18" s="702" t="s">
        <v>178</v>
      </c>
      <c r="K18" s="702" t="s">
        <v>178</v>
      </c>
      <c r="L18" s="705" t="s">
        <v>178</v>
      </c>
      <c r="M18" s="688">
        <v>966</v>
      </c>
      <c r="N18" s="706">
        <f t="shared" si="1"/>
        <v>50</v>
      </c>
      <c r="O18" s="707">
        <f t="shared" si="0"/>
        <v>60</v>
      </c>
      <c r="P18" s="708">
        <f>(A18-B18)/M18</f>
        <v>0.36749482401656314</v>
      </c>
      <c r="Q18" s="709">
        <f t="shared" si="3"/>
        <v>3.6749482401656312E-2</v>
      </c>
      <c r="R18" s="710">
        <f>SUM(Q$13:Q18)</f>
        <v>0.19047619047619047</v>
      </c>
      <c r="S18" s="711">
        <f>R18/O18*100</f>
        <v>0.31746031746031744</v>
      </c>
      <c r="T18" s="717"/>
      <c r="U18" s="713" t="s">
        <v>218</v>
      </c>
      <c r="V18" s="714">
        <v>269</v>
      </c>
      <c r="W18" s="646"/>
    </row>
    <row r="19" spans="1:25" s="648" customFormat="1" ht="10.15" customHeight="1">
      <c r="A19" s="716">
        <v>370</v>
      </c>
      <c r="B19" s="700">
        <v>0</v>
      </c>
      <c r="C19" s="688">
        <v>70</v>
      </c>
      <c r="D19" s="701" t="s">
        <v>178</v>
      </c>
      <c r="E19" s="702" t="s">
        <v>178</v>
      </c>
      <c r="F19" s="703" t="s">
        <v>178</v>
      </c>
      <c r="G19" s="704" t="s">
        <v>178</v>
      </c>
      <c r="H19" s="702" t="s">
        <v>178</v>
      </c>
      <c r="I19" s="702" t="s">
        <v>178</v>
      </c>
      <c r="J19" s="702" t="s">
        <v>178</v>
      </c>
      <c r="K19" s="702" t="s">
        <v>178</v>
      </c>
      <c r="L19" s="705" t="s">
        <v>178</v>
      </c>
      <c r="M19" s="688">
        <v>966</v>
      </c>
      <c r="N19" s="706">
        <f t="shared" si="1"/>
        <v>60</v>
      </c>
      <c r="O19" s="707">
        <f>C19</f>
        <v>70</v>
      </c>
      <c r="P19" s="708">
        <f t="shared" si="2"/>
        <v>0.38302277432712217</v>
      </c>
      <c r="Q19" s="709">
        <f t="shared" si="3"/>
        <v>3.8302277432712216E-2</v>
      </c>
      <c r="R19" s="710">
        <f>SUM(Q$13:Q19)</f>
        <v>0.22877846790890269</v>
      </c>
      <c r="S19" s="711">
        <f t="shared" si="4"/>
        <v>0.32682638272700387</v>
      </c>
      <c r="T19" s="717"/>
      <c r="U19" s="713" t="s">
        <v>219</v>
      </c>
      <c r="V19" s="714">
        <v>279</v>
      </c>
      <c r="W19" s="718"/>
    </row>
    <row r="20" spans="1:25" s="648" customFormat="1">
      <c r="A20" s="716"/>
      <c r="B20" s="700"/>
      <c r="C20" s="688"/>
      <c r="D20" s="701"/>
      <c r="E20" s="702"/>
      <c r="F20" s="703"/>
      <c r="G20" s="704"/>
      <c r="H20" s="702"/>
      <c r="I20" s="702"/>
      <c r="J20" s="702"/>
      <c r="K20" s="702"/>
      <c r="L20" s="705"/>
      <c r="M20" s="688"/>
      <c r="N20" s="706"/>
      <c r="O20" s="707"/>
      <c r="P20" s="708"/>
      <c r="Q20" s="709"/>
      <c r="R20" s="710"/>
      <c r="S20" s="711"/>
      <c r="T20" s="712"/>
      <c r="U20" s="713" t="s">
        <v>220</v>
      </c>
      <c r="V20" s="714">
        <v>279</v>
      </c>
      <c r="W20" s="719"/>
    </row>
    <row r="21" spans="1:25" s="721" customFormat="1">
      <c r="A21" s="716"/>
      <c r="B21" s="700"/>
      <c r="C21" s="688"/>
      <c r="D21" s="701"/>
      <c r="E21" s="702"/>
      <c r="F21" s="703"/>
      <c r="G21" s="704"/>
      <c r="H21" s="702"/>
      <c r="I21" s="702"/>
      <c r="J21" s="702"/>
      <c r="K21" s="702"/>
      <c r="L21" s="705"/>
      <c r="M21" s="688"/>
      <c r="N21" s="706"/>
      <c r="O21" s="707"/>
      <c r="P21" s="708"/>
      <c r="Q21" s="709"/>
      <c r="R21" s="710"/>
      <c r="S21" s="711"/>
      <c r="T21" s="720"/>
      <c r="U21" s="713" t="s">
        <v>221</v>
      </c>
      <c r="V21" s="714">
        <v>265</v>
      </c>
      <c r="W21" s="719"/>
    </row>
    <row r="22" spans="1:25" s="721" customFormat="1">
      <c r="A22" s="716"/>
      <c r="B22" s="700"/>
      <c r="C22" s="688"/>
      <c r="D22" s="701"/>
      <c r="E22" s="702"/>
      <c r="F22" s="703"/>
      <c r="G22" s="704"/>
      <c r="H22" s="702"/>
      <c r="I22" s="702"/>
      <c r="J22" s="702"/>
      <c r="K22" s="702"/>
      <c r="L22" s="705"/>
      <c r="M22" s="688"/>
      <c r="N22" s="706"/>
      <c r="O22" s="707"/>
      <c r="P22" s="708"/>
      <c r="Q22" s="709"/>
      <c r="R22" s="710"/>
      <c r="S22" s="711"/>
      <c r="T22" s="722"/>
      <c r="U22" s="713" t="s">
        <v>222</v>
      </c>
      <c r="V22" s="723">
        <v>268</v>
      </c>
      <c r="W22" s="719"/>
    </row>
    <row r="23" spans="1:25" s="721" customFormat="1" ht="12" thickBot="1">
      <c r="A23" s="724"/>
      <c r="B23" s="725"/>
      <c r="C23" s="726"/>
      <c r="D23" s="727"/>
      <c r="E23" s="726"/>
      <c r="F23" s="728"/>
      <c r="G23" s="729"/>
      <c r="H23" s="726"/>
      <c r="I23" s="726"/>
      <c r="J23" s="726"/>
      <c r="K23" s="726"/>
      <c r="L23" s="730"/>
      <c r="M23" s="726"/>
      <c r="N23" s="731"/>
      <c r="O23" s="732"/>
      <c r="P23" s="733"/>
      <c r="Q23" s="734"/>
      <c r="R23" s="735"/>
      <c r="S23" s="736"/>
      <c r="T23" s="737"/>
      <c r="U23" s="713" t="s">
        <v>223</v>
      </c>
      <c r="V23" s="738">
        <v>267</v>
      </c>
      <c r="W23" s="739"/>
    </row>
    <row r="24" spans="1:25" s="721" customFormat="1">
      <c r="A24" s="740" t="s">
        <v>182</v>
      </c>
      <c r="B24" s="700"/>
      <c r="C24" s="688"/>
      <c r="D24" s="741"/>
      <c r="E24" s="688"/>
      <c r="F24" s="742"/>
      <c r="G24" s="743"/>
      <c r="H24" s="688"/>
      <c r="I24" s="688"/>
      <c r="J24" s="688"/>
      <c r="K24" s="688"/>
      <c r="L24" s="744"/>
      <c r="M24" s="688"/>
      <c r="N24" s="706"/>
      <c r="O24" s="707"/>
      <c r="P24" s="708"/>
      <c r="Q24" s="709"/>
      <c r="R24" s="710"/>
      <c r="S24" s="711"/>
      <c r="T24" s="722"/>
      <c r="U24" s="713" t="s">
        <v>224</v>
      </c>
      <c r="V24" s="738">
        <v>238</v>
      </c>
      <c r="W24" s="739"/>
    </row>
    <row r="25" spans="1:25" s="721" customFormat="1">
      <c r="A25" s="716">
        <v>865</v>
      </c>
      <c r="B25" s="700">
        <v>0</v>
      </c>
      <c r="C25" s="688">
        <v>155</v>
      </c>
      <c r="D25" s="745">
        <v>79</v>
      </c>
      <c r="E25" s="746"/>
      <c r="F25" s="747"/>
      <c r="G25" s="748">
        <f t="shared" ref="G25:G29" si="5">AVERAGE(D25:F25)</f>
        <v>79</v>
      </c>
      <c r="H25" s="746">
        <v>5.7</v>
      </c>
      <c r="I25" s="746"/>
      <c r="J25" s="746"/>
      <c r="K25" s="746"/>
      <c r="L25" s="749">
        <f t="shared" ref="L25:L29" si="6">AVERAGE(H25:K25)</f>
        <v>5.7</v>
      </c>
      <c r="M25" s="688">
        <f>G25*    PI()* (L25/2)^2</f>
        <v>2015.8893199738648</v>
      </c>
      <c r="N25" s="706">
        <f>C19</f>
        <v>70</v>
      </c>
      <c r="O25" s="707">
        <f>(C25+C26-G26)/2</f>
        <v>154.25</v>
      </c>
      <c r="P25" s="708">
        <f>(A25-B25)/M25</f>
        <v>0.4290910177604465</v>
      </c>
      <c r="Q25" s="709">
        <f t="shared" ref="Q25:Q29" si="7">(P25*(O25-N25))/100</f>
        <v>0.36150918246317615</v>
      </c>
      <c r="R25" s="710">
        <f>SUM(Q$13:Q25)</f>
        <v>0.59028765037207886</v>
      </c>
      <c r="S25" s="711">
        <f t="shared" ref="S25:S29" si="8">R25/O25*100</f>
        <v>0.3826824313595325</v>
      </c>
      <c r="T25" s="722"/>
      <c r="U25" s="713" t="s">
        <v>180</v>
      </c>
      <c r="V25" s="738"/>
      <c r="W25" s="739"/>
    </row>
    <row r="26" spans="1:25" s="721" customFormat="1">
      <c r="A26" s="716">
        <v>160</v>
      </c>
      <c r="B26" s="700">
        <v>0</v>
      </c>
      <c r="C26" s="688">
        <f>C27-D27</f>
        <v>167</v>
      </c>
      <c r="D26" s="745">
        <v>13.5</v>
      </c>
      <c r="E26" s="746"/>
      <c r="F26" s="747"/>
      <c r="G26" s="748">
        <f t="shared" si="5"/>
        <v>13.5</v>
      </c>
      <c r="H26" s="746">
        <v>5.7</v>
      </c>
      <c r="I26" s="746"/>
      <c r="J26" s="746"/>
      <c r="K26" s="746"/>
      <c r="L26" s="749">
        <f t="shared" si="6"/>
        <v>5.7</v>
      </c>
      <c r="M26" s="688">
        <f t="shared" ref="M26:M29" si="9">G26*    PI()* (L26/2)^2</f>
        <v>344.48741543857176</v>
      </c>
      <c r="N26" s="706">
        <f>(C25+C26-G26)/2</f>
        <v>154.25</v>
      </c>
      <c r="O26" s="707">
        <f>(C26+C27-G27)/2</f>
        <v>167</v>
      </c>
      <c r="P26" s="708">
        <f>(A26-B26)/M26</f>
        <v>0.46445818578394732</v>
      </c>
      <c r="Q26" s="709">
        <f t="shared" si="7"/>
        <v>5.9218418687453284E-2</v>
      </c>
      <c r="R26" s="710">
        <f>SUM(Q$13:Q26)</f>
        <v>0.64950606905953212</v>
      </c>
      <c r="S26" s="711">
        <f t="shared" si="8"/>
        <v>0.38892578985600723</v>
      </c>
      <c r="T26" s="722"/>
      <c r="U26" s="713" t="s">
        <v>180</v>
      </c>
      <c r="V26" s="714"/>
      <c r="W26" s="739"/>
    </row>
    <row r="27" spans="1:25" s="721" customFormat="1">
      <c r="A27" s="716">
        <v>680</v>
      </c>
      <c r="B27" s="700">
        <v>0</v>
      </c>
      <c r="C27" s="688">
        <f>C28-D28</f>
        <v>221</v>
      </c>
      <c r="D27" s="745">
        <v>54</v>
      </c>
      <c r="E27" s="746"/>
      <c r="F27" s="747"/>
      <c r="G27" s="748">
        <f t="shared" si="5"/>
        <v>54</v>
      </c>
      <c r="H27" s="746">
        <v>5.7</v>
      </c>
      <c r="I27" s="746"/>
      <c r="J27" s="746"/>
      <c r="K27" s="746"/>
      <c r="L27" s="749">
        <f t="shared" si="6"/>
        <v>5.7</v>
      </c>
      <c r="M27" s="688">
        <f t="shared" si="9"/>
        <v>1377.949661754287</v>
      </c>
      <c r="N27" s="706">
        <f t="shared" ref="N27:N29" si="10">(C26+C27-G27)/2</f>
        <v>167</v>
      </c>
      <c r="O27" s="707">
        <f>(C27+C28-G28)/2</f>
        <v>221</v>
      </c>
      <c r="P27" s="708">
        <f t="shared" ref="P27:P29" si="11">(A27-B27)/M27</f>
        <v>0.493486822395444</v>
      </c>
      <c r="Q27" s="709">
        <f t="shared" si="7"/>
        <v>0.26648288409353976</v>
      </c>
      <c r="R27" s="710">
        <f>SUM(Q$13:Q27)</f>
        <v>0.91598895315307183</v>
      </c>
      <c r="S27" s="711">
        <f t="shared" si="8"/>
        <v>0.41447463943577906</v>
      </c>
      <c r="T27" s="722"/>
      <c r="U27" s="713" t="s">
        <v>180</v>
      </c>
      <c r="V27" s="714"/>
      <c r="W27" s="739"/>
    </row>
    <row r="28" spans="1:25" s="721" customFormat="1">
      <c r="A28" s="716">
        <v>300</v>
      </c>
      <c r="B28" s="700">
        <v>0</v>
      </c>
      <c r="C28" s="688">
        <v>246</v>
      </c>
      <c r="D28" s="745">
        <v>25</v>
      </c>
      <c r="E28" s="746"/>
      <c r="F28" s="747"/>
      <c r="G28" s="748">
        <f t="shared" si="5"/>
        <v>25</v>
      </c>
      <c r="H28" s="746">
        <v>5.7</v>
      </c>
      <c r="I28" s="746"/>
      <c r="J28" s="746"/>
      <c r="K28" s="746"/>
      <c r="L28" s="749">
        <f t="shared" si="6"/>
        <v>5.7</v>
      </c>
      <c r="M28" s="688">
        <f t="shared" si="9"/>
        <v>637.93965821957738</v>
      </c>
      <c r="N28" s="706">
        <f t="shared" si="10"/>
        <v>221</v>
      </c>
      <c r="O28" s="707">
        <f t="shared" ref="O28" si="12">(C28+C29-G29)/2</f>
        <v>247.5</v>
      </c>
      <c r="P28" s="708">
        <f t="shared" si="11"/>
        <v>0.4702639131062466</v>
      </c>
      <c r="Q28" s="709">
        <f t="shared" si="7"/>
        <v>0.12461993697315535</v>
      </c>
      <c r="R28" s="710">
        <f>SUM(Q$13:Q28)</f>
        <v>1.0406088901262271</v>
      </c>
      <c r="S28" s="711">
        <f t="shared" si="8"/>
        <v>0.42044803641463718</v>
      </c>
      <c r="T28" s="722"/>
      <c r="U28" s="713" t="s">
        <v>180</v>
      </c>
      <c r="V28" s="714"/>
      <c r="W28" s="739"/>
    </row>
    <row r="29" spans="1:25">
      <c r="A29" s="716">
        <v>450</v>
      </c>
      <c r="B29" s="700">
        <v>0</v>
      </c>
      <c r="C29" s="688">
        <v>284</v>
      </c>
      <c r="D29" s="745">
        <v>35</v>
      </c>
      <c r="E29" s="746"/>
      <c r="F29" s="747"/>
      <c r="G29" s="748">
        <f t="shared" si="5"/>
        <v>35</v>
      </c>
      <c r="H29" s="746">
        <v>5.7</v>
      </c>
      <c r="I29" s="746"/>
      <c r="J29" s="746"/>
      <c r="K29" s="746"/>
      <c r="L29" s="749">
        <f t="shared" si="6"/>
        <v>5.7</v>
      </c>
      <c r="M29" s="688">
        <f t="shared" si="9"/>
        <v>893.11552150740829</v>
      </c>
      <c r="N29" s="706">
        <f t="shared" si="10"/>
        <v>247.5</v>
      </c>
      <c r="O29" s="707">
        <f>C29</f>
        <v>284</v>
      </c>
      <c r="P29" s="708">
        <f t="shared" si="11"/>
        <v>0.50385419261383568</v>
      </c>
      <c r="Q29" s="709">
        <f t="shared" si="7"/>
        <v>0.18390678030405003</v>
      </c>
      <c r="R29" s="710">
        <f>SUM(Q$13:Q29)</f>
        <v>1.2245156704302771</v>
      </c>
      <c r="S29" s="711">
        <f t="shared" si="8"/>
        <v>0.43116748958812579</v>
      </c>
      <c r="T29" s="722" t="s">
        <v>249</v>
      </c>
      <c r="U29" s="713" t="s">
        <v>180</v>
      </c>
      <c r="V29" s="714"/>
      <c r="W29" s="739"/>
      <c r="X29" s="721"/>
      <c r="Y29" s="721"/>
    </row>
    <row r="30" spans="1:25">
      <c r="A30" s="716"/>
      <c r="B30" s="700"/>
      <c r="C30" s="688"/>
      <c r="D30" s="745"/>
      <c r="E30" s="746"/>
      <c r="F30" s="747"/>
      <c r="G30" s="748"/>
      <c r="H30" s="746"/>
      <c r="I30" s="746"/>
      <c r="J30" s="746"/>
      <c r="K30" s="746"/>
      <c r="L30" s="749"/>
      <c r="M30" s="688"/>
      <c r="N30" s="706"/>
      <c r="O30" s="707"/>
      <c r="P30" s="708"/>
      <c r="Q30" s="709"/>
      <c r="R30" s="710"/>
      <c r="S30" s="711"/>
      <c r="T30" s="722"/>
      <c r="U30" s="713" t="s">
        <v>180</v>
      </c>
      <c r="V30" s="714"/>
      <c r="W30" s="739"/>
      <c r="X30" s="721"/>
      <c r="Y30" s="721"/>
    </row>
    <row r="31" spans="1:25">
      <c r="A31" s="716"/>
      <c r="B31" s="700"/>
      <c r="C31" s="688"/>
      <c r="D31" s="745"/>
      <c r="E31" s="746"/>
      <c r="F31" s="747"/>
      <c r="G31" s="748"/>
      <c r="H31" s="746"/>
      <c r="I31" s="746"/>
      <c r="J31" s="746"/>
      <c r="K31" s="746"/>
      <c r="L31" s="749"/>
      <c r="M31" s="688"/>
      <c r="N31" s="706"/>
      <c r="O31" s="707"/>
      <c r="P31" s="708"/>
      <c r="Q31" s="709"/>
      <c r="R31" s="710"/>
      <c r="S31" s="711"/>
      <c r="T31" s="722"/>
      <c r="U31" s="713" t="s">
        <v>180</v>
      </c>
      <c r="V31" s="714"/>
      <c r="W31" s="739"/>
      <c r="X31" s="721"/>
      <c r="Y31" s="721"/>
    </row>
    <row r="32" spans="1:25">
      <c r="A32" s="716"/>
      <c r="B32" s="700"/>
      <c r="C32" s="688"/>
      <c r="D32" s="745"/>
      <c r="E32" s="746"/>
      <c r="F32" s="747"/>
      <c r="G32" s="748"/>
      <c r="H32" s="746"/>
      <c r="I32" s="746"/>
      <c r="J32" s="746"/>
      <c r="K32" s="746"/>
      <c r="L32" s="749"/>
      <c r="M32" s="688"/>
      <c r="N32" s="706"/>
      <c r="O32" s="707"/>
      <c r="P32" s="708"/>
      <c r="Q32" s="709"/>
      <c r="R32" s="710"/>
      <c r="S32" s="711"/>
      <c r="T32" s="722"/>
      <c r="U32" s="713" t="s">
        <v>180</v>
      </c>
      <c r="V32" s="714"/>
      <c r="W32" s="739"/>
      <c r="X32" s="721"/>
      <c r="Y32" s="721"/>
    </row>
    <row r="33" spans="1:26">
      <c r="A33" s="716"/>
      <c r="B33" s="700"/>
      <c r="C33" s="688"/>
      <c r="D33" s="745"/>
      <c r="E33" s="746"/>
      <c r="F33" s="747"/>
      <c r="G33" s="748"/>
      <c r="H33" s="746"/>
      <c r="I33" s="746"/>
      <c r="J33" s="746"/>
      <c r="K33" s="746"/>
      <c r="L33" s="749"/>
      <c r="M33" s="688"/>
      <c r="N33" s="706"/>
      <c r="O33" s="707"/>
      <c r="P33" s="708"/>
      <c r="Q33" s="709"/>
      <c r="R33" s="710"/>
      <c r="S33" s="711"/>
      <c r="T33" s="722"/>
      <c r="U33" s="713" t="s">
        <v>180</v>
      </c>
      <c r="V33" s="714"/>
      <c r="W33" s="739"/>
      <c r="X33" s="721"/>
      <c r="Y33" s="721"/>
    </row>
    <row r="34" spans="1:26">
      <c r="A34" s="716"/>
      <c r="B34" s="700"/>
      <c r="C34" s="688"/>
      <c r="D34" s="745"/>
      <c r="E34" s="746"/>
      <c r="F34" s="747"/>
      <c r="G34" s="748"/>
      <c r="H34" s="746"/>
      <c r="I34" s="746"/>
      <c r="J34" s="746"/>
      <c r="K34" s="746"/>
      <c r="L34" s="749"/>
      <c r="M34" s="688"/>
      <c r="N34" s="706"/>
      <c r="O34" s="707"/>
      <c r="P34" s="708"/>
      <c r="Q34" s="709"/>
      <c r="R34" s="710"/>
      <c r="S34" s="711"/>
      <c r="T34" s="722"/>
      <c r="U34" s="713"/>
      <c r="V34" s="714"/>
      <c r="W34" s="751"/>
    </row>
    <row r="35" spans="1:26">
      <c r="A35" s="716"/>
      <c r="B35" s="700"/>
      <c r="C35" s="688"/>
      <c r="D35" s="745"/>
      <c r="E35" s="746"/>
      <c r="F35" s="747"/>
      <c r="G35" s="748"/>
      <c r="H35" s="746"/>
      <c r="I35" s="746"/>
      <c r="J35" s="746"/>
      <c r="K35" s="746"/>
      <c r="L35" s="749"/>
      <c r="M35" s="688"/>
      <c r="N35" s="706"/>
      <c r="O35" s="707"/>
      <c r="P35" s="708"/>
      <c r="Q35" s="709"/>
      <c r="R35" s="710"/>
      <c r="S35" s="711"/>
      <c r="T35" s="722"/>
      <c r="U35" s="713"/>
      <c r="V35" s="714"/>
      <c r="W35" s="752"/>
      <c r="X35" s="753"/>
      <c r="Y35" s="754"/>
      <c r="Z35" s="753"/>
    </row>
    <row r="36" spans="1:26">
      <c r="A36" s="716"/>
      <c r="B36" s="700"/>
      <c r="C36" s="688"/>
      <c r="D36" s="745"/>
      <c r="E36" s="746"/>
      <c r="F36" s="747"/>
      <c r="G36" s="748"/>
      <c r="H36" s="746"/>
      <c r="I36" s="746"/>
      <c r="J36" s="746"/>
      <c r="K36" s="746"/>
      <c r="L36" s="749"/>
      <c r="M36" s="688"/>
      <c r="N36" s="706"/>
      <c r="O36" s="707"/>
      <c r="P36" s="708"/>
      <c r="Q36" s="709"/>
      <c r="R36" s="710"/>
      <c r="S36" s="711"/>
      <c r="T36" s="722"/>
      <c r="U36" s="713"/>
      <c r="V36" s="714"/>
      <c r="W36" s="752"/>
      <c r="X36" s="753"/>
      <c r="Y36" s="755"/>
      <c r="Z36" s="753"/>
    </row>
    <row r="37" spans="1:26">
      <c r="A37" s="716"/>
      <c r="B37" s="700"/>
      <c r="C37" s="688"/>
      <c r="D37" s="745"/>
      <c r="E37" s="746"/>
      <c r="F37" s="747"/>
      <c r="G37" s="748"/>
      <c r="H37" s="746"/>
      <c r="I37" s="746"/>
      <c r="J37" s="746"/>
      <c r="K37" s="746"/>
      <c r="L37" s="749"/>
      <c r="M37" s="688"/>
      <c r="N37" s="706"/>
      <c r="O37" s="707"/>
      <c r="P37" s="708"/>
      <c r="Q37" s="709"/>
      <c r="R37" s="710"/>
      <c r="S37" s="711"/>
      <c r="T37" s="722"/>
      <c r="U37" s="713"/>
      <c r="V37" s="714"/>
      <c r="W37" s="756"/>
      <c r="X37" s="753"/>
      <c r="Y37" s="753"/>
      <c r="Z37" s="753"/>
    </row>
    <row r="38" spans="1:26">
      <c r="A38" s="716"/>
      <c r="B38" s="700"/>
      <c r="C38" s="688"/>
      <c r="D38" s="745"/>
      <c r="E38" s="746"/>
      <c r="F38" s="747"/>
      <c r="G38" s="748"/>
      <c r="H38" s="746"/>
      <c r="I38" s="746"/>
      <c r="J38" s="746"/>
      <c r="K38" s="746"/>
      <c r="L38" s="749"/>
      <c r="M38" s="688"/>
      <c r="N38" s="706"/>
      <c r="O38" s="707"/>
      <c r="P38" s="708"/>
      <c r="Q38" s="709"/>
      <c r="R38" s="710"/>
      <c r="S38" s="711"/>
      <c r="T38" s="722"/>
      <c r="U38" s="713"/>
      <c r="V38" s="714"/>
      <c r="W38" s="757"/>
      <c r="X38" s="758"/>
    </row>
    <row r="39" spans="1:26">
      <c r="A39" s="716"/>
      <c r="B39" s="700"/>
      <c r="C39" s="688"/>
      <c r="D39" s="745"/>
      <c r="E39" s="746"/>
      <c r="F39" s="747"/>
      <c r="G39" s="748"/>
      <c r="H39" s="746"/>
      <c r="I39" s="746"/>
      <c r="J39" s="746"/>
      <c r="K39" s="746"/>
      <c r="L39" s="749"/>
      <c r="M39" s="688"/>
      <c r="N39" s="706"/>
      <c r="O39" s="707"/>
      <c r="P39" s="708"/>
      <c r="Q39" s="709"/>
      <c r="R39" s="710"/>
      <c r="S39" s="711"/>
      <c r="T39" s="722"/>
      <c r="U39" s="713"/>
      <c r="V39" s="714"/>
      <c r="W39" s="758"/>
      <c r="X39" s="758"/>
    </row>
    <row r="40" spans="1:26">
      <c r="A40" s="716"/>
      <c r="B40" s="700"/>
      <c r="C40" s="688"/>
      <c r="D40" s="745"/>
      <c r="E40" s="746"/>
      <c r="F40" s="747"/>
      <c r="G40" s="748"/>
      <c r="H40" s="746"/>
      <c r="I40" s="746"/>
      <c r="J40" s="746"/>
      <c r="K40" s="746"/>
      <c r="L40" s="749"/>
      <c r="M40" s="688"/>
      <c r="N40" s="706"/>
      <c r="O40" s="707"/>
      <c r="P40" s="708"/>
      <c r="Q40" s="709"/>
      <c r="R40" s="710"/>
      <c r="S40" s="711"/>
      <c r="T40" s="722"/>
      <c r="U40" s="713"/>
      <c r="V40" s="714"/>
    </row>
    <row r="41" spans="1:26">
      <c r="A41" s="716"/>
      <c r="B41" s="700"/>
      <c r="C41" s="688"/>
      <c r="D41" s="745"/>
      <c r="E41" s="746"/>
      <c r="F41" s="747"/>
      <c r="G41" s="748"/>
      <c r="H41" s="746"/>
      <c r="I41" s="746"/>
      <c r="J41" s="746"/>
      <c r="K41" s="746"/>
      <c r="L41" s="749"/>
      <c r="M41" s="688"/>
      <c r="N41" s="706"/>
      <c r="O41" s="707"/>
      <c r="P41" s="708"/>
      <c r="Q41" s="709"/>
      <c r="R41" s="710"/>
      <c r="S41" s="711"/>
      <c r="T41" s="722"/>
      <c r="U41" s="713"/>
      <c r="V41" s="714"/>
    </row>
    <row r="42" spans="1:26">
      <c r="A42" s="716"/>
      <c r="B42" s="700"/>
      <c r="C42" s="688"/>
      <c r="D42" s="745"/>
      <c r="E42" s="746"/>
      <c r="F42" s="747"/>
      <c r="G42" s="748"/>
      <c r="H42" s="746"/>
      <c r="I42" s="746"/>
      <c r="J42" s="746"/>
      <c r="K42" s="746"/>
      <c r="L42" s="749"/>
      <c r="M42" s="688"/>
      <c r="N42" s="706"/>
      <c r="O42" s="707"/>
      <c r="P42" s="708"/>
      <c r="Q42" s="709"/>
      <c r="R42" s="710"/>
      <c r="S42" s="711"/>
      <c r="T42" s="722"/>
      <c r="U42" s="713"/>
      <c r="V42" s="714"/>
    </row>
    <row r="43" spans="1:26">
      <c r="A43" s="716"/>
      <c r="B43" s="700"/>
      <c r="C43" s="688"/>
      <c r="D43" s="745"/>
      <c r="E43" s="746"/>
      <c r="F43" s="747"/>
      <c r="G43" s="748"/>
      <c r="H43" s="746"/>
      <c r="I43" s="746"/>
      <c r="J43" s="746"/>
      <c r="K43" s="746"/>
      <c r="L43" s="749"/>
      <c r="M43" s="688"/>
      <c r="N43" s="706"/>
      <c r="O43" s="707"/>
      <c r="P43" s="708"/>
      <c r="Q43" s="709"/>
      <c r="R43" s="710"/>
      <c r="S43" s="711"/>
      <c r="T43" s="722"/>
      <c r="U43" s="713"/>
      <c r="V43" s="714"/>
    </row>
    <row r="44" spans="1:26">
      <c r="A44" s="716"/>
      <c r="B44" s="700"/>
      <c r="C44" s="688"/>
      <c r="D44" s="745"/>
      <c r="E44" s="746"/>
      <c r="F44" s="747"/>
      <c r="G44" s="748"/>
      <c r="H44" s="746"/>
      <c r="I44" s="746"/>
      <c r="J44" s="746"/>
      <c r="K44" s="746"/>
      <c r="L44" s="749"/>
      <c r="M44" s="688"/>
      <c r="N44" s="706"/>
      <c r="O44" s="707"/>
      <c r="P44" s="708"/>
      <c r="Q44" s="709"/>
      <c r="R44" s="710"/>
      <c r="S44" s="711"/>
      <c r="T44" s="722"/>
      <c r="U44" s="713"/>
      <c r="V44" s="714"/>
    </row>
    <row r="45" spans="1:26">
      <c r="A45" s="716"/>
      <c r="B45" s="700"/>
      <c r="C45" s="688"/>
      <c r="D45" s="745"/>
      <c r="E45" s="746"/>
      <c r="F45" s="747"/>
      <c r="G45" s="748"/>
      <c r="H45" s="746"/>
      <c r="I45" s="746"/>
      <c r="J45" s="746"/>
      <c r="K45" s="746"/>
      <c r="L45" s="749"/>
      <c r="M45" s="688"/>
      <c r="N45" s="706"/>
      <c r="O45" s="707"/>
      <c r="P45" s="708"/>
      <c r="Q45" s="709"/>
      <c r="R45" s="710"/>
      <c r="S45" s="711"/>
      <c r="T45" s="722"/>
      <c r="U45" s="713"/>
      <c r="V45" s="714"/>
    </row>
    <row r="46" spans="1:26">
      <c r="A46" s="716"/>
      <c r="B46" s="700"/>
      <c r="C46" s="688"/>
      <c r="D46" s="745"/>
      <c r="E46" s="746"/>
      <c r="F46" s="747"/>
      <c r="G46" s="748"/>
      <c r="H46" s="746"/>
      <c r="I46" s="746"/>
      <c r="J46" s="746"/>
      <c r="K46" s="746"/>
      <c r="L46" s="749"/>
      <c r="M46" s="688"/>
      <c r="N46" s="706"/>
      <c r="O46" s="707"/>
      <c r="P46" s="708"/>
      <c r="Q46" s="709"/>
      <c r="R46" s="710"/>
      <c r="S46" s="711"/>
      <c r="T46" s="722"/>
      <c r="U46" s="713"/>
      <c r="V46" s="714"/>
    </row>
    <row r="47" spans="1:26">
      <c r="A47" s="716"/>
      <c r="B47" s="700"/>
      <c r="C47" s="688"/>
      <c r="D47" s="745"/>
      <c r="E47" s="746"/>
      <c r="F47" s="747"/>
      <c r="G47" s="748"/>
      <c r="H47" s="746"/>
      <c r="I47" s="746"/>
      <c r="J47" s="746"/>
      <c r="K47" s="746"/>
      <c r="L47" s="749"/>
      <c r="M47" s="688"/>
      <c r="N47" s="706"/>
      <c r="O47" s="707"/>
      <c r="P47" s="708"/>
      <c r="Q47" s="709"/>
      <c r="R47" s="710"/>
      <c r="S47" s="711"/>
      <c r="T47" s="722"/>
      <c r="U47" s="713"/>
      <c r="V47" s="714"/>
    </row>
    <row r="48" spans="1:26">
      <c r="A48" s="716"/>
      <c r="B48" s="700"/>
      <c r="C48" s="688"/>
      <c r="D48" s="745"/>
      <c r="E48" s="746"/>
      <c r="F48" s="747"/>
      <c r="G48" s="748"/>
      <c r="H48" s="746"/>
      <c r="I48" s="746"/>
      <c r="J48" s="746"/>
      <c r="K48" s="746"/>
      <c r="L48" s="749"/>
      <c r="M48" s="688"/>
      <c r="N48" s="706"/>
      <c r="O48" s="707"/>
      <c r="P48" s="708"/>
      <c r="Q48" s="709"/>
      <c r="R48" s="710"/>
      <c r="S48" s="711"/>
      <c r="T48" s="722"/>
      <c r="U48" s="713"/>
      <c r="V48" s="714"/>
    </row>
    <row r="49" spans="1:26">
      <c r="A49" s="716"/>
      <c r="B49" s="700"/>
      <c r="C49" s="688"/>
      <c r="D49" s="745"/>
      <c r="E49" s="746"/>
      <c r="F49" s="747"/>
      <c r="G49" s="748"/>
      <c r="H49" s="746"/>
      <c r="I49" s="746"/>
      <c r="J49" s="746"/>
      <c r="K49" s="746"/>
      <c r="L49" s="749"/>
      <c r="M49" s="688"/>
      <c r="N49" s="706"/>
      <c r="O49" s="707"/>
      <c r="P49" s="708"/>
      <c r="Q49" s="709"/>
      <c r="R49" s="710"/>
      <c r="S49" s="711"/>
      <c r="T49" s="722"/>
      <c r="U49" s="713"/>
      <c r="V49" s="714"/>
    </row>
    <row r="50" spans="1:26">
      <c r="A50" s="716"/>
      <c r="B50" s="700"/>
      <c r="C50" s="688"/>
      <c r="D50" s="745"/>
      <c r="E50" s="746"/>
      <c r="F50" s="747"/>
      <c r="G50" s="748"/>
      <c r="H50" s="746"/>
      <c r="I50" s="746"/>
      <c r="J50" s="746"/>
      <c r="K50" s="746"/>
      <c r="L50" s="749"/>
      <c r="M50" s="688"/>
      <c r="N50" s="706"/>
      <c r="O50" s="707"/>
      <c r="P50" s="708"/>
      <c r="Q50" s="709"/>
      <c r="R50" s="710"/>
      <c r="S50" s="711"/>
      <c r="T50" s="722"/>
      <c r="U50" s="713"/>
      <c r="V50" s="714"/>
    </row>
    <row r="51" spans="1:26">
      <c r="A51" s="716"/>
      <c r="B51" s="700"/>
      <c r="C51" s="688"/>
      <c r="D51" s="745"/>
      <c r="E51" s="746"/>
      <c r="F51" s="747"/>
      <c r="G51" s="748"/>
      <c r="H51" s="746"/>
      <c r="I51" s="746"/>
      <c r="J51" s="746"/>
      <c r="K51" s="746"/>
      <c r="L51" s="749"/>
      <c r="M51" s="688"/>
      <c r="N51" s="706"/>
      <c r="O51" s="707"/>
      <c r="P51" s="708"/>
      <c r="Q51" s="709"/>
      <c r="R51" s="710"/>
      <c r="S51" s="711"/>
      <c r="T51" s="722"/>
      <c r="U51" s="713"/>
      <c r="V51" s="714"/>
    </row>
    <row r="52" spans="1:26" ht="12" thickBot="1">
      <c r="A52" s="716"/>
      <c r="B52" s="700"/>
      <c r="C52" s="688"/>
      <c r="D52" s="745"/>
      <c r="E52" s="746"/>
      <c r="F52" s="747"/>
      <c r="G52" s="748"/>
      <c r="H52" s="746"/>
      <c r="I52" s="746"/>
      <c r="J52" s="746"/>
      <c r="K52" s="746"/>
      <c r="L52" s="749"/>
      <c r="M52" s="688"/>
      <c r="N52" s="706"/>
      <c r="O52" s="707"/>
      <c r="P52" s="708"/>
      <c r="Q52" s="709"/>
      <c r="R52" s="710"/>
      <c r="S52" s="711"/>
      <c r="T52" s="722"/>
      <c r="U52" s="713"/>
      <c r="V52" s="759"/>
    </row>
    <row r="53" spans="1:26">
      <c r="A53" s="716"/>
      <c r="B53" s="700"/>
      <c r="C53" s="688"/>
      <c r="D53" s="745"/>
      <c r="E53" s="746"/>
      <c r="F53" s="747"/>
      <c r="G53" s="748"/>
      <c r="H53" s="746"/>
      <c r="I53" s="746"/>
      <c r="J53" s="746"/>
      <c r="K53" s="746"/>
      <c r="L53" s="749"/>
      <c r="M53" s="688"/>
      <c r="N53" s="706"/>
      <c r="O53" s="707"/>
      <c r="P53" s="708"/>
      <c r="Q53" s="709"/>
      <c r="R53" s="710"/>
      <c r="S53" s="711"/>
      <c r="T53" s="722"/>
      <c r="U53" s="760" t="s">
        <v>183</v>
      </c>
      <c r="V53" s="761">
        <f>AVERAGE(V12:V52)</f>
        <v>272.38461538461536</v>
      </c>
    </row>
    <row r="54" spans="1:26">
      <c r="A54" s="716"/>
      <c r="B54" s="700"/>
      <c r="C54" s="688"/>
      <c r="D54" s="745"/>
      <c r="E54" s="746"/>
      <c r="F54" s="747"/>
      <c r="G54" s="748"/>
      <c r="H54" s="746"/>
      <c r="I54" s="746"/>
      <c r="J54" s="746"/>
      <c r="K54" s="746"/>
      <c r="L54" s="749"/>
      <c r="M54" s="688"/>
      <c r="N54" s="706"/>
      <c r="O54" s="707"/>
      <c r="P54" s="708"/>
      <c r="Q54" s="709"/>
      <c r="R54" s="710"/>
      <c r="S54" s="711"/>
      <c r="T54" s="722"/>
      <c r="U54" s="586" t="s">
        <v>184</v>
      </c>
      <c r="V54" s="759">
        <f>STDEV(V12:V52)</f>
        <v>13.332532027203619</v>
      </c>
      <c r="W54" s="762"/>
      <c r="X54" s="762"/>
    </row>
    <row r="55" spans="1:26">
      <c r="A55" s="763" t="s">
        <v>185</v>
      </c>
      <c r="B55" s="764"/>
      <c r="C55" s="765"/>
      <c r="D55" s="765"/>
      <c r="E55" s="765"/>
      <c r="F55" s="765"/>
      <c r="G55" s="766"/>
      <c r="H55" s="765"/>
      <c r="I55" s="765"/>
      <c r="J55" s="765"/>
      <c r="K55" s="765"/>
      <c r="L55" s="767"/>
      <c r="M55" s="765"/>
      <c r="N55" s="768"/>
      <c r="O55" s="769"/>
      <c r="P55" s="770"/>
      <c r="Q55" s="771"/>
      <c r="R55" s="772"/>
      <c r="S55" s="773"/>
      <c r="T55" s="774"/>
      <c r="U55" s="586" t="s">
        <v>186</v>
      </c>
      <c r="V55" s="759">
        <f>V54/SQRT(COUNT(V12:V51))</f>
        <v>3.6977790658344998</v>
      </c>
      <c r="W55" s="757"/>
      <c r="X55" s="762"/>
      <c r="Y55" s="762"/>
      <c r="Z55" s="762"/>
    </row>
    <row r="56" spans="1:26">
      <c r="A56" s="775"/>
      <c r="B56" s="776"/>
      <c r="C56" s="777"/>
      <c r="D56" s="777"/>
      <c r="E56" s="777"/>
      <c r="F56" s="777"/>
      <c r="G56" s="778"/>
      <c r="H56" s="777"/>
      <c r="I56" s="777"/>
      <c r="J56" s="777"/>
      <c r="K56" s="777"/>
      <c r="L56" s="779"/>
      <c r="M56" s="777"/>
      <c r="N56" s="780"/>
      <c r="O56" s="781"/>
      <c r="P56" s="782"/>
      <c r="Q56" s="783"/>
      <c r="R56" s="784"/>
      <c r="S56" s="785"/>
      <c r="T56" s="786"/>
      <c r="U56" s="586" t="s">
        <v>187</v>
      </c>
      <c r="V56" s="759">
        <f>MAX(V12:V52)</f>
        <v>291</v>
      </c>
      <c r="W56" s="757"/>
    </row>
    <row r="57" spans="1:26" ht="12" thickBot="1">
      <c r="A57" s="787"/>
      <c r="B57" s="788"/>
      <c r="C57" s="789"/>
      <c r="D57" s="789"/>
      <c r="E57" s="789"/>
      <c r="F57" s="789"/>
      <c r="G57" s="790"/>
      <c r="H57" s="789"/>
      <c r="I57" s="789"/>
      <c r="J57" s="789"/>
      <c r="K57" s="789"/>
      <c r="L57" s="791"/>
      <c r="M57" s="789"/>
      <c r="N57" s="792"/>
      <c r="O57" s="793"/>
      <c r="P57" s="794"/>
      <c r="Q57" s="795"/>
      <c r="R57" s="796"/>
      <c r="S57" s="797"/>
      <c r="T57" s="798"/>
      <c r="U57" s="799" t="s">
        <v>188</v>
      </c>
      <c r="V57" s="800">
        <f>MIN(V12:V52)</f>
        <v>238</v>
      </c>
      <c r="W57" s="762"/>
    </row>
    <row r="58" spans="1:26">
      <c r="A58" s="801"/>
      <c r="B58" s="801"/>
      <c r="C58" s="802"/>
      <c r="D58" s="803"/>
      <c r="E58" s="803"/>
      <c r="F58" s="803"/>
      <c r="G58" s="804"/>
      <c r="H58" s="805"/>
      <c r="I58" s="806"/>
      <c r="J58" s="807"/>
      <c r="K58" s="808"/>
      <c r="L58" s="809"/>
      <c r="M58" s="762"/>
      <c r="O58" s="750"/>
      <c r="P58" s="810"/>
    </row>
    <row r="59" spans="1:26">
      <c r="A59" s="762"/>
      <c r="B59" s="762"/>
      <c r="C59" s="811"/>
      <c r="D59" s="811"/>
      <c r="E59" s="811"/>
      <c r="F59" s="811"/>
      <c r="G59" s="806"/>
      <c r="H59" s="805"/>
      <c r="I59" s="806"/>
      <c r="J59" s="807"/>
      <c r="K59" s="812"/>
      <c r="L59" s="809"/>
      <c r="M59" s="762"/>
      <c r="O59" s="750"/>
      <c r="P59" s="810"/>
    </row>
    <row r="60" spans="1:26">
      <c r="A60" s="813"/>
      <c r="B60" s="813"/>
      <c r="C60" s="813"/>
      <c r="D60" s="813"/>
      <c r="E60" s="807"/>
      <c r="F60" s="814"/>
      <c r="G60" s="762"/>
      <c r="H60" s="750"/>
      <c r="I60" s="762"/>
      <c r="J60" s="750"/>
      <c r="K60" s="750"/>
      <c r="L60" s="762"/>
      <c r="M60" s="762"/>
      <c r="O60" s="750"/>
      <c r="P60" s="810"/>
    </row>
    <row r="61" spans="1:26">
      <c r="A61" s="815"/>
      <c r="B61" s="815"/>
      <c r="C61" s="813"/>
      <c r="D61" s="813"/>
      <c r="E61" s="807"/>
      <c r="F61" s="814"/>
      <c r="G61" s="750"/>
      <c r="H61" s="750"/>
      <c r="I61" s="762"/>
      <c r="J61" s="750"/>
      <c r="K61" s="750"/>
      <c r="L61" s="762"/>
      <c r="M61" s="762"/>
      <c r="O61" s="750"/>
      <c r="P61" s="810"/>
    </row>
    <row r="62" spans="1:26">
      <c r="A62" s="659"/>
      <c r="B62" s="659"/>
      <c r="C62" s="813"/>
      <c r="D62" s="813"/>
      <c r="E62" s="807"/>
      <c r="F62" s="814"/>
      <c r="G62" s="750"/>
      <c r="H62" s="750"/>
      <c r="I62" s="762"/>
      <c r="J62" s="750"/>
      <c r="K62" s="750"/>
      <c r="L62" s="762"/>
      <c r="M62" s="762"/>
      <c r="O62" s="750"/>
      <c r="P62" s="810"/>
    </row>
    <row r="63" spans="1:26">
      <c r="A63" s="813"/>
      <c r="B63" s="813"/>
      <c r="C63" s="813"/>
      <c r="D63" s="813"/>
      <c r="E63" s="807"/>
      <c r="F63" s="814"/>
      <c r="G63" s="750"/>
      <c r="H63" s="750"/>
      <c r="I63" s="762"/>
      <c r="J63" s="750"/>
      <c r="K63" s="750"/>
      <c r="L63" s="762"/>
      <c r="M63" s="762"/>
      <c r="O63" s="750"/>
      <c r="P63" s="810"/>
    </row>
    <row r="64" spans="1:26">
      <c r="A64" s="813"/>
      <c r="B64" s="813"/>
      <c r="C64" s="813"/>
      <c r="D64" s="813"/>
      <c r="E64" s="807"/>
      <c r="F64" s="814"/>
      <c r="G64" s="750"/>
      <c r="H64" s="750"/>
      <c r="I64" s="762"/>
      <c r="J64" s="806"/>
      <c r="K64" s="750"/>
      <c r="L64" s="762"/>
      <c r="M64" s="762"/>
      <c r="O64" s="750"/>
      <c r="P64" s="810"/>
    </row>
    <row r="65" spans="1:16">
      <c r="A65" s="813"/>
      <c r="B65" s="813"/>
      <c r="C65" s="813"/>
      <c r="D65" s="813"/>
      <c r="E65" s="807"/>
      <c r="F65" s="814"/>
      <c r="G65" s="750"/>
      <c r="H65" s="750"/>
      <c r="I65" s="762"/>
      <c r="J65" s="806"/>
      <c r="K65" s="750"/>
      <c r="L65" s="762"/>
      <c r="M65" s="762"/>
      <c r="O65" s="750"/>
      <c r="P65" s="810"/>
    </row>
    <row r="66" spans="1:16">
      <c r="A66" s="813"/>
      <c r="B66" s="813"/>
      <c r="C66" s="813"/>
      <c r="D66" s="813"/>
      <c r="E66" s="807"/>
      <c r="F66" s="814"/>
      <c r="G66" s="750"/>
      <c r="H66" s="750"/>
      <c r="I66" s="762"/>
      <c r="J66" s="750"/>
      <c r="K66" s="750"/>
      <c r="L66" s="762"/>
      <c r="M66" s="762"/>
      <c r="O66" s="750"/>
      <c r="P66" s="810"/>
    </row>
    <row r="67" spans="1:16">
      <c r="A67" s="813"/>
      <c r="B67" s="813"/>
      <c r="C67" s="813"/>
      <c r="D67" s="813"/>
      <c r="E67" s="807"/>
      <c r="F67" s="814"/>
      <c r="G67" s="750"/>
      <c r="H67" s="750"/>
      <c r="I67" s="762"/>
      <c r="J67" s="750"/>
      <c r="K67" s="750"/>
      <c r="L67" s="762"/>
      <c r="M67" s="762"/>
      <c r="O67" s="750"/>
      <c r="P67" s="810"/>
    </row>
    <row r="68" spans="1:16">
      <c r="A68" s="813"/>
      <c r="B68" s="813"/>
      <c r="C68" s="813"/>
      <c r="D68" s="813"/>
      <c r="E68" s="807"/>
      <c r="F68" s="814"/>
      <c r="G68" s="750"/>
      <c r="H68" s="750"/>
      <c r="I68" s="762"/>
      <c r="J68" s="750"/>
      <c r="K68" s="750"/>
      <c r="L68" s="762"/>
      <c r="M68" s="762"/>
      <c r="O68" s="750"/>
      <c r="P68" s="810"/>
    </row>
    <row r="69" spans="1:16">
      <c r="A69" s="813"/>
      <c r="B69" s="813"/>
      <c r="C69" s="813"/>
      <c r="D69" s="813"/>
      <c r="E69" s="807"/>
      <c r="F69" s="814"/>
      <c r="G69" s="750"/>
      <c r="H69" s="750"/>
      <c r="I69" s="762"/>
      <c r="J69" s="750"/>
      <c r="K69" s="750"/>
      <c r="L69" s="762"/>
      <c r="M69" s="762"/>
      <c r="O69" s="750"/>
      <c r="P69" s="810"/>
    </row>
    <row r="70" spans="1:16">
      <c r="A70" s="813"/>
      <c r="B70" s="813"/>
      <c r="C70" s="813"/>
      <c r="D70" s="813"/>
      <c r="E70" s="807"/>
      <c r="F70" s="814"/>
      <c r="G70" s="750"/>
      <c r="H70" s="750"/>
      <c r="I70" s="762"/>
      <c r="J70" s="750"/>
      <c r="K70" s="750"/>
      <c r="L70" s="762"/>
      <c r="M70" s="762"/>
      <c r="O70" s="750"/>
      <c r="P70" s="810"/>
    </row>
    <row r="71" spans="1:16">
      <c r="A71" s="813"/>
      <c r="B71" s="813"/>
      <c r="C71" s="813"/>
      <c r="D71" s="813"/>
      <c r="E71" s="807"/>
      <c r="F71" s="814"/>
      <c r="G71" s="750"/>
      <c r="H71" s="750"/>
      <c r="I71" s="762"/>
      <c r="J71" s="750"/>
      <c r="K71" s="750"/>
      <c r="L71" s="762"/>
      <c r="O71" s="750"/>
      <c r="P71" s="810"/>
    </row>
    <row r="72" spans="1:16">
      <c r="A72" s="813"/>
      <c r="B72" s="813"/>
      <c r="C72" s="813"/>
      <c r="D72" s="813"/>
      <c r="E72" s="807"/>
      <c r="F72" s="814"/>
      <c r="G72" s="750"/>
      <c r="H72" s="750"/>
      <c r="I72" s="762"/>
      <c r="J72" s="750"/>
      <c r="K72" s="750"/>
      <c r="L72" s="762"/>
      <c r="O72" s="750"/>
      <c r="P72" s="810"/>
    </row>
    <row r="73" spans="1:16">
      <c r="A73" s="813"/>
      <c r="B73" s="813"/>
      <c r="C73" s="813"/>
      <c r="D73" s="813"/>
      <c r="E73" s="807"/>
      <c r="F73" s="814"/>
      <c r="G73" s="750"/>
      <c r="H73" s="750"/>
      <c r="I73" s="762"/>
      <c r="J73" s="750"/>
      <c r="K73" s="750"/>
      <c r="L73" s="750"/>
      <c r="O73" s="750"/>
      <c r="P73" s="810"/>
    </row>
    <row r="74" spans="1:16">
      <c r="A74" s="813"/>
      <c r="B74" s="813"/>
      <c r="C74" s="813"/>
      <c r="D74" s="813"/>
      <c r="E74" s="807"/>
      <c r="F74" s="814"/>
      <c r="G74" s="750"/>
      <c r="H74" s="750"/>
      <c r="I74" s="762"/>
      <c r="J74" s="750"/>
      <c r="K74" s="750"/>
      <c r="L74" s="750"/>
      <c r="O74" s="750"/>
      <c r="P74" s="810"/>
    </row>
    <row r="75" spans="1:16">
      <c r="A75" s="813"/>
      <c r="B75" s="813"/>
      <c r="C75" s="813"/>
      <c r="D75" s="813"/>
      <c r="E75" s="807"/>
      <c r="F75" s="814"/>
      <c r="G75" s="750"/>
      <c r="H75" s="750"/>
      <c r="I75" s="762"/>
      <c r="J75" s="750"/>
      <c r="K75" s="750"/>
      <c r="L75" s="750"/>
      <c r="O75" s="750"/>
      <c r="P75" s="810"/>
    </row>
    <row r="76" spans="1:16">
      <c r="A76" s="813"/>
      <c r="B76" s="813"/>
      <c r="C76" s="813"/>
      <c r="D76" s="813"/>
      <c r="E76" s="807"/>
      <c r="F76" s="814"/>
      <c r="G76" s="750"/>
      <c r="H76" s="750"/>
      <c r="I76" s="762"/>
      <c r="J76" s="750"/>
      <c r="K76" s="750"/>
      <c r="L76" s="750"/>
      <c r="O76" s="750"/>
      <c r="P76" s="810"/>
    </row>
    <row r="77" spans="1:16">
      <c r="A77" s="813"/>
      <c r="B77" s="813"/>
      <c r="C77" s="813"/>
      <c r="D77" s="813"/>
      <c r="E77" s="807"/>
      <c r="F77" s="814"/>
      <c r="G77" s="750"/>
      <c r="H77" s="750"/>
      <c r="I77" s="762"/>
      <c r="J77" s="750"/>
      <c r="K77" s="750"/>
      <c r="L77" s="750"/>
      <c r="O77" s="750"/>
      <c r="P77" s="810"/>
    </row>
    <row r="78" spans="1:16">
      <c r="A78" s="813"/>
      <c r="B78" s="813"/>
      <c r="C78" s="813"/>
      <c r="D78" s="813"/>
      <c r="E78" s="807"/>
      <c r="F78" s="814"/>
      <c r="G78" s="750"/>
      <c r="H78" s="750"/>
      <c r="I78" s="762"/>
      <c r="J78" s="750"/>
      <c r="K78" s="750"/>
      <c r="L78" s="750"/>
      <c r="O78" s="750"/>
      <c r="P78" s="810"/>
    </row>
    <row r="79" spans="1:16">
      <c r="A79" s="813"/>
      <c r="B79" s="813"/>
      <c r="C79" s="813"/>
      <c r="D79" s="813"/>
      <c r="E79" s="807"/>
      <c r="F79" s="814"/>
      <c r="G79" s="750"/>
      <c r="H79" s="750"/>
      <c r="I79" s="762"/>
      <c r="J79" s="750"/>
      <c r="K79" s="750"/>
      <c r="L79" s="750"/>
      <c r="O79" s="750"/>
      <c r="P79" s="810"/>
    </row>
    <row r="80" spans="1:16">
      <c r="A80" s="813"/>
      <c r="B80" s="813"/>
      <c r="C80" s="813"/>
      <c r="D80" s="813"/>
      <c r="E80" s="807"/>
      <c r="F80" s="814"/>
      <c r="G80" s="750"/>
      <c r="H80" s="750"/>
      <c r="I80" s="762"/>
      <c r="J80" s="750"/>
      <c r="K80" s="750"/>
      <c r="L80" s="750"/>
      <c r="O80" s="750"/>
      <c r="P80" s="810"/>
    </row>
    <row r="81" spans="1:19">
      <c r="A81" s="813"/>
      <c r="B81" s="813"/>
      <c r="C81" s="813"/>
      <c r="D81" s="813"/>
      <c r="E81" s="807"/>
      <c r="F81" s="814"/>
      <c r="G81" s="750"/>
      <c r="H81" s="750"/>
      <c r="I81" s="762"/>
      <c r="J81" s="750"/>
      <c r="K81" s="750"/>
      <c r="L81" s="750"/>
      <c r="O81" s="750"/>
      <c r="P81" s="810"/>
    </row>
    <row r="82" spans="1:19">
      <c r="A82" s="813"/>
      <c r="B82" s="813"/>
      <c r="C82" s="813"/>
      <c r="D82" s="813"/>
      <c r="E82" s="807"/>
      <c r="F82" s="814"/>
      <c r="G82" s="750"/>
      <c r="H82" s="750"/>
      <c r="I82" s="762"/>
      <c r="J82" s="750"/>
      <c r="K82" s="750"/>
      <c r="L82" s="750"/>
      <c r="O82" s="750"/>
      <c r="P82" s="810"/>
    </row>
    <row r="83" spans="1:19">
      <c r="A83" s="813"/>
      <c r="B83" s="813"/>
      <c r="C83" s="813"/>
      <c r="D83" s="813"/>
      <c r="E83" s="807"/>
      <c r="F83" s="814"/>
      <c r="G83" s="750"/>
      <c r="H83" s="750"/>
      <c r="I83" s="762"/>
      <c r="J83" s="750"/>
      <c r="K83" s="750"/>
      <c r="L83" s="750"/>
      <c r="O83" s="750"/>
      <c r="P83" s="810"/>
    </row>
    <row r="84" spans="1:19">
      <c r="A84" s="813"/>
      <c r="B84" s="813"/>
      <c r="C84" s="813"/>
      <c r="D84" s="813"/>
      <c r="E84" s="807"/>
      <c r="F84" s="814"/>
      <c r="G84" s="810"/>
      <c r="H84" s="750"/>
      <c r="I84" s="762"/>
      <c r="J84" s="750"/>
      <c r="K84" s="750"/>
      <c r="L84" s="750"/>
      <c r="O84" s="750"/>
      <c r="P84" s="810"/>
    </row>
    <row r="85" spans="1:19">
      <c r="A85" s="813"/>
      <c r="B85" s="813"/>
      <c r="C85" s="813"/>
      <c r="D85" s="813"/>
      <c r="E85" s="807"/>
      <c r="F85" s="814"/>
      <c r="G85" s="810"/>
      <c r="H85" s="750"/>
      <c r="I85" s="762"/>
      <c r="J85" s="750"/>
      <c r="K85" s="750"/>
      <c r="L85" s="750"/>
      <c r="O85" s="750"/>
      <c r="P85" s="810"/>
    </row>
    <row r="86" spans="1:19">
      <c r="A86" s="813"/>
      <c r="B86" s="813"/>
      <c r="C86" s="813"/>
      <c r="D86" s="813"/>
      <c r="E86" s="807"/>
      <c r="F86" s="814"/>
      <c r="G86" s="810"/>
      <c r="H86" s="750"/>
      <c r="I86" s="762"/>
      <c r="J86" s="750"/>
      <c r="K86" s="750"/>
      <c r="L86" s="750"/>
      <c r="O86" s="750"/>
      <c r="P86" s="810"/>
    </row>
    <row r="87" spans="1:19">
      <c r="A87" s="813"/>
      <c r="B87" s="813"/>
      <c r="C87" s="813"/>
      <c r="D87" s="813"/>
      <c r="E87" s="807"/>
      <c r="F87" s="814"/>
      <c r="G87" s="810"/>
      <c r="H87" s="750"/>
      <c r="I87" s="762"/>
      <c r="J87" s="750"/>
      <c r="K87" s="750"/>
      <c r="L87" s="750"/>
      <c r="O87" s="750"/>
      <c r="P87" s="810"/>
    </row>
    <row r="88" spans="1:19">
      <c r="A88" s="813"/>
      <c r="B88" s="813"/>
      <c r="C88" s="813"/>
      <c r="D88" s="813"/>
      <c r="E88" s="807"/>
      <c r="F88" s="814"/>
      <c r="G88" s="750"/>
      <c r="H88" s="750"/>
      <c r="I88" s="762"/>
      <c r="J88" s="750"/>
      <c r="K88" s="750"/>
      <c r="L88" s="750"/>
      <c r="O88" s="750"/>
      <c r="P88" s="810"/>
    </row>
    <row r="89" spans="1:19">
      <c r="A89" s="813"/>
      <c r="B89" s="813"/>
      <c r="C89" s="813"/>
      <c r="D89" s="813"/>
      <c r="E89" s="807"/>
      <c r="F89" s="814"/>
      <c r="G89" s="750"/>
      <c r="H89" s="750"/>
      <c r="I89" s="762"/>
      <c r="J89" s="750"/>
      <c r="K89" s="750"/>
      <c r="L89" s="750"/>
      <c r="O89" s="750"/>
      <c r="P89" s="810"/>
    </row>
    <row r="90" spans="1:19" s="813" customFormat="1">
      <c r="E90" s="807"/>
      <c r="F90" s="814"/>
      <c r="G90" s="750"/>
      <c r="H90" s="750"/>
      <c r="I90" s="762"/>
      <c r="J90" s="750"/>
      <c r="K90" s="750"/>
      <c r="L90" s="750"/>
      <c r="M90" s="750"/>
      <c r="N90" s="750"/>
      <c r="O90" s="750"/>
      <c r="P90" s="810"/>
      <c r="Q90" s="810"/>
      <c r="R90" s="816"/>
      <c r="S90" s="816"/>
    </row>
    <row r="91" spans="1:19" s="813" customFormat="1">
      <c r="E91" s="807"/>
      <c r="F91" s="814"/>
      <c r="G91" s="750"/>
      <c r="H91" s="750"/>
      <c r="I91" s="762"/>
      <c r="J91" s="750"/>
      <c r="K91" s="750"/>
      <c r="L91" s="750"/>
      <c r="M91" s="750"/>
      <c r="N91" s="750"/>
      <c r="O91" s="750"/>
      <c r="P91" s="810"/>
      <c r="Q91" s="810"/>
      <c r="R91" s="816"/>
      <c r="S91" s="816"/>
    </row>
    <row r="92" spans="1:19" s="813" customFormat="1">
      <c r="E92" s="807"/>
      <c r="F92" s="814"/>
      <c r="G92" s="750"/>
      <c r="H92" s="750"/>
      <c r="I92" s="762"/>
      <c r="J92" s="750"/>
      <c r="K92" s="750"/>
      <c r="L92" s="750"/>
      <c r="M92" s="750"/>
      <c r="N92" s="750"/>
      <c r="O92" s="750"/>
      <c r="P92" s="810"/>
      <c r="Q92" s="810"/>
      <c r="R92" s="816"/>
      <c r="S92" s="816"/>
    </row>
    <row r="93" spans="1:19" s="813" customFormat="1">
      <c r="E93" s="807"/>
      <c r="F93" s="814"/>
      <c r="G93" s="750"/>
      <c r="H93" s="750"/>
      <c r="I93" s="762"/>
      <c r="J93" s="750"/>
      <c r="K93" s="750"/>
      <c r="L93" s="750"/>
      <c r="M93" s="750"/>
      <c r="N93" s="750"/>
      <c r="O93" s="750"/>
      <c r="P93" s="810"/>
      <c r="Q93" s="810"/>
      <c r="R93" s="816"/>
      <c r="S93" s="816"/>
    </row>
    <row r="94" spans="1:19" s="813" customFormat="1">
      <c r="E94" s="807"/>
      <c r="F94" s="814"/>
      <c r="G94" s="750"/>
      <c r="H94" s="750"/>
      <c r="I94" s="762"/>
      <c r="J94" s="750"/>
      <c r="K94" s="750"/>
      <c r="L94" s="750"/>
      <c r="M94" s="750"/>
      <c r="N94" s="750"/>
      <c r="O94" s="750"/>
      <c r="P94" s="810"/>
      <c r="Q94" s="810"/>
      <c r="R94" s="816"/>
      <c r="S94" s="816"/>
    </row>
    <row r="95" spans="1:19" s="813" customFormat="1">
      <c r="E95" s="807"/>
      <c r="F95" s="814"/>
      <c r="G95" s="750"/>
      <c r="H95" s="750"/>
      <c r="I95" s="762"/>
      <c r="J95" s="750"/>
      <c r="K95" s="750"/>
      <c r="L95" s="750"/>
      <c r="M95" s="750"/>
      <c r="P95" s="816"/>
      <c r="Q95" s="816"/>
      <c r="R95" s="816"/>
      <c r="S95" s="816"/>
    </row>
    <row r="96" spans="1:19" s="813" customFormat="1">
      <c r="E96" s="807"/>
      <c r="F96" s="814"/>
      <c r="G96" s="750"/>
      <c r="H96" s="750"/>
      <c r="I96" s="762"/>
      <c r="J96" s="750"/>
      <c r="K96" s="750"/>
      <c r="L96" s="750"/>
      <c r="M96" s="750"/>
      <c r="P96" s="816"/>
      <c r="Q96" s="816"/>
      <c r="R96" s="816"/>
      <c r="S96" s="816"/>
    </row>
    <row r="97" spans="5:19" s="813" customFormat="1">
      <c r="E97" s="807"/>
      <c r="F97" s="814"/>
      <c r="G97" s="750"/>
      <c r="H97" s="750"/>
      <c r="I97" s="762"/>
      <c r="J97" s="750"/>
      <c r="K97" s="750"/>
      <c r="L97" s="750"/>
      <c r="M97" s="750"/>
      <c r="P97" s="816"/>
      <c r="Q97" s="816"/>
      <c r="R97" s="816"/>
      <c r="S97" s="816"/>
    </row>
    <row r="98" spans="5:19" s="813" customFormat="1">
      <c r="E98" s="807"/>
      <c r="F98" s="814"/>
      <c r="G98" s="750"/>
      <c r="H98" s="750"/>
      <c r="I98" s="762"/>
      <c r="J98" s="750"/>
      <c r="K98" s="750"/>
      <c r="L98" s="750"/>
      <c r="M98" s="750"/>
      <c r="P98" s="816"/>
      <c r="Q98" s="816"/>
      <c r="R98" s="816"/>
      <c r="S98" s="816"/>
    </row>
    <row r="99" spans="5:19" s="813" customFormat="1">
      <c r="E99" s="807"/>
      <c r="F99" s="814"/>
      <c r="G99" s="750"/>
      <c r="H99" s="750"/>
      <c r="I99" s="762"/>
      <c r="J99" s="750"/>
      <c r="K99" s="750"/>
      <c r="L99" s="750"/>
      <c r="M99" s="750"/>
      <c r="P99" s="816"/>
      <c r="Q99" s="816"/>
      <c r="R99" s="816"/>
      <c r="S99" s="816"/>
    </row>
    <row r="100" spans="5:19" s="813" customFormat="1">
      <c r="E100" s="807"/>
      <c r="F100" s="814"/>
      <c r="G100" s="750"/>
      <c r="H100" s="750"/>
      <c r="I100" s="762"/>
      <c r="J100" s="750"/>
      <c r="K100" s="750"/>
      <c r="L100" s="750"/>
      <c r="M100" s="750"/>
      <c r="P100" s="816"/>
      <c r="Q100" s="816"/>
      <c r="R100" s="816"/>
      <c r="S100" s="816"/>
    </row>
    <row r="101" spans="5:19" s="813" customFormat="1">
      <c r="E101" s="807"/>
      <c r="F101" s="814"/>
      <c r="G101" s="750"/>
      <c r="H101" s="750"/>
      <c r="I101" s="762"/>
      <c r="J101" s="750"/>
      <c r="K101" s="750"/>
      <c r="L101" s="750"/>
      <c r="M101" s="750"/>
      <c r="P101" s="816"/>
      <c r="Q101" s="816"/>
      <c r="R101" s="816"/>
      <c r="S101" s="816"/>
    </row>
    <row r="102" spans="5:19" s="813" customFormat="1">
      <c r="E102" s="807"/>
      <c r="F102" s="814"/>
      <c r="G102" s="750"/>
      <c r="H102" s="750"/>
      <c r="I102" s="762"/>
      <c r="J102" s="750"/>
      <c r="K102" s="750"/>
      <c r="L102" s="750"/>
      <c r="M102" s="750"/>
      <c r="P102" s="816"/>
      <c r="Q102" s="816"/>
      <c r="R102" s="816"/>
      <c r="S102" s="816"/>
    </row>
    <row r="103" spans="5:19" s="813" customFormat="1">
      <c r="E103" s="807"/>
      <c r="F103" s="814"/>
      <c r="G103" s="750"/>
      <c r="H103" s="750"/>
      <c r="I103" s="762"/>
      <c r="J103" s="750"/>
      <c r="K103" s="750"/>
      <c r="L103" s="750"/>
      <c r="M103" s="750"/>
      <c r="P103" s="816"/>
      <c r="Q103" s="816"/>
      <c r="R103" s="816"/>
      <c r="S103" s="816"/>
    </row>
    <row r="104" spans="5:19" s="813" customFormat="1">
      <c r="E104" s="807"/>
      <c r="F104" s="814"/>
      <c r="G104" s="750"/>
      <c r="H104" s="750"/>
      <c r="I104" s="762"/>
      <c r="J104" s="750"/>
      <c r="K104" s="750"/>
      <c r="L104" s="750"/>
      <c r="M104" s="750"/>
      <c r="P104" s="816"/>
      <c r="Q104" s="816"/>
      <c r="R104" s="816"/>
      <c r="S104" s="816"/>
    </row>
    <row r="105" spans="5:19" s="813" customFormat="1">
      <c r="E105" s="807"/>
      <c r="F105" s="814"/>
      <c r="G105" s="750"/>
      <c r="H105" s="750"/>
      <c r="I105" s="762"/>
      <c r="J105" s="750"/>
      <c r="K105" s="750"/>
      <c r="L105" s="750"/>
      <c r="M105" s="750"/>
      <c r="P105" s="816"/>
      <c r="Q105" s="816"/>
      <c r="R105" s="816"/>
      <c r="S105" s="816"/>
    </row>
    <row r="106" spans="5:19" s="813" customFormat="1">
      <c r="E106" s="807"/>
      <c r="F106" s="814"/>
      <c r="G106" s="750"/>
      <c r="H106" s="750"/>
      <c r="I106" s="762"/>
      <c r="J106" s="750"/>
      <c r="K106" s="750"/>
      <c r="L106" s="750"/>
      <c r="M106" s="750"/>
      <c r="P106" s="816"/>
      <c r="Q106" s="816"/>
      <c r="R106" s="816"/>
      <c r="S106" s="816"/>
    </row>
    <row r="107" spans="5:19" s="813" customFormat="1">
      <c r="E107" s="807"/>
      <c r="F107" s="814"/>
      <c r="G107" s="750"/>
      <c r="H107" s="750"/>
      <c r="I107" s="762"/>
      <c r="J107" s="750"/>
      <c r="K107" s="750"/>
      <c r="L107" s="750"/>
      <c r="M107" s="750"/>
      <c r="P107" s="816"/>
      <c r="Q107" s="816"/>
      <c r="R107" s="816"/>
      <c r="S107" s="816"/>
    </row>
    <row r="108" spans="5:19" s="813" customFormat="1">
      <c r="E108" s="807"/>
      <c r="F108" s="814"/>
      <c r="G108" s="750"/>
      <c r="H108" s="750"/>
      <c r="I108" s="762"/>
      <c r="J108" s="750"/>
      <c r="K108" s="750"/>
      <c r="L108" s="750"/>
      <c r="M108" s="750"/>
      <c r="P108" s="816"/>
      <c r="Q108" s="816"/>
      <c r="R108" s="816"/>
      <c r="S108" s="816"/>
    </row>
    <row r="109" spans="5:19" s="813" customFormat="1">
      <c r="E109" s="807"/>
      <c r="F109" s="814"/>
      <c r="G109" s="750"/>
      <c r="H109" s="750"/>
      <c r="I109" s="762"/>
      <c r="J109" s="750"/>
      <c r="K109" s="750"/>
      <c r="L109" s="750"/>
      <c r="M109" s="750"/>
      <c r="P109" s="816"/>
      <c r="Q109" s="816"/>
      <c r="R109" s="816"/>
      <c r="S109" s="816"/>
    </row>
    <row r="110" spans="5:19" s="813" customFormat="1">
      <c r="E110" s="807"/>
      <c r="F110" s="814"/>
      <c r="G110" s="750"/>
      <c r="H110" s="750"/>
      <c r="I110" s="762"/>
      <c r="J110" s="750"/>
      <c r="K110" s="750"/>
      <c r="L110" s="750"/>
      <c r="P110" s="816"/>
      <c r="Q110" s="816"/>
      <c r="R110" s="816"/>
      <c r="S110" s="816"/>
    </row>
    <row r="111" spans="5:19" s="813" customFormat="1">
      <c r="E111" s="807"/>
      <c r="F111" s="814"/>
      <c r="G111" s="750"/>
      <c r="H111" s="750"/>
      <c r="I111" s="762"/>
      <c r="J111" s="750"/>
      <c r="K111" s="750"/>
      <c r="L111" s="750"/>
      <c r="P111" s="816"/>
      <c r="Q111" s="816"/>
      <c r="R111" s="816"/>
      <c r="S111" s="816"/>
    </row>
    <row r="112" spans="5:19" s="813" customFormat="1">
      <c r="E112" s="807"/>
      <c r="F112" s="814"/>
      <c r="G112" s="750"/>
      <c r="H112" s="750"/>
      <c r="I112" s="762"/>
      <c r="J112" s="750"/>
      <c r="K112" s="750"/>
      <c r="L112" s="750"/>
      <c r="P112" s="816"/>
      <c r="Q112" s="816"/>
      <c r="R112" s="816"/>
      <c r="S112" s="816"/>
    </row>
    <row r="113" spans="5:19" s="813" customFormat="1">
      <c r="E113" s="807"/>
      <c r="F113" s="814"/>
      <c r="G113" s="750"/>
      <c r="H113" s="750"/>
      <c r="I113" s="762"/>
      <c r="J113" s="750"/>
      <c r="K113" s="750"/>
      <c r="L113" s="750"/>
      <c r="P113" s="816"/>
      <c r="Q113" s="816"/>
      <c r="R113" s="816"/>
      <c r="S113" s="816"/>
    </row>
    <row r="114" spans="5:19" s="813" customFormat="1">
      <c r="E114" s="807"/>
      <c r="F114" s="814"/>
      <c r="G114" s="750"/>
      <c r="H114" s="750"/>
      <c r="I114" s="762"/>
      <c r="J114" s="750"/>
      <c r="K114" s="750"/>
      <c r="L114" s="750"/>
      <c r="P114" s="816"/>
      <c r="Q114" s="816"/>
      <c r="R114" s="816"/>
      <c r="S114" s="816"/>
    </row>
    <row r="115" spans="5:19" s="813" customFormat="1">
      <c r="E115" s="807"/>
      <c r="F115" s="814"/>
      <c r="G115" s="750"/>
      <c r="H115" s="750"/>
      <c r="I115" s="762"/>
      <c r="J115" s="750"/>
      <c r="K115" s="750"/>
      <c r="L115" s="750"/>
      <c r="P115" s="816"/>
      <c r="Q115" s="816"/>
      <c r="R115" s="816"/>
      <c r="S115" s="816"/>
    </row>
    <row r="116" spans="5:19" s="813" customFormat="1">
      <c r="E116" s="807"/>
      <c r="F116" s="814"/>
      <c r="G116" s="750"/>
      <c r="H116" s="750"/>
      <c r="I116" s="762"/>
      <c r="J116" s="750"/>
      <c r="K116" s="750"/>
      <c r="L116" s="750"/>
      <c r="P116" s="816"/>
      <c r="Q116" s="816"/>
      <c r="R116" s="816"/>
      <c r="S116" s="816"/>
    </row>
    <row r="117" spans="5:19" s="813" customFormat="1">
      <c r="E117" s="807"/>
      <c r="F117" s="814"/>
      <c r="G117" s="750"/>
      <c r="H117" s="750"/>
      <c r="I117" s="762"/>
      <c r="J117" s="750"/>
      <c r="K117" s="750"/>
      <c r="L117" s="750"/>
      <c r="P117" s="816"/>
      <c r="Q117" s="816"/>
      <c r="R117" s="816"/>
      <c r="S117" s="816"/>
    </row>
    <row r="118" spans="5:19" s="813" customFormat="1">
      <c r="E118" s="807"/>
      <c r="F118" s="814"/>
      <c r="G118" s="750"/>
      <c r="H118" s="750"/>
      <c r="I118" s="762"/>
      <c r="J118" s="750"/>
      <c r="K118" s="750"/>
      <c r="L118" s="750"/>
      <c r="P118" s="816"/>
      <c r="Q118" s="816"/>
      <c r="R118" s="816"/>
      <c r="S118" s="816"/>
    </row>
    <row r="119" spans="5:19" s="813" customFormat="1">
      <c r="E119" s="807"/>
      <c r="F119" s="814"/>
      <c r="G119" s="750"/>
      <c r="H119" s="750"/>
      <c r="I119" s="762"/>
      <c r="J119" s="750"/>
      <c r="K119" s="750"/>
      <c r="L119" s="750"/>
      <c r="P119" s="816"/>
      <c r="Q119" s="816"/>
      <c r="R119" s="816"/>
      <c r="S119" s="816"/>
    </row>
    <row r="120" spans="5:19" s="813" customFormat="1">
      <c r="E120" s="807"/>
      <c r="F120" s="814"/>
      <c r="G120" s="750"/>
      <c r="H120" s="750"/>
      <c r="I120" s="762"/>
      <c r="J120" s="750"/>
      <c r="K120" s="750"/>
      <c r="L120" s="750"/>
      <c r="P120" s="816"/>
      <c r="Q120" s="816"/>
      <c r="R120" s="816"/>
      <c r="S120" s="816"/>
    </row>
    <row r="121" spans="5:19" s="813" customFormat="1">
      <c r="E121" s="807"/>
      <c r="F121" s="814"/>
      <c r="G121" s="750"/>
      <c r="H121" s="750"/>
      <c r="I121" s="762"/>
      <c r="J121" s="750"/>
      <c r="K121" s="750"/>
      <c r="L121" s="750"/>
      <c r="P121" s="816"/>
      <c r="Q121" s="816"/>
      <c r="R121" s="816"/>
      <c r="S121" s="816"/>
    </row>
    <row r="122" spans="5:19" s="813" customFormat="1">
      <c r="E122" s="807"/>
      <c r="F122" s="814"/>
      <c r="G122" s="750"/>
      <c r="H122" s="750"/>
      <c r="I122" s="762"/>
      <c r="J122" s="750"/>
      <c r="K122" s="750"/>
      <c r="L122" s="750"/>
      <c r="P122" s="816"/>
      <c r="Q122" s="816"/>
      <c r="R122" s="816"/>
      <c r="S122" s="816"/>
    </row>
    <row r="123" spans="5:19" s="813" customFormat="1">
      <c r="E123" s="807"/>
      <c r="F123" s="814"/>
      <c r="G123" s="750"/>
      <c r="H123" s="750"/>
      <c r="I123" s="762"/>
      <c r="J123" s="750"/>
      <c r="K123" s="750"/>
      <c r="L123" s="750"/>
      <c r="P123" s="816"/>
      <c r="Q123" s="816"/>
      <c r="R123" s="816"/>
      <c r="S123" s="816"/>
    </row>
    <row r="124" spans="5:19" s="813" customFormat="1">
      <c r="E124" s="807"/>
      <c r="F124" s="814"/>
      <c r="G124" s="750"/>
      <c r="H124" s="750"/>
      <c r="I124" s="762"/>
      <c r="J124" s="750"/>
      <c r="K124" s="750"/>
      <c r="L124" s="750"/>
      <c r="P124" s="816"/>
      <c r="Q124" s="816"/>
      <c r="R124" s="816"/>
      <c r="S124" s="816"/>
    </row>
    <row r="125" spans="5:19" s="813" customFormat="1">
      <c r="E125" s="807"/>
      <c r="F125" s="814"/>
      <c r="G125" s="750"/>
      <c r="H125" s="750"/>
      <c r="I125" s="762"/>
      <c r="J125" s="750"/>
      <c r="K125" s="750"/>
      <c r="L125" s="750"/>
      <c r="P125" s="816"/>
      <c r="Q125" s="816"/>
      <c r="R125" s="816"/>
      <c r="S125" s="816"/>
    </row>
    <row r="126" spans="5:19" s="813" customFormat="1">
      <c r="E126" s="807"/>
      <c r="F126" s="814"/>
      <c r="G126" s="750"/>
      <c r="H126" s="750"/>
      <c r="I126" s="762"/>
      <c r="J126" s="750"/>
      <c r="K126" s="750"/>
      <c r="L126" s="750"/>
      <c r="P126" s="816"/>
      <c r="Q126" s="816"/>
      <c r="R126" s="816"/>
      <c r="S126" s="816"/>
    </row>
    <row r="127" spans="5:19" s="813" customFormat="1">
      <c r="E127" s="807"/>
      <c r="F127" s="814"/>
      <c r="G127" s="750"/>
      <c r="H127" s="750"/>
      <c r="I127" s="762"/>
      <c r="J127" s="750"/>
      <c r="K127" s="750"/>
      <c r="L127" s="750"/>
      <c r="P127" s="816"/>
      <c r="Q127" s="816"/>
      <c r="R127" s="816"/>
      <c r="S127" s="816"/>
    </row>
    <row r="128" spans="5:19" s="813" customFormat="1">
      <c r="E128" s="807"/>
      <c r="F128" s="814"/>
      <c r="G128" s="750"/>
      <c r="H128" s="750"/>
      <c r="I128" s="762"/>
      <c r="J128" s="750"/>
      <c r="K128" s="750"/>
      <c r="L128" s="750"/>
      <c r="P128" s="816"/>
      <c r="Q128" s="816"/>
      <c r="R128" s="816"/>
      <c r="S128" s="816"/>
    </row>
    <row r="129" spans="5:19" s="813" customFormat="1">
      <c r="E129" s="807"/>
      <c r="F129" s="814"/>
      <c r="G129" s="750"/>
      <c r="H129" s="750"/>
      <c r="I129" s="762"/>
      <c r="J129" s="750"/>
      <c r="K129" s="750"/>
      <c r="L129" s="750"/>
      <c r="P129" s="816"/>
      <c r="Q129" s="816"/>
      <c r="R129" s="816"/>
      <c r="S129" s="816"/>
    </row>
    <row r="130" spans="5:19" s="813" customFormat="1">
      <c r="E130" s="807"/>
      <c r="F130" s="814"/>
      <c r="G130" s="750"/>
      <c r="H130" s="750"/>
      <c r="I130" s="762"/>
      <c r="J130" s="750"/>
      <c r="K130" s="750"/>
      <c r="L130" s="750"/>
      <c r="P130" s="816"/>
      <c r="Q130" s="816"/>
      <c r="R130" s="816"/>
      <c r="S130" s="816"/>
    </row>
    <row r="131" spans="5:19" s="813" customFormat="1">
      <c r="E131" s="807"/>
      <c r="F131" s="814"/>
      <c r="G131" s="750"/>
      <c r="H131" s="750"/>
      <c r="I131" s="762"/>
      <c r="J131" s="750"/>
      <c r="K131" s="750"/>
      <c r="L131" s="750"/>
      <c r="P131" s="816"/>
      <c r="Q131" s="816"/>
      <c r="R131" s="816"/>
      <c r="S131" s="816"/>
    </row>
    <row r="132" spans="5:19" s="813" customFormat="1">
      <c r="E132" s="807"/>
      <c r="F132" s="814"/>
      <c r="G132" s="750"/>
      <c r="H132" s="750"/>
      <c r="I132" s="762"/>
      <c r="J132" s="750"/>
      <c r="K132" s="750"/>
      <c r="L132" s="750"/>
      <c r="P132" s="816"/>
      <c r="Q132" s="816"/>
      <c r="R132" s="816"/>
      <c r="S132" s="816"/>
    </row>
    <row r="133" spans="5:19" s="813" customFormat="1">
      <c r="E133" s="807"/>
      <c r="F133" s="814"/>
      <c r="G133" s="750"/>
      <c r="H133" s="750"/>
      <c r="I133" s="762"/>
      <c r="J133" s="750"/>
      <c r="K133" s="750"/>
      <c r="L133" s="750"/>
      <c r="P133" s="816"/>
      <c r="Q133" s="816"/>
      <c r="R133" s="816"/>
      <c r="S133" s="816"/>
    </row>
    <row r="134" spans="5:19" s="813" customFormat="1">
      <c r="E134" s="807"/>
      <c r="F134" s="814"/>
      <c r="G134" s="750"/>
      <c r="H134" s="750"/>
      <c r="I134" s="762"/>
      <c r="J134" s="750"/>
      <c r="K134" s="750"/>
      <c r="L134" s="750"/>
      <c r="P134" s="816"/>
      <c r="Q134" s="816"/>
      <c r="R134" s="816"/>
      <c r="S134" s="816"/>
    </row>
    <row r="135" spans="5:19" s="813" customFormat="1">
      <c r="E135" s="807"/>
      <c r="F135" s="814"/>
      <c r="G135" s="750"/>
      <c r="H135" s="750"/>
      <c r="I135" s="762"/>
      <c r="J135" s="750"/>
      <c r="K135" s="750"/>
      <c r="L135" s="750"/>
      <c r="P135" s="816"/>
      <c r="Q135" s="816"/>
      <c r="R135" s="816"/>
      <c r="S135" s="816"/>
    </row>
    <row r="136" spans="5:19" s="813" customFormat="1">
      <c r="E136" s="807"/>
      <c r="F136" s="814"/>
      <c r="G136" s="750"/>
      <c r="H136" s="750"/>
      <c r="I136" s="762"/>
      <c r="J136" s="750"/>
      <c r="K136" s="750"/>
      <c r="L136" s="750"/>
      <c r="P136" s="816"/>
      <c r="Q136" s="816"/>
      <c r="R136" s="816"/>
      <c r="S136" s="816"/>
    </row>
    <row r="137" spans="5:19" s="813" customFormat="1">
      <c r="E137" s="807"/>
      <c r="F137" s="814"/>
      <c r="G137" s="750"/>
      <c r="H137" s="750"/>
      <c r="I137" s="762"/>
      <c r="J137" s="750"/>
      <c r="K137" s="750"/>
      <c r="L137" s="750"/>
      <c r="P137" s="816"/>
      <c r="Q137" s="816"/>
      <c r="R137" s="816"/>
      <c r="S137" s="816"/>
    </row>
    <row r="138" spans="5:19" s="813" customFormat="1">
      <c r="E138" s="807"/>
      <c r="F138" s="814"/>
      <c r="G138" s="750"/>
      <c r="H138" s="750"/>
      <c r="I138" s="762"/>
      <c r="J138" s="750"/>
      <c r="K138" s="750"/>
      <c r="L138" s="750"/>
      <c r="P138" s="816"/>
      <c r="Q138" s="816"/>
      <c r="R138" s="816"/>
      <c r="S138" s="816"/>
    </row>
    <row r="139" spans="5:19" s="813" customFormat="1">
      <c r="E139" s="807"/>
      <c r="F139" s="814"/>
      <c r="G139" s="750"/>
      <c r="H139" s="750"/>
      <c r="I139" s="762"/>
      <c r="J139" s="750"/>
      <c r="K139" s="750"/>
      <c r="L139" s="750"/>
      <c r="P139" s="816"/>
      <c r="Q139" s="816"/>
      <c r="R139" s="816"/>
      <c r="S139" s="816"/>
    </row>
    <row r="140" spans="5:19" s="813" customFormat="1">
      <c r="E140" s="807"/>
      <c r="F140" s="814"/>
      <c r="G140" s="750"/>
      <c r="H140" s="750"/>
      <c r="I140" s="762"/>
      <c r="J140" s="750"/>
      <c r="K140" s="750"/>
      <c r="L140" s="750"/>
      <c r="P140" s="816"/>
      <c r="Q140" s="816"/>
      <c r="R140" s="816"/>
      <c r="S140" s="816"/>
    </row>
    <row r="141" spans="5:19" s="813" customFormat="1">
      <c r="E141" s="807"/>
      <c r="F141" s="814"/>
      <c r="G141" s="750"/>
      <c r="H141" s="750"/>
      <c r="I141" s="762"/>
      <c r="J141" s="750"/>
      <c r="K141" s="750"/>
      <c r="L141" s="750"/>
      <c r="P141" s="816"/>
      <c r="Q141" s="816"/>
      <c r="R141" s="816"/>
      <c r="S141" s="816"/>
    </row>
    <row r="142" spans="5:19" s="813" customFormat="1">
      <c r="E142" s="807"/>
      <c r="F142" s="814"/>
      <c r="G142" s="750"/>
      <c r="H142" s="750"/>
      <c r="I142" s="762"/>
      <c r="J142" s="750"/>
      <c r="K142" s="750"/>
      <c r="L142" s="750"/>
      <c r="P142" s="816"/>
      <c r="Q142" s="816"/>
      <c r="R142" s="816"/>
      <c r="S142" s="816"/>
    </row>
    <row r="143" spans="5:19" s="813" customFormat="1">
      <c r="E143" s="807"/>
      <c r="F143" s="814"/>
      <c r="G143" s="750"/>
      <c r="H143" s="750"/>
      <c r="I143" s="762"/>
      <c r="J143" s="750"/>
      <c r="K143" s="750"/>
      <c r="L143" s="750"/>
      <c r="P143" s="816"/>
      <c r="Q143" s="816"/>
      <c r="R143" s="816"/>
      <c r="S143" s="816"/>
    </row>
    <row r="144" spans="5:19" s="813" customFormat="1">
      <c r="E144" s="807"/>
      <c r="F144" s="814"/>
      <c r="G144" s="750"/>
      <c r="H144" s="750"/>
      <c r="I144" s="762"/>
      <c r="J144" s="750"/>
      <c r="K144" s="750"/>
      <c r="L144" s="750"/>
      <c r="P144" s="816"/>
      <c r="Q144" s="816"/>
      <c r="R144" s="816"/>
      <c r="S144" s="816"/>
    </row>
    <row r="145" spans="1:19" s="813" customFormat="1">
      <c r="E145" s="807"/>
      <c r="F145" s="814"/>
      <c r="G145" s="750"/>
      <c r="H145" s="750"/>
      <c r="I145" s="762"/>
      <c r="J145" s="750"/>
      <c r="K145" s="750"/>
      <c r="L145" s="750"/>
      <c r="P145" s="816"/>
      <c r="Q145" s="816"/>
      <c r="R145" s="816"/>
      <c r="S145" s="816"/>
    </row>
    <row r="146" spans="1:19" s="813" customFormat="1">
      <c r="E146" s="807"/>
      <c r="F146" s="814"/>
      <c r="G146" s="750"/>
      <c r="H146" s="750"/>
      <c r="I146" s="762"/>
      <c r="J146" s="750"/>
      <c r="K146" s="750"/>
      <c r="L146" s="750"/>
      <c r="P146" s="816"/>
      <c r="Q146" s="816"/>
      <c r="R146" s="816"/>
      <c r="S146" s="816"/>
    </row>
    <row r="147" spans="1:19">
      <c r="A147" s="813"/>
      <c r="B147" s="813"/>
      <c r="C147" s="813"/>
      <c r="D147" s="813"/>
      <c r="E147" s="807"/>
      <c r="F147" s="814"/>
      <c r="G147" s="750"/>
      <c r="H147" s="750"/>
      <c r="I147" s="762"/>
      <c r="J147" s="750"/>
      <c r="K147" s="750"/>
      <c r="L147" s="750"/>
      <c r="M147" s="813"/>
      <c r="N147" s="813"/>
      <c r="O147" s="813"/>
      <c r="P147" s="816"/>
      <c r="Q147" s="816"/>
    </row>
    <row r="148" spans="1:19">
      <c r="A148" s="813"/>
      <c r="B148" s="813"/>
      <c r="C148" s="813"/>
      <c r="D148" s="813"/>
      <c r="E148" s="807"/>
      <c r="F148" s="814"/>
      <c r="G148" s="750"/>
      <c r="H148" s="750"/>
      <c r="I148" s="762"/>
      <c r="J148" s="750"/>
      <c r="K148" s="750"/>
      <c r="L148" s="750"/>
      <c r="M148" s="813"/>
      <c r="N148" s="813"/>
      <c r="O148" s="813"/>
      <c r="P148" s="816"/>
      <c r="Q148" s="816"/>
    </row>
    <row r="149" spans="1:19">
      <c r="A149" s="813"/>
      <c r="B149" s="813"/>
      <c r="C149" s="813"/>
      <c r="D149" s="813"/>
      <c r="E149" s="807"/>
      <c r="F149" s="814"/>
      <c r="G149" s="750"/>
      <c r="H149" s="750"/>
      <c r="I149" s="762"/>
      <c r="J149" s="750"/>
      <c r="K149" s="750"/>
      <c r="L149" s="750"/>
      <c r="M149" s="813"/>
      <c r="N149" s="813"/>
      <c r="O149" s="813"/>
      <c r="P149" s="816"/>
      <c r="Q149" s="816"/>
    </row>
    <row r="150" spans="1:19">
      <c r="A150" s="813"/>
      <c r="B150" s="813"/>
      <c r="C150" s="813"/>
      <c r="D150" s="813"/>
      <c r="E150" s="807"/>
      <c r="F150" s="814"/>
      <c r="G150" s="750"/>
      <c r="H150" s="750"/>
      <c r="I150" s="762"/>
      <c r="J150" s="750"/>
      <c r="K150" s="750"/>
      <c r="L150" s="750"/>
      <c r="M150" s="813"/>
      <c r="N150" s="813"/>
      <c r="O150" s="813"/>
      <c r="P150" s="816"/>
      <c r="Q150" s="816"/>
    </row>
    <row r="151" spans="1:19">
      <c r="A151" s="813"/>
      <c r="B151" s="813"/>
      <c r="C151" s="813"/>
      <c r="D151" s="813"/>
      <c r="E151" s="807"/>
      <c r="F151" s="814"/>
      <c r="G151" s="750"/>
      <c r="H151" s="750"/>
      <c r="I151" s="762"/>
      <c r="J151" s="750"/>
      <c r="K151" s="750"/>
      <c r="L151" s="750"/>
      <c r="M151" s="813"/>
      <c r="N151" s="813"/>
      <c r="O151" s="813"/>
      <c r="P151" s="816"/>
      <c r="Q151" s="816"/>
    </row>
    <row r="152" spans="1:19">
      <c r="A152" s="813"/>
      <c r="B152" s="813"/>
      <c r="C152" s="813"/>
      <c r="D152" s="813"/>
      <c r="E152" s="807"/>
      <c r="F152" s="814"/>
      <c r="G152" s="750"/>
      <c r="H152" s="750"/>
      <c r="I152" s="762"/>
      <c r="J152" s="750"/>
      <c r="K152" s="750"/>
      <c r="L152" s="750"/>
      <c r="M152" s="813"/>
    </row>
    <row r="153" spans="1:19">
      <c r="A153" s="813"/>
      <c r="B153" s="813"/>
      <c r="C153" s="813"/>
      <c r="D153" s="813"/>
      <c r="E153" s="807"/>
      <c r="F153" s="814"/>
      <c r="G153" s="750"/>
      <c r="H153" s="750"/>
      <c r="I153" s="762"/>
      <c r="J153" s="750"/>
      <c r="K153" s="750"/>
      <c r="L153" s="750"/>
      <c r="M153" s="813"/>
    </row>
    <row r="154" spans="1:19">
      <c r="A154" s="813"/>
      <c r="B154" s="813"/>
      <c r="C154" s="813"/>
      <c r="D154" s="813"/>
      <c r="E154" s="807"/>
      <c r="F154" s="814"/>
      <c r="G154" s="750"/>
      <c r="H154" s="750"/>
      <c r="I154" s="762"/>
      <c r="J154" s="750"/>
      <c r="K154" s="750"/>
      <c r="L154" s="750"/>
      <c r="M154" s="813"/>
    </row>
    <row r="155" spans="1:19">
      <c r="A155" s="813"/>
      <c r="B155" s="813"/>
      <c r="C155" s="813"/>
      <c r="D155" s="813"/>
      <c r="E155" s="807"/>
      <c r="F155" s="814"/>
      <c r="G155" s="750"/>
      <c r="H155" s="750"/>
      <c r="I155" s="762"/>
      <c r="J155" s="750"/>
      <c r="K155" s="750"/>
      <c r="L155" s="750"/>
      <c r="M155" s="813"/>
    </row>
    <row r="156" spans="1:19">
      <c r="J156" s="750"/>
      <c r="K156" s="750"/>
      <c r="L156" s="750"/>
      <c r="M156" s="813"/>
    </row>
    <row r="157" spans="1:19">
      <c r="J157" s="750"/>
      <c r="K157" s="750"/>
      <c r="L157" s="750"/>
      <c r="M157" s="813"/>
    </row>
    <row r="158" spans="1:19">
      <c r="J158" s="750"/>
      <c r="K158" s="750"/>
      <c r="L158" s="750"/>
      <c r="M158" s="813"/>
    </row>
    <row r="159" spans="1:19">
      <c r="J159" s="750"/>
      <c r="K159" s="750"/>
      <c r="L159" s="750"/>
      <c r="M159" s="813"/>
    </row>
    <row r="160" spans="1:19">
      <c r="J160" s="750"/>
      <c r="K160" s="750"/>
      <c r="L160" s="750"/>
      <c r="M160" s="813"/>
    </row>
    <row r="161" spans="10:13">
      <c r="J161" s="750"/>
      <c r="K161" s="750"/>
      <c r="L161" s="750"/>
      <c r="M161" s="813"/>
    </row>
    <row r="162" spans="10:13">
      <c r="K162" s="750"/>
      <c r="L162" s="750"/>
      <c r="M162" s="813"/>
    </row>
    <row r="163" spans="10:13">
      <c r="K163" s="750"/>
      <c r="L163" s="750"/>
      <c r="M163" s="813"/>
    </row>
    <row r="164" spans="10:13">
      <c r="K164" s="750"/>
      <c r="L164" s="750"/>
      <c r="M164" s="813"/>
    </row>
    <row r="165" spans="10:13">
      <c r="L165" s="750"/>
      <c r="M165" s="813"/>
    </row>
    <row r="166" spans="10:13">
      <c r="L166" s="750"/>
      <c r="M166" s="813"/>
    </row>
    <row r="167" spans="10:13">
      <c r="L167" s="750"/>
    </row>
    <row r="168" spans="10:13">
      <c r="L168" s="750"/>
    </row>
    <row r="169" spans="10:13">
      <c r="L169" s="750"/>
    </row>
  </sheetData>
  <mergeCells count="5">
    <mergeCell ref="A7:L7"/>
    <mergeCell ref="M7:O7"/>
    <mergeCell ref="U7:V7"/>
    <mergeCell ref="D9:F9"/>
    <mergeCell ref="H9:K9"/>
  </mergeCells>
  <conditionalFormatting sqref="Z9:Z57 P58:P74">
    <cfRule type="aboveAverage" dxfId="3" priority="1" aboveAverage="0" stdDev="1"/>
    <cfRule type="aboveAverage" dxfId="2" priority="2" stdDev="1"/>
  </conditionalFormatting>
  <dataValidations count="1">
    <dataValidation type="list" allowBlank="1" showInputMessage="1" showErrorMessage="1" sqref="B5" xr:uid="{7C281182-1420-4227-9BD8-60C05ECEF8C5}">
      <formula1>$AB$5:$AB$8</formula1>
    </dataValidation>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6ABC-0029-432B-9B41-304D58E30A0E}">
  <dimension ref="A1:Q169"/>
  <sheetViews>
    <sheetView topLeftCell="A4" workbookViewId="0">
      <selection activeCell="L17" sqref="L17:L33"/>
    </sheetView>
  </sheetViews>
  <sheetFormatPr defaultColWidth="7.85546875" defaultRowHeight="11.25"/>
  <cols>
    <col min="1" max="1" width="15.7109375" style="750" bestFit="1" customWidth="1"/>
    <col min="2" max="2" width="9.5703125" style="750" bestFit="1" customWidth="1"/>
    <col min="3" max="3" width="5.140625" style="817" customWidth="1"/>
    <col min="4" max="6" width="7.7109375" style="817" customWidth="1"/>
    <col min="7" max="7" width="6.28515625" style="813" customWidth="1"/>
    <col min="8" max="8" width="6.85546875" style="816" customWidth="1"/>
    <col min="9" max="9" width="9.7109375" style="813" customWidth="1"/>
    <col min="10" max="10" width="8.7109375" style="813" bestFit="1" customWidth="1"/>
    <col min="11" max="11" width="12.5703125" style="807" customWidth="1"/>
    <col min="12" max="12" width="17.28515625" style="814" bestFit="1" customWidth="1"/>
    <col min="13" max="13" width="12.85546875" style="750" customWidth="1"/>
    <col min="14" max="14" width="11.28515625" style="750" customWidth="1"/>
    <col min="15" max="15" width="14.5703125" style="762" customWidth="1"/>
    <col min="16" max="16" width="2.42578125" style="762" customWidth="1"/>
    <col min="17" max="17" width="14" style="750" bestFit="1" customWidth="1"/>
    <col min="18" max="18" width="5.42578125" style="750" customWidth="1"/>
    <col min="19" max="27" width="5.28515625" style="750" customWidth="1"/>
    <col min="28" max="28" width="17" style="750" customWidth="1"/>
    <col min="29" max="16384" width="7.85546875" style="750"/>
  </cols>
  <sheetData>
    <row r="1" spans="1:15" s="585" customFormat="1" ht="12.75">
      <c r="A1" s="826" t="s">
        <v>133</v>
      </c>
      <c r="B1" s="827" t="s">
        <v>189</v>
      </c>
      <c r="C1" s="579"/>
      <c r="D1" s="827"/>
      <c r="E1" s="580"/>
      <c r="F1" s="580"/>
      <c r="G1" s="581"/>
      <c r="H1" s="582" t="s">
        <v>209</v>
      </c>
      <c r="I1" s="583" t="s">
        <v>55</v>
      </c>
      <c r="J1" s="584"/>
      <c r="K1" s="827"/>
      <c r="L1" s="827"/>
      <c r="M1" s="828"/>
      <c r="N1" s="586"/>
    </row>
    <row r="2" spans="1:15" s="585" customFormat="1" ht="12.75">
      <c r="A2" s="829" t="s">
        <v>135</v>
      </c>
      <c r="B2" s="597" t="s">
        <v>247</v>
      </c>
      <c r="C2" s="589"/>
      <c r="D2" s="597"/>
      <c r="E2" s="590"/>
      <c r="F2" s="590"/>
      <c r="G2" s="591"/>
      <c r="H2" s="592" t="s">
        <v>210</v>
      </c>
      <c r="I2" s="830"/>
      <c r="J2" s="594"/>
      <c r="K2" s="597"/>
      <c r="L2" s="597"/>
      <c r="M2" s="831"/>
      <c r="N2" s="595"/>
    </row>
    <row r="3" spans="1:15" s="599" customFormat="1" ht="11.25" customHeight="1">
      <c r="A3" s="832" t="s">
        <v>137</v>
      </c>
      <c r="B3" s="818">
        <v>45052</v>
      </c>
      <c r="C3" s="589"/>
      <c r="D3" s="590"/>
      <c r="E3" s="590"/>
      <c r="F3" s="590"/>
      <c r="G3" s="591"/>
      <c r="H3" s="596" t="s">
        <v>211</v>
      </c>
      <c r="I3" s="833">
        <f>M53/100</f>
        <v>4.7725</v>
      </c>
      <c r="J3" s="594"/>
      <c r="K3" s="597"/>
      <c r="L3" s="597"/>
      <c r="M3" s="834"/>
      <c r="N3" s="600"/>
    </row>
    <row r="4" spans="1:15" s="585" customFormat="1" ht="12.75">
      <c r="A4" s="832" t="s">
        <v>139</v>
      </c>
      <c r="B4" s="597" t="s">
        <v>127</v>
      </c>
      <c r="C4" s="589"/>
      <c r="D4" s="590"/>
      <c r="E4" s="590"/>
      <c r="F4" s="590"/>
      <c r="G4" s="591"/>
      <c r="H4" s="596" t="s">
        <v>212</v>
      </c>
      <c r="I4" s="833" t="s">
        <v>55</v>
      </c>
      <c r="J4" s="594"/>
      <c r="K4" s="597"/>
      <c r="L4" s="597"/>
      <c r="M4" s="831"/>
      <c r="N4" s="586"/>
    </row>
    <row r="5" spans="1:15" s="606" customFormat="1" ht="12.75">
      <c r="A5" s="829" t="s">
        <v>141</v>
      </c>
      <c r="B5" s="603" t="s">
        <v>142</v>
      </c>
      <c r="C5" s="589"/>
      <c r="D5" s="590"/>
      <c r="E5" s="590"/>
      <c r="F5" s="590"/>
      <c r="G5" s="591"/>
      <c r="H5" s="596"/>
      <c r="I5" s="604"/>
      <c r="J5" s="594"/>
      <c r="K5" s="597"/>
      <c r="L5" s="597"/>
      <c r="M5" s="635"/>
      <c r="N5" s="605"/>
    </row>
    <row r="6" spans="1:15" s="605" customFormat="1" ht="13.5" thickBot="1">
      <c r="A6" s="835"/>
      <c r="B6" s="836"/>
      <c r="C6" s="837"/>
      <c r="D6" s="838"/>
      <c r="E6" s="838"/>
      <c r="F6" s="838"/>
      <c r="G6" s="839"/>
      <c r="H6" s="840"/>
      <c r="I6" s="841"/>
      <c r="J6" s="839"/>
      <c r="K6" s="842"/>
      <c r="L6" s="836"/>
      <c r="M6" s="843"/>
    </row>
    <row r="7" spans="1:15" s="606" customFormat="1" ht="13.15" customHeight="1">
      <c r="A7" s="844" t="s">
        <v>143</v>
      </c>
      <c r="B7" s="845"/>
      <c r="C7" s="846"/>
      <c r="D7" s="847"/>
      <c r="E7" s="848" t="s">
        <v>144</v>
      </c>
      <c r="F7" s="845"/>
      <c r="G7" s="849" t="s">
        <v>145</v>
      </c>
      <c r="H7" s="619"/>
      <c r="I7" s="850" t="s">
        <v>146</v>
      </c>
      <c r="J7" s="850"/>
      <c r="K7" s="620"/>
      <c r="L7" s="954" t="s">
        <v>147</v>
      </c>
      <c r="M7" s="955"/>
      <c r="N7" s="605"/>
      <c r="O7" s="605"/>
    </row>
    <row r="8" spans="1:15" s="637" customFormat="1" ht="11.25" customHeight="1">
      <c r="A8" s="621"/>
      <c r="B8" s="615"/>
      <c r="C8" s="622"/>
      <c r="D8" s="631"/>
      <c r="E8" s="851"/>
      <c r="F8" s="631"/>
      <c r="G8" s="852"/>
      <c r="H8" s="633"/>
      <c r="I8" s="659"/>
      <c r="J8" s="659"/>
      <c r="K8" s="634"/>
      <c r="L8" s="635"/>
      <c r="M8" s="635"/>
      <c r="N8" s="636"/>
    </row>
    <row r="9" spans="1:15" s="648" customFormat="1">
      <c r="C9" s="639"/>
      <c r="D9" s="853"/>
      <c r="E9" s="851" t="s">
        <v>150</v>
      </c>
      <c r="F9" s="631"/>
      <c r="G9" s="852"/>
      <c r="H9" s="633"/>
      <c r="I9" s="762"/>
      <c r="J9" s="762"/>
      <c r="K9" s="634"/>
      <c r="L9" s="644"/>
      <c r="M9" s="645"/>
      <c r="N9" s="646"/>
      <c r="O9" s="647"/>
    </row>
    <row r="10" spans="1:15" s="648" customFormat="1">
      <c r="A10" s="649" t="s">
        <v>151</v>
      </c>
      <c r="B10" s="650" t="s">
        <v>51</v>
      </c>
      <c r="C10" s="651" t="s">
        <v>152</v>
      </c>
      <c r="D10" s="658" t="s">
        <v>162</v>
      </c>
      <c r="E10" s="656" t="s">
        <v>163</v>
      </c>
      <c r="F10" s="658" t="s">
        <v>164</v>
      </c>
      <c r="G10" s="852" t="s">
        <v>165</v>
      </c>
      <c r="H10" s="633" t="s">
        <v>166</v>
      </c>
      <c r="I10" s="659" t="s">
        <v>166</v>
      </c>
      <c r="J10" s="659" t="s">
        <v>165</v>
      </c>
      <c r="K10" s="660" t="s">
        <v>167</v>
      </c>
      <c r="L10" s="644" t="s">
        <v>168</v>
      </c>
      <c r="M10" s="644" t="s">
        <v>169</v>
      </c>
      <c r="N10" s="661"/>
    </row>
    <row r="11" spans="1:15" s="648" customFormat="1" ht="12" thickBot="1">
      <c r="A11" s="662" t="s">
        <v>170</v>
      </c>
      <c r="B11" s="663" t="s">
        <v>170</v>
      </c>
      <c r="C11" s="664" t="s">
        <v>171</v>
      </c>
      <c r="D11" s="673" t="s">
        <v>173</v>
      </c>
      <c r="E11" s="671" t="s">
        <v>171</v>
      </c>
      <c r="F11" s="673" t="s">
        <v>171</v>
      </c>
      <c r="G11" s="854" t="s">
        <v>174</v>
      </c>
      <c r="H11" s="675" t="s">
        <v>175</v>
      </c>
      <c r="I11" s="674" t="s">
        <v>175</v>
      </c>
      <c r="J11" s="674" t="s">
        <v>174</v>
      </c>
      <c r="K11" s="677"/>
      <c r="L11" s="678"/>
      <c r="M11" s="679" t="s">
        <v>171</v>
      </c>
      <c r="N11" s="661"/>
    </row>
    <row r="12" spans="1:15" s="648" customFormat="1">
      <c r="A12" s="699"/>
      <c r="B12" s="700"/>
      <c r="C12" s="688">
        <v>0</v>
      </c>
      <c r="D12" s="855"/>
      <c r="E12" s="856"/>
      <c r="F12" s="857"/>
      <c r="G12" s="858"/>
      <c r="H12" s="709"/>
      <c r="I12" s="859"/>
      <c r="J12" s="860"/>
      <c r="K12" s="712"/>
      <c r="L12" s="696" t="s">
        <v>179</v>
      </c>
      <c r="M12" s="697"/>
      <c r="N12" s="698"/>
    </row>
    <row r="13" spans="1:15" s="648" customFormat="1">
      <c r="A13" s="699"/>
      <c r="B13" s="700"/>
      <c r="C13" s="688"/>
      <c r="D13" s="855"/>
      <c r="E13" s="861"/>
      <c r="F13" s="862"/>
      <c r="G13" s="708"/>
      <c r="H13" s="863"/>
      <c r="I13" s="864"/>
      <c r="J13" s="711"/>
      <c r="K13" s="712"/>
      <c r="L13" s="713" t="s">
        <v>213</v>
      </c>
      <c r="M13" s="714">
        <v>476</v>
      </c>
      <c r="N13" s="661"/>
    </row>
    <row r="14" spans="1:15" s="648" customFormat="1">
      <c r="A14" s="699"/>
      <c r="B14" s="700"/>
      <c r="C14" s="688"/>
      <c r="D14" s="855"/>
      <c r="E14" s="861"/>
      <c r="F14" s="862"/>
      <c r="G14" s="708"/>
      <c r="H14" s="863"/>
      <c r="I14" s="864"/>
      <c r="J14" s="711"/>
      <c r="K14" s="712"/>
      <c r="L14" s="713" t="s">
        <v>214</v>
      </c>
      <c r="M14" s="714">
        <v>478</v>
      </c>
      <c r="N14" s="661"/>
    </row>
    <row r="15" spans="1:15" s="648" customFormat="1">
      <c r="A15" s="699"/>
      <c r="B15" s="700"/>
      <c r="C15" s="688"/>
      <c r="D15" s="855"/>
      <c r="E15" s="861"/>
      <c r="F15" s="862"/>
      <c r="G15" s="708"/>
      <c r="H15" s="863"/>
      <c r="I15" s="864"/>
      <c r="J15" s="711"/>
      <c r="K15" s="712"/>
      <c r="L15" s="713" t="s">
        <v>215</v>
      </c>
      <c r="M15" s="715">
        <v>477</v>
      </c>
      <c r="N15" s="661"/>
    </row>
    <row r="16" spans="1:15" s="648" customFormat="1">
      <c r="A16" s="716"/>
      <c r="B16" s="700"/>
      <c r="C16" s="688"/>
      <c r="D16" s="855"/>
      <c r="E16" s="861"/>
      <c r="F16" s="862"/>
      <c r="G16" s="708"/>
      <c r="H16" s="863"/>
      <c r="I16" s="864"/>
      <c r="J16" s="711"/>
      <c r="K16" s="712"/>
      <c r="L16" s="713" t="s">
        <v>216</v>
      </c>
      <c r="M16" s="714">
        <v>478</v>
      </c>
      <c r="N16" s="661"/>
    </row>
    <row r="17" spans="1:16" s="648" customFormat="1">
      <c r="A17" s="716"/>
      <c r="B17" s="700"/>
      <c r="C17" s="688"/>
      <c r="D17" s="855"/>
      <c r="E17" s="861"/>
      <c r="F17" s="862"/>
      <c r="G17" s="708"/>
      <c r="H17" s="863"/>
      <c r="I17" s="864"/>
      <c r="J17" s="711"/>
      <c r="K17" s="865"/>
      <c r="L17" s="713"/>
      <c r="M17" s="714"/>
      <c r="N17" s="646"/>
    </row>
    <row r="18" spans="1:16" s="648" customFormat="1">
      <c r="A18" s="716"/>
      <c r="B18" s="700"/>
      <c r="C18" s="688"/>
      <c r="D18" s="855"/>
      <c r="E18" s="861"/>
      <c r="F18" s="862"/>
      <c r="G18" s="708"/>
      <c r="H18" s="863"/>
      <c r="I18" s="864"/>
      <c r="J18" s="711"/>
      <c r="K18" s="717"/>
      <c r="L18" s="713"/>
      <c r="M18" s="714"/>
      <c r="N18" s="646"/>
    </row>
    <row r="19" spans="1:16" s="648" customFormat="1" ht="10.15" customHeight="1">
      <c r="A19" s="716"/>
      <c r="B19" s="700"/>
      <c r="C19" s="688"/>
      <c r="D19" s="855"/>
      <c r="E19" s="861"/>
      <c r="F19" s="862"/>
      <c r="G19" s="708"/>
      <c r="H19" s="863"/>
      <c r="I19" s="864"/>
      <c r="J19" s="711"/>
      <c r="K19" s="717"/>
      <c r="L19" s="713"/>
      <c r="M19" s="714"/>
      <c r="N19" s="718"/>
    </row>
    <row r="20" spans="1:16" s="648" customFormat="1">
      <c r="A20" s="716"/>
      <c r="B20" s="700"/>
      <c r="C20" s="688"/>
      <c r="D20" s="855"/>
      <c r="E20" s="861"/>
      <c r="F20" s="862"/>
      <c r="G20" s="708"/>
      <c r="H20" s="863"/>
      <c r="I20" s="864"/>
      <c r="J20" s="711"/>
      <c r="K20" s="712"/>
      <c r="L20" s="713"/>
      <c r="M20" s="714"/>
      <c r="N20" s="719"/>
    </row>
    <row r="21" spans="1:16" s="721" customFormat="1">
      <c r="A21" s="716"/>
      <c r="B21" s="700"/>
      <c r="C21" s="688"/>
      <c r="D21" s="855"/>
      <c r="E21" s="861"/>
      <c r="F21" s="862"/>
      <c r="G21" s="708"/>
      <c r="H21" s="863"/>
      <c r="I21" s="864"/>
      <c r="J21" s="711"/>
      <c r="K21" s="720"/>
      <c r="L21" s="713"/>
      <c r="M21" s="714"/>
      <c r="N21" s="719"/>
    </row>
    <row r="22" spans="1:16" s="721" customFormat="1">
      <c r="A22" s="716"/>
      <c r="B22" s="700"/>
      <c r="C22" s="688"/>
      <c r="D22" s="855"/>
      <c r="E22" s="861"/>
      <c r="F22" s="862"/>
      <c r="G22" s="708"/>
      <c r="H22" s="863"/>
      <c r="I22" s="864"/>
      <c r="J22" s="711"/>
      <c r="K22" s="712"/>
      <c r="L22" s="713"/>
      <c r="M22" s="723"/>
      <c r="N22" s="719"/>
    </row>
    <row r="23" spans="1:16" s="721" customFormat="1">
      <c r="A23" s="716"/>
      <c r="B23" s="700"/>
      <c r="C23" s="688"/>
      <c r="D23" s="855"/>
      <c r="E23" s="861"/>
      <c r="F23" s="862"/>
      <c r="G23" s="708"/>
      <c r="H23" s="863"/>
      <c r="I23" s="864"/>
      <c r="J23" s="711"/>
      <c r="K23" s="866"/>
      <c r="L23" s="713"/>
      <c r="M23" s="738"/>
      <c r="N23" s="739"/>
    </row>
    <row r="24" spans="1:16" s="721" customFormat="1">
      <c r="A24" s="716"/>
      <c r="B24" s="700"/>
      <c r="C24" s="688"/>
      <c r="D24" s="855"/>
      <c r="E24" s="861"/>
      <c r="F24" s="862"/>
      <c r="G24" s="708"/>
      <c r="H24" s="863"/>
      <c r="I24" s="864"/>
      <c r="J24" s="711"/>
      <c r="K24" s="867"/>
      <c r="L24" s="713"/>
      <c r="M24" s="738"/>
      <c r="N24" s="739"/>
    </row>
    <row r="25" spans="1:16" s="721" customFormat="1">
      <c r="A25" s="716"/>
      <c r="B25" s="700"/>
      <c r="C25" s="688"/>
      <c r="D25" s="855"/>
      <c r="E25" s="861"/>
      <c r="F25" s="862"/>
      <c r="G25" s="708"/>
      <c r="H25" s="863"/>
      <c r="I25" s="864"/>
      <c r="J25" s="711"/>
      <c r="K25" s="867"/>
      <c r="L25" s="713"/>
      <c r="M25" s="738"/>
      <c r="N25" s="739"/>
    </row>
    <row r="26" spans="1:16" s="721" customFormat="1">
      <c r="A26" s="716"/>
      <c r="B26" s="700"/>
      <c r="C26" s="688"/>
      <c r="D26" s="855"/>
      <c r="E26" s="861"/>
      <c r="F26" s="862"/>
      <c r="G26" s="708"/>
      <c r="H26" s="863"/>
      <c r="I26" s="864"/>
      <c r="J26" s="711"/>
      <c r="K26" s="867"/>
      <c r="L26" s="713"/>
      <c r="M26" s="714"/>
      <c r="N26" s="739"/>
    </row>
    <row r="27" spans="1:16" s="721" customFormat="1">
      <c r="A27" s="716"/>
      <c r="B27" s="700"/>
      <c r="C27" s="688"/>
      <c r="D27" s="855"/>
      <c r="E27" s="861"/>
      <c r="F27" s="862"/>
      <c r="G27" s="708"/>
      <c r="H27" s="863"/>
      <c r="I27" s="864"/>
      <c r="J27" s="711"/>
      <c r="K27" s="867"/>
      <c r="L27" s="713"/>
      <c r="M27" s="714"/>
      <c r="N27" s="739"/>
    </row>
    <row r="28" spans="1:16" s="721" customFormat="1">
      <c r="A28" s="716"/>
      <c r="B28" s="700"/>
      <c r="C28" s="688"/>
      <c r="D28" s="855"/>
      <c r="E28" s="861"/>
      <c r="F28" s="862"/>
      <c r="G28" s="708"/>
      <c r="H28" s="863"/>
      <c r="I28" s="864"/>
      <c r="J28" s="711"/>
      <c r="K28" s="867"/>
      <c r="L28" s="713"/>
      <c r="M28" s="714"/>
      <c r="N28" s="739"/>
    </row>
    <row r="29" spans="1:16">
      <c r="A29" s="716"/>
      <c r="B29" s="700"/>
      <c r="C29" s="688"/>
      <c r="D29" s="855"/>
      <c r="E29" s="861"/>
      <c r="F29" s="862"/>
      <c r="G29" s="708"/>
      <c r="H29" s="863"/>
      <c r="I29" s="864"/>
      <c r="J29" s="711"/>
      <c r="K29" s="867"/>
      <c r="L29" s="713"/>
      <c r="M29" s="714"/>
      <c r="N29" s="739"/>
      <c r="O29" s="721"/>
      <c r="P29" s="721"/>
    </row>
    <row r="30" spans="1:16">
      <c r="A30" s="716"/>
      <c r="B30" s="700"/>
      <c r="C30" s="688"/>
      <c r="D30" s="855"/>
      <c r="E30" s="861"/>
      <c r="F30" s="862"/>
      <c r="G30" s="708"/>
      <c r="H30" s="863"/>
      <c r="I30" s="864"/>
      <c r="J30" s="711"/>
      <c r="K30" s="867"/>
      <c r="L30" s="713"/>
      <c r="M30" s="714"/>
      <c r="N30" s="739"/>
      <c r="O30" s="721"/>
      <c r="P30" s="721"/>
    </row>
    <row r="31" spans="1:16">
      <c r="A31" s="716"/>
      <c r="B31" s="700"/>
      <c r="C31" s="688"/>
      <c r="D31" s="855"/>
      <c r="E31" s="861"/>
      <c r="F31" s="862"/>
      <c r="G31" s="708"/>
      <c r="H31" s="863"/>
      <c r="I31" s="864"/>
      <c r="J31" s="711"/>
      <c r="K31" s="867"/>
      <c r="L31" s="713"/>
      <c r="M31" s="714"/>
      <c r="N31" s="739"/>
      <c r="O31" s="721"/>
      <c r="P31" s="721"/>
    </row>
    <row r="32" spans="1:16">
      <c r="A32" s="716"/>
      <c r="B32" s="700"/>
      <c r="C32" s="688"/>
      <c r="D32" s="855"/>
      <c r="E32" s="861"/>
      <c r="F32" s="862"/>
      <c r="G32" s="708"/>
      <c r="H32" s="863"/>
      <c r="I32" s="864"/>
      <c r="J32" s="711"/>
      <c r="K32" s="722"/>
      <c r="L32" s="713"/>
      <c r="M32" s="714"/>
      <c r="N32" s="739"/>
      <c r="O32" s="721"/>
      <c r="P32" s="721"/>
    </row>
    <row r="33" spans="1:17">
      <c r="A33" s="716"/>
      <c r="B33" s="700"/>
      <c r="C33" s="688"/>
      <c r="D33" s="855"/>
      <c r="E33" s="861"/>
      <c r="F33" s="862"/>
      <c r="G33" s="708"/>
      <c r="H33" s="863"/>
      <c r="I33" s="864"/>
      <c r="J33" s="711"/>
      <c r="K33" s="722"/>
      <c r="L33" s="713"/>
      <c r="M33" s="714"/>
      <c r="N33" s="739"/>
      <c r="O33" s="721"/>
      <c r="P33" s="721"/>
    </row>
    <row r="34" spans="1:17">
      <c r="A34" s="716"/>
      <c r="B34" s="700"/>
      <c r="C34" s="688"/>
      <c r="D34" s="855"/>
      <c r="E34" s="861"/>
      <c r="F34" s="862"/>
      <c r="G34" s="708"/>
      <c r="H34" s="863"/>
      <c r="I34" s="864"/>
      <c r="J34" s="711"/>
      <c r="K34" s="722"/>
      <c r="L34" s="713"/>
      <c r="M34" s="714"/>
      <c r="N34" s="751"/>
      <c r="O34" s="750"/>
      <c r="P34" s="750"/>
    </row>
    <row r="35" spans="1:17">
      <c r="A35" s="716"/>
      <c r="B35" s="700"/>
      <c r="C35" s="688"/>
      <c r="D35" s="855"/>
      <c r="E35" s="861"/>
      <c r="F35" s="862"/>
      <c r="G35" s="708"/>
      <c r="H35" s="863"/>
      <c r="I35" s="864"/>
      <c r="J35" s="711"/>
      <c r="K35" s="722"/>
      <c r="L35" s="713"/>
      <c r="M35" s="714"/>
      <c r="N35" s="752"/>
      <c r="O35" s="753"/>
      <c r="P35" s="754"/>
      <c r="Q35" s="753"/>
    </row>
    <row r="36" spans="1:17">
      <c r="A36" s="716"/>
      <c r="B36" s="700"/>
      <c r="C36" s="688"/>
      <c r="D36" s="855"/>
      <c r="E36" s="861"/>
      <c r="F36" s="862"/>
      <c r="G36" s="708"/>
      <c r="H36" s="863"/>
      <c r="I36" s="864"/>
      <c r="J36" s="711"/>
      <c r="K36" s="722"/>
      <c r="L36" s="713"/>
      <c r="M36" s="714"/>
      <c r="N36" s="752"/>
      <c r="O36" s="753"/>
      <c r="P36" s="755"/>
      <c r="Q36" s="753"/>
    </row>
    <row r="37" spans="1:17">
      <c r="A37" s="716"/>
      <c r="B37" s="700"/>
      <c r="C37" s="688"/>
      <c r="D37" s="855"/>
      <c r="E37" s="861"/>
      <c r="F37" s="862"/>
      <c r="G37" s="708"/>
      <c r="H37" s="863"/>
      <c r="I37" s="864"/>
      <c r="J37" s="711"/>
      <c r="K37" s="722"/>
      <c r="L37" s="713"/>
      <c r="M37" s="714"/>
      <c r="N37" s="756"/>
      <c r="O37" s="753"/>
      <c r="P37" s="753"/>
      <c r="Q37" s="753"/>
    </row>
    <row r="38" spans="1:17">
      <c r="A38" s="716"/>
      <c r="B38" s="700"/>
      <c r="C38" s="688"/>
      <c r="D38" s="855"/>
      <c r="E38" s="861"/>
      <c r="F38" s="862"/>
      <c r="G38" s="708"/>
      <c r="H38" s="863"/>
      <c r="I38" s="864"/>
      <c r="J38" s="711"/>
      <c r="K38" s="722"/>
      <c r="L38" s="713"/>
      <c r="M38" s="714"/>
      <c r="N38" s="757"/>
      <c r="O38" s="758"/>
      <c r="P38" s="750"/>
    </row>
    <row r="39" spans="1:17">
      <c r="A39" s="716"/>
      <c r="B39" s="700"/>
      <c r="C39" s="688"/>
      <c r="D39" s="855"/>
      <c r="E39" s="861"/>
      <c r="F39" s="862"/>
      <c r="G39" s="708"/>
      <c r="H39" s="863"/>
      <c r="I39" s="864"/>
      <c r="J39" s="711"/>
      <c r="K39" s="722"/>
      <c r="L39" s="713"/>
      <c r="M39" s="714"/>
      <c r="N39" s="758"/>
      <c r="O39" s="758"/>
      <c r="P39" s="750"/>
    </row>
    <row r="40" spans="1:17">
      <c r="A40" s="716"/>
      <c r="B40" s="700"/>
      <c r="C40" s="688"/>
      <c r="D40" s="855"/>
      <c r="E40" s="861"/>
      <c r="F40" s="862"/>
      <c r="G40" s="708"/>
      <c r="H40" s="863"/>
      <c r="I40" s="864"/>
      <c r="J40" s="711"/>
      <c r="K40" s="722"/>
      <c r="L40" s="713"/>
      <c r="M40" s="714"/>
      <c r="O40" s="750"/>
      <c r="P40" s="750"/>
    </row>
    <row r="41" spans="1:17">
      <c r="A41" s="716"/>
      <c r="B41" s="700"/>
      <c r="C41" s="688"/>
      <c r="D41" s="855"/>
      <c r="E41" s="861"/>
      <c r="F41" s="862"/>
      <c r="G41" s="708"/>
      <c r="H41" s="863"/>
      <c r="I41" s="864"/>
      <c r="J41" s="711"/>
      <c r="K41" s="722"/>
      <c r="L41" s="713"/>
      <c r="M41" s="714"/>
      <c r="O41" s="750"/>
      <c r="P41" s="750"/>
    </row>
    <row r="42" spans="1:17">
      <c r="A42" s="716"/>
      <c r="B42" s="700"/>
      <c r="C42" s="688"/>
      <c r="D42" s="855"/>
      <c r="E42" s="861"/>
      <c r="F42" s="862"/>
      <c r="G42" s="708"/>
      <c r="H42" s="863"/>
      <c r="I42" s="864"/>
      <c r="J42" s="711"/>
      <c r="K42" s="722"/>
      <c r="L42" s="713"/>
      <c r="M42" s="714"/>
      <c r="O42" s="750"/>
      <c r="P42" s="750"/>
    </row>
    <row r="43" spans="1:17">
      <c r="A43" s="716"/>
      <c r="B43" s="700"/>
      <c r="C43" s="688"/>
      <c r="D43" s="855"/>
      <c r="E43" s="861"/>
      <c r="F43" s="862"/>
      <c r="G43" s="708"/>
      <c r="H43" s="863"/>
      <c r="I43" s="864"/>
      <c r="J43" s="711"/>
      <c r="K43" s="722"/>
      <c r="L43" s="713"/>
      <c r="M43" s="714"/>
      <c r="O43" s="750"/>
      <c r="P43" s="750"/>
    </row>
    <row r="44" spans="1:17">
      <c r="A44" s="716"/>
      <c r="B44" s="700"/>
      <c r="C44" s="688"/>
      <c r="D44" s="855"/>
      <c r="E44" s="861"/>
      <c r="F44" s="862"/>
      <c r="G44" s="708"/>
      <c r="H44" s="863"/>
      <c r="I44" s="864"/>
      <c r="J44" s="711"/>
      <c r="K44" s="722"/>
      <c r="L44" s="713"/>
      <c r="M44" s="714"/>
      <c r="O44" s="750"/>
      <c r="P44" s="750"/>
    </row>
    <row r="45" spans="1:17">
      <c r="A45" s="716"/>
      <c r="B45" s="700"/>
      <c r="C45" s="688"/>
      <c r="D45" s="855"/>
      <c r="E45" s="861"/>
      <c r="F45" s="862"/>
      <c r="G45" s="708"/>
      <c r="H45" s="863"/>
      <c r="I45" s="864"/>
      <c r="J45" s="711"/>
      <c r="K45" s="722"/>
      <c r="L45" s="713"/>
      <c r="M45" s="714"/>
      <c r="O45" s="750"/>
      <c r="P45" s="750"/>
    </row>
    <row r="46" spans="1:17">
      <c r="A46" s="716"/>
      <c r="B46" s="700"/>
      <c r="C46" s="688"/>
      <c r="D46" s="855"/>
      <c r="E46" s="861"/>
      <c r="F46" s="862"/>
      <c r="G46" s="708"/>
      <c r="H46" s="863"/>
      <c r="I46" s="864"/>
      <c r="J46" s="711"/>
      <c r="K46" s="722"/>
      <c r="L46" s="713"/>
      <c r="M46" s="714"/>
      <c r="O46" s="750"/>
      <c r="P46" s="750"/>
    </row>
    <row r="47" spans="1:17">
      <c r="A47" s="716"/>
      <c r="B47" s="700"/>
      <c r="C47" s="688"/>
      <c r="D47" s="855"/>
      <c r="E47" s="861"/>
      <c r="F47" s="862"/>
      <c r="G47" s="708"/>
      <c r="H47" s="863"/>
      <c r="I47" s="864"/>
      <c r="J47" s="711"/>
      <c r="K47" s="722"/>
      <c r="L47" s="713"/>
      <c r="M47" s="714"/>
      <c r="O47" s="750"/>
      <c r="P47" s="750"/>
    </row>
    <row r="48" spans="1:17">
      <c r="A48" s="716"/>
      <c r="B48" s="700"/>
      <c r="C48" s="688"/>
      <c r="D48" s="855"/>
      <c r="E48" s="861"/>
      <c r="F48" s="862"/>
      <c r="G48" s="708"/>
      <c r="H48" s="863"/>
      <c r="I48" s="864"/>
      <c r="J48" s="711"/>
      <c r="K48" s="722"/>
      <c r="L48" s="713"/>
      <c r="M48" s="714"/>
      <c r="O48" s="750"/>
      <c r="P48" s="750"/>
    </row>
    <row r="49" spans="1:17">
      <c r="A49" s="716"/>
      <c r="B49" s="700"/>
      <c r="C49" s="688"/>
      <c r="D49" s="855"/>
      <c r="E49" s="861"/>
      <c r="F49" s="862"/>
      <c r="G49" s="708"/>
      <c r="H49" s="863"/>
      <c r="I49" s="864"/>
      <c r="J49" s="711"/>
      <c r="K49" s="722"/>
      <c r="L49" s="713"/>
      <c r="M49" s="714"/>
      <c r="O49" s="750"/>
      <c r="P49" s="750"/>
    </row>
    <row r="50" spans="1:17">
      <c r="A50" s="716"/>
      <c r="B50" s="700"/>
      <c r="C50" s="688"/>
      <c r="D50" s="855"/>
      <c r="E50" s="861"/>
      <c r="F50" s="862"/>
      <c r="G50" s="708"/>
      <c r="H50" s="863"/>
      <c r="I50" s="864"/>
      <c r="J50" s="711"/>
      <c r="K50" s="722"/>
      <c r="L50" s="713"/>
      <c r="M50" s="714"/>
      <c r="O50" s="750"/>
      <c r="P50" s="750"/>
    </row>
    <row r="51" spans="1:17">
      <c r="A51" s="716"/>
      <c r="B51" s="700"/>
      <c r="C51" s="688"/>
      <c r="D51" s="855"/>
      <c r="E51" s="861"/>
      <c r="F51" s="862"/>
      <c r="G51" s="708"/>
      <c r="H51" s="863"/>
      <c r="I51" s="864"/>
      <c r="J51" s="711"/>
      <c r="K51" s="722"/>
      <c r="L51" s="713"/>
      <c r="M51" s="714"/>
      <c r="O51" s="750"/>
      <c r="P51" s="750"/>
    </row>
    <row r="52" spans="1:17" ht="12" thickBot="1">
      <c r="A52" s="716"/>
      <c r="B52" s="700"/>
      <c r="C52" s="688"/>
      <c r="D52" s="855"/>
      <c r="E52" s="861"/>
      <c r="F52" s="862"/>
      <c r="G52" s="708"/>
      <c r="H52" s="863"/>
      <c r="I52" s="864"/>
      <c r="J52" s="711"/>
      <c r="K52" s="722"/>
      <c r="L52" s="713"/>
      <c r="M52" s="759"/>
      <c r="O52" s="750"/>
      <c r="P52" s="750"/>
    </row>
    <row r="53" spans="1:17">
      <c r="A53" s="716"/>
      <c r="B53" s="700"/>
      <c r="C53" s="688"/>
      <c r="D53" s="855"/>
      <c r="E53" s="861"/>
      <c r="F53" s="862"/>
      <c r="G53" s="708"/>
      <c r="H53" s="863"/>
      <c r="I53" s="864"/>
      <c r="J53" s="711"/>
      <c r="K53" s="722"/>
      <c r="L53" s="760" t="s">
        <v>183</v>
      </c>
      <c r="M53" s="885">
        <f>AVERAGE(M12:M52)</f>
        <v>477.25</v>
      </c>
      <c r="O53" s="750"/>
      <c r="P53" s="750"/>
    </row>
    <row r="54" spans="1:17">
      <c r="A54" s="716"/>
      <c r="B54" s="700"/>
      <c r="C54" s="688"/>
      <c r="D54" s="855"/>
      <c r="E54" s="861"/>
      <c r="F54" s="862"/>
      <c r="G54" s="708"/>
      <c r="H54" s="863"/>
      <c r="I54" s="864"/>
      <c r="J54" s="711"/>
      <c r="K54" s="722"/>
      <c r="L54" s="586" t="s">
        <v>184</v>
      </c>
      <c r="M54" s="759">
        <f>STDEV(M12:M52)</f>
        <v>0.9574271077563381</v>
      </c>
      <c r="N54" s="762"/>
      <c r="P54" s="750"/>
    </row>
    <row r="55" spans="1:17">
      <c r="A55" s="763" t="s">
        <v>185</v>
      </c>
      <c r="B55" s="764"/>
      <c r="C55" s="765"/>
      <c r="D55" s="868"/>
      <c r="E55" s="869"/>
      <c r="F55" s="870"/>
      <c r="G55" s="770"/>
      <c r="H55" s="871"/>
      <c r="I55" s="872"/>
      <c r="J55" s="773"/>
      <c r="K55" s="774"/>
      <c r="L55" s="586" t="s">
        <v>186</v>
      </c>
      <c r="M55" s="759">
        <f>M54/SQRT(COUNT(M12:M51))</f>
        <v>0.47871355387816905</v>
      </c>
      <c r="N55" s="757"/>
      <c r="Q55" s="762"/>
    </row>
    <row r="56" spans="1:17">
      <c r="A56" s="775"/>
      <c r="B56" s="776"/>
      <c r="C56" s="777"/>
      <c r="D56" s="873"/>
      <c r="E56" s="874"/>
      <c r="F56" s="875"/>
      <c r="G56" s="876"/>
      <c r="H56" s="783"/>
      <c r="I56" s="877"/>
      <c r="J56" s="878"/>
      <c r="K56" s="786"/>
      <c r="L56" s="586" t="s">
        <v>187</v>
      </c>
      <c r="M56" s="759">
        <f>MAX(M12:M51)</f>
        <v>478</v>
      </c>
      <c r="N56" s="757"/>
      <c r="O56" s="750"/>
      <c r="P56" s="750"/>
    </row>
    <row r="57" spans="1:17" ht="12" thickBot="1">
      <c r="A57" s="787"/>
      <c r="B57" s="788"/>
      <c r="C57" s="789"/>
      <c r="D57" s="879"/>
      <c r="E57" s="880"/>
      <c r="F57" s="881"/>
      <c r="G57" s="882"/>
      <c r="H57" s="795"/>
      <c r="I57" s="883"/>
      <c r="J57" s="884"/>
      <c r="K57" s="798"/>
      <c r="L57" s="799" t="s">
        <v>188</v>
      </c>
      <c r="M57" s="800">
        <f>MIN(M12:M51)</f>
        <v>476</v>
      </c>
      <c r="N57" s="762"/>
      <c r="O57" s="750"/>
      <c r="P57" s="750"/>
    </row>
    <row r="58" spans="1:17">
      <c r="A58" s="801"/>
      <c r="B58" s="801"/>
      <c r="C58" s="802"/>
      <c r="D58" s="803"/>
      <c r="E58" s="803"/>
      <c r="F58" s="803"/>
      <c r="G58" s="804"/>
      <c r="H58" s="805"/>
      <c r="I58" s="806"/>
      <c r="J58" s="807"/>
      <c r="K58" s="808"/>
      <c r="L58" s="809"/>
      <c r="M58" s="762"/>
      <c r="O58" s="750"/>
      <c r="P58" s="750"/>
    </row>
    <row r="59" spans="1:17">
      <c r="A59" s="762"/>
      <c r="B59" s="762"/>
      <c r="C59" s="811"/>
      <c r="D59" s="811"/>
      <c r="E59" s="811"/>
      <c r="F59" s="811"/>
      <c r="G59" s="806"/>
      <c r="H59" s="805"/>
      <c r="I59" s="806"/>
      <c r="J59" s="807"/>
      <c r="K59" s="812"/>
      <c r="L59" s="809"/>
      <c r="M59" s="762"/>
      <c r="O59" s="750"/>
      <c r="P59" s="750"/>
    </row>
    <row r="60" spans="1:17">
      <c r="A60" s="813"/>
      <c r="B60" s="813"/>
      <c r="C60" s="813"/>
      <c r="D60" s="813"/>
      <c r="E60" s="807"/>
      <c r="F60" s="814"/>
      <c r="G60" s="762"/>
      <c r="H60" s="750"/>
      <c r="I60" s="762"/>
      <c r="J60" s="750"/>
      <c r="K60" s="750"/>
      <c r="L60" s="762"/>
      <c r="M60" s="762"/>
      <c r="O60" s="750"/>
      <c r="P60" s="750"/>
    </row>
    <row r="61" spans="1:17">
      <c r="A61" s="815"/>
      <c r="B61" s="815"/>
      <c r="C61" s="813"/>
      <c r="D61" s="813"/>
      <c r="E61" s="807"/>
      <c r="F61" s="814"/>
      <c r="G61" s="750"/>
      <c r="H61" s="750"/>
      <c r="I61" s="762"/>
      <c r="J61" s="750"/>
      <c r="K61" s="750"/>
      <c r="L61" s="762"/>
      <c r="M61" s="762"/>
      <c r="O61" s="750"/>
      <c r="P61" s="750"/>
    </row>
    <row r="62" spans="1:17">
      <c r="A62" s="659"/>
      <c r="B62" s="659"/>
      <c r="C62" s="813"/>
      <c r="D62" s="813"/>
      <c r="E62" s="807"/>
      <c r="F62" s="814"/>
      <c r="G62" s="750"/>
      <c r="H62" s="750"/>
      <c r="I62" s="762"/>
      <c r="J62" s="750"/>
      <c r="K62" s="750"/>
      <c r="L62" s="762"/>
      <c r="M62" s="762"/>
      <c r="O62" s="750"/>
      <c r="P62" s="750"/>
    </row>
    <row r="63" spans="1:17">
      <c r="A63" s="813"/>
      <c r="B63" s="813"/>
      <c r="C63" s="813"/>
      <c r="D63" s="813"/>
      <c r="E63" s="807"/>
      <c r="F63" s="814"/>
      <c r="G63" s="750"/>
      <c r="H63" s="750"/>
      <c r="I63" s="762"/>
      <c r="J63" s="750"/>
      <c r="K63" s="750"/>
      <c r="L63" s="762"/>
      <c r="M63" s="762"/>
      <c r="O63" s="750"/>
      <c r="P63" s="750"/>
    </row>
    <row r="64" spans="1:17">
      <c r="A64" s="813"/>
      <c r="B64" s="813"/>
      <c r="C64" s="813"/>
      <c r="D64" s="813"/>
      <c r="E64" s="807"/>
      <c r="F64" s="814"/>
      <c r="G64" s="750"/>
      <c r="H64" s="750"/>
      <c r="I64" s="762"/>
      <c r="J64" s="806"/>
      <c r="K64" s="750"/>
      <c r="L64" s="762"/>
      <c r="M64" s="762"/>
      <c r="O64" s="750"/>
      <c r="P64" s="750"/>
    </row>
    <row r="65" spans="1:16">
      <c r="A65" s="813"/>
      <c r="B65" s="813"/>
      <c r="C65" s="813"/>
      <c r="D65" s="813"/>
      <c r="E65" s="807"/>
      <c r="F65" s="814"/>
      <c r="G65" s="750"/>
      <c r="H65" s="750"/>
      <c r="I65" s="762"/>
      <c r="J65" s="806"/>
      <c r="K65" s="750"/>
      <c r="L65" s="762"/>
      <c r="M65" s="762"/>
      <c r="O65" s="750"/>
      <c r="P65" s="750"/>
    </row>
    <row r="66" spans="1:16">
      <c r="A66" s="813"/>
      <c r="B66" s="813"/>
      <c r="C66" s="813"/>
      <c r="D66" s="813"/>
      <c r="E66" s="807"/>
      <c r="F66" s="814"/>
      <c r="G66" s="750"/>
      <c r="H66" s="750"/>
      <c r="I66" s="762"/>
      <c r="J66" s="750"/>
      <c r="K66" s="750"/>
      <c r="L66" s="762"/>
      <c r="M66" s="762"/>
      <c r="O66" s="750"/>
      <c r="P66" s="750"/>
    </row>
    <row r="67" spans="1:16">
      <c r="A67" s="813"/>
      <c r="B67" s="813"/>
      <c r="C67" s="813"/>
      <c r="D67" s="813"/>
      <c r="E67" s="807"/>
      <c r="F67" s="814"/>
      <c r="G67" s="750"/>
      <c r="H67" s="750"/>
      <c r="I67" s="762"/>
      <c r="J67" s="750"/>
      <c r="K67" s="750"/>
      <c r="L67" s="762"/>
      <c r="M67" s="762"/>
      <c r="O67" s="750"/>
      <c r="P67" s="750"/>
    </row>
    <row r="68" spans="1:16">
      <c r="A68" s="813"/>
      <c r="B68" s="813"/>
      <c r="C68" s="813"/>
      <c r="D68" s="813"/>
      <c r="E68" s="807"/>
      <c r="F68" s="814"/>
      <c r="G68" s="750"/>
      <c r="H68" s="750"/>
      <c r="I68" s="762"/>
      <c r="J68" s="750"/>
      <c r="K68" s="750"/>
      <c r="L68" s="762"/>
      <c r="M68" s="762"/>
      <c r="O68" s="750"/>
      <c r="P68" s="750"/>
    </row>
    <row r="69" spans="1:16">
      <c r="A69" s="813"/>
      <c r="B69" s="813"/>
      <c r="C69" s="813"/>
      <c r="D69" s="813"/>
      <c r="E69" s="807"/>
      <c r="F69" s="814"/>
      <c r="G69" s="750"/>
      <c r="H69" s="750"/>
      <c r="I69" s="762"/>
      <c r="J69" s="750"/>
      <c r="K69" s="750"/>
      <c r="L69" s="762"/>
      <c r="M69" s="762"/>
      <c r="O69" s="750"/>
      <c r="P69" s="750"/>
    </row>
    <row r="70" spans="1:16">
      <c r="A70" s="813"/>
      <c r="B70" s="813"/>
      <c r="C70" s="813"/>
      <c r="D70" s="813"/>
      <c r="E70" s="807"/>
      <c r="F70" s="814"/>
      <c r="G70" s="750"/>
      <c r="H70" s="750"/>
      <c r="I70" s="762"/>
      <c r="J70" s="750"/>
      <c r="K70" s="750"/>
      <c r="L70" s="762"/>
      <c r="M70" s="762"/>
      <c r="O70" s="750"/>
      <c r="P70" s="750"/>
    </row>
    <row r="71" spans="1:16">
      <c r="A71" s="813"/>
      <c r="B71" s="813"/>
      <c r="C71" s="813"/>
      <c r="D71" s="813"/>
      <c r="E71" s="807"/>
      <c r="F71" s="814"/>
      <c r="G71" s="750"/>
      <c r="H71" s="750"/>
      <c r="I71" s="762"/>
      <c r="J71" s="750"/>
      <c r="K71" s="750"/>
      <c r="L71" s="762"/>
      <c r="O71" s="750"/>
      <c r="P71" s="750"/>
    </row>
    <row r="72" spans="1:16">
      <c r="A72" s="813"/>
      <c r="B72" s="813"/>
      <c r="C72" s="813"/>
      <c r="D72" s="813"/>
      <c r="E72" s="807"/>
      <c r="F72" s="814"/>
      <c r="G72" s="750"/>
      <c r="H72" s="750"/>
      <c r="I72" s="762"/>
      <c r="J72" s="750"/>
      <c r="K72" s="750"/>
      <c r="L72" s="762"/>
      <c r="O72" s="750"/>
      <c r="P72" s="750"/>
    </row>
    <row r="73" spans="1:16">
      <c r="A73" s="813"/>
      <c r="B73" s="813"/>
      <c r="C73" s="813"/>
      <c r="D73" s="813"/>
      <c r="E73" s="807"/>
      <c r="F73" s="814"/>
      <c r="G73" s="750"/>
      <c r="H73" s="750"/>
      <c r="I73" s="762"/>
      <c r="J73" s="750"/>
      <c r="K73" s="750"/>
      <c r="L73" s="750"/>
      <c r="O73" s="750"/>
      <c r="P73" s="750"/>
    </row>
    <row r="74" spans="1:16">
      <c r="A74" s="813"/>
      <c r="B74" s="813"/>
      <c r="C74" s="813"/>
      <c r="D74" s="813"/>
      <c r="E74" s="807"/>
      <c r="F74" s="814"/>
      <c r="G74" s="750"/>
      <c r="H74" s="750"/>
      <c r="I74" s="762"/>
      <c r="J74" s="750"/>
      <c r="K74" s="750"/>
      <c r="L74" s="750"/>
      <c r="O74" s="750"/>
      <c r="P74" s="750"/>
    </row>
    <row r="75" spans="1:16">
      <c r="A75" s="813"/>
      <c r="B75" s="813"/>
      <c r="C75" s="813"/>
      <c r="D75" s="813"/>
      <c r="E75" s="807"/>
      <c r="F75" s="814"/>
      <c r="G75" s="750"/>
      <c r="H75" s="750"/>
      <c r="I75" s="762"/>
      <c r="J75" s="750"/>
      <c r="K75" s="750"/>
      <c r="L75" s="750"/>
      <c r="O75" s="750"/>
      <c r="P75" s="750"/>
    </row>
    <row r="76" spans="1:16">
      <c r="A76" s="813"/>
      <c r="B76" s="813"/>
      <c r="C76" s="813"/>
      <c r="D76" s="813"/>
      <c r="E76" s="807"/>
      <c r="F76" s="814"/>
      <c r="G76" s="750"/>
      <c r="H76" s="750"/>
      <c r="I76" s="762"/>
      <c r="J76" s="750"/>
      <c r="K76" s="750"/>
      <c r="L76" s="750"/>
      <c r="O76" s="750"/>
      <c r="P76" s="750"/>
    </row>
    <row r="77" spans="1:16">
      <c r="A77" s="813"/>
      <c r="B77" s="813"/>
      <c r="C77" s="813"/>
      <c r="D77" s="813"/>
      <c r="E77" s="807"/>
      <c r="F77" s="814"/>
      <c r="G77" s="750"/>
      <c r="H77" s="750"/>
      <c r="I77" s="762"/>
      <c r="J77" s="750"/>
      <c r="K77" s="750"/>
      <c r="L77" s="750"/>
      <c r="O77" s="750"/>
      <c r="P77" s="750"/>
    </row>
    <row r="78" spans="1:16">
      <c r="A78" s="813"/>
      <c r="B78" s="813"/>
      <c r="C78" s="813"/>
      <c r="D78" s="813"/>
      <c r="E78" s="807"/>
      <c r="F78" s="814"/>
      <c r="G78" s="750"/>
      <c r="H78" s="750"/>
      <c r="I78" s="762"/>
      <c r="J78" s="750"/>
      <c r="K78" s="750"/>
      <c r="L78" s="750"/>
      <c r="O78" s="750"/>
      <c r="P78" s="750"/>
    </row>
    <row r="79" spans="1:16">
      <c r="A79" s="813"/>
      <c r="B79" s="813"/>
      <c r="C79" s="813"/>
      <c r="D79" s="813"/>
      <c r="E79" s="807"/>
      <c r="F79" s="814"/>
      <c r="G79" s="750"/>
      <c r="H79" s="750"/>
      <c r="I79" s="762"/>
      <c r="J79" s="750"/>
      <c r="K79" s="750"/>
      <c r="L79" s="750"/>
      <c r="O79" s="750"/>
      <c r="P79" s="750"/>
    </row>
    <row r="80" spans="1:16">
      <c r="A80" s="813"/>
      <c r="B80" s="813"/>
      <c r="C80" s="813"/>
      <c r="D80" s="813"/>
      <c r="E80" s="807"/>
      <c r="F80" s="814"/>
      <c r="G80" s="750"/>
      <c r="H80" s="750"/>
      <c r="I80" s="762"/>
      <c r="J80" s="750"/>
      <c r="K80" s="750"/>
      <c r="L80" s="750"/>
      <c r="O80" s="750"/>
      <c r="P80" s="750"/>
    </row>
    <row r="81" spans="1:17">
      <c r="A81" s="813"/>
      <c r="B81" s="813"/>
      <c r="C81" s="813"/>
      <c r="D81" s="813"/>
      <c r="E81" s="807"/>
      <c r="F81" s="814"/>
      <c r="G81" s="750"/>
      <c r="H81" s="750"/>
      <c r="I81" s="762"/>
      <c r="J81" s="750"/>
      <c r="K81" s="750"/>
      <c r="L81" s="750"/>
      <c r="O81" s="750"/>
      <c r="P81" s="750"/>
    </row>
    <row r="82" spans="1:17">
      <c r="A82" s="813"/>
      <c r="B82" s="813"/>
      <c r="C82" s="813"/>
      <c r="D82" s="813"/>
      <c r="E82" s="807"/>
      <c r="F82" s="814"/>
      <c r="G82" s="750"/>
      <c r="H82" s="750"/>
      <c r="I82" s="762"/>
      <c r="J82" s="750"/>
      <c r="K82" s="750"/>
      <c r="L82" s="750"/>
      <c r="O82" s="750"/>
      <c r="P82" s="750"/>
    </row>
    <row r="83" spans="1:17">
      <c r="A83" s="813"/>
      <c r="B83" s="813"/>
      <c r="C83" s="813"/>
      <c r="D83" s="813"/>
      <c r="E83" s="807"/>
      <c r="F83" s="814"/>
      <c r="G83" s="750"/>
      <c r="H83" s="750"/>
      <c r="I83" s="762"/>
      <c r="J83" s="750"/>
      <c r="K83" s="750"/>
      <c r="L83" s="750"/>
      <c r="O83" s="750"/>
      <c r="P83" s="750"/>
    </row>
    <row r="84" spans="1:17">
      <c r="A84" s="813"/>
      <c r="B84" s="813"/>
      <c r="C84" s="813"/>
      <c r="D84" s="813"/>
      <c r="E84" s="807"/>
      <c r="F84" s="814"/>
      <c r="G84" s="810"/>
      <c r="H84" s="750"/>
      <c r="I84" s="762"/>
      <c r="J84" s="750"/>
      <c r="K84" s="750"/>
      <c r="L84" s="750"/>
      <c r="O84" s="750"/>
      <c r="P84" s="750"/>
    </row>
    <row r="85" spans="1:17">
      <c r="A85" s="813"/>
      <c r="B85" s="813"/>
      <c r="C85" s="813"/>
      <c r="D85" s="813"/>
      <c r="E85" s="807"/>
      <c r="F85" s="814"/>
      <c r="G85" s="810"/>
      <c r="H85" s="750"/>
      <c r="I85" s="762"/>
      <c r="J85" s="750"/>
      <c r="K85" s="750"/>
      <c r="L85" s="750"/>
      <c r="O85" s="750"/>
      <c r="P85" s="750"/>
    </row>
    <row r="86" spans="1:17">
      <c r="A86" s="813"/>
      <c r="B86" s="813"/>
      <c r="C86" s="813"/>
      <c r="D86" s="813"/>
      <c r="E86" s="807"/>
      <c r="F86" s="814"/>
      <c r="G86" s="810"/>
      <c r="H86" s="750"/>
      <c r="I86" s="762"/>
      <c r="J86" s="750"/>
      <c r="K86" s="750"/>
      <c r="L86" s="750"/>
      <c r="O86" s="750"/>
      <c r="P86" s="750"/>
    </row>
    <row r="87" spans="1:17">
      <c r="A87" s="813"/>
      <c r="B87" s="813"/>
      <c r="C87" s="813"/>
      <c r="D87" s="813"/>
      <c r="E87" s="807"/>
      <c r="F87" s="814"/>
      <c r="G87" s="810"/>
      <c r="H87" s="750"/>
      <c r="I87" s="762"/>
      <c r="J87" s="750"/>
      <c r="K87" s="750"/>
      <c r="L87" s="750"/>
      <c r="O87" s="750"/>
      <c r="P87" s="750"/>
    </row>
    <row r="88" spans="1:17">
      <c r="A88" s="813"/>
      <c r="B88" s="813"/>
      <c r="C88" s="813"/>
      <c r="D88" s="813"/>
      <c r="E88" s="807"/>
      <c r="F88" s="814"/>
      <c r="G88" s="750"/>
      <c r="H88" s="750"/>
      <c r="I88" s="762"/>
      <c r="J88" s="750"/>
      <c r="K88" s="750"/>
      <c r="L88" s="750"/>
      <c r="O88" s="750"/>
      <c r="P88" s="750"/>
    </row>
    <row r="89" spans="1:17">
      <c r="A89" s="813"/>
      <c r="B89" s="813"/>
      <c r="C89" s="813"/>
      <c r="D89" s="813"/>
      <c r="E89" s="807"/>
      <c r="F89" s="814"/>
      <c r="G89" s="750"/>
      <c r="H89" s="750"/>
      <c r="I89" s="762"/>
      <c r="J89" s="750"/>
      <c r="K89" s="750"/>
      <c r="L89" s="750"/>
      <c r="O89" s="750"/>
      <c r="P89" s="750"/>
    </row>
    <row r="90" spans="1:17" s="813" customFormat="1">
      <c r="E90" s="807"/>
      <c r="F90" s="814"/>
      <c r="G90" s="750"/>
      <c r="H90" s="750"/>
      <c r="I90" s="762"/>
      <c r="J90" s="750"/>
      <c r="K90" s="750"/>
      <c r="L90" s="750"/>
      <c r="M90" s="750"/>
      <c r="N90" s="750"/>
      <c r="O90" s="750"/>
      <c r="P90" s="750"/>
      <c r="Q90" s="750"/>
    </row>
    <row r="91" spans="1:17" s="813" customFormat="1">
      <c r="E91" s="807"/>
      <c r="F91" s="814"/>
      <c r="G91" s="750"/>
      <c r="H91" s="750"/>
      <c r="I91" s="762"/>
      <c r="J91" s="750"/>
      <c r="K91" s="750"/>
      <c r="L91" s="750"/>
      <c r="M91" s="750"/>
      <c r="N91" s="750"/>
      <c r="O91" s="750"/>
      <c r="P91" s="750"/>
      <c r="Q91" s="750"/>
    </row>
    <row r="92" spans="1:17" s="813" customFormat="1">
      <c r="E92" s="807"/>
      <c r="F92" s="814"/>
      <c r="G92" s="750"/>
      <c r="H92" s="750"/>
      <c r="I92" s="762"/>
      <c r="J92" s="750"/>
      <c r="K92" s="750"/>
      <c r="L92" s="750"/>
      <c r="M92" s="750"/>
      <c r="N92" s="750"/>
      <c r="O92" s="750"/>
      <c r="P92" s="750"/>
      <c r="Q92" s="750"/>
    </row>
    <row r="93" spans="1:17" s="813" customFormat="1">
      <c r="E93" s="807"/>
      <c r="F93" s="814"/>
      <c r="G93" s="750"/>
      <c r="H93" s="750"/>
      <c r="I93" s="762"/>
      <c r="J93" s="750"/>
      <c r="K93" s="750"/>
      <c r="L93" s="750"/>
      <c r="M93" s="750"/>
      <c r="N93" s="750"/>
      <c r="O93" s="750"/>
      <c r="P93" s="750"/>
      <c r="Q93" s="750"/>
    </row>
    <row r="94" spans="1:17" s="813" customFormat="1">
      <c r="E94" s="807"/>
      <c r="F94" s="814"/>
      <c r="G94" s="750"/>
      <c r="H94" s="750"/>
      <c r="I94" s="762"/>
      <c r="J94" s="750"/>
      <c r="K94" s="750"/>
      <c r="L94" s="750"/>
      <c r="M94" s="750"/>
      <c r="N94" s="750"/>
      <c r="O94" s="750"/>
      <c r="P94" s="750"/>
      <c r="Q94" s="750"/>
    </row>
    <row r="95" spans="1:17" s="813" customFormat="1">
      <c r="E95" s="807"/>
      <c r="F95" s="814"/>
      <c r="G95" s="750"/>
      <c r="H95" s="750"/>
      <c r="I95" s="762"/>
      <c r="J95" s="750"/>
      <c r="K95" s="750"/>
      <c r="L95" s="750"/>
      <c r="M95" s="750"/>
    </row>
    <row r="96" spans="1:17" s="813" customFormat="1">
      <c r="E96" s="807"/>
      <c r="F96" s="814"/>
      <c r="G96" s="750"/>
      <c r="H96" s="750"/>
      <c r="I96" s="762"/>
      <c r="J96" s="750"/>
      <c r="K96" s="750"/>
      <c r="L96" s="750"/>
      <c r="M96" s="750"/>
    </row>
    <row r="97" spans="5:13" s="813" customFormat="1">
      <c r="E97" s="807"/>
      <c r="F97" s="814"/>
      <c r="G97" s="750"/>
      <c r="H97" s="750"/>
      <c r="I97" s="762"/>
      <c r="J97" s="750"/>
      <c r="K97" s="750"/>
      <c r="L97" s="750"/>
      <c r="M97" s="750"/>
    </row>
    <row r="98" spans="5:13" s="813" customFormat="1">
      <c r="E98" s="807"/>
      <c r="F98" s="814"/>
      <c r="G98" s="750"/>
      <c r="H98" s="750"/>
      <c r="I98" s="762"/>
      <c r="J98" s="750"/>
      <c r="K98" s="750"/>
      <c r="L98" s="750"/>
      <c r="M98" s="750"/>
    </row>
    <row r="99" spans="5:13" s="813" customFormat="1">
      <c r="E99" s="807"/>
      <c r="F99" s="814"/>
      <c r="G99" s="750"/>
      <c r="H99" s="750"/>
      <c r="I99" s="762"/>
      <c r="J99" s="750"/>
      <c r="K99" s="750"/>
      <c r="L99" s="750"/>
      <c r="M99" s="750"/>
    </row>
    <row r="100" spans="5:13" s="813" customFormat="1">
      <c r="E100" s="807"/>
      <c r="F100" s="814"/>
      <c r="G100" s="750"/>
      <c r="H100" s="750"/>
      <c r="I100" s="762"/>
      <c r="J100" s="750"/>
      <c r="K100" s="750"/>
      <c r="L100" s="750"/>
      <c r="M100" s="750"/>
    </row>
    <row r="101" spans="5:13" s="813" customFormat="1">
      <c r="E101" s="807"/>
      <c r="F101" s="814"/>
      <c r="G101" s="750"/>
      <c r="H101" s="750"/>
      <c r="I101" s="762"/>
      <c r="J101" s="750"/>
      <c r="K101" s="750"/>
      <c r="L101" s="750"/>
      <c r="M101" s="750"/>
    </row>
    <row r="102" spans="5:13" s="813" customFormat="1">
      <c r="E102" s="807"/>
      <c r="F102" s="814"/>
      <c r="G102" s="750"/>
      <c r="H102" s="750"/>
      <c r="I102" s="762"/>
      <c r="J102" s="750"/>
      <c r="K102" s="750"/>
      <c r="L102" s="750"/>
      <c r="M102" s="750"/>
    </row>
    <row r="103" spans="5:13" s="813" customFormat="1">
      <c r="E103" s="807"/>
      <c r="F103" s="814"/>
      <c r="G103" s="750"/>
      <c r="H103" s="750"/>
      <c r="I103" s="762"/>
      <c r="J103" s="750"/>
      <c r="K103" s="750"/>
      <c r="L103" s="750"/>
      <c r="M103" s="750"/>
    </row>
    <row r="104" spans="5:13" s="813" customFormat="1">
      <c r="E104" s="807"/>
      <c r="F104" s="814"/>
      <c r="G104" s="750"/>
      <c r="H104" s="750"/>
      <c r="I104" s="762"/>
      <c r="J104" s="750"/>
      <c r="K104" s="750"/>
      <c r="L104" s="750"/>
      <c r="M104" s="750"/>
    </row>
    <row r="105" spans="5:13" s="813" customFormat="1">
      <c r="E105" s="807"/>
      <c r="F105" s="814"/>
      <c r="G105" s="750"/>
      <c r="H105" s="750"/>
      <c r="I105" s="762"/>
      <c r="J105" s="750"/>
      <c r="K105" s="750"/>
      <c r="L105" s="750"/>
      <c r="M105" s="750"/>
    </row>
    <row r="106" spans="5:13" s="813" customFormat="1">
      <c r="E106" s="807"/>
      <c r="F106" s="814"/>
      <c r="G106" s="750"/>
      <c r="H106" s="750"/>
      <c r="I106" s="762"/>
      <c r="J106" s="750"/>
      <c r="K106" s="750"/>
      <c r="L106" s="750"/>
      <c r="M106" s="750"/>
    </row>
    <row r="107" spans="5:13" s="813" customFormat="1">
      <c r="E107" s="807"/>
      <c r="F107" s="814"/>
      <c r="G107" s="750"/>
      <c r="H107" s="750"/>
      <c r="I107" s="762"/>
      <c r="J107" s="750"/>
      <c r="K107" s="750"/>
      <c r="L107" s="750"/>
      <c r="M107" s="750"/>
    </row>
    <row r="108" spans="5:13" s="813" customFormat="1">
      <c r="E108" s="807"/>
      <c r="F108" s="814"/>
      <c r="G108" s="750"/>
      <c r="H108" s="750"/>
      <c r="I108" s="762"/>
      <c r="J108" s="750"/>
      <c r="K108" s="750"/>
      <c r="L108" s="750"/>
      <c r="M108" s="750"/>
    </row>
    <row r="109" spans="5:13" s="813" customFormat="1">
      <c r="E109" s="807"/>
      <c r="F109" s="814"/>
      <c r="G109" s="750"/>
      <c r="H109" s="750"/>
      <c r="I109" s="762"/>
      <c r="J109" s="750"/>
      <c r="K109" s="750"/>
      <c r="L109" s="750"/>
      <c r="M109" s="750"/>
    </row>
    <row r="110" spans="5:13" s="813" customFormat="1">
      <c r="E110" s="807"/>
      <c r="F110" s="814"/>
      <c r="G110" s="750"/>
      <c r="H110" s="750"/>
      <c r="I110" s="762"/>
      <c r="J110" s="750"/>
      <c r="K110" s="750"/>
      <c r="L110" s="750"/>
    </row>
    <row r="111" spans="5:13" s="813" customFormat="1">
      <c r="E111" s="807"/>
      <c r="F111" s="814"/>
      <c r="G111" s="750"/>
      <c r="H111" s="750"/>
      <c r="I111" s="762"/>
      <c r="J111" s="750"/>
      <c r="K111" s="750"/>
      <c r="L111" s="750"/>
    </row>
    <row r="112" spans="5:13" s="813" customFormat="1">
      <c r="E112" s="807"/>
      <c r="F112" s="814"/>
      <c r="G112" s="750"/>
      <c r="H112" s="750"/>
      <c r="I112" s="762"/>
      <c r="J112" s="750"/>
      <c r="K112" s="750"/>
      <c r="L112" s="750"/>
    </row>
    <row r="113" spans="5:12" s="813" customFormat="1">
      <c r="E113" s="807"/>
      <c r="F113" s="814"/>
      <c r="G113" s="750"/>
      <c r="H113" s="750"/>
      <c r="I113" s="762"/>
      <c r="J113" s="750"/>
      <c r="K113" s="750"/>
      <c r="L113" s="750"/>
    </row>
    <row r="114" spans="5:12" s="813" customFormat="1">
      <c r="E114" s="807"/>
      <c r="F114" s="814"/>
      <c r="G114" s="750"/>
      <c r="H114" s="750"/>
      <c r="I114" s="762"/>
      <c r="J114" s="750"/>
      <c r="K114" s="750"/>
      <c r="L114" s="750"/>
    </row>
    <row r="115" spans="5:12" s="813" customFormat="1">
      <c r="E115" s="807"/>
      <c r="F115" s="814"/>
      <c r="G115" s="750"/>
      <c r="H115" s="750"/>
      <c r="I115" s="762"/>
      <c r="J115" s="750"/>
      <c r="K115" s="750"/>
      <c r="L115" s="750"/>
    </row>
    <row r="116" spans="5:12" s="813" customFormat="1">
      <c r="E116" s="807"/>
      <c r="F116" s="814"/>
      <c r="G116" s="750"/>
      <c r="H116" s="750"/>
      <c r="I116" s="762"/>
      <c r="J116" s="750"/>
      <c r="K116" s="750"/>
      <c r="L116" s="750"/>
    </row>
    <row r="117" spans="5:12" s="813" customFormat="1">
      <c r="E117" s="807"/>
      <c r="F117" s="814"/>
      <c r="G117" s="750"/>
      <c r="H117" s="750"/>
      <c r="I117" s="762"/>
      <c r="J117" s="750"/>
      <c r="K117" s="750"/>
      <c r="L117" s="750"/>
    </row>
    <row r="118" spans="5:12" s="813" customFormat="1">
      <c r="E118" s="807"/>
      <c r="F118" s="814"/>
      <c r="G118" s="750"/>
      <c r="H118" s="750"/>
      <c r="I118" s="762"/>
      <c r="J118" s="750"/>
      <c r="K118" s="750"/>
      <c r="L118" s="750"/>
    </row>
    <row r="119" spans="5:12" s="813" customFormat="1">
      <c r="E119" s="807"/>
      <c r="F119" s="814"/>
      <c r="G119" s="750"/>
      <c r="H119" s="750"/>
      <c r="I119" s="762"/>
      <c r="J119" s="750"/>
      <c r="K119" s="750"/>
      <c r="L119" s="750"/>
    </row>
    <row r="120" spans="5:12" s="813" customFormat="1">
      <c r="E120" s="807"/>
      <c r="F120" s="814"/>
      <c r="G120" s="750"/>
      <c r="H120" s="750"/>
      <c r="I120" s="762"/>
      <c r="J120" s="750"/>
      <c r="K120" s="750"/>
      <c r="L120" s="750"/>
    </row>
    <row r="121" spans="5:12" s="813" customFormat="1">
      <c r="E121" s="807"/>
      <c r="F121" s="814"/>
      <c r="G121" s="750"/>
      <c r="H121" s="750"/>
      <c r="I121" s="762"/>
      <c r="J121" s="750"/>
      <c r="K121" s="750"/>
      <c r="L121" s="750"/>
    </row>
    <row r="122" spans="5:12" s="813" customFormat="1">
      <c r="E122" s="807"/>
      <c r="F122" s="814"/>
      <c r="G122" s="750"/>
      <c r="H122" s="750"/>
      <c r="I122" s="762"/>
      <c r="J122" s="750"/>
      <c r="K122" s="750"/>
      <c r="L122" s="750"/>
    </row>
    <row r="123" spans="5:12" s="813" customFormat="1">
      <c r="E123" s="807"/>
      <c r="F123" s="814"/>
      <c r="G123" s="750"/>
      <c r="H123" s="750"/>
      <c r="I123" s="762"/>
      <c r="J123" s="750"/>
      <c r="K123" s="750"/>
      <c r="L123" s="750"/>
    </row>
    <row r="124" spans="5:12" s="813" customFormat="1">
      <c r="E124" s="807"/>
      <c r="F124" s="814"/>
      <c r="G124" s="750"/>
      <c r="H124" s="750"/>
      <c r="I124" s="762"/>
      <c r="J124" s="750"/>
      <c r="K124" s="750"/>
      <c r="L124" s="750"/>
    </row>
    <row r="125" spans="5:12" s="813" customFormat="1">
      <c r="E125" s="807"/>
      <c r="F125" s="814"/>
      <c r="G125" s="750"/>
      <c r="H125" s="750"/>
      <c r="I125" s="762"/>
      <c r="J125" s="750"/>
      <c r="K125" s="750"/>
      <c r="L125" s="750"/>
    </row>
    <row r="126" spans="5:12" s="813" customFormat="1">
      <c r="E126" s="807"/>
      <c r="F126" s="814"/>
      <c r="G126" s="750"/>
      <c r="H126" s="750"/>
      <c r="I126" s="762"/>
      <c r="J126" s="750"/>
      <c r="K126" s="750"/>
      <c r="L126" s="750"/>
    </row>
    <row r="127" spans="5:12" s="813" customFormat="1">
      <c r="E127" s="807"/>
      <c r="F127" s="814"/>
      <c r="G127" s="750"/>
      <c r="H127" s="750"/>
      <c r="I127" s="762"/>
      <c r="J127" s="750"/>
      <c r="K127" s="750"/>
      <c r="L127" s="750"/>
    </row>
    <row r="128" spans="5:12" s="813" customFormat="1">
      <c r="E128" s="807"/>
      <c r="F128" s="814"/>
      <c r="G128" s="750"/>
      <c r="H128" s="750"/>
      <c r="I128" s="762"/>
      <c r="J128" s="750"/>
      <c r="K128" s="750"/>
      <c r="L128" s="750"/>
    </row>
    <row r="129" spans="5:12" s="813" customFormat="1">
      <c r="E129" s="807"/>
      <c r="F129" s="814"/>
      <c r="G129" s="750"/>
      <c r="H129" s="750"/>
      <c r="I129" s="762"/>
      <c r="J129" s="750"/>
      <c r="K129" s="750"/>
      <c r="L129" s="750"/>
    </row>
    <row r="130" spans="5:12" s="813" customFormat="1">
      <c r="E130" s="807"/>
      <c r="F130" s="814"/>
      <c r="G130" s="750"/>
      <c r="H130" s="750"/>
      <c r="I130" s="762"/>
      <c r="J130" s="750"/>
      <c r="K130" s="750"/>
      <c r="L130" s="750"/>
    </row>
    <row r="131" spans="5:12" s="813" customFormat="1">
      <c r="E131" s="807"/>
      <c r="F131" s="814"/>
      <c r="G131" s="750"/>
      <c r="H131" s="750"/>
      <c r="I131" s="762"/>
      <c r="J131" s="750"/>
      <c r="K131" s="750"/>
      <c r="L131" s="750"/>
    </row>
    <row r="132" spans="5:12" s="813" customFormat="1">
      <c r="E132" s="807"/>
      <c r="F132" s="814"/>
      <c r="G132" s="750"/>
      <c r="H132" s="750"/>
      <c r="I132" s="762"/>
      <c r="J132" s="750"/>
      <c r="K132" s="750"/>
      <c r="L132" s="750"/>
    </row>
    <row r="133" spans="5:12" s="813" customFormat="1">
      <c r="E133" s="807"/>
      <c r="F133" s="814"/>
      <c r="G133" s="750"/>
      <c r="H133" s="750"/>
      <c r="I133" s="762"/>
      <c r="J133" s="750"/>
      <c r="K133" s="750"/>
      <c r="L133" s="750"/>
    </row>
    <row r="134" spans="5:12" s="813" customFormat="1">
      <c r="E134" s="807"/>
      <c r="F134" s="814"/>
      <c r="G134" s="750"/>
      <c r="H134" s="750"/>
      <c r="I134" s="762"/>
      <c r="J134" s="750"/>
      <c r="K134" s="750"/>
      <c r="L134" s="750"/>
    </row>
    <row r="135" spans="5:12" s="813" customFormat="1">
      <c r="E135" s="807"/>
      <c r="F135" s="814"/>
      <c r="G135" s="750"/>
      <c r="H135" s="750"/>
      <c r="I135" s="762"/>
      <c r="J135" s="750"/>
      <c r="K135" s="750"/>
      <c r="L135" s="750"/>
    </row>
    <row r="136" spans="5:12" s="813" customFormat="1">
      <c r="E136" s="807"/>
      <c r="F136" s="814"/>
      <c r="G136" s="750"/>
      <c r="H136" s="750"/>
      <c r="I136" s="762"/>
      <c r="J136" s="750"/>
      <c r="K136" s="750"/>
      <c r="L136" s="750"/>
    </row>
    <row r="137" spans="5:12" s="813" customFormat="1">
      <c r="E137" s="807"/>
      <c r="F137" s="814"/>
      <c r="G137" s="750"/>
      <c r="H137" s="750"/>
      <c r="I137" s="762"/>
      <c r="J137" s="750"/>
      <c r="K137" s="750"/>
      <c r="L137" s="750"/>
    </row>
    <row r="138" spans="5:12" s="813" customFormat="1">
      <c r="E138" s="807"/>
      <c r="F138" s="814"/>
      <c r="G138" s="750"/>
      <c r="H138" s="750"/>
      <c r="I138" s="762"/>
      <c r="J138" s="750"/>
      <c r="K138" s="750"/>
      <c r="L138" s="750"/>
    </row>
    <row r="139" spans="5:12" s="813" customFormat="1">
      <c r="E139" s="807"/>
      <c r="F139" s="814"/>
      <c r="G139" s="750"/>
      <c r="H139" s="750"/>
      <c r="I139" s="762"/>
      <c r="J139" s="750"/>
      <c r="K139" s="750"/>
      <c r="L139" s="750"/>
    </row>
    <row r="140" spans="5:12" s="813" customFormat="1">
      <c r="E140" s="807"/>
      <c r="F140" s="814"/>
      <c r="G140" s="750"/>
      <c r="H140" s="750"/>
      <c r="I140" s="762"/>
      <c r="J140" s="750"/>
      <c r="K140" s="750"/>
      <c r="L140" s="750"/>
    </row>
    <row r="141" spans="5:12" s="813" customFormat="1">
      <c r="E141" s="807"/>
      <c r="F141" s="814"/>
      <c r="G141" s="750"/>
      <c r="H141" s="750"/>
      <c r="I141" s="762"/>
      <c r="J141" s="750"/>
      <c r="K141" s="750"/>
      <c r="L141" s="750"/>
    </row>
    <row r="142" spans="5:12" s="813" customFormat="1">
      <c r="E142" s="807"/>
      <c r="F142" s="814"/>
      <c r="G142" s="750"/>
      <c r="H142" s="750"/>
      <c r="I142" s="762"/>
      <c r="J142" s="750"/>
      <c r="K142" s="750"/>
      <c r="L142" s="750"/>
    </row>
    <row r="143" spans="5:12" s="813" customFormat="1">
      <c r="E143" s="807"/>
      <c r="F143" s="814"/>
      <c r="G143" s="750"/>
      <c r="H143" s="750"/>
      <c r="I143" s="762"/>
      <c r="J143" s="750"/>
      <c r="K143" s="750"/>
      <c r="L143" s="750"/>
    </row>
    <row r="144" spans="5:12" s="813" customFormat="1">
      <c r="E144" s="807"/>
      <c r="F144" s="814"/>
      <c r="G144" s="750"/>
      <c r="H144" s="750"/>
      <c r="I144" s="762"/>
      <c r="J144" s="750"/>
      <c r="K144" s="750"/>
      <c r="L144" s="750"/>
    </row>
    <row r="145" spans="1:17" s="813" customFormat="1">
      <c r="E145" s="807"/>
      <c r="F145" s="814"/>
      <c r="G145" s="750"/>
      <c r="H145" s="750"/>
      <c r="I145" s="762"/>
      <c r="J145" s="750"/>
      <c r="K145" s="750"/>
      <c r="L145" s="750"/>
    </row>
    <row r="146" spans="1:17" s="813" customFormat="1">
      <c r="E146" s="807"/>
      <c r="F146" s="814"/>
      <c r="G146" s="750"/>
      <c r="H146" s="750"/>
      <c r="I146" s="762"/>
      <c r="J146" s="750"/>
      <c r="K146" s="750"/>
      <c r="L146" s="750"/>
    </row>
    <row r="147" spans="1:17">
      <c r="A147" s="813"/>
      <c r="B147" s="813"/>
      <c r="C147" s="813"/>
      <c r="D147" s="813"/>
      <c r="E147" s="807"/>
      <c r="F147" s="814"/>
      <c r="G147" s="750"/>
      <c r="H147" s="750"/>
      <c r="I147" s="762"/>
      <c r="J147" s="750"/>
      <c r="K147" s="750"/>
      <c r="L147" s="750"/>
      <c r="M147" s="813"/>
      <c r="N147" s="813"/>
      <c r="O147" s="813"/>
      <c r="P147" s="813"/>
      <c r="Q147" s="813"/>
    </row>
    <row r="148" spans="1:17">
      <c r="A148" s="813"/>
      <c r="B148" s="813"/>
      <c r="C148" s="813"/>
      <c r="D148" s="813"/>
      <c r="E148" s="807"/>
      <c r="F148" s="814"/>
      <c r="G148" s="750"/>
      <c r="H148" s="750"/>
      <c r="I148" s="762"/>
      <c r="J148" s="750"/>
      <c r="K148" s="750"/>
      <c r="L148" s="750"/>
      <c r="M148" s="813"/>
      <c r="N148" s="813"/>
      <c r="O148" s="813"/>
      <c r="P148" s="813"/>
      <c r="Q148" s="813"/>
    </row>
    <row r="149" spans="1:17">
      <c r="A149" s="813"/>
      <c r="B149" s="813"/>
      <c r="C149" s="813"/>
      <c r="D149" s="813"/>
      <c r="E149" s="807"/>
      <c r="F149" s="814"/>
      <c r="G149" s="750"/>
      <c r="H149" s="750"/>
      <c r="I149" s="762"/>
      <c r="J149" s="750"/>
      <c r="K149" s="750"/>
      <c r="L149" s="750"/>
      <c r="M149" s="813"/>
      <c r="N149" s="813"/>
      <c r="O149" s="813"/>
      <c r="P149" s="813"/>
      <c r="Q149" s="813"/>
    </row>
    <row r="150" spans="1:17">
      <c r="A150" s="813"/>
      <c r="B150" s="813"/>
      <c r="C150" s="813"/>
      <c r="D150" s="813"/>
      <c r="E150" s="807"/>
      <c r="F150" s="814"/>
      <c r="G150" s="750"/>
      <c r="H150" s="750"/>
      <c r="I150" s="762"/>
      <c r="J150" s="750"/>
      <c r="K150" s="750"/>
      <c r="L150" s="750"/>
      <c r="M150" s="813"/>
      <c r="N150" s="813"/>
      <c r="O150" s="813"/>
      <c r="P150" s="813"/>
      <c r="Q150" s="813"/>
    </row>
    <row r="151" spans="1:17">
      <c r="A151" s="813"/>
      <c r="B151" s="813"/>
      <c r="C151" s="813"/>
      <c r="D151" s="813"/>
      <c r="E151" s="807"/>
      <c r="F151" s="814"/>
      <c r="G151" s="750"/>
      <c r="H151" s="750"/>
      <c r="I151" s="762"/>
      <c r="J151" s="750"/>
      <c r="K151" s="750"/>
      <c r="L151" s="750"/>
      <c r="M151" s="813"/>
      <c r="N151" s="813"/>
      <c r="O151" s="813"/>
      <c r="P151" s="813"/>
      <c r="Q151" s="813"/>
    </row>
    <row r="152" spans="1:17">
      <c r="A152" s="813"/>
      <c r="B152" s="813"/>
      <c r="C152" s="813"/>
      <c r="D152" s="813"/>
      <c r="E152" s="807"/>
      <c r="F152" s="814"/>
      <c r="G152" s="750"/>
      <c r="H152" s="750"/>
      <c r="I152" s="762"/>
      <c r="J152" s="750"/>
      <c r="K152" s="750"/>
      <c r="L152" s="750"/>
      <c r="M152" s="813"/>
    </row>
    <row r="153" spans="1:17">
      <c r="A153" s="813"/>
      <c r="B153" s="813"/>
      <c r="C153" s="813"/>
      <c r="D153" s="813"/>
      <c r="E153" s="807"/>
      <c r="F153" s="814"/>
      <c r="G153" s="750"/>
      <c r="H153" s="750"/>
      <c r="I153" s="762"/>
      <c r="J153" s="750"/>
      <c r="K153" s="750"/>
      <c r="L153" s="750"/>
      <c r="M153" s="813"/>
    </row>
    <row r="154" spans="1:17">
      <c r="A154" s="813"/>
      <c r="B154" s="813"/>
      <c r="C154" s="813"/>
      <c r="D154" s="813"/>
      <c r="E154" s="807"/>
      <c r="F154" s="814"/>
      <c r="G154" s="750"/>
      <c r="H154" s="750"/>
      <c r="I154" s="762"/>
      <c r="J154" s="750"/>
      <c r="K154" s="750"/>
      <c r="L154" s="750"/>
      <c r="M154" s="813"/>
    </row>
    <row r="155" spans="1:17">
      <c r="A155" s="813"/>
      <c r="B155" s="813"/>
      <c r="C155" s="813"/>
      <c r="D155" s="813"/>
      <c r="E155" s="807"/>
      <c r="F155" s="814"/>
      <c r="G155" s="750"/>
      <c r="H155" s="750"/>
      <c r="I155" s="762"/>
      <c r="J155" s="750"/>
      <c r="K155" s="750"/>
      <c r="L155" s="750"/>
      <c r="M155" s="813"/>
    </row>
    <row r="156" spans="1:17">
      <c r="J156" s="750"/>
      <c r="K156" s="750"/>
      <c r="L156" s="750"/>
      <c r="M156" s="813"/>
    </row>
    <row r="157" spans="1:17">
      <c r="J157" s="750"/>
      <c r="K157" s="750"/>
      <c r="L157" s="750"/>
      <c r="M157" s="813"/>
    </row>
    <row r="158" spans="1:17">
      <c r="J158" s="750"/>
      <c r="K158" s="750"/>
      <c r="L158" s="750"/>
      <c r="M158" s="813"/>
    </row>
    <row r="159" spans="1:17">
      <c r="J159" s="750"/>
      <c r="K159" s="750"/>
      <c r="L159" s="750"/>
      <c r="M159" s="813"/>
    </row>
    <row r="160" spans="1:17">
      <c r="J160" s="750"/>
      <c r="K160" s="750"/>
      <c r="L160" s="750"/>
      <c r="M160" s="813"/>
    </row>
    <row r="161" spans="10:13">
      <c r="J161" s="750"/>
      <c r="K161" s="750"/>
      <c r="L161" s="750"/>
      <c r="M161" s="813"/>
    </row>
    <row r="162" spans="10:13">
      <c r="K162" s="750"/>
      <c r="L162" s="750"/>
      <c r="M162" s="813"/>
    </row>
    <row r="163" spans="10:13">
      <c r="K163" s="750"/>
      <c r="L163" s="750"/>
      <c r="M163" s="813"/>
    </row>
    <row r="164" spans="10:13">
      <c r="K164" s="750"/>
      <c r="L164" s="750"/>
      <c r="M164" s="813"/>
    </row>
    <row r="165" spans="10:13">
      <c r="L165" s="750"/>
      <c r="M165" s="813"/>
    </row>
    <row r="166" spans="10:13">
      <c r="L166" s="750"/>
      <c r="M166" s="813"/>
    </row>
    <row r="167" spans="10:13">
      <c r="L167" s="750"/>
    </row>
    <row r="168" spans="10:13">
      <c r="L168" s="750"/>
    </row>
    <row r="169" spans="10:13">
      <c r="L169" s="750"/>
    </row>
  </sheetData>
  <mergeCells count="1">
    <mergeCell ref="L7:M7"/>
  </mergeCells>
  <dataValidations count="1">
    <dataValidation type="list" allowBlank="1" showInputMessage="1" showErrorMessage="1" sqref="B5" xr:uid="{89FDB97E-0D14-46A9-AEAE-7952A24B9AB8}">
      <formula1>$AB$5:$AB$8</formula1>
    </dataValidation>
  </dataValidations>
  <pageMargins left="0.7" right="0.7" top="0.75" bottom="0.75" header="0.3" footer="0.3"/>
  <pageSetup orientation="portrait" verticalDpi="0"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FA74F-7D89-46AF-BDBA-DE44A2905C53}">
  <dimension ref="A1:Q169"/>
  <sheetViews>
    <sheetView topLeftCell="A13" workbookViewId="0">
      <selection activeCell="L25" sqref="L25:L33"/>
    </sheetView>
  </sheetViews>
  <sheetFormatPr defaultColWidth="7.85546875" defaultRowHeight="11.25"/>
  <cols>
    <col min="1" max="1" width="15.7109375" style="750" bestFit="1" customWidth="1"/>
    <col min="2" max="2" width="9.5703125" style="750" bestFit="1" customWidth="1"/>
    <col min="3" max="3" width="5.140625" style="817" customWidth="1"/>
    <col min="4" max="6" width="7.7109375" style="817" customWidth="1"/>
    <col min="7" max="7" width="6.28515625" style="813" customWidth="1"/>
    <col min="8" max="8" width="6.85546875" style="816" customWidth="1"/>
    <col min="9" max="9" width="9.7109375" style="813" customWidth="1"/>
    <col min="10" max="10" width="8.7109375" style="813" bestFit="1" customWidth="1"/>
    <col min="11" max="11" width="12.5703125" style="807" customWidth="1"/>
    <col min="12" max="12" width="17.28515625" style="814" bestFit="1" customWidth="1"/>
    <col min="13" max="13" width="12.85546875" style="750" customWidth="1"/>
    <col min="14" max="14" width="11.28515625" style="750" customWidth="1"/>
    <col min="15" max="15" width="14.5703125" style="762" customWidth="1"/>
    <col min="16" max="16" width="2.42578125" style="762" customWidth="1"/>
    <col min="17" max="17" width="14" style="750" bestFit="1" customWidth="1"/>
    <col min="18" max="18" width="5.42578125" style="750" customWidth="1"/>
    <col min="19" max="27" width="5.28515625" style="750" customWidth="1"/>
    <col min="28" max="28" width="17" style="750" customWidth="1"/>
    <col min="29" max="16384" width="7.85546875" style="750"/>
  </cols>
  <sheetData>
    <row r="1" spans="1:15" s="585" customFormat="1" ht="12.75">
      <c r="A1" s="826" t="s">
        <v>133</v>
      </c>
      <c r="B1" s="827" t="s">
        <v>189</v>
      </c>
      <c r="C1" s="579"/>
      <c r="D1" s="827"/>
      <c r="E1" s="580"/>
      <c r="F1" s="580"/>
      <c r="G1" s="581"/>
      <c r="H1" s="582" t="s">
        <v>209</v>
      </c>
      <c r="I1" s="583" t="s">
        <v>55</v>
      </c>
      <c r="J1" s="584"/>
      <c r="K1" s="827"/>
      <c r="L1" s="827"/>
      <c r="M1" s="828"/>
      <c r="N1" s="586"/>
    </row>
    <row r="2" spans="1:15" s="585" customFormat="1" ht="12.75">
      <c r="A2" s="829" t="s">
        <v>135</v>
      </c>
      <c r="B2" s="597" t="s">
        <v>248</v>
      </c>
      <c r="C2" s="589"/>
      <c r="D2" s="597"/>
      <c r="E2" s="590"/>
      <c r="F2" s="590"/>
      <c r="G2" s="591"/>
      <c r="H2" s="592" t="s">
        <v>210</v>
      </c>
      <c r="I2" s="830"/>
      <c r="J2" s="594"/>
      <c r="K2" s="597"/>
      <c r="L2" s="597"/>
      <c r="M2" s="831"/>
      <c r="N2" s="595"/>
    </row>
    <row r="3" spans="1:15" s="599" customFormat="1" ht="11.25" customHeight="1">
      <c r="A3" s="832" t="s">
        <v>137</v>
      </c>
      <c r="B3" s="818">
        <v>45052</v>
      </c>
      <c r="C3" s="589"/>
      <c r="D3" s="590"/>
      <c r="E3" s="590"/>
      <c r="F3" s="590"/>
      <c r="G3" s="591"/>
      <c r="H3" s="596" t="s">
        <v>211</v>
      </c>
      <c r="I3" s="833">
        <f>M53/100</f>
        <v>2.375</v>
      </c>
      <c r="J3" s="594"/>
      <c r="K3" s="597"/>
      <c r="L3" s="597"/>
      <c r="M3" s="834"/>
      <c r="N3" s="600"/>
    </row>
    <row r="4" spans="1:15" s="585" customFormat="1" ht="12.75">
      <c r="A4" s="832" t="s">
        <v>139</v>
      </c>
      <c r="B4" s="597" t="s">
        <v>127</v>
      </c>
      <c r="C4" s="589"/>
      <c r="D4" s="590"/>
      <c r="E4" s="590"/>
      <c r="F4" s="590"/>
      <c r="G4" s="591"/>
      <c r="H4" s="596" t="s">
        <v>212</v>
      </c>
      <c r="I4" s="833" t="s">
        <v>55</v>
      </c>
      <c r="J4" s="594"/>
      <c r="K4" s="597"/>
      <c r="L4" s="597"/>
      <c r="M4" s="831"/>
      <c r="N4" s="586"/>
    </row>
    <row r="5" spans="1:15" s="606" customFormat="1" ht="12.75">
      <c r="A5" s="829" t="s">
        <v>141</v>
      </c>
      <c r="B5" s="603" t="s">
        <v>142</v>
      </c>
      <c r="C5" s="589"/>
      <c r="D5" s="590"/>
      <c r="E5" s="590"/>
      <c r="F5" s="590"/>
      <c r="G5" s="591"/>
      <c r="H5" s="596"/>
      <c r="I5" s="604"/>
      <c r="J5" s="594"/>
      <c r="K5" s="597"/>
      <c r="L5" s="597"/>
      <c r="M5" s="635"/>
      <c r="N5" s="605"/>
    </row>
    <row r="6" spans="1:15" s="605" customFormat="1" ht="13.5" thickBot="1">
      <c r="A6" s="835"/>
      <c r="B6" s="836"/>
      <c r="C6" s="837"/>
      <c r="D6" s="838"/>
      <c r="E6" s="838"/>
      <c r="F6" s="838"/>
      <c r="G6" s="839"/>
      <c r="H6" s="840"/>
      <c r="I6" s="841"/>
      <c r="J6" s="839"/>
      <c r="K6" s="842"/>
      <c r="L6" s="836"/>
      <c r="M6" s="843"/>
    </row>
    <row r="7" spans="1:15" s="606" customFormat="1" ht="13.15" customHeight="1">
      <c r="A7" s="844" t="s">
        <v>143</v>
      </c>
      <c r="B7" s="845"/>
      <c r="C7" s="846"/>
      <c r="D7" s="847"/>
      <c r="E7" s="848" t="s">
        <v>144</v>
      </c>
      <c r="F7" s="845"/>
      <c r="G7" s="849" t="s">
        <v>145</v>
      </c>
      <c r="H7" s="619"/>
      <c r="I7" s="850" t="s">
        <v>146</v>
      </c>
      <c r="J7" s="850"/>
      <c r="K7" s="620"/>
      <c r="L7" s="954" t="s">
        <v>147</v>
      </c>
      <c r="M7" s="955"/>
      <c r="N7" s="605"/>
      <c r="O7" s="605"/>
    </row>
    <row r="8" spans="1:15" s="637" customFormat="1" ht="11.25" customHeight="1">
      <c r="A8" s="621"/>
      <c r="B8" s="615"/>
      <c r="C8" s="622"/>
      <c r="D8" s="631"/>
      <c r="E8" s="851"/>
      <c r="F8" s="631"/>
      <c r="G8" s="852"/>
      <c r="H8" s="633"/>
      <c r="I8" s="659"/>
      <c r="J8" s="659"/>
      <c r="K8" s="634"/>
      <c r="L8" s="635"/>
      <c r="M8" s="635"/>
      <c r="N8" s="636"/>
    </row>
    <row r="9" spans="1:15" s="648" customFormat="1">
      <c r="C9" s="639"/>
      <c r="D9" s="853"/>
      <c r="E9" s="851" t="s">
        <v>150</v>
      </c>
      <c r="F9" s="631"/>
      <c r="G9" s="852"/>
      <c r="H9" s="633"/>
      <c r="I9" s="762"/>
      <c r="J9" s="762"/>
      <c r="K9" s="634"/>
      <c r="L9" s="644"/>
      <c r="M9" s="645"/>
      <c r="N9" s="646"/>
      <c r="O9" s="647"/>
    </row>
    <row r="10" spans="1:15" s="648" customFormat="1">
      <c r="A10" s="649" t="s">
        <v>151</v>
      </c>
      <c r="B10" s="650" t="s">
        <v>51</v>
      </c>
      <c r="C10" s="651" t="s">
        <v>152</v>
      </c>
      <c r="D10" s="658" t="s">
        <v>162</v>
      </c>
      <c r="E10" s="656" t="s">
        <v>163</v>
      </c>
      <c r="F10" s="658" t="s">
        <v>164</v>
      </c>
      <c r="G10" s="852" t="s">
        <v>165</v>
      </c>
      <c r="H10" s="633" t="s">
        <v>166</v>
      </c>
      <c r="I10" s="659" t="s">
        <v>166</v>
      </c>
      <c r="J10" s="659" t="s">
        <v>165</v>
      </c>
      <c r="K10" s="660" t="s">
        <v>167</v>
      </c>
      <c r="L10" s="644" t="s">
        <v>168</v>
      </c>
      <c r="M10" s="644" t="s">
        <v>169</v>
      </c>
      <c r="N10" s="661"/>
    </row>
    <row r="11" spans="1:15" s="648" customFormat="1" ht="12" thickBot="1">
      <c r="A11" s="662" t="s">
        <v>170</v>
      </c>
      <c r="B11" s="663" t="s">
        <v>170</v>
      </c>
      <c r="C11" s="664" t="s">
        <v>171</v>
      </c>
      <c r="D11" s="673" t="s">
        <v>173</v>
      </c>
      <c r="E11" s="671" t="s">
        <v>171</v>
      </c>
      <c r="F11" s="673" t="s">
        <v>171</v>
      </c>
      <c r="G11" s="854" t="s">
        <v>174</v>
      </c>
      <c r="H11" s="675" t="s">
        <v>175</v>
      </c>
      <c r="I11" s="674" t="s">
        <v>175</v>
      </c>
      <c r="J11" s="674" t="s">
        <v>174</v>
      </c>
      <c r="K11" s="677"/>
      <c r="L11" s="678"/>
      <c r="M11" s="679" t="s">
        <v>171</v>
      </c>
      <c r="N11" s="661"/>
    </row>
    <row r="12" spans="1:15" s="648" customFormat="1">
      <c r="A12" s="699"/>
      <c r="B12" s="700"/>
      <c r="C12" s="688">
        <v>0</v>
      </c>
      <c r="D12" s="855"/>
      <c r="E12" s="856"/>
      <c r="F12" s="857"/>
      <c r="G12" s="858"/>
      <c r="H12" s="709"/>
      <c r="I12" s="859"/>
      <c r="J12" s="860"/>
      <c r="K12" s="712"/>
      <c r="L12" s="696" t="s">
        <v>179</v>
      </c>
      <c r="M12" s="697"/>
      <c r="N12" s="698"/>
    </row>
    <row r="13" spans="1:15" s="648" customFormat="1">
      <c r="A13" s="699"/>
      <c r="B13" s="700"/>
      <c r="C13" s="688"/>
      <c r="D13" s="855"/>
      <c r="E13" s="861"/>
      <c r="F13" s="862"/>
      <c r="G13" s="708"/>
      <c r="H13" s="863"/>
      <c r="I13" s="864"/>
      <c r="J13" s="711"/>
      <c r="K13" s="712"/>
      <c r="L13" s="713" t="s">
        <v>225</v>
      </c>
      <c r="M13" s="714">
        <v>223</v>
      </c>
      <c r="N13" s="661"/>
    </row>
    <row r="14" spans="1:15" s="648" customFormat="1">
      <c r="A14" s="699"/>
      <c r="B14" s="700"/>
      <c r="C14" s="688"/>
      <c r="D14" s="855"/>
      <c r="E14" s="861"/>
      <c r="F14" s="862"/>
      <c r="G14" s="708"/>
      <c r="H14" s="863"/>
      <c r="I14" s="864"/>
      <c r="J14" s="711"/>
      <c r="K14" s="712"/>
      <c r="L14" s="713" t="s">
        <v>226</v>
      </c>
      <c r="M14" s="714">
        <v>238</v>
      </c>
      <c r="N14" s="661"/>
    </row>
    <row r="15" spans="1:15" s="648" customFormat="1">
      <c r="A15" s="699"/>
      <c r="B15" s="700"/>
      <c r="C15" s="688"/>
      <c r="D15" s="855"/>
      <c r="E15" s="861"/>
      <c r="F15" s="862"/>
      <c r="G15" s="708"/>
      <c r="H15" s="863"/>
      <c r="I15" s="864"/>
      <c r="J15" s="711"/>
      <c r="K15" s="712"/>
      <c r="L15" s="713" t="s">
        <v>227</v>
      </c>
      <c r="M15" s="715">
        <v>237</v>
      </c>
      <c r="N15" s="661"/>
    </row>
    <row r="16" spans="1:15" s="648" customFormat="1">
      <c r="A16" s="716"/>
      <c r="B16" s="700"/>
      <c r="C16" s="688"/>
      <c r="D16" s="855"/>
      <c r="E16" s="861"/>
      <c r="F16" s="862"/>
      <c r="G16" s="708"/>
      <c r="H16" s="863"/>
      <c r="I16" s="864"/>
      <c r="J16" s="711"/>
      <c r="K16" s="712"/>
      <c r="L16" s="713" t="s">
        <v>228</v>
      </c>
      <c r="M16" s="714">
        <v>240</v>
      </c>
      <c r="N16" s="661"/>
    </row>
    <row r="17" spans="1:16" s="648" customFormat="1">
      <c r="A17" s="716"/>
      <c r="B17" s="700"/>
      <c r="C17" s="688"/>
      <c r="D17" s="855"/>
      <c r="E17" s="861"/>
      <c r="F17" s="862"/>
      <c r="G17" s="708"/>
      <c r="H17" s="863"/>
      <c r="I17" s="864"/>
      <c r="J17" s="711"/>
      <c r="K17" s="865" t="s">
        <v>181</v>
      </c>
      <c r="L17" s="713" t="s">
        <v>229</v>
      </c>
      <c r="M17" s="714">
        <v>242</v>
      </c>
      <c r="N17" s="646"/>
    </row>
    <row r="18" spans="1:16" s="648" customFormat="1">
      <c r="A18" s="716"/>
      <c r="B18" s="700"/>
      <c r="C18" s="688"/>
      <c r="D18" s="855"/>
      <c r="E18" s="861"/>
      <c r="F18" s="862"/>
      <c r="G18" s="708"/>
      <c r="H18" s="863"/>
      <c r="I18" s="864"/>
      <c r="J18" s="711"/>
      <c r="K18" s="717"/>
      <c r="L18" s="713" t="s">
        <v>230</v>
      </c>
      <c r="M18" s="714">
        <v>235</v>
      </c>
      <c r="N18" s="646"/>
    </row>
    <row r="19" spans="1:16" s="648" customFormat="1" ht="10.15" customHeight="1">
      <c r="A19" s="716"/>
      <c r="B19" s="700"/>
      <c r="C19" s="688"/>
      <c r="D19" s="855"/>
      <c r="E19" s="861"/>
      <c r="F19" s="862"/>
      <c r="G19" s="708"/>
      <c r="H19" s="863"/>
      <c r="I19" s="864"/>
      <c r="J19" s="711"/>
      <c r="K19" s="717"/>
      <c r="L19" s="713" t="s">
        <v>231</v>
      </c>
      <c r="M19" s="714">
        <v>232</v>
      </c>
      <c r="N19" s="718"/>
    </row>
    <row r="20" spans="1:16" s="648" customFormat="1">
      <c r="A20" s="716"/>
      <c r="B20" s="700"/>
      <c r="C20" s="688"/>
      <c r="D20" s="855"/>
      <c r="E20" s="861"/>
      <c r="F20" s="862"/>
      <c r="G20" s="708"/>
      <c r="H20" s="863"/>
      <c r="I20" s="864"/>
      <c r="J20" s="711"/>
      <c r="K20" s="712"/>
      <c r="L20" s="713" t="s">
        <v>232</v>
      </c>
      <c r="M20" s="714">
        <v>235</v>
      </c>
      <c r="N20" s="719"/>
    </row>
    <row r="21" spans="1:16" s="721" customFormat="1">
      <c r="A21" s="716"/>
      <c r="B21" s="700"/>
      <c r="C21" s="688"/>
      <c r="D21" s="855"/>
      <c r="E21" s="861"/>
      <c r="F21" s="862"/>
      <c r="G21" s="708"/>
      <c r="H21" s="863"/>
      <c r="I21" s="864"/>
      <c r="J21" s="711"/>
      <c r="K21" s="720"/>
      <c r="L21" s="713" t="s">
        <v>233</v>
      </c>
      <c r="M21" s="714">
        <v>240</v>
      </c>
      <c r="N21" s="719"/>
    </row>
    <row r="22" spans="1:16" s="721" customFormat="1">
      <c r="A22" s="716"/>
      <c r="B22" s="700"/>
      <c r="C22" s="688"/>
      <c r="D22" s="855"/>
      <c r="E22" s="861"/>
      <c r="F22" s="862"/>
      <c r="G22" s="708"/>
      <c r="H22" s="863"/>
      <c r="I22" s="864"/>
      <c r="J22" s="711"/>
      <c r="K22" s="712"/>
      <c r="L22" s="713" t="s">
        <v>234</v>
      </c>
      <c r="M22" s="723">
        <v>246</v>
      </c>
      <c r="N22" s="719"/>
    </row>
    <row r="23" spans="1:16" s="721" customFormat="1">
      <c r="A23" s="716"/>
      <c r="B23" s="700"/>
      <c r="C23" s="688"/>
      <c r="D23" s="855"/>
      <c r="E23" s="861"/>
      <c r="F23" s="862"/>
      <c r="G23" s="708"/>
      <c r="H23" s="863"/>
      <c r="I23" s="864"/>
      <c r="J23" s="711"/>
      <c r="K23" s="866"/>
      <c r="L23" s="713" t="s">
        <v>235</v>
      </c>
      <c r="M23" s="738">
        <v>242</v>
      </c>
      <c r="N23" s="739"/>
    </row>
    <row r="24" spans="1:16" s="721" customFormat="1">
      <c r="A24" s="716"/>
      <c r="B24" s="700"/>
      <c r="C24" s="688"/>
      <c r="D24" s="855"/>
      <c r="E24" s="861"/>
      <c r="F24" s="862"/>
      <c r="G24" s="708"/>
      <c r="H24" s="863"/>
      <c r="I24" s="864"/>
      <c r="J24" s="711"/>
      <c r="K24" s="867"/>
      <c r="L24" s="713" t="s">
        <v>236</v>
      </c>
      <c r="M24" s="738">
        <v>240</v>
      </c>
      <c r="N24" s="739"/>
    </row>
    <row r="25" spans="1:16" s="721" customFormat="1">
      <c r="A25" s="716"/>
      <c r="B25" s="700"/>
      <c r="C25" s="688"/>
      <c r="D25" s="855"/>
      <c r="E25" s="861"/>
      <c r="F25" s="862"/>
      <c r="G25" s="708"/>
      <c r="H25" s="863"/>
      <c r="I25" s="864"/>
      <c r="J25" s="711"/>
      <c r="K25" s="867"/>
      <c r="L25" s="713"/>
      <c r="M25" s="738"/>
      <c r="N25" s="739"/>
    </row>
    <row r="26" spans="1:16" s="721" customFormat="1">
      <c r="A26" s="716"/>
      <c r="B26" s="700"/>
      <c r="C26" s="688"/>
      <c r="D26" s="855"/>
      <c r="E26" s="861"/>
      <c r="F26" s="862"/>
      <c r="G26" s="708"/>
      <c r="H26" s="863"/>
      <c r="I26" s="864"/>
      <c r="J26" s="711"/>
      <c r="K26" s="867"/>
      <c r="L26" s="713"/>
      <c r="M26" s="714"/>
      <c r="N26" s="739"/>
    </row>
    <row r="27" spans="1:16" s="721" customFormat="1">
      <c r="A27" s="716"/>
      <c r="B27" s="700"/>
      <c r="C27" s="688"/>
      <c r="D27" s="855"/>
      <c r="E27" s="861"/>
      <c r="F27" s="862"/>
      <c r="G27" s="708"/>
      <c r="H27" s="863"/>
      <c r="I27" s="864"/>
      <c r="J27" s="711"/>
      <c r="K27" s="867"/>
      <c r="L27" s="713"/>
      <c r="M27" s="714"/>
      <c r="N27" s="739"/>
    </row>
    <row r="28" spans="1:16" s="721" customFormat="1">
      <c r="A28" s="716"/>
      <c r="B28" s="700"/>
      <c r="C28" s="688"/>
      <c r="D28" s="855"/>
      <c r="E28" s="861"/>
      <c r="F28" s="862"/>
      <c r="G28" s="708"/>
      <c r="H28" s="863"/>
      <c r="I28" s="864"/>
      <c r="J28" s="711"/>
      <c r="K28" s="867"/>
      <c r="L28" s="713"/>
      <c r="M28" s="714"/>
      <c r="N28" s="739"/>
    </row>
    <row r="29" spans="1:16">
      <c r="A29" s="716"/>
      <c r="B29" s="700"/>
      <c r="C29" s="688"/>
      <c r="D29" s="855"/>
      <c r="E29" s="861"/>
      <c r="F29" s="862"/>
      <c r="G29" s="708"/>
      <c r="H29" s="863"/>
      <c r="I29" s="864"/>
      <c r="J29" s="711"/>
      <c r="K29" s="867"/>
      <c r="L29" s="713"/>
      <c r="M29" s="714"/>
      <c r="N29" s="739"/>
      <c r="O29" s="721"/>
      <c r="P29" s="721"/>
    </row>
    <row r="30" spans="1:16">
      <c r="A30" s="716"/>
      <c r="B30" s="700"/>
      <c r="C30" s="688"/>
      <c r="D30" s="855"/>
      <c r="E30" s="861"/>
      <c r="F30" s="862"/>
      <c r="G30" s="708"/>
      <c r="H30" s="863"/>
      <c r="I30" s="864"/>
      <c r="J30" s="711"/>
      <c r="K30" s="867"/>
      <c r="L30" s="713"/>
      <c r="M30" s="714"/>
      <c r="N30" s="739"/>
      <c r="O30" s="721"/>
      <c r="P30" s="721"/>
    </row>
    <row r="31" spans="1:16">
      <c r="A31" s="716"/>
      <c r="B31" s="700"/>
      <c r="C31" s="688"/>
      <c r="D31" s="855"/>
      <c r="E31" s="861"/>
      <c r="F31" s="862"/>
      <c r="G31" s="708"/>
      <c r="H31" s="863"/>
      <c r="I31" s="864"/>
      <c r="J31" s="711"/>
      <c r="K31" s="867"/>
      <c r="L31" s="713"/>
      <c r="M31" s="714"/>
      <c r="N31" s="739"/>
      <c r="O31" s="721"/>
      <c r="P31" s="721"/>
    </row>
    <row r="32" spans="1:16">
      <c r="A32" s="716"/>
      <c r="B32" s="700"/>
      <c r="C32" s="688"/>
      <c r="D32" s="855"/>
      <c r="E32" s="861"/>
      <c r="F32" s="862"/>
      <c r="G32" s="708"/>
      <c r="H32" s="863"/>
      <c r="I32" s="864"/>
      <c r="J32" s="711"/>
      <c r="K32" s="722"/>
      <c r="L32" s="713"/>
      <c r="M32" s="714"/>
      <c r="N32" s="739"/>
      <c r="O32" s="721"/>
      <c r="P32" s="721"/>
    </row>
    <row r="33" spans="1:17">
      <c r="A33" s="716"/>
      <c r="B33" s="700"/>
      <c r="C33" s="688"/>
      <c r="D33" s="855"/>
      <c r="E33" s="861"/>
      <c r="F33" s="862"/>
      <c r="G33" s="708"/>
      <c r="H33" s="863"/>
      <c r="I33" s="864"/>
      <c r="J33" s="711"/>
      <c r="K33" s="722"/>
      <c r="L33" s="713"/>
      <c r="M33" s="714"/>
      <c r="N33" s="739"/>
      <c r="O33" s="721"/>
      <c r="P33" s="721"/>
    </row>
    <row r="34" spans="1:17">
      <c r="A34" s="716"/>
      <c r="B34" s="700"/>
      <c r="C34" s="688"/>
      <c r="D34" s="855"/>
      <c r="E34" s="861"/>
      <c r="F34" s="862"/>
      <c r="G34" s="708"/>
      <c r="H34" s="863"/>
      <c r="I34" s="864"/>
      <c r="J34" s="711"/>
      <c r="K34" s="722"/>
      <c r="L34" s="713"/>
      <c r="M34" s="714"/>
      <c r="N34" s="751"/>
      <c r="O34" s="750"/>
      <c r="P34" s="750"/>
    </row>
    <row r="35" spans="1:17">
      <c r="A35" s="716"/>
      <c r="B35" s="700"/>
      <c r="C35" s="688"/>
      <c r="D35" s="855"/>
      <c r="E35" s="861"/>
      <c r="F35" s="862"/>
      <c r="G35" s="708"/>
      <c r="H35" s="863"/>
      <c r="I35" s="864"/>
      <c r="J35" s="711"/>
      <c r="K35" s="722"/>
      <c r="L35" s="713"/>
      <c r="M35" s="714"/>
      <c r="N35" s="752"/>
      <c r="O35" s="753"/>
      <c r="P35" s="754"/>
      <c r="Q35" s="753"/>
    </row>
    <row r="36" spans="1:17">
      <c r="A36" s="716"/>
      <c r="B36" s="700"/>
      <c r="C36" s="688"/>
      <c r="D36" s="855"/>
      <c r="E36" s="861"/>
      <c r="F36" s="862"/>
      <c r="G36" s="708"/>
      <c r="H36" s="863"/>
      <c r="I36" s="864"/>
      <c r="J36" s="711"/>
      <c r="K36" s="722"/>
      <c r="L36" s="713"/>
      <c r="M36" s="714"/>
      <c r="N36" s="752"/>
      <c r="O36" s="753"/>
      <c r="P36" s="755"/>
      <c r="Q36" s="753"/>
    </row>
    <row r="37" spans="1:17">
      <c r="A37" s="716"/>
      <c r="B37" s="700"/>
      <c r="C37" s="688"/>
      <c r="D37" s="855"/>
      <c r="E37" s="861"/>
      <c r="F37" s="862"/>
      <c r="G37" s="708"/>
      <c r="H37" s="863"/>
      <c r="I37" s="864"/>
      <c r="J37" s="711"/>
      <c r="K37" s="722"/>
      <c r="L37" s="713"/>
      <c r="M37" s="714"/>
      <c r="N37" s="756"/>
      <c r="O37" s="753"/>
      <c r="P37" s="753"/>
      <c r="Q37" s="753"/>
    </row>
    <row r="38" spans="1:17">
      <c r="A38" s="716"/>
      <c r="B38" s="700"/>
      <c r="C38" s="688"/>
      <c r="D38" s="855"/>
      <c r="E38" s="861"/>
      <c r="F38" s="862"/>
      <c r="G38" s="708"/>
      <c r="H38" s="863"/>
      <c r="I38" s="864"/>
      <c r="J38" s="711"/>
      <c r="K38" s="722"/>
      <c r="L38" s="713"/>
      <c r="M38" s="714"/>
      <c r="N38" s="757"/>
      <c r="O38" s="758"/>
      <c r="P38" s="750"/>
    </row>
    <row r="39" spans="1:17">
      <c r="A39" s="716"/>
      <c r="B39" s="700"/>
      <c r="C39" s="688"/>
      <c r="D39" s="855"/>
      <c r="E39" s="861"/>
      <c r="F39" s="862"/>
      <c r="G39" s="708"/>
      <c r="H39" s="863"/>
      <c r="I39" s="864"/>
      <c r="J39" s="711"/>
      <c r="K39" s="722"/>
      <c r="L39" s="713"/>
      <c r="M39" s="714"/>
      <c r="N39" s="758"/>
      <c r="O39" s="758"/>
      <c r="P39" s="750"/>
    </row>
    <row r="40" spans="1:17">
      <c r="A40" s="716"/>
      <c r="B40" s="700"/>
      <c r="C40" s="688"/>
      <c r="D40" s="855"/>
      <c r="E40" s="861"/>
      <c r="F40" s="862"/>
      <c r="G40" s="708"/>
      <c r="H40" s="863"/>
      <c r="I40" s="864"/>
      <c r="J40" s="711"/>
      <c r="K40" s="722"/>
      <c r="L40" s="713"/>
      <c r="M40" s="714"/>
      <c r="O40" s="750"/>
      <c r="P40" s="750"/>
    </row>
    <row r="41" spans="1:17">
      <c r="A41" s="716"/>
      <c r="B41" s="700"/>
      <c r="C41" s="688"/>
      <c r="D41" s="855"/>
      <c r="E41" s="861"/>
      <c r="F41" s="862"/>
      <c r="G41" s="708"/>
      <c r="H41" s="863"/>
      <c r="I41" s="864"/>
      <c r="J41" s="711"/>
      <c r="K41" s="722"/>
      <c r="L41" s="713"/>
      <c r="M41" s="714"/>
      <c r="O41" s="750"/>
      <c r="P41" s="750"/>
    </row>
    <row r="42" spans="1:17">
      <c r="A42" s="716"/>
      <c r="B42" s="700"/>
      <c r="C42" s="688"/>
      <c r="D42" s="855"/>
      <c r="E42" s="861"/>
      <c r="F42" s="862"/>
      <c r="G42" s="708"/>
      <c r="H42" s="863"/>
      <c r="I42" s="864"/>
      <c r="J42" s="711"/>
      <c r="K42" s="722"/>
      <c r="L42" s="713"/>
      <c r="M42" s="714"/>
      <c r="O42" s="750"/>
      <c r="P42" s="750"/>
    </row>
    <row r="43" spans="1:17">
      <c r="A43" s="716"/>
      <c r="B43" s="700"/>
      <c r="C43" s="688"/>
      <c r="D43" s="855"/>
      <c r="E43" s="861"/>
      <c r="F43" s="862"/>
      <c r="G43" s="708"/>
      <c r="H43" s="863"/>
      <c r="I43" s="864"/>
      <c r="J43" s="711"/>
      <c r="K43" s="722"/>
      <c r="L43" s="713"/>
      <c r="M43" s="714"/>
      <c r="O43" s="750"/>
      <c r="P43" s="750"/>
    </row>
    <row r="44" spans="1:17">
      <c r="A44" s="716"/>
      <c r="B44" s="700"/>
      <c r="C44" s="688"/>
      <c r="D44" s="855"/>
      <c r="E44" s="861"/>
      <c r="F44" s="862"/>
      <c r="G44" s="708"/>
      <c r="H44" s="863"/>
      <c r="I44" s="864"/>
      <c r="J44" s="711"/>
      <c r="K44" s="722"/>
      <c r="L44" s="713"/>
      <c r="M44" s="714"/>
      <c r="O44" s="750"/>
      <c r="P44" s="750"/>
    </row>
    <row r="45" spans="1:17">
      <c r="A45" s="716"/>
      <c r="B45" s="700"/>
      <c r="C45" s="688"/>
      <c r="D45" s="855"/>
      <c r="E45" s="861"/>
      <c r="F45" s="862"/>
      <c r="G45" s="708"/>
      <c r="H45" s="863"/>
      <c r="I45" s="864"/>
      <c r="J45" s="711"/>
      <c r="K45" s="722"/>
      <c r="L45" s="713"/>
      <c r="M45" s="714"/>
      <c r="O45" s="750"/>
      <c r="P45" s="750"/>
    </row>
    <row r="46" spans="1:17">
      <c r="A46" s="716"/>
      <c r="B46" s="700"/>
      <c r="C46" s="688"/>
      <c r="D46" s="855"/>
      <c r="E46" s="861"/>
      <c r="F46" s="862"/>
      <c r="G46" s="708"/>
      <c r="H46" s="863"/>
      <c r="I46" s="864"/>
      <c r="J46" s="711"/>
      <c r="K46" s="722"/>
      <c r="L46" s="713"/>
      <c r="M46" s="714"/>
      <c r="O46" s="750"/>
      <c r="P46" s="750"/>
    </row>
    <row r="47" spans="1:17">
      <c r="A47" s="716"/>
      <c r="B47" s="700"/>
      <c r="C47" s="688"/>
      <c r="D47" s="855"/>
      <c r="E47" s="861"/>
      <c r="F47" s="862"/>
      <c r="G47" s="708"/>
      <c r="H47" s="863"/>
      <c r="I47" s="864"/>
      <c r="J47" s="711"/>
      <c r="K47" s="722"/>
      <c r="L47" s="713"/>
      <c r="M47" s="714"/>
      <c r="O47" s="750"/>
      <c r="P47" s="750"/>
    </row>
    <row r="48" spans="1:17">
      <c r="A48" s="716"/>
      <c r="B48" s="700"/>
      <c r="C48" s="688"/>
      <c r="D48" s="855"/>
      <c r="E48" s="861"/>
      <c r="F48" s="862"/>
      <c r="G48" s="708"/>
      <c r="H48" s="863"/>
      <c r="I48" s="864"/>
      <c r="J48" s="711"/>
      <c r="K48" s="722"/>
      <c r="L48" s="713"/>
      <c r="M48" s="714"/>
      <c r="O48" s="750"/>
      <c r="P48" s="750"/>
    </row>
    <row r="49" spans="1:17">
      <c r="A49" s="716"/>
      <c r="B49" s="700"/>
      <c r="C49" s="688"/>
      <c r="D49" s="855"/>
      <c r="E49" s="861"/>
      <c r="F49" s="862"/>
      <c r="G49" s="708"/>
      <c r="H49" s="863"/>
      <c r="I49" s="864"/>
      <c r="J49" s="711"/>
      <c r="K49" s="722"/>
      <c r="L49" s="713"/>
      <c r="M49" s="714"/>
      <c r="O49" s="750"/>
      <c r="P49" s="750"/>
    </row>
    <row r="50" spans="1:17">
      <c r="A50" s="716"/>
      <c r="B50" s="700"/>
      <c r="C50" s="688"/>
      <c r="D50" s="855"/>
      <c r="E50" s="861"/>
      <c r="F50" s="862"/>
      <c r="G50" s="708"/>
      <c r="H50" s="863"/>
      <c r="I50" s="864"/>
      <c r="J50" s="711"/>
      <c r="K50" s="722"/>
      <c r="L50" s="713"/>
      <c r="M50" s="714"/>
      <c r="O50" s="750"/>
      <c r="P50" s="750"/>
    </row>
    <row r="51" spans="1:17">
      <c r="A51" s="716"/>
      <c r="B51" s="700"/>
      <c r="C51" s="688"/>
      <c r="D51" s="855"/>
      <c r="E51" s="861"/>
      <c r="F51" s="862"/>
      <c r="G51" s="708"/>
      <c r="H51" s="863"/>
      <c r="I51" s="864"/>
      <c r="J51" s="711"/>
      <c r="K51" s="722"/>
      <c r="L51" s="713"/>
      <c r="M51" s="714"/>
      <c r="O51" s="750"/>
      <c r="P51" s="750"/>
    </row>
    <row r="52" spans="1:17" ht="12" thickBot="1">
      <c r="A52" s="716"/>
      <c r="B52" s="700"/>
      <c r="C52" s="688"/>
      <c r="D52" s="855"/>
      <c r="E52" s="861"/>
      <c r="F52" s="862"/>
      <c r="G52" s="708"/>
      <c r="H52" s="863"/>
      <c r="I52" s="864"/>
      <c r="J52" s="711"/>
      <c r="K52" s="722"/>
      <c r="L52" s="713"/>
      <c r="M52" s="759"/>
      <c r="O52" s="750"/>
      <c r="P52" s="750"/>
    </row>
    <row r="53" spans="1:17">
      <c r="A53" s="716"/>
      <c r="B53" s="700"/>
      <c r="C53" s="688"/>
      <c r="D53" s="855"/>
      <c r="E53" s="861"/>
      <c r="F53" s="862"/>
      <c r="G53" s="708"/>
      <c r="H53" s="863"/>
      <c r="I53" s="864"/>
      <c r="J53" s="711"/>
      <c r="K53" s="722"/>
      <c r="L53" s="760" t="s">
        <v>183</v>
      </c>
      <c r="M53" s="761">
        <f>AVERAGE(M12:M52)</f>
        <v>237.5</v>
      </c>
      <c r="O53" s="750"/>
      <c r="P53" s="750"/>
    </row>
    <row r="54" spans="1:17">
      <c r="A54" s="716"/>
      <c r="B54" s="700"/>
      <c r="C54" s="688"/>
      <c r="D54" s="855"/>
      <c r="E54" s="861"/>
      <c r="F54" s="862"/>
      <c r="G54" s="708"/>
      <c r="H54" s="863"/>
      <c r="I54" s="864"/>
      <c r="J54" s="711"/>
      <c r="K54" s="722"/>
      <c r="L54" s="586" t="s">
        <v>184</v>
      </c>
      <c r="M54" s="759">
        <f>STDEV(M12:M52)</f>
        <v>5.9160797830996161</v>
      </c>
      <c r="N54" s="762"/>
      <c r="P54" s="750"/>
    </row>
    <row r="55" spans="1:17">
      <c r="A55" s="763" t="s">
        <v>185</v>
      </c>
      <c r="B55" s="764"/>
      <c r="C55" s="765"/>
      <c r="D55" s="868"/>
      <c r="E55" s="869"/>
      <c r="F55" s="870"/>
      <c r="G55" s="770"/>
      <c r="H55" s="871"/>
      <c r="I55" s="872"/>
      <c r="J55" s="773"/>
      <c r="K55" s="774"/>
      <c r="L55" s="586" t="s">
        <v>186</v>
      </c>
      <c r="M55" s="759">
        <f>M54/SQRT(COUNT(M12:M51))</f>
        <v>1.7078251276599332</v>
      </c>
      <c r="N55" s="757"/>
      <c r="Q55" s="762"/>
    </row>
    <row r="56" spans="1:17">
      <c r="A56" s="775"/>
      <c r="B56" s="776"/>
      <c r="C56" s="777"/>
      <c r="D56" s="873"/>
      <c r="E56" s="874"/>
      <c r="F56" s="875"/>
      <c r="G56" s="876"/>
      <c r="H56" s="783"/>
      <c r="I56" s="877"/>
      <c r="J56" s="878"/>
      <c r="K56" s="786"/>
      <c r="L56" s="586" t="s">
        <v>187</v>
      </c>
      <c r="M56" s="759">
        <f>MAX(M12:M51)</f>
        <v>246</v>
      </c>
      <c r="N56" s="757"/>
      <c r="O56" s="750"/>
      <c r="P56" s="750"/>
    </row>
    <row r="57" spans="1:17" ht="12" thickBot="1">
      <c r="A57" s="787"/>
      <c r="B57" s="788"/>
      <c r="C57" s="789"/>
      <c r="D57" s="879"/>
      <c r="E57" s="880"/>
      <c r="F57" s="881"/>
      <c r="G57" s="882"/>
      <c r="H57" s="795"/>
      <c r="I57" s="883"/>
      <c r="J57" s="884"/>
      <c r="K57" s="798"/>
      <c r="L57" s="799" t="s">
        <v>188</v>
      </c>
      <c r="M57" s="800">
        <f>MIN(M12:M51)</f>
        <v>223</v>
      </c>
      <c r="N57" s="762"/>
      <c r="O57" s="750"/>
      <c r="P57" s="750"/>
    </row>
    <row r="58" spans="1:17">
      <c r="A58" s="801"/>
      <c r="B58" s="801"/>
      <c r="C58" s="802"/>
      <c r="D58" s="803"/>
      <c r="E58" s="803"/>
      <c r="F58" s="803"/>
      <c r="G58" s="804"/>
      <c r="H58" s="805"/>
      <c r="I58" s="806"/>
      <c r="J58" s="807"/>
      <c r="K58" s="808"/>
      <c r="L58" s="809"/>
      <c r="M58" s="762"/>
      <c r="O58" s="750"/>
      <c r="P58" s="750"/>
    </row>
    <row r="59" spans="1:17">
      <c r="A59" s="762"/>
      <c r="B59" s="762"/>
      <c r="C59" s="811"/>
      <c r="D59" s="811"/>
      <c r="E59" s="811"/>
      <c r="F59" s="811"/>
      <c r="G59" s="806"/>
      <c r="H59" s="805"/>
      <c r="I59" s="806"/>
      <c r="J59" s="807"/>
      <c r="K59" s="812"/>
      <c r="L59" s="809"/>
      <c r="M59" s="762"/>
      <c r="O59" s="750"/>
      <c r="P59" s="750"/>
    </row>
    <row r="60" spans="1:17">
      <c r="A60" s="813"/>
      <c r="B60" s="813"/>
      <c r="C60" s="813"/>
      <c r="D60" s="813"/>
      <c r="E60" s="807"/>
      <c r="F60" s="814"/>
      <c r="G60" s="762"/>
      <c r="H60" s="750"/>
      <c r="I60" s="762"/>
      <c r="J60" s="750"/>
      <c r="K60" s="750"/>
      <c r="L60" s="762"/>
      <c r="M60" s="762"/>
      <c r="O60" s="750"/>
      <c r="P60" s="750"/>
    </row>
    <row r="61" spans="1:17">
      <c r="A61" s="815"/>
      <c r="B61" s="815"/>
      <c r="C61" s="813"/>
      <c r="D61" s="813"/>
      <c r="E61" s="807"/>
      <c r="F61" s="814"/>
      <c r="G61" s="750"/>
      <c r="H61" s="750"/>
      <c r="I61" s="762"/>
      <c r="J61" s="750"/>
      <c r="K61" s="750"/>
      <c r="L61" s="762"/>
      <c r="M61" s="762"/>
      <c r="O61" s="750"/>
      <c r="P61" s="750"/>
    </row>
    <row r="62" spans="1:17">
      <c r="A62" s="659"/>
      <c r="B62" s="659"/>
      <c r="C62" s="813"/>
      <c r="D62" s="813"/>
      <c r="E62" s="807"/>
      <c r="F62" s="814"/>
      <c r="G62" s="750"/>
      <c r="H62" s="750"/>
      <c r="I62" s="762"/>
      <c r="J62" s="750"/>
      <c r="K62" s="750"/>
      <c r="L62" s="762"/>
      <c r="M62" s="762"/>
      <c r="O62" s="750"/>
      <c r="P62" s="750"/>
    </row>
    <row r="63" spans="1:17">
      <c r="A63" s="813"/>
      <c r="B63" s="813"/>
      <c r="C63" s="813"/>
      <c r="D63" s="813"/>
      <c r="E63" s="807"/>
      <c r="F63" s="814"/>
      <c r="G63" s="750"/>
      <c r="H63" s="750"/>
      <c r="I63" s="762"/>
      <c r="J63" s="750"/>
      <c r="K63" s="750"/>
      <c r="L63" s="762"/>
      <c r="M63" s="762"/>
      <c r="O63" s="750"/>
      <c r="P63" s="750"/>
    </row>
    <row r="64" spans="1:17">
      <c r="A64" s="813"/>
      <c r="B64" s="813"/>
      <c r="C64" s="813"/>
      <c r="D64" s="813"/>
      <c r="E64" s="807"/>
      <c r="F64" s="814"/>
      <c r="G64" s="750"/>
      <c r="H64" s="750"/>
      <c r="I64" s="762"/>
      <c r="J64" s="806"/>
      <c r="K64" s="750"/>
      <c r="L64" s="762"/>
      <c r="M64" s="762"/>
      <c r="O64" s="750"/>
      <c r="P64" s="750"/>
    </row>
    <row r="65" spans="1:16">
      <c r="A65" s="813"/>
      <c r="B65" s="813"/>
      <c r="C65" s="813"/>
      <c r="D65" s="813"/>
      <c r="E65" s="807"/>
      <c r="F65" s="814"/>
      <c r="G65" s="750"/>
      <c r="H65" s="750"/>
      <c r="I65" s="762"/>
      <c r="J65" s="806"/>
      <c r="K65" s="750"/>
      <c r="L65" s="762"/>
      <c r="M65" s="762"/>
      <c r="O65" s="750"/>
      <c r="P65" s="750"/>
    </row>
    <row r="66" spans="1:16">
      <c r="A66" s="813"/>
      <c r="B66" s="813"/>
      <c r="C66" s="813"/>
      <c r="D66" s="813"/>
      <c r="E66" s="807"/>
      <c r="F66" s="814"/>
      <c r="G66" s="750"/>
      <c r="H66" s="750"/>
      <c r="I66" s="762"/>
      <c r="J66" s="750"/>
      <c r="K66" s="750"/>
      <c r="L66" s="762"/>
      <c r="M66" s="762"/>
      <c r="O66" s="750"/>
      <c r="P66" s="750"/>
    </row>
    <row r="67" spans="1:16">
      <c r="A67" s="813"/>
      <c r="B67" s="813"/>
      <c r="C67" s="813"/>
      <c r="D67" s="813"/>
      <c r="E67" s="807"/>
      <c r="F67" s="814"/>
      <c r="G67" s="750"/>
      <c r="H67" s="750"/>
      <c r="I67" s="762"/>
      <c r="J67" s="750"/>
      <c r="K67" s="750"/>
      <c r="L67" s="762"/>
      <c r="M67" s="762"/>
      <c r="O67" s="750"/>
      <c r="P67" s="750"/>
    </row>
    <row r="68" spans="1:16">
      <c r="A68" s="813"/>
      <c r="B68" s="813"/>
      <c r="C68" s="813"/>
      <c r="D68" s="813"/>
      <c r="E68" s="807"/>
      <c r="F68" s="814"/>
      <c r="G68" s="750"/>
      <c r="H68" s="750"/>
      <c r="I68" s="762"/>
      <c r="J68" s="750"/>
      <c r="K68" s="750"/>
      <c r="L68" s="762"/>
      <c r="M68" s="762"/>
      <c r="O68" s="750"/>
      <c r="P68" s="750"/>
    </row>
    <row r="69" spans="1:16">
      <c r="A69" s="813"/>
      <c r="B69" s="813"/>
      <c r="C69" s="813"/>
      <c r="D69" s="813"/>
      <c r="E69" s="807"/>
      <c r="F69" s="814"/>
      <c r="G69" s="750"/>
      <c r="H69" s="750"/>
      <c r="I69" s="762"/>
      <c r="J69" s="750"/>
      <c r="K69" s="750"/>
      <c r="L69" s="762"/>
      <c r="M69" s="762"/>
      <c r="O69" s="750"/>
      <c r="P69" s="750"/>
    </row>
    <row r="70" spans="1:16">
      <c r="A70" s="813"/>
      <c r="B70" s="813"/>
      <c r="C70" s="813"/>
      <c r="D70" s="813"/>
      <c r="E70" s="807"/>
      <c r="F70" s="814"/>
      <c r="G70" s="750"/>
      <c r="H70" s="750"/>
      <c r="I70" s="762"/>
      <c r="J70" s="750"/>
      <c r="K70" s="750"/>
      <c r="L70" s="762"/>
      <c r="M70" s="762"/>
      <c r="O70" s="750"/>
      <c r="P70" s="750"/>
    </row>
    <row r="71" spans="1:16">
      <c r="A71" s="813"/>
      <c r="B71" s="813"/>
      <c r="C71" s="813"/>
      <c r="D71" s="813"/>
      <c r="E71" s="807"/>
      <c r="F71" s="814"/>
      <c r="G71" s="750"/>
      <c r="H71" s="750"/>
      <c r="I71" s="762"/>
      <c r="J71" s="750"/>
      <c r="K71" s="750"/>
      <c r="L71" s="762"/>
      <c r="O71" s="750"/>
      <c r="P71" s="750"/>
    </row>
    <row r="72" spans="1:16">
      <c r="A72" s="813"/>
      <c r="B72" s="813"/>
      <c r="C72" s="813"/>
      <c r="D72" s="813"/>
      <c r="E72" s="807"/>
      <c r="F72" s="814"/>
      <c r="G72" s="750"/>
      <c r="H72" s="750"/>
      <c r="I72" s="762"/>
      <c r="J72" s="750"/>
      <c r="K72" s="750"/>
      <c r="L72" s="762"/>
      <c r="O72" s="750"/>
      <c r="P72" s="750"/>
    </row>
    <row r="73" spans="1:16">
      <c r="A73" s="813"/>
      <c r="B73" s="813"/>
      <c r="C73" s="813"/>
      <c r="D73" s="813"/>
      <c r="E73" s="807"/>
      <c r="F73" s="814"/>
      <c r="G73" s="750"/>
      <c r="H73" s="750"/>
      <c r="I73" s="762"/>
      <c r="J73" s="750"/>
      <c r="K73" s="750"/>
      <c r="L73" s="750"/>
      <c r="O73" s="750"/>
      <c r="P73" s="750"/>
    </row>
    <row r="74" spans="1:16">
      <c r="A74" s="813"/>
      <c r="B74" s="813"/>
      <c r="C74" s="813"/>
      <c r="D74" s="813"/>
      <c r="E74" s="807"/>
      <c r="F74" s="814"/>
      <c r="G74" s="750"/>
      <c r="H74" s="750"/>
      <c r="I74" s="762"/>
      <c r="J74" s="750"/>
      <c r="K74" s="750"/>
      <c r="L74" s="750"/>
      <c r="O74" s="750"/>
      <c r="P74" s="750"/>
    </row>
    <row r="75" spans="1:16">
      <c r="A75" s="813"/>
      <c r="B75" s="813"/>
      <c r="C75" s="813"/>
      <c r="D75" s="813"/>
      <c r="E75" s="807"/>
      <c r="F75" s="814"/>
      <c r="G75" s="750"/>
      <c r="H75" s="750"/>
      <c r="I75" s="762"/>
      <c r="J75" s="750"/>
      <c r="K75" s="750"/>
      <c r="L75" s="750"/>
      <c r="O75" s="750"/>
      <c r="P75" s="750"/>
    </row>
    <row r="76" spans="1:16">
      <c r="A76" s="813"/>
      <c r="B76" s="813"/>
      <c r="C76" s="813"/>
      <c r="D76" s="813"/>
      <c r="E76" s="807"/>
      <c r="F76" s="814"/>
      <c r="G76" s="750"/>
      <c r="H76" s="750"/>
      <c r="I76" s="762"/>
      <c r="J76" s="750"/>
      <c r="K76" s="750"/>
      <c r="L76" s="750"/>
      <c r="O76" s="750"/>
      <c r="P76" s="750"/>
    </row>
    <row r="77" spans="1:16">
      <c r="A77" s="813"/>
      <c r="B77" s="813"/>
      <c r="C77" s="813"/>
      <c r="D77" s="813"/>
      <c r="E77" s="807"/>
      <c r="F77" s="814"/>
      <c r="G77" s="750"/>
      <c r="H77" s="750"/>
      <c r="I77" s="762"/>
      <c r="J77" s="750"/>
      <c r="K77" s="750"/>
      <c r="L77" s="750"/>
      <c r="O77" s="750"/>
      <c r="P77" s="750"/>
    </row>
    <row r="78" spans="1:16">
      <c r="A78" s="813"/>
      <c r="B78" s="813"/>
      <c r="C78" s="813"/>
      <c r="D78" s="813"/>
      <c r="E78" s="807"/>
      <c r="F78" s="814"/>
      <c r="G78" s="750"/>
      <c r="H78" s="750"/>
      <c r="I78" s="762"/>
      <c r="J78" s="750"/>
      <c r="K78" s="750"/>
      <c r="L78" s="750"/>
      <c r="O78" s="750"/>
      <c r="P78" s="750"/>
    </row>
    <row r="79" spans="1:16">
      <c r="A79" s="813"/>
      <c r="B79" s="813"/>
      <c r="C79" s="813"/>
      <c r="D79" s="813"/>
      <c r="E79" s="807"/>
      <c r="F79" s="814"/>
      <c r="G79" s="750"/>
      <c r="H79" s="750"/>
      <c r="I79" s="762"/>
      <c r="J79" s="750"/>
      <c r="K79" s="750"/>
      <c r="L79" s="750"/>
      <c r="O79" s="750"/>
      <c r="P79" s="750"/>
    </row>
    <row r="80" spans="1:16">
      <c r="A80" s="813"/>
      <c r="B80" s="813"/>
      <c r="C80" s="813"/>
      <c r="D80" s="813"/>
      <c r="E80" s="807"/>
      <c r="F80" s="814"/>
      <c r="G80" s="750"/>
      <c r="H80" s="750"/>
      <c r="I80" s="762"/>
      <c r="J80" s="750"/>
      <c r="K80" s="750"/>
      <c r="L80" s="750"/>
      <c r="O80" s="750"/>
      <c r="P80" s="750"/>
    </row>
    <row r="81" spans="1:17">
      <c r="A81" s="813"/>
      <c r="B81" s="813"/>
      <c r="C81" s="813"/>
      <c r="D81" s="813"/>
      <c r="E81" s="807"/>
      <c r="F81" s="814"/>
      <c r="G81" s="750"/>
      <c r="H81" s="750"/>
      <c r="I81" s="762"/>
      <c r="J81" s="750"/>
      <c r="K81" s="750"/>
      <c r="L81" s="750"/>
      <c r="O81" s="750"/>
      <c r="P81" s="750"/>
    </row>
    <row r="82" spans="1:17">
      <c r="A82" s="813"/>
      <c r="B82" s="813"/>
      <c r="C82" s="813"/>
      <c r="D82" s="813"/>
      <c r="E82" s="807"/>
      <c r="F82" s="814"/>
      <c r="G82" s="750"/>
      <c r="H82" s="750"/>
      <c r="I82" s="762"/>
      <c r="J82" s="750"/>
      <c r="K82" s="750"/>
      <c r="L82" s="750"/>
      <c r="O82" s="750"/>
      <c r="P82" s="750"/>
    </row>
    <row r="83" spans="1:17">
      <c r="A83" s="813"/>
      <c r="B83" s="813"/>
      <c r="C83" s="813"/>
      <c r="D83" s="813"/>
      <c r="E83" s="807"/>
      <c r="F83" s="814"/>
      <c r="G83" s="750"/>
      <c r="H83" s="750"/>
      <c r="I83" s="762"/>
      <c r="J83" s="750"/>
      <c r="K83" s="750"/>
      <c r="L83" s="750"/>
      <c r="O83" s="750"/>
      <c r="P83" s="750"/>
    </row>
    <row r="84" spans="1:17">
      <c r="A84" s="813"/>
      <c r="B84" s="813"/>
      <c r="C84" s="813"/>
      <c r="D84" s="813"/>
      <c r="E84" s="807"/>
      <c r="F84" s="814"/>
      <c r="G84" s="810"/>
      <c r="H84" s="750"/>
      <c r="I84" s="762"/>
      <c r="J84" s="750"/>
      <c r="K84" s="750"/>
      <c r="L84" s="750"/>
      <c r="O84" s="750"/>
      <c r="P84" s="750"/>
    </row>
    <row r="85" spans="1:17">
      <c r="A85" s="813"/>
      <c r="B85" s="813"/>
      <c r="C85" s="813"/>
      <c r="D85" s="813"/>
      <c r="E85" s="807"/>
      <c r="F85" s="814"/>
      <c r="G85" s="810"/>
      <c r="H85" s="750"/>
      <c r="I85" s="762"/>
      <c r="J85" s="750"/>
      <c r="K85" s="750"/>
      <c r="L85" s="750"/>
      <c r="O85" s="750"/>
      <c r="P85" s="750"/>
    </row>
    <row r="86" spans="1:17">
      <c r="A86" s="813"/>
      <c r="B86" s="813"/>
      <c r="C86" s="813"/>
      <c r="D86" s="813"/>
      <c r="E86" s="807"/>
      <c r="F86" s="814"/>
      <c r="G86" s="810"/>
      <c r="H86" s="750"/>
      <c r="I86" s="762"/>
      <c r="J86" s="750"/>
      <c r="K86" s="750"/>
      <c r="L86" s="750"/>
      <c r="O86" s="750"/>
      <c r="P86" s="750"/>
    </row>
    <row r="87" spans="1:17">
      <c r="A87" s="813"/>
      <c r="B87" s="813"/>
      <c r="C87" s="813"/>
      <c r="D87" s="813"/>
      <c r="E87" s="807"/>
      <c r="F87" s="814"/>
      <c r="G87" s="810"/>
      <c r="H87" s="750"/>
      <c r="I87" s="762"/>
      <c r="J87" s="750"/>
      <c r="K87" s="750"/>
      <c r="L87" s="750"/>
      <c r="O87" s="750"/>
      <c r="P87" s="750"/>
    </row>
    <row r="88" spans="1:17">
      <c r="A88" s="813"/>
      <c r="B88" s="813"/>
      <c r="C88" s="813"/>
      <c r="D88" s="813"/>
      <c r="E88" s="807"/>
      <c r="F88" s="814"/>
      <c r="G88" s="750"/>
      <c r="H88" s="750"/>
      <c r="I88" s="762"/>
      <c r="J88" s="750"/>
      <c r="K88" s="750"/>
      <c r="L88" s="750"/>
      <c r="O88" s="750"/>
      <c r="P88" s="750"/>
    </row>
    <row r="89" spans="1:17">
      <c r="A89" s="813"/>
      <c r="B89" s="813"/>
      <c r="C89" s="813"/>
      <c r="D89" s="813"/>
      <c r="E89" s="807"/>
      <c r="F89" s="814"/>
      <c r="G89" s="750"/>
      <c r="H89" s="750"/>
      <c r="I89" s="762"/>
      <c r="J89" s="750"/>
      <c r="K89" s="750"/>
      <c r="L89" s="750"/>
      <c r="O89" s="750"/>
      <c r="P89" s="750"/>
    </row>
    <row r="90" spans="1:17" s="813" customFormat="1">
      <c r="E90" s="807"/>
      <c r="F90" s="814"/>
      <c r="G90" s="750"/>
      <c r="H90" s="750"/>
      <c r="I90" s="762"/>
      <c r="J90" s="750"/>
      <c r="K90" s="750"/>
      <c r="L90" s="750"/>
      <c r="M90" s="750"/>
      <c r="N90" s="750"/>
      <c r="O90" s="750"/>
      <c r="P90" s="750"/>
      <c r="Q90" s="750"/>
    </row>
    <row r="91" spans="1:17" s="813" customFormat="1">
      <c r="E91" s="807"/>
      <c r="F91" s="814"/>
      <c r="G91" s="750"/>
      <c r="H91" s="750"/>
      <c r="I91" s="762"/>
      <c r="J91" s="750"/>
      <c r="K91" s="750"/>
      <c r="L91" s="750"/>
      <c r="M91" s="750"/>
      <c r="N91" s="750"/>
      <c r="O91" s="750"/>
      <c r="P91" s="750"/>
      <c r="Q91" s="750"/>
    </row>
    <row r="92" spans="1:17" s="813" customFormat="1">
      <c r="E92" s="807"/>
      <c r="F92" s="814"/>
      <c r="G92" s="750"/>
      <c r="H92" s="750"/>
      <c r="I92" s="762"/>
      <c r="J92" s="750"/>
      <c r="K92" s="750"/>
      <c r="L92" s="750"/>
      <c r="M92" s="750"/>
      <c r="N92" s="750"/>
      <c r="O92" s="750"/>
      <c r="P92" s="750"/>
      <c r="Q92" s="750"/>
    </row>
    <row r="93" spans="1:17" s="813" customFormat="1">
      <c r="E93" s="807"/>
      <c r="F93" s="814"/>
      <c r="G93" s="750"/>
      <c r="H93" s="750"/>
      <c r="I93" s="762"/>
      <c r="J93" s="750"/>
      <c r="K93" s="750"/>
      <c r="L93" s="750"/>
      <c r="M93" s="750"/>
      <c r="N93" s="750"/>
      <c r="O93" s="750"/>
      <c r="P93" s="750"/>
      <c r="Q93" s="750"/>
    </row>
    <row r="94" spans="1:17" s="813" customFormat="1">
      <c r="E94" s="807"/>
      <c r="F94" s="814"/>
      <c r="G94" s="750"/>
      <c r="H94" s="750"/>
      <c r="I94" s="762"/>
      <c r="J94" s="750"/>
      <c r="K94" s="750"/>
      <c r="L94" s="750"/>
      <c r="M94" s="750"/>
      <c r="N94" s="750"/>
      <c r="O94" s="750"/>
      <c r="P94" s="750"/>
      <c r="Q94" s="750"/>
    </row>
    <row r="95" spans="1:17" s="813" customFormat="1">
      <c r="E95" s="807"/>
      <c r="F95" s="814"/>
      <c r="G95" s="750"/>
      <c r="H95" s="750"/>
      <c r="I95" s="762"/>
      <c r="J95" s="750"/>
      <c r="K95" s="750"/>
      <c r="L95" s="750"/>
      <c r="M95" s="750"/>
    </row>
    <row r="96" spans="1:17" s="813" customFormat="1">
      <c r="E96" s="807"/>
      <c r="F96" s="814"/>
      <c r="G96" s="750"/>
      <c r="H96" s="750"/>
      <c r="I96" s="762"/>
      <c r="J96" s="750"/>
      <c r="K96" s="750"/>
      <c r="L96" s="750"/>
      <c r="M96" s="750"/>
    </row>
    <row r="97" spans="5:13" s="813" customFormat="1">
      <c r="E97" s="807"/>
      <c r="F97" s="814"/>
      <c r="G97" s="750"/>
      <c r="H97" s="750"/>
      <c r="I97" s="762"/>
      <c r="J97" s="750"/>
      <c r="K97" s="750"/>
      <c r="L97" s="750"/>
      <c r="M97" s="750"/>
    </row>
    <row r="98" spans="5:13" s="813" customFormat="1">
      <c r="E98" s="807"/>
      <c r="F98" s="814"/>
      <c r="G98" s="750"/>
      <c r="H98" s="750"/>
      <c r="I98" s="762"/>
      <c r="J98" s="750"/>
      <c r="K98" s="750"/>
      <c r="L98" s="750"/>
      <c r="M98" s="750"/>
    </row>
    <row r="99" spans="5:13" s="813" customFormat="1">
      <c r="E99" s="807"/>
      <c r="F99" s="814"/>
      <c r="G99" s="750"/>
      <c r="H99" s="750"/>
      <c r="I99" s="762"/>
      <c r="J99" s="750"/>
      <c r="K99" s="750"/>
      <c r="L99" s="750"/>
      <c r="M99" s="750"/>
    </row>
    <row r="100" spans="5:13" s="813" customFormat="1">
      <c r="E100" s="807"/>
      <c r="F100" s="814"/>
      <c r="G100" s="750"/>
      <c r="H100" s="750"/>
      <c r="I100" s="762"/>
      <c r="J100" s="750"/>
      <c r="K100" s="750"/>
      <c r="L100" s="750"/>
      <c r="M100" s="750"/>
    </row>
    <row r="101" spans="5:13" s="813" customFormat="1">
      <c r="E101" s="807"/>
      <c r="F101" s="814"/>
      <c r="G101" s="750"/>
      <c r="H101" s="750"/>
      <c r="I101" s="762"/>
      <c r="J101" s="750"/>
      <c r="K101" s="750"/>
      <c r="L101" s="750"/>
      <c r="M101" s="750"/>
    </row>
    <row r="102" spans="5:13" s="813" customFormat="1">
      <c r="E102" s="807"/>
      <c r="F102" s="814"/>
      <c r="G102" s="750"/>
      <c r="H102" s="750"/>
      <c r="I102" s="762"/>
      <c r="J102" s="750"/>
      <c r="K102" s="750"/>
      <c r="L102" s="750"/>
      <c r="M102" s="750"/>
    </row>
    <row r="103" spans="5:13" s="813" customFormat="1">
      <c r="E103" s="807"/>
      <c r="F103" s="814"/>
      <c r="G103" s="750"/>
      <c r="H103" s="750"/>
      <c r="I103" s="762"/>
      <c r="J103" s="750"/>
      <c r="K103" s="750"/>
      <c r="L103" s="750"/>
      <c r="M103" s="750"/>
    </row>
    <row r="104" spans="5:13" s="813" customFormat="1">
      <c r="E104" s="807"/>
      <c r="F104" s="814"/>
      <c r="G104" s="750"/>
      <c r="H104" s="750"/>
      <c r="I104" s="762"/>
      <c r="J104" s="750"/>
      <c r="K104" s="750"/>
      <c r="L104" s="750"/>
      <c r="M104" s="750"/>
    </row>
    <row r="105" spans="5:13" s="813" customFormat="1">
      <c r="E105" s="807"/>
      <c r="F105" s="814"/>
      <c r="G105" s="750"/>
      <c r="H105" s="750"/>
      <c r="I105" s="762"/>
      <c r="J105" s="750"/>
      <c r="K105" s="750"/>
      <c r="L105" s="750"/>
      <c r="M105" s="750"/>
    </row>
    <row r="106" spans="5:13" s="813" customFormat="1">
      <c r="E106" s="807"/>
      <c r="F106" s="814"/>
      <c r="G106" s="750"/>
      <c r="H106" s="750"/>
      <c r="I106" s="762"/>
      <c r="J106" s="750"/>
      <c r="K106" s="750"/>
      <c r="L106" s="750"/>
      <c r="M106" s="750"/>
    </row>
    <row r="107" spans="5:13" s="813" customFormat="1">
      <c r="E107" s="807"/>
      <c r="F107" s="814"/>
      <c r="G107" s="750"/>
      <c r="H107" s="750"/>
      <c r="I107" s="762"/>
      <c r="J107" s="750"/>
      <c r="K107" s="750"/>
      <c r="L107" s="750"/>
      <c r="M107" s="750"/>
    </row>
    <row r="108" spans="5:13" s="813" customFormat="1">
      <c r="E108" s="807"/>
      <c r="F108" s="814"/>
      <c r="G108" s="750"/>
      <c r="H108" s="750"/>
      <c r="I108" s="762"/>
      <c r="J108" s="750"/>
      <c r="K108" s="750"/>
      <c r="L108" s="750"/>
      <c r="M108" s="750"/>
    </row>
    <row r="109" spans="5:13" s="813" customFormat="1">
      <c r="E109" s="807"/>
      <c r="F109" s="814"/>
      <c r="G109" s="750"/>
      <c r="H109" s="750"/>
      <c r="I109" s="762"/>
      <c r="J109" s="750"/>
      <c r="K109" s="750"/>
      <c r="L109" s="750"/>
      <c r="M109" s="750"/>
    </row>
    <row r="110" spans="5:13" s="813" customFormat="1">
      <c r="E110" s="807"/>
      <c r="F110" s="814"/>
      <c r="G110" s="750"/>
      <c r="H110" s="750"/>
      <c r="I110" s="762"/>
      <c r="J110" s="750"/>
      <c r="K110" s="750"/>
      <c r="L110" s="750"/>
    </row>
    <row r="111" spans="5:13" s="813" customFormat="1">
      <c r="E111" s="807"/>
      <c r="F111" s="814"/>
      <c r="G111" s="750"/>
      <c r="H111" s="750"/>
      <c r="I111" s="762"/>
      <c r="J111" s="750"/>
      <c r="K111" s="750"/>
      <c r="L111" s="750"/>
    </row>
    <row r="112" spans="5:13" s="813" customFormat="1">
      <c r="E112" s="807"/>
      <c r="F112" s="814"/>
      <c r="G112" s="750"/>
      <c r="H112" s="750"/>
      <c r="I112" s="762"/>
      <c r="J112" s="750"/>
      <c r="K112" s="750"/>
      <c r="L112" s="750"/>
    </row>
    <row r="113" spans="5:12" s="813" customFormat="1">
      <c r="E113" s="807"/>
      <c r="F113" s="814"/>
      <c r="G113" s="750"/>
      <c r="H113" s="750"/>
      <c r="I113" s="762"/>
      <c r="J113" s="750"/>
      <c r="K113" s="750"/>
      <c r="L113" s="750"/>
    </row>
    <row r="114" spans="5:12" s="813" customFormat="1">
      <c r="E114" s="807"/>
      <c r="F114" s="814"/>
      <c r="G114" s="750"/>
      <c r="H114" s="750"/>
      <c r="I114" s="762"/>
      <c r="J114" s="750"/>
      <c r="K114" s="750"/>
      <c r="L114" s="750"/>
    </row>
    <row r="115" spans="5:12" s="813" customFormat="1">
      <c r="E115" s="807"/>
      <c r="F115" s="814"/>
      <c r="G115" s="750"/>
      <c r="H115" s="750"/>
      <c r="I115" s="762"/>
      <c r="J115" s="750"/>
      <c r="K115" s="750"/>
      <c r="L115" s="750"/>
    </row>
    <row r="116" spans="5:12" s="813" customFormat="1">
      <c r="E116" s="807"/>
      <c r="F116" s="814"/>
      <c r="G116" s="750"/>
      <c r="H116" s="750"/>
      <c r="I116" s="762"/>
      <c r="J116" s="750"/>
      <c r="K116" s="750"/>
      <c r="L116" s="750"/>
    </row>
    <row r="117" spans="5:12" s="813" customFormat="1">
      <c r="E117" s="807"/>
      <c r="F117" s="814"/>
      <c r="G117" s="750"/>
      <c r="H117" s="750"/>
      <c r="I117" s="762"/>
      <c r="J117" s="750"/>
      <c r="K117" s="750"/>
      <c r="L117" s="750"/>
    </row>
    <row r="118" spans="5:12" s="813" customFormat="1">
      <c r="E118" s="807"/>
      <c r="F118" s="814"/>
      <c r="G118" s="750"/>
      <c r="H118" s="750"/>
      <c r="I118" s="762"/>
      <c r="J118" s="750"/>
      <c r="K118" s="750"/>
      <c r="L118" s="750"/>
    </row>
    <row r="119" spans="5:12" s="813" customFormat="1">
      <c r="E119" s="807"/>
      <c r="F119" s="814"/>
      <c r="G119" s="750"/>
      <c r="H119" s="750"/>
      <c r="I119" s="762"/>
      <c r="J119" s="750"/>
      <c r="K119" s="750"/>
      <c r="L119" s="750"/>
    </row>
    <row r="120" spans="5:12" s="813" customFormat="1">
      <c r="E120" s="807"/>
      <c r="F120" s="814"/>
      <c r="G120" s="750"/>
      <c r="H120" s="750"/>
      <c r="I120" s="762"/>
      <c r="J120" s="750"/>
      <c r="K120" s="750"/>
      <c r="L120" s="750"/>
    </row>
    <row r="121" spans="5:12" s="813" customFormat="1">
      <c r="E121" s="807"/>
      <c r="F121" s="814"/>
      <c r="G121" s="750"/>
      <c r="H121" s="750"/>
      <c r="I121" s="762"/>
      <c r="J121" s="750"/>
      <c r="K121" s="750"/>
      <c r="L121" s="750"/>
    </row>
    <row r="122" spans="5:12" s="813" customFormat="1">
      <c r="E122" s="807"/>
      <c r="F122" s="814"/>
      <c r="G122" s="750"/>
      <c r="H122" s="750"/>
      <c r="I122" s="762"/>
      <c r="J122" s="750"/>
      <c r="K122" s="750"/>
      <c r="L122" s="750"/>
    </row>
    <row r="123" spans="5:12" s="813" customFormat="1">
      <c r="E123" s="807"/>
      <c r="F123" s="814"/>
      <c r="G123" s="750"/>
      <c r="H123" s="750"/>
      <c r="I123" s="762"/>
      <c r="J123" s="750"/>
      <c r="K123" s="750"/>
      <c r="L123" s="750"/>
    </row>
    <row r="124" spans="5:12" s="813" customFormat="1">
      <c r="E124" s="807"/>
      <c r="F124" s="814"/>
      <c r="G124" s="750"/>
      <c r="H124" s="750"/>
      <c r="I124" s="762"/>
      <c r="J124" s="750"/>
      <c r="K124" s="750"/>
      <c r="L124" s="750"/>
    </row>
    <row r="125" spans="5:12" s="813" customFormat="1">
      <c r="E125" s="807"/>
      <c r="F125" s="814"/>
      <c r="G125" s="750"/>
      <c r="H125" s="750"/>
      <c r="I125" s="762"/>
      <c r="J125" s="750"/>
      <c r="K125" s="750"/>
      <c r="L125" s="750"/>
    </row>
    <row r="126" spans="5:12" s="813" customFormat="1">
      <c r="E126" s="807"/>
      <c r="F126" s="814"/>
      <c r="G126" s="750"/>
      <c r="H126" s="750"/>
      <c r="I126" s="762"/>
      <c r="J126" s="750"/>
      <c r="K126" s="750"/>
      <c r="L126" s="750"/>
    </row>
    <row r="127" spans="5:12" s="813" customFormat="1">
      <c r="E127" s="807"/>
      <c r="F127" s="814"/>
      <c r="G127" s="750"/>
      <c r="H127" s="750"/>
      <c r="I127" s="762"/>
      <c r="J127" s="750"/>
      <c r="K127" s="750"/>
      <c r="L127" s="750"/>
    </row>
    <row r="128" spans="5:12" s="813" customFormat="1">
      <c r="E128" s="807"/>
      <c r="F128" s="814"/>
      <c r="G128" s="750"/>
      <c r="H128" s="750"/>
      <c r="I128" s="762"/>
      <c r="J128" s="750"/>
      <c r="K128" s="750"/>
      <c r="L128" s="750"/>
    </row>
    <row r="129" spans="5:12" s="813" customFormat="1">
      <c r="E129" s="807"/>
      <c r="F129" s="814"/>
      <c r="G129" s="750"/>
      <c r="H129" s="750"/>
      <c r="I129" s="762"/>
      <c r="J129" s="750"/>
      <c r="K129" s="750"/>
      <c r="L129" s="750"/>
    </row>
    <row r="130" spans="5:12" s="813" customFormat="1">
      <c r="E130" s="807"/>
      <c r="F130" s="814"/>
      <c r="G130" s="750"/>
      <c r="H130" s="750"/>
      <c r="I130" s="762"/>
      <c r="J130" s="750"/>
      <c r="K130" s="750"/>
      <c r="L130" s="750"/>
    </row>
    <row r="131" spans="5:12" s="813" customFormat="1">
      <c r="E131" s="807"/>
      <c r="F131" s="814"/>
      <c r="G131" s="750"/>
      <c r="H131" s="750"/>
      <c r="I131" s="762"/>
      <c r="J131" s="750"/>
      <c r="K131" s="750"/>
      <c r="L131" s="750"/>
    </row>
    <row r="132" spans="5:12" s="813" customFormat="1">
      <c r="E132" s="807"/>
      <c r="F132" s="814"/>
      <c r="G132" s="750"/>
      <c r="H132" s="750"/>
      <c r="I132" s="762"/>
      <c r="J132" s="750"/>
      <c r="K132" s="750"/>
      <c r="L132" s="750"/>
    </row>
    <row r="133" spans="5:12" s="813" customFormat="1">
      <c r="E133" s="807"/>
      <c r="F133" s="814"/>
      <c r="G133" s="750"/>
      <c r="H133" s="750"/>
      <c r="I133" s="762"/>
      <c r="J133" s="750"/>
      <c r="K133" s="750"/>
      <c r="L133" s="750"/>
    </row>
    <row r="134" spans="5:12" s="813" customFormat="1">
      <c r="E134" s="807"/>
      <c r="F134" s="814"/>
      <c r="G134" s="750"/>
      <c r="H134" s="750"/>
      <c r="I134" s="762"/>
      <c r="J134" s="750"/>
      <c r="K134" s="750"/>
      <c r="L134" s="750"/>
    </row>
    <row r="135" spans="5:12" s="813" customFormat="1">
      <c r="E135" s="807"/>
      <c r="F135" s="814"/>
      <c r="G135" s="750"/>
      <c r="H135" s="750"/>
      <c r="I135" s="762"/>
      <c r="J135" s="750"/>
      <c r="K135" s="750"/>
      <c r="L135" s="750"/>
    </row>
    <row r="136" spans="5:12" s="813" customFormat="1">
      <c r="E136" s="807"/>
      <c r="F136" s="814"/>
      <c r="G136" s="750"/>
      <c r="H136" s="750"/>
      <c r="I136" s="762"/>
      <c r="J136" s="750"/>
      <c r="K136" s="750"/>
      <c r="L136" s="750"/>
    </row>
    <row r="137" spans="5:12" s="813" customFormat="1">
      <c r="E137" s="807"/>
      <c r="F137" s="814"/>
      <c r="G137" s="750"/>
      <c r="H137" s="750"/>
      <c r="I137" s="762"/>
      <c r="J137" s="750"/>
      <c r="K137" s="750"/>
      <c r="L137" s="750"/>
    </row>
    <row r="138" spans="5:12" s="813" customFormat="1">
      <c r="E138" s="807"/>
      <c r="F138" s="814"/>
      <c r="G138" s="750"/>
      <c r="H138" s="750"/>
      <c r="I138" s="762"/>
      <c r="J138" s="750"/>
      <c r="K138" s="750"/>
      <c r="L138" s="750"/>
    </row>
    <row r="139" spans="5:12" s="813" customFormat="1">
      <c r="E139" s="807"/>
      <c r="F139" s="814"/>
      <c r="G139" s="750"/>
      <c r="H139" s="750"/>
      <c r="I139" s="762"/>
      <c r="J139" s="750"/>
      <c r="K139" s="750"/>
      <c r="L139" s="750"/>
    </row>
    <row r="140" spans="5:12" s="813" customFormat="1">
      <c r="E140" s="807"/>
      <c r="F140" s="814"/>
      <c r="G140" s="750"/>
      <c r="H140" s="750"/>
      <c r="I140" s="762"/>
      <c r="J140" s="750"/>
      <c r="K140" s="750"/>
      <c r="L140" s="750"/>
    </row>
    <row r="141" spans="5:12" s="813" customFormat="1">
      <c r="E141" s="807"/>
      <c r="F141" s="814"/>
      <c r="G141" s="750"/>
      <c r="H141" s="750"/>
      <c r="I141" s="762"/>
      <c r="J141" s="750"/>
      <c r="K141" s="750"/>
      <c r="L141" s="750"/>
    </row>
    <row r="142" spans="5:12" s="813" customFormat="1">
      <c r="E142" s="807"/>
      <c r="F142" s="814"/>
      <c r="G142" s="750"/>
      <c r="H142" s="750"/>
      <c r="I142" s="762"/>
      <c r="J142" s="750"/>
      <c r="K142" s="750"/>
      <c r="L142" s="750"/>
    </row>
    <row r="143" spans="5:12" s="813" customFormat="1">
      <c r="E143" s="807"/>
      <c r="F143" s="814"/>
      <c r="G143" s="750"/>
      <c r="H143" s="750"/>
      <c r="I143" s="762"/>
      <c r="J143" s="750"/>
      <c r="K143" s="750"/>
      <c r="L143" s="750"/>
    </row>
    <row r="144" spans="5:12" s="813" customFormat="1">
      <c r="E144" s="807"/>
      <c r="F144" s="814"/>
      <c r="G144" s="750"/>
      <c r="H144" s="750"/>
      <c r="I144" s="762"/>
      <c r="J144" s="750"/>
      <c r="K144" s="750"/>
      <c r="L144" s="750"/>
    </row>
    <row r="145" spans="1:17" s="813" customFormat="1">
      <c r="E145" s="807"/>
      <c r="F145" s="814"/>
      <c r="G145" s="750"/>
      <c r="H145" s="750"/>
      <c r="I145" s="762"/>
      <c r="J145" s="750"/>
      <c r="K145" s="750"/>
      <c r="L145" s="750"/>
    </row>
    <row r="146" spans="1:17" s="813" customFormat="1">
      <c r="E146" s="807"/>
      <c r="F146" s="814"/>
      <c r="G146" s="750"/>
      <c r="H146" s="750"/>
      <c r="I146" s="762"/>
      <c r="J146" s="750"/>
      <c r="K146" s="750"/>
      <c r="L146" s="750"/>
    </row>
    <row r="147" spans="1:17">
      <c r="A147" s="813"/>
      <c r="B147" s="813"/>
      <c r="C147" s="813"/>
      <c r="D147" s="813"/>
      <c r="E147" s="807"/>
      <c r="F147" s="814"/>
      <c r="G147" s="750"/>
      <c r="H147" s="750"/>
      <c r="I147" s="762"/>
      <c r="J147" s="750"/>
      <c r="K147" s="750"/>
      <c r="L147" s="750"/>
      <c r="M147" s="813"/>
      <c r="N147" s="813"/>
      <c r="O147" s="813"/>
      <c r="P147" s="813"/>
      <c r="Q147" s="813"/>
    </row>
    <row r="148" spans="1:17">
      <c r="A148" s="813"/>
      <c r="B148" s="813"/>
      <c r="C148" s="813"/>
      <c r="D148" s="813"/>
      <c r="E148" s="807"/>
      <c r="F148" s="814"/>
      <c r="G148" s="750"/>
      <c r="H148" s="750"/>
      <c r="I148" s="762"/>
      <c r="J148" s="750"/>
      <c r="K148" s="750"/>
      <c r="L148" s="750"/>
      <c r="M148" s="813"/>
      <c r="N148" s="813"/>
      <c r="O148" s="813"/>
      <c r="P148" s="813"/>
      <c r="Q148" s="813"/>
    </row>
    <row r="149" spans="1:17">
      <c r="A149" s="813"/>
      <c r="B149" s="813"/>
      <c r="C149" s="813"/>
      <c r="D149" s="813"/>
      <c r="E149" s="807"/>
      <c r="F149" s="814"/>
      <c r="G149" s="750"/>
      <c r="H149" s="750"/>
      <c r="I149" s="762"/>
      <c r="J149" s="750"/>
      <c r="K149" s="750"/>
      <c r="L149" s="750"/>
      <c r="M149" s="813"/>
      <c r="N149" s="813"/>
      <c r="O149" s="813"/>
      <c r="P149" s="813"/>
      <c r="Q149" s="813"/>
    </row>
    <row r="150" spans="1:17">
      <c r="A150" s="813"/>
      <c r="B150" s="813"/>
      <c r="C150" s="813"/>
      <c r="D150" s="813"/>
      <c r="E150" s="807"/>
      <c r="F150" s="814"/>
      <c r="G150" s="750"/>
      <c r="H150" s="750"/>
      <c r="I150" s="762"/>
      <c r="J150" s="750"/>
      <c r="K150" s="750"/>
      <c r="L150" s="750"/>
      <c r="M150" s="813"/>
      <c r="N150" s="813"/>
      <c r="O150" s="813"/>
      <c r="P150" s="813"/>
      <c r="Q150" s="813"/>
    </row>
    <row r="151" spans="1:17">
      <c r="A151" s="813"/>
      <c r="B151" s="813"/>
      <c r="C151" s="813"/>
      <c r="D151" s="813"/>
      <c r="E151" s="807"/>
      <c r="F151" s="814"/>
      <c r="G151" s="750"/>
      <c r="H151" s="750"/>
      <c r="I151" s="762"/>
      <c r="J151" s="750"/>
      <c r="K151" s="750"/>
      <c r="L151" s="750"/>
      <c r="M151" s="813"/>
      <c r="N151" s="813"/>
      <c r="O151" s="813"/>
      <c r="P151" s="813"/>
      <c r="Q151" s="813"/>
    </row>
    <row r="152" spans="1:17">
      <c r="A152" s="813"/>
      <c r="B152" s="813"/>
      <c r="C152" s="813"/>
      <c r="D152" s="813"/>
      <c r="E152" s="807"/>
      <c r="F152" s="814"/>
      <c r="G152" s="750"/>
      <c r="H152" s="750"/>
      <c r="I152" s="762"/>
      <c r="J152" s="750"/>
      <c r="K152" s="750"/>
      <c r="L152" s="750"/>
      <c r="M152" s="813"/>
    </row>
    <row r="153" spans="1:17">
      <c r="A153" s="813"/>
      <c r="B153" s="813"/>
      <c r="C153" s="813"/>
      <c r="D153" s="813"/>
      <c r="E153" s="807"/>
      <c r="F153" s="814"/>
      <c r="G153" s="750"/>
      <c r="H153" s="750"/>
      <c r="I153" s="762"/>
      <c r="J153" s="750"/>
      <c r="K153" s="750"/>
      <c r="L153" s="750"/>
      <c r="M153" s="813"/>
    </row>
    <row r="154" spans="1:17">
      <c r="A154" s="813"/>
      <c r="B154" s="813"/>
      <c r="C154" s="813"/>
      <c r="D154" s="813"/>
      <c r="E154" s="807"/>
      <c r="F154" s="814"/>
      <c r="G154" s="750"/>
      <c r="H154" s="750"/>
      <c r="I154" s="762"/>
      <c r="J154" s="750"/>
      <c r="K154" s="750"/>
      <c r="L154" s="750"/>
      <c r="M154" s="813"/>
    </row>
    <row r="155" spans="1:17">
      <c r="A155" s="813"/>
      <c r="B155" s="813"/>
      <c r="C155" s="813"/>
      <c r="D155" s="813"/>
      <c r="E155" s="807"/>
      <c r="F155" s="814"/>
      <c r="G155" s="750"/>
      <c r="H155" s="750"/>
      <c r="I155" s="762"/>
      <c r="J155" s="750"/>
      <c r="K155" s="750"/>
      <c r="L155" s="750"/>
      <c r="M155" s="813"/>
    </row>
    <row r="156" spans="1:17">
      <c r="J156" s="750"/>
      <c r="K156" s="750"/>
      <c r="L156" s="750"/>
      <c r="M156" s="813"/>
    </row>
    <row r="157" spans="1:17">
      <c r="J157" s="750"/>
      <c r="K157" s="750"/>
      <c r="L157" s="750"/>
      <c r="M157" s="813"/>
    </row>
    <row r="158" spans="1:17">
      <c r="J158" s="750"/>
      <c r="K158" s="750"/>
      <c r="L158" s="750"/>
      <c r="M158" s="813"/>
    </row>
    <row r="159" spans="1:17">
      <c r="J159" s="750"/>
      <c r="K159" s="750"/>
      <c r="L159" s="750"/>
      <c r="M159" s="813"/>
    </row>
    <row r="160" spans="1:17">
      <c r="J160" s="750"/>
      <c r="K160" s="750"/>
      <c r="L160" s="750"/>
      <c r="M160" s="813"/>
    </row>
    <row r="161" spans="10:13">
      <c r="J161" s="750"/>
      <c r="K161" s="750"/>
      <c r="L161" s="750"/>
      <c r="M161" s="813"/>
    </row>
    <row r="162" spans="10:13">
      <c r="K162" s="750"/>
      <c r="L162" s="750"/>
      <c r="M162" s="813"/>
    </row>
    <row r="163" spans="10:13">
      <c r="K163" s="750"/>
      <c r="L163" s="750"/>
      <c r="M163" s="813"/>
    </row>
    <row r="164" spans="10:13">
      <c r="K164" s="750"/>
      <c r="L164" s="750"/>
      <c r="M164" s="813"/>
    </row>
    <row r="165" spans="10:13">
      <c r="L165" s="750"/>
      <c r="M165" s="813"/>
    </row>
    <row r="166" spans="10:13">
      <c r="L166" s="750"/>
      <c r="M166" s="813"/>
    </row>
    <row r="167" spans="10:13">
      <c r="L167" s="750"/>
    </row>
    <row r="168" spans="10:13">
      <c r="L168" s="750"/>
    </row>
    <row r="169" spans="10:13">
      <c r="L169" s="750"/>
    </row>
  </sheetData>
  <mergeCells count="1">
    <mergeCell ref="L7:M7"/>
  </mergeCells>
  <dataValidations count="1">
    <dataValidation type="list" allowBlank="1" showInputMessage="1" showErrorMessage="1" sqref="B5" xr:uid="{88141158-6F59-4BB8-B047-4230BAE79A67}">
      <formula1>$AB$5:$AB$8</formula1>
    </dataValidation>
  </dataValidations>
  <pageMargins left="0.7" right="0.7" top="0.75" bottom="0.75" header="0.3" footer="0.3"/>
  <pageSetup orientation="portrait" verticalDpi="0"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89F24-1610-4759-BCDC-17721AC089FD}">
  <dimension ref="A1:AF215"/>
  <sheetViews>
    <sheetView zoomScaleNormal="100" workbookViewId="0">
      <selection activeCell="P95" sqref="P95"/>
    </sheetView>
  </sheetViews>
  <sheetFormatPr defaultColWidth="7.85546875" defaultRowHeight="11.25"/>
  <cols>
    <col min="1" max="1" width="15.7109375" style="750" bestFit="1" customWidth="1"/>
    <col min="2" max="2" width="9.5703125" style="750" bestFit="1" customWidth="1"/>
    <col min="3" max="3" width="5.140625" style="817" customWidth="1"/>
    <col min="4" max="4" width="8.42578125" style="817" bestFit="1" customWidth="1"/>
    <col min="5" max="6" width="8.7109375" style="817" bestFit="1" customWidth="1"/>
    <col min="7" max="7" width="14.85546875" style="813" bestFit="1" customWidth="1"/>
    <col min="8" max="8" width="10.28515625" style="816" customWidth="1"/>
    <col min="9" max="10" width="10.28515625" style="813" bestFit="1" customWidth="1"/>
    <col min="11" max="11" width="10.28515625" style="807" bestFit="1" customWidth="1"/>
    <col min="12" max="12" width="16.28515625" style="814" bestFit="1" customWidth="1"/>
    <col min="13" max="13" width="7.7109375" style="750" bestFit="1" customWidth="1"/>
    <col min="14" max="14" width="6.140625" style="750" bestFit="1" customWidth="1"/>
    <col min="15" max="15" width="9.28515625" style="762" customWidth="1"/>
    <col min="16" max="16" width="7.7109375" style="643" bestFit="1" customWidth="1"/>
    <col min="17" max="17" width="6.7109375" style="810" bestFit="1" customWidth="1"/>
    <col min="18" max="18" width="8.42578125" style="810" customWidth="1"/>
    <col min="19" max="19" width="9.42578125" style="810" customWidth="1"/>
    <col min="20" max="20" width="15.7109375" style="810" bestFit="1" customWidth="1"/>
    <col min="21" max="21" width="10.140625" style="810" bestFit="1" customWidth="1"/>
    <col min="22" max="22" width="10.42578125" style="810" bestFit="1" customWidth="1"/>
    <col min="23" max="23" width="14" style="810" bestFit="1" customWidth="1"/>
    <col min="24" max="24" width="15.7109375" style="810" bestFit="1" customWidth="1"/>
    <col min="25" max="25" width="13.7109375" style="810" bestFit="1" customWidth="1"/>
    <col min="26" max="26" width="17.28515625" style="750" bestFit="1" customWidth="1"/>
    <col min="27" max="27" width="21.140625" style="750" bestFit="1" customWidth="1"/>
    <col min="28" max="28" width="11.28515625" style="750" customWidth="1"/>
    <col min="29" max="33" width="5.28515625" style="750" customWidth="1"/>
    <col min="34" max="34" width="17" style="750" customWidth="1"/>
    <col min="35" max="16384" width="7.85546875" style="750"/>
  </cols>
  <sheetData>
    <row r="1" spans="1:30" s="585" customFormat="1" ht="12.75">
      <c r="A1" s="577" t="s">
        <v>133</v>
      </c>
      <c r="B1" s="578" t="s">
        <v>189</v>
      </c>
      <c r="C1" s="579"/>
      <c r="D1" s="578"/>
      <c r="E1" s="580"/>
      <c r="F1" s="580"/>
      <c r="G1" s="581"/>
      <c r="H1" s="582" t="s">
        <v>134</v>
      </c>
      <c r="I1" s="583">
        <f>C94</f>
        <v>2485</v>
      </c>
      <c r="J1" s="584"/>
      <c r="K1" s="578"/>
      <c r="L1" s="578"/>
      <c r="N1" s="586"/>
      <c r="P1" s="587"/>
      <c r="Q1" s="587"/>
      <c r="R1" s="587"/>
      <c r="S1" s="587"/>
      <c r="T1" s="587"/>
      <c r="U1" s="587"/>
      <c r="V1" s="587"/>
      <c r="W1" s="587"/>
      <c r="X1" s="587"/>
      <c r="Y1" s="587"/>
    </row>
    <row r="2" spans="1:30" s="585" customFormat="1" ht="12.75">
      <c r="A2" s="588" t="s">
        <v>135</v>
      </c>
      <c r="B2" s="578" t="s">
        <v>63</v>
      </c>
      <c r="C2" s="589"/>
      <c r="D2" s="578"/>
      <c r="E2" s="590"/>
      <c r="F2" s="590"/>
      <c r="G2" s="591"/>
      <c r="H2" s="592" t="s">
        <v>136</v>
      </c>
      <c r="I2" s="593">
        <f>AB13</f>
        <v>542</v>
      </c>
      <c r="J2" s="594"/>
      <c r="K2" s="578"/>
      <c r="L2" s="578"/>
      <c r="N2" s="595"/>
      <c r="P2" s="587"/>
      <c r="Q2" s="587"/>
      <c r="R2" s="587"/>
      <c r="S2" s="587"/>
      <c r="T2" s="587"/>
      <c r="U2" s="587"/>
      <c r="V2" s="587"/>
      <c r="W2" s="587"/>
      <c r="X2" s="587"/>
      <c r="Y2" s="587"/>
    </row>
    <row r="3" spans="1:30" s="599" customFormat="1" ht="11.25" customHeight="1">
      <c r="A3" s="596" t="s">
        <v>137</v>
      </c>
      <c r="B3" s="818">
        <v>45052</v>
      </c>
      <c r="C3" s="589"/>
      <c r="D3" s="590"/>
      <c r="E3" s="590"/>
      <c r="F3" s="590"/>
      <c r="G3" s="591"/>
      <c r="H3" s="596" t="s">
        <v>138</v>
      </c>
      <c r="I3" s="598">
        <f>AB53/100</f>
        <v>5.42</v>
      </c>
      <c r="J3" s="594"/>
      <c r="K3" s="578"/>
      <c r="L3" s="578"/>
      <c r="N3" s="600"/>
      <c r="P3" s="601"/>
      <c r="Q3" s="601"/>
      <c r="R3" s="601"/>
      <c r="S3" s="601"/>
      <c r="T3" s="601"/>
      <c r="U3" s="601"/>
      <c r="V3" s="601"/>
      <c r="W3" s="601"/>
      <c r="X3" s="601"/>
      <c r="Y3" s="601"/>
    </row>
    <row r="4" spans="1:30" s="585" customFormat="1" ht="12.75">
      <c r="A4" s="596" t="s">
        <v>139</v>
      </c>
      <c r="B4" s="597" t="s">
        <v>195</v>
      </c>
      <c r="C4" s="589"/>
      <c r="D4" s="590"/>
      <c r="E4" s="590"/>
      <c r="F4" s="590"/>
      <c r="G4" s="591"/>
      <c r="H4" s="596" t="s">
        <v>140</v>
      </c>
      <c r="I4" s="602">
        <f>S33</f>
        <v>0.42273456954965999</v>
      </c>
      <c r="J4" s="594"/>
      <c r="K4" s="578"/>
      <c r="L4" s="578"/>
      <c r="M4" s="586"/>
      <c r="N4" s="586"/>
      <c r="P4" s="587"/>
      <c r="Q4" s="587"/>
      <c r="R4" s="587"/>
      <c r="S4" s="587"/>
      <c r="T4" s="587"/>
      <c r="U4" s="587"/>
      <c r="V4" s="587"/>
      <c r="W4" s="587"/>
      <c r="X4" s="587"/>
      <c r="Y4" s="587"/>
    </row>
    <row r="5" spans="1:30" s="606" customFormat="1" ht="12.75">
      <c r="A5" s="588" t="s">
        <v>141</v>
      </c>
      <c r="B5" s="603" t="s">
        <v>142</v>
      </c>
      <c r="C5" s="589"/>
      <c r="D5" s="590"/>
      <c r="E5" s="590"/>
      <c r="F5" s="590"/>
      <c r="G5" s="591"/>
      <c r="H5" s="596"/>
      <c r="I5" s="604"/>
      <c r="J5" s="594"/>
      <c r="K5" s="578"/>
      <c r="L5" s="578"/>
      <c r="M5" s="605"/>
      <c r="N5" s="605"/>
      <c r="P5" s="607"/>
      <c r="Q5" s="607"/>
      <c r="R5" s="607"/>
      <c r="S5" s="607"/>
      <c r="T5" s="607"/>
      <c r="U5" s="607"/>
      <c r="V5" s="607"/>
      <c r="W5" s="607"/>
      <c r="X5" s="607"/>
      <c r="Y5" s="607"/>
    </row>
    <row r="6" spans="1:30" s="605" customFormat="1" ht="13.5" thickBot="1">
      <c r="A6" s="608"/>
      <c r="B6" s="609"/>
      <c r="C6" s="610"/>
      <c r="D6" s="611"/>
      <c r="E6" s="611"/>
      <c r="F6" s="611"/>
      <c r="G6" s="612"/>
      <c r="H6" s="613"/>
      <c r="I6" s="614"/>
      <c r="J6" s="612"/>
      <c r="K6" s="609"/>
      <c r="L6" s="609"/>
      <c r="M6" s="615"/>
      <c r="P6" s="616"/>
      <c r="Q6" s="616"/>
      <c r="R6" s="616"/>
      <c r="S6" s="616"/>
      <c r="T6" s="616"/>
      <c r="U6" s="616"/>
      <c r="V6" s="616"/>
      <c r="W6" s="616"/>
      <c r="X6" s="616"/>
      <c r="Y6" s="616"/>
    </row>
    <row r="7" spans="1:30" s="606" customFormat="1" ht="13.15" customHeight="1">
      <c r="A7" s="962" t="s">
        <v>143</v>
      </c>
      <c r="B7" s="963"/>
      <c r="C7" s="963"/>
      <c r="D7" s="963"/>
      <c r="E7" s="963"/>
      <c r="F7" s="963"/>
      <c r="G7" s="963"/>
      <c r="H7" s="963"/>
      <c r="I7" s="963"/>
      <c r="J7" s="963"/>
      <c r="K7" s="963"/>
      <c r="L7" s="964"/>
      <c r="M7" s="617"/>
      <c r="N7" s="886" t="s">
        <v>144</v>
      </c>
      <c r="O7" s="887"/>
      <c r="P7" s="849" t="s">
        <v>145</v>
      </c>
      <c r="Q7" s="619"/>
      <c r="R7" s="952" t="s">
        <v>146</v>
      </c>
      <c r="S7" s="965"/>
      <c r="T7" s="952" t="s">
        <v>237</v>
      </c>
      <c r="U7" s="965"/>
      <c r="V7" s="965"/>
      <c r="W7" s="965"/>
      <c r="X7" s="952" t="s">
        <v>238</v>
      </c>
      <c r="Y7" s="953"/>
      <c r="Z7" s="888"/>
      <c r="AA7" s="954" t="s">
        <v>147</v>
      </c>
      <c r="AB7" s="955"/>
      <c r="AC7" s="605"/>
      <c r="AD7" s="605"/>
    </row>
    <row r="8" spans="1:30" s="637" customFormat="1" ht="11.25" customHeight="1">
      <c r="A8" s="621"/>
      <c r="B8" s="615"/>
      <c r="C8" s="622"/>
      <c r="D8" s="624"/>
      <c r="E8" s="624"/>
      <c r="F8" s="624"/>
      <c r="G8" s="626"/>
      <c r="H8" s="627"/>
      <c r="I8" s="627"/>
      <c r="J8" s="627"/>
      <c r="K8" s="627"/>
      <c r="L8" s="889"/>
      <c r="M8" s="627"/>
      <c r="N8" s="630"/>
      <c r="O8" s="622"/>
      <c r="P8" s="890"/>
      <c r="Q8" s="633"/>
      <c r="R8" s="632"/>
      <c r="S8" s="632"/>
      <c r="T8" s="890"/>
      <c r="U8" s="632"/>
      <c r="V8" s="632"/>
      <c r="W8" s="632"/>
      <c r="X8" s="890"/>
      <c r="Y8" s="633"/>
      <c r="Z8" s="891"/>
      <c r="AA8" s="635"/>
      <c r="AB8" s="635"/>
      <c r="AC8" s="636"/>
    </row>
    <row r="9" spans="1:30" s="648" customFormat="1">
      <c r="A9" s="638"/>
      <c r="B9" s="605"/>
      <c r="C9" s="639"/>
      <c r="D9" s="956" t="s">
        <v>148</v>
      </c>
      <c r="E9" s="957"/>
      <c r="F9" s="958"/>
      <c r="G9" s="640"/>
      <c r="H9" s="959" t="s">
        <v>149</v>
      </c>
      <c r="I9" s="960"/>
      <c r="J9" s="960"/>
      <c r="K9" s="961"/>
      <c r="L9" s="641"/>
      <c r="M9" s="642"/>
      <c r="N9" s="630" t="s">
        <v>150</v>
      </c>
      <c r="O9" s="631"/>
      <c r="P9" s="632"/>
      <c r="Q9" s="633"/>
      <c r="R9" s="643"/>
      <c r="S9" s="643"/>
      <c r="T9" s="892"/>
      <c r="U9" s="643"/>
      <c r="V9" s="643"/>
      <c r="W9" s="643"/>
      <c r="X9" s="892"/>
      <c r="Y9" s="893"/>
      <c r="Z9" s="891"/>
      <c r="AA9" s="644"/>
      <c r="AB9" s="645"/>
      <c r="AC9" s="646"/>
      <c r="AD9" s="647"/>
    </row>
    <row r="10" spans="1:30" s="648" customFormat="1">
      <c r="A10" s="649" t="s">
        <v>151</v>
      </c>
      <c r="B10" s="650" t="s">
        <v>51</v>
      </c>
      <c r="C10" s="651" t="s">
        <v>152</v>
      </c>
      <c r="D10" s="652" t="s">
        <v>153</v>
      </c>
      <c r="E10" s="653" t="s">
        <v>154</v>
      </c>
      <c r="F10" s="654" t="s">
        <v>155</v>
      </c>
      <c r="G10" s="640" t="s">
        <v>156</v>
      </c>
      <c r="H10" s="655" t="s">
        <v>157</v>
      </c>
      <c r="I10" s="655" t="s">
        <v>158</v>
      </c>
      <c r="J10" s="655" t="s">
        <v>159</v>
      </c>
      <c r="K10" s="655" t="s">
        <v>160</v>
      </c>
      <c r="L10" s="641" t="s">
        <v>161</v>
      </c>
      <c r="M10" s="656" t="s">
        <v>162</v>
      </c>
      <c r="N10" s="657" t="s">
        <v>163</v>
      </c>
      <c r="O10" s="658" t="s">
        <v>164</v>
      </c>
      <c r="P10" s="659" t="s">
        <v>165</v>
      </c>
      <c r="Q10" s="633" t="s">
        <v>166</v>
      </c>
      <c r="R10" s="659" t="s">
        <v>166</v>
      </c>
      <c r="S10" s="659" t="s">
        <v>165</v>
      </c>
      <c r="T10" s="890" t="s">
        <v>239</v>
      </c>
      <c r="U10" s="632" t="s">
        <v>240</v>
      </c>
      <c r="V10" s="632" t="s">
        <v>241</v>
      </c>
      <c r="W10" s="632" t="s">
        <v>242</v>
      </c>
      <c r="X10" s="890" t="s">
        <v>239</v>
      </c>
      <c r="Y10" s="633" t="s">
        <v>243</v>
      </c>
      <c r="Z10" s="660" t="s">
        <v>167</v>
      </c>
      <c r="AA10" s="644" t="s">
        <v>168</v>
      </c>
      <c r="AB10" s="644" t="s">
        <v>169</v>
      </c>
      <c r="AC10" s="661"/>
    </row>
    <row r="11" spans="1:30" s="648" customFormat="1" ht="12" thickBot="1">
      <c r="A11" s="894" t="s">
        <v>170</v>
      </c>
      <c r="B11" s="895" t="s">
        <v>170</v>
      </c>
      <c r="C11" s="896" t="s">
        <v>171</v>
      </c>
      <c r="D11" s="665" t="s">
        <v>172</v>
      </c>
      <c r="E11" s="666" t="s">
        <v>172</v>
      </c>
      <c r="F11" s="667" t="s">
        <v>172</v>
      </c>
      <c r="G11" s="668" t="s">
        <v>172</v>
      </c>
      <c r="H11" s="669" t="s">
        <v>172</v>
      </c>
      <c r="I11" s="669" t="s">
        <v>172</v>
      </c>
      <c r="J11" s="669" t="s">
        <v>172</v>
      </c>
      <c r="K11" s="669" t="s">
        <v>172</v>
      </c>
      <c r="L11" s="897" t="s">
        <v>172</v>
      </c>
      <c r="M11" s="898" t="s">
        <v>244</v>
      </c>
      <c r="N11" s="672" t="s">
        <v>172</v>
      </c>
      <c r="O11" s="664" t="s">
        <v>172</v>
      </c>
      <c r="P11" s="899" t="s">
        <v>176</v>
      </c>
      <c r="Q11" s="675" t="s">
        <v>36</v>
      </c>
      <c r="R11" s="676" t="s">
        <v>36</v>
      </c>
      <c r="S11" s="676" t="s">
        <v>176</v>
      </c>
      <c r="T11" s="899" t="s">
        <v>172</v>
      </c>
      <c r="U11" s="676" t="s">
        <v>172</v>
      </c>
      <c r="V11" s="676" t="s">
        <v>245</v>
      </c>
      <c r="W11" s="676" t="s">
        <v>246</v>
      </c>
      <c r="X11" s="899" t="s">
        <v>172</v>
      </c>
      <c r="Y11" s="675" t="s">
        <v>172</v>
      </c>
      <c r="Z11" s="900"/>
      <c r="AA11" s="678"/>
      <c r="AB11" s="679" t="s">
        <v>172</v>
      </c>
      <c r="AC11" s="661"/>
    </row>
    <row r="12" spans="1:30" s="648" customFormat="1">
      <c r="A12" s="680" t="s">
        <v>177</v>
      </c>
      <c r="B12" s="681"/>
      <c r="C12" s="682">
        <v>0</v>
      </c>
      <c r="D12" s="683" t="s">
        <v>178</v>
      </c>
      <c r="E12" s="684" t="s">
        <v>178</v>
      </c>
      <c r="F12" s="685" t="s">
        <v>178</v>
      </c>
      <c r="G12" s="686" t="s">
        <v>178</v>
      </c>
      <c r="H12" s="684" t="s">
        <v>178</v>
      </c>
      <c r="I12" s="684" t="s">
        <v>178</v>
      </c>
      <c r="J12" s="684" t="s">
        <v>178</v>
      </c>
      <c r="K12" s="684" t="s">
        <v>178</v>
      </c>
      <c r="L12" s="687" t="s">
        <v>178</v>
      </c>
      <c r="M12" s="682"/>
      <c r="N12" s="901"/>
      <c r="O12" s="902"/>
      <c r="P12" s="691"/>
      <c r="Q12" s="692"/>
      <c r="R12" s="693"/>
      <c r="S12" s="694"/>
      <c r="T12" s="903"/>
      <c r="U12" s="694"/>
      <c r="V12" s="694"/>
      <c r="W12" s="694"/>
      <c r="X12" s="904"/>
      <c r="Y12" s="904"/>
      <c r="Z12" s="695"/>
      <c r="AA12" s="696" t="s">
        <v>179</v>
      </c>
      <c r="AB12" s="697"/>
      <c r="AC12" s="698"/>
    </row>
    <row r="13" spans="1:30" s="648" customFormat="1">
      <c r="A13" s="699">
        <v>170</v>
      </c>
      <c r="B13" s="700">
        <v>0</v>
      </c>
      <c r="C13" s="688">
        <v>10</v>
      </c>
      <c r="D13" s="701" t="s">
        <v>178</v>
      </c>
      <c r="E13" s="702" t="s">
        <v>178</v>
      </c>
      <c r="F13" s="703" t="s">
        <v>178</v>
      </c>
      <c r="G13" s="704" t="s">
        <v>178</v>
      </c>
      <c r="H13" s="702" t="s">
        <v>178</v>
      </c>
      <c r="I13" s="702" t="s">
        <v>178</v>
      </c>
      <c r="J13" s="702" t="s">
        <v>178</v>
      </c>
      <c r="K13" s="702" t="s">
        <v>178</v>
      </c>
      <c r="L13" s="705" t="s">
        <v>178</v>
      </c>
      <c r="M13" s="688">
        <v>966</v>
      </c>
      <c r="N13" s="706">
        <f>C12</f>
        <v>0</v>
      </c>
      <c r="O13" s="707">
        <f t="shared" ref="O13:O20" si="0">(C13+C14-10)/2</f>
        <v>10</v>
      </c>
      <c r="P13" s="708">
        <f>(A13-B13)/M13</f>
        <v>0.17598343685300208</v>
      </c>
      <c r="Q13" s="709">
        <f>(P13*(O13-N13))/100</f>
        <v>1.7598343685300208E-2</v>
      </c>
      <c r="R13" s="710">
        <f>SUM(Q$13:Q13)</f>
        <v>1.7598343685300208E-2</v>
      </c>
      <c r="S13" s="711">
        <f>R13/O13*100</f>
        <v>0.17598343685300208</v>
      </c>
      <c r="T13" s="905"/>
      <c r="U13" s="711"/>
      <c r="V13" s="711">
        <f>U13*98.5</f>
        <v>0</v>
      </c>
      <c r="W13" s="711">
        <f>(A14-(V13/0.9))/M13</f>
        <v>0.23809523809523808</v>
      </c>
      <c r="X13" s="711"/>
      <c r="Y13" s="711"/>
      <c r="Z13" s="712"/>
      <c r="AA13" s="713" t="s">
        <v>256</v>
      </c>
      <c r="AB13" s="714">
        <v>542</v>
      </c>
      <c r="AC13" s="661"/>
    </row>
    <row r="14" spans="1:30" s="648" customFormat="1">
      <c r="A14" s="699">
        <v>230</v>
      </c>
      <c r="B14" s="700">
        <v>0</v>
      </c>
      <c r="C14" s="688">
        <v>20</v>
      </c>
      <c r="D14" s="701" t="s">
        <v>178</v>
      </c>
      <c r="E14" s="702" t="s">
        <v>178</v>
      </c>
      <c r="F14" s="703" t="s">
        <v>178</v>
      </c>
      <c r="G14" s="704" t="s">
        <v>178</v>
      </c>
      <c r="H14" s="702" t="s">
        <v>178</v>
      </c>
      <c r="I14" s="702" t="s">
        <v>178</v>
      </c>
      <c r="J14" s="702" t="s">
        <v>178</v>
      </c>
      <c r="K14" s="702" t="s">
        <v>178</v>
      </c>
      <c r="L14" s="705" t="s">
        <v>178</v>
      </c>
      <c r="M14" s="688">
        <v>966</v>
      </c>
      <c r="N14" s="706">
        <f t="shared" ref="N14:N21" si="1">(C13+C14-10)/2</f>
        <v>10</v>
      </c>
      <c r="O14" s="707">
        <f t="shared" si="0"/>
        <v>20</v>
      </c>
      <c r="P14" s="708">
        <f t="shared" ref="P14:P21" si="2">(A14-B14)/M14</f>
        <v>0.23809523809523808</v>
      </c>
      <c r="Q14" s="709">
        <f>(P14*(O14-N14))/100</f>
        <v>2.3809523809523808E-2</v>
      </c>
      <c r="R14" s="710">
        <f>SUM(Q$13:Q14)</f>
        <v>4.1407867494824016E-2</v>
      </c>
      <c r="S14" s="711">
        <f t="shared" ref="S14:S21" si="3">R14/O14*100</f>
        <v>0.20703933747412009</v>
      </c>
      <c r="T14" s="905"/>
      <c r="U14" s="711"/>
      <c r="V14" s="711">
        <f t="shared" ref="V14:V21" si="4">U14*98.5</f>
        <v>0</v>
      </c>
      <c r="W14" s="711">
        <f t="shared" ref="W14:W97" si="5">(A15-(V14/0.9))/M14</f>
        <v>0.23291925465838509</v>
      </c>
      <c r="X14" s="711"/>
      <c r="Y14" s="711"/>
      <c r="Z14" s="712"/>
      <c r="AA14" s="713" t="s">
        <v>180</v>
      </c>
      <c r="AB14" s="714"/>
      <c r="AC14" s="661"/>
    </row>
    <row r="15" spans="1:30" s="648" customFormat="1">
      <c r="A15" s="699">
        <v>225</v>
      </c>
      <c r="B15" s="700">
        <v>0</v>
      </c>
      <c r="C15" s="688">
        <v>30</v>
      </c>
      <c r="D15" s="701" t="s">
        <v>178</v>
      </c>
      <c r="E15" s="702" t="s">
        <v>178</v>
      </c>
      <c r="F15" s="703" t="s">
        <v>178</v>
      </c>
      <c r="G15" s="704" t="s">
        <v>178</v>
      </c>
      <c r="H15" s="702" t="s">
        <v>178</v>
      </c>
      <c r="I15" s="702" t="s">
        <v>178</v>
      </c>
      <c r="J15" s="702" t="s">
        <v>178</v>
      </c>
      <c r="K15" s="702" t="s">
        <v>178</v>
      </c>
      <c r="L15" s="705" t="s">
        <v>178</v>
      </c>
      <c r="M15" s="688">
        <v>966</v>
      </c>
      <c r="N15" s="706">
        <f t="shared" si="1"/>
        <v>20</v>
      </c>
      <c r="O15" s="707">
        <f t="shared" si="0"/>
        <v>30</v>
      </c>
      <c r="P15" s="708">
        <f t="shared" si="2"/>
        <v>0.23291925465838509</v>
      </c>
      <c r="Q15" s="709">
        <f t="shared" ref="Q15:Q18" si="6">(P15*(O15-N15))/100</f>
        <v>2.3291925465838512E-2</v>
      </c>
      <c r="R15" s="710">
        <f>SUM(Q$13:Q15)</f>
        <v>6.4699792960662528E-2</v>
      </c>
      <c r="S15" s="711">
        <f t="shared" si="3"/>
        <v>0.21566597653554176</v>
      </c>
      <c r="T15" s="905"/>
      <c r="U15" s="711"/>
      <c r="V15" s="711">
        <f t="shared" si="4"/>
        <v>0</v>
      </c>
      <c r="W15" s="711">
        <f t="shared" si="5"/>
        <v>0.2432712215320911</v>
      </c>
      <c r="X15" s="711"/>
      <c r="Y15" s="711"/>
      <c r="Z15" s="712"/>
      <c r="AA15" s="713" t="s">
        <v>180</v>
      </c>
      <c r="AB15" s="715"/>
      <c r="AC15" s="661"/>
    </row>
    <row r="16" spans="1:30" s="648" customFormat="1">
      <c r="A16" s="716">
        <v>235</v>
      </c>
      <c r="B16" s="700">
        <v>0</v>
      </c>
      <c r="C16" s="688">
        <v>40</v>
      </c>
      <c r="D16" s="701" t="s">
        <v>178</v>
      </c>
      <c r="E16" s="702" t="s">
        <v>178</v>
      </c>
      <c r="F16" s="703" t="s">
        <v>178</v>
      </c>
      <c r="G16" s="704" t="s">
        <v>178</v>
      </c>
      <c r="H16" s="702" t="s">
        <v>178</v>
      </c>
      <c r="I16" s="702" t="s">
        <v>178</v>
      </c>
      <c r="J16" s="702" t="s">
        <v>178</v>
      </c>
      <c r="K16" s="702" t="s">
        <v>178</v>
      </c>
      <c r="L16" s="705" t="s">
        <v>178</v>
      </c>
      <c r="M16" s="688">
        <v>966</v>
      </c>
      <c r="N16" s="706">
        <f t="shared" si="1"/>
        <v>30</v>
      </c>
      <c r="O16" s="707">
        <f t="shared" si="0"/>
        <v>40</v>
      </c>
      <c r="P16" s="708">
        <f t="shared" si="2"/>
        <v>0.2432712215320911</v>
      </c>
      <c r="Q16" s="709">
        <f t="shared" si="6"/>
        <v>2.4327122153209108E-2</v>
      </c>
      <c r="R16" s="710">
        <f>SUM(Q$13:Q16)</f>
        <v>8.9026915113871632E-2</v>
      </c>
      <c r="S16" s="711">
        <f t="shared" si="3"/>
        <v>0.22256728778467907</v>
      </c>
      <c r="T16" s="905"/>
      <c r="U16" s="711"/>
      <c r="V16" s="711">
        <f t="shared" si="4"/>
        <v>0</v>
      </c>
      <c r="W16" s="711">
        <f t="shared" si="5"/>
        <v>0.2639751552795031</v>
      </c>
      <c r="X16" s="711"/>
      <c r="Y16" s="711"/>
      <c r="Z16" s="712"/>
      <c r="AA16" s="713" t="s">
        <v>180</v>
      </c>
      <c r="AB16" s="714"/>
      <c r="AC16" s="661"/>
    </row>
    <row r="17" spans="1:31" s="648" customFormat="1">
      <c r="A17" s="716">
        <v>255</v>
      </c>
      <c r="B17" s="700">
        <v>0</v>
      </c>
      <c r="C17" s="688">
        <v>50</v>
      </c>
      <c r="D17" s="701" t="s">
        <v>178</v>
      </c>
      <c r="E17" s="702" t="s">
        <v>178</v>
      </c>
      <c r="F17" s="703" t="s">
        <v>178</v>
      </c>
      <c r="G17" s="704" t="s">
        <v>178</v>
      </c>
      <c r="H17" s="702" t="s">
        <v>178</v>
      </c>
      <c r="I17" s="702" t="s">
        <v>178</v>
      </c>
      <c r="J17" s="702" t="s">
        <v>178</v>
      </c>
      <c r="K17" s="702" t="s">
        <v>178</v>
      </c>
      <c r="L17" s="705" t="s">
        <v>178</v>
      </c>
      <c r="M17" s="688">
        <v>966</v>
      </c>
      <c r="N17" s="706">
        <f t="shared" si="1"/>
        <v>40</v>
      </c>
      <c r="O17" s="707">
        <f t="shared" si="0"/>
        <v>50</v>
      </c>
      <c r="P17" s="708">
        <f t="shared" si="2"/>
        <v>0.2639751552795031</v>
      </c>
      <c r="Q17" s="709">
        <f>(P17*(O17-N17))/100</f>
        <v>2.6397515527950312E-2</v>
      </c>
      <c r="R17" s="710">
        <f>SUM(Q$13:Q17)</f>
        <v>0.11542443064182195</v>
      </c>
      <c r="S17" s="711">
        <f t="shared" si="3"/>
        <v>0.23084886128364393</v>
      </c>
      <c r="T17" s="905"/>
      <c r="U17" s="711"/>
      <c r="V17" s="711">
        <f t="shared" si="4"/>
        <v>0</v>
      </c>
      <c r="W17" s="711">
        <f t="shared" si="5"/>
        <v>0.2691511387163561</v>
      </c>
      <c r="X17" s="711"/>
      <c r="Y17" s="711"/>
      <c r="Z17" s="712" t="s">
        <v>181</v>
      </c>
      <c r="AA17" s="713" t="s">
        <v>180</v>
      </c>
      <c r="AB17" s="714"/>
      <c r="AC17" s="646"/>
    </row>
    <row r="18" spans="1:31" s="648" customFormat="1">
      <c r="A18" s="716">
        <v>260</v>
      </c>
      <c r="B18" s="700">
        <v>0</v>
      </c>
      <c r="C18" s="688">
        <v>60</v>
      </c>
      <c r="D18" s="701" t="s">
        <v>178</v>
      </c>
      <c r="E18" s="702" t="s">
        <v>178</v>
      </c>
      <c r="F18" s="703" t="s">
        <v>178</v>
      </c>
      <c r="G18" s="704" t="s">
        <v>178</v>
      </c>
      <c r="H18" s="702" t="s">
        <v>178</v>
      </c>
      <c r="I18" s="702" t="s">
        <v>178</v>
      </c>
      <c r="J18" s="702" t="s">
        <v>178</v>
      </c>
      <c r="K18" s="702" t="s">
        <v>178</v>
      </c>
      <c r="L18" s="705" t="s">
        <v>178</v>
      </c>
      <c r="M18" s="688">
        <v>966</v>
      </c>
      <c r="N18" s="706">
        <f t="shared" si="1"/>
        <v>50</v>
      </c>
      <c r="O18" s="707">
        <f t="shared" si="0"/>
        <v>60</v>
      </c>
      <c r="P18" s="708">
        <f t="shared" si="2"/>
        <v>0.2691511387163561</v>
      </c>
      <c r="Q18" s="709">
        <f t="shared" si="6"/>
        <v>2.6915113871635608E-2</v>
      </c>
      <c r="R18" s="710">
        <f>SUM(Q$13:Q18)</f>
        <v>0.14233954451345757</v>
      </c>
      <c r="S18" s="711">
        <f t="shared" si="3"/>
        <v>0.23723257418909593</v>
      </c>
      <c r="T18" s="905"/>
      <c r="U18" s="711"/>
      <c r="V18" s="711">
        <f t="shared" si="4"/>
        <v>0</v>
      </c>
      <c r="W18" s="711">
        <f t="shared" si="5"/>
        <v>0.3105590062111801</v>
      </c>
      <c r="X18" s="711"/>
      <c r="Y18" s="711"/>
      <c r="Z18" s="717"/>
      <c r="AA18" s="713" t="s">
        <v>180</v>
      </c>
      <c r="AB18" s="714"/>
      <c r="AC18" s="646"/>
    </row>
    <row r="19" spans="1:31" s="648" customFormat="1" ht="10.15" customHeight="1">
      <c r="A19" s="716">
        <v>300</v>
      </c>
      <c r="B19" s="700">
        <v>0</v>
      </c>
      <c r="C19" s="688">
        <v>70</v>
      </c>
      <c r="D19" s="701" t="s">
        <v>178</v>
      </c>
      <c r="E19" s="702" t="s">
        <v>178</v>
      </c>
      <c r="F19" s="703" t="s">
        <v>178</v>
      </c>
      <c r="G19" s="704" t="s">
        <v>178</v>
      </c>
      <c r="H19" s="702" t="s">
        <v>178</v>
      </c>
      <c r="I19" s="702" t="s">
        <v>178</v>
      </c>
      <c r="J19" s="702" t="s">
        <v>178</v>
      </c>
      <c r="K19" s="702" t="s">
        <v>178</v>
      </c>
      <c r="L19" s="705" t="s">
        <v>178</v>
      </c>
      <c r="M19" s="688">
        <v>966</v>
      </c>
      <c r="N19" s="706">
        <f t="shared" si="1"/>
        <v>60</v>
      </c>
      <c r="O19" s="707">
        <f t="shared" si="0"/>
        <v>70</v>
      </c>
      <c r="P19" s="708">
        <f t="shared" si="2"/>
        <v>0.3105590062111801</v>
      </c>
      <c r="Q19" s="709">
        <f>(P19*(O19-N19))/100</f>
        <v>3.1055900621118009E-2</v>
      </c>
      <c r="R19" s="710">
        <f>SUM(Q$13:Q19)</f>
        <v>0.17339544513457558</v>
      </c>
      <c r="S19" s="711">
        <f t="shared" si="3"/>
        <v>0.24770777876367941</v>
      </c>
      <c r="T19" s="905"/>
      <c r="U19" s="711"/>
      <c r="V19" s="711">
        <f t="shared" si="4"/>
        <v>0</v>
      </c>
      <c r="W19" s="711">
        <f t="shared" si="5"/>
        <v>0.33126293995859213</v>
      </c>
      <c r="X19" s="711"/>
      <c r="Y19" s="711"/>
      <c r="Z19" s="717"/>
      <c r="AA19" s="713" t="s">
        <v>180</v>
      </c>
      <c r="AB19" s="714"/>
      <c r="AC19" s="718"/>
    </row>
    <row r="20" spans="1:31" s="648" customFormat="1">
      <c r="A20" s="716">
        <v>320</v>
      </c>
      <c r="B20" s="700">
        <v>0</v>
      </c>
      <c r="C20" s="688">
        <v>80</v>
      </c>
      <c r="D20" s="701" t="s">
        <v>178</v>
      </c>
      <c r="E20" s="702" t="s">
        <v>178</v>
      </c>
      <c r="F20" s="703" t="s">
        <v>178</v>
      </c>
      <c r="G20" s="704" t="s">
        <v>178</v>
      </c>
      <c r="H20" s="702" t="s">
        <v>178</v>
      </c>
      <c r="I20" s="702" t="s">
        <v>178</v>
      </c>
      <c r="J20" s="702" t="s">
        <v>178</v>
      </c>
      <c r="K20" s="702" t="s">
        <v>178</v>
      </c>
      <c r="L20" s="705" t="s">
        <v>178</v>
      </c>
      <c r="M20" s="688">
        <v>966</v>
      </c>
      <c r="N20" s="706">
        <f t="shared" si="1"/>
        <v>70</v>
      </c>
      <c r="O20" s="707">
        <f t="shared" si="0"/>
        <v>80</v>
      </c>
      <c r="P20" s="708">
        <f t="shared" si="2"/>
        <v>0.33126293995859213</v>
      </c>
      <c r="Q20" s="709">
        <f>(P20*(O20-N20))/100</f>
        <v>3.3126293995859209E-2</v>
      </c>
      <c r="R20" s="710">
        <f>SUM(Q$13:Q20)</f>
        <v>0.20652173913043478</v>
      </c>
      <c r="S20" s="711">
        <f t="shared" si="3"/>
        <v>0.25815217391304346</v>
      </c>
      <c r="T20" s="905"/>
      <c r="U20" s="711"/>
      <c r="V20" s="711">
        <f t="shared" si="4"/>
        <v>0</v>
      </c>
      <c r="W20" s="711">
        <f t="shared" si="5"/>
        <v>0.27950310559006208</v>
      </c>
      <c r="X20" s="711"/>
      <c r="Y20" s="711"/>
      <c r="Z20" s="712"/>
      <c r="AA20" s="713" t="s">
        <v>180</v>
      </c>
      <c r="AB20" s="714"/>
      <c r="AC20" s="719"/>
    </row>
    <row r="21" spans="1:31" s="721" customFormat="1">
      <c r="A21" s="716">
        <v>270</v>
      </c>
      <c r="B21" s="700">
        <v>0</v>
      </c>
      <c r="C21" s="688">
        <v>90</v>
      </c>
      <c r="D21" s="701" t="s">
        <v>178</v>
      </c>
      <c r="E21" s="702" t="s">
        <v>178</v>
      </c>
      <c r="F21" s="703" t="s">
        <v>178</v>
      </c>
      <c r="G21" s="704" t="s">
        <v>178</v>
      </c>
      <c r="H21" s="702" t="s">
        <v>178</v>
      </c>
      <c r="I21" s="702" t="s">
        <v>178</v>
      </c>
      <c r="J21" s="702" t="s">
        <v>178</v>
      </c>
      <c r="K21" s="702" t="s">
        <v>178</v>
      </c>
      <c r="L21" s="705" t="s">
        <v>178</v>
      </c>
      <c r="M21" s="688">
        <v>966</v>
      </c>
      <c r="N21" s="706">
        <f t="shared" si="1"/>
        <v>80</v>
      </c>
      <c r="O21" s="707">
        <f>C21</f>
        <v>90</v>
      </c>
      <c r="P21" s="708">
        <f t="shared" si="2"/>
        <v>0.27950310559006208</v>
      </c>
      <c r="Q21" s="709">
        <f>(P21*(O21-N21))/100</f>
        <v>2.7950310559006208E-2</v>
      </c>
      <c r="R21" s="710">
        <f>SUM(Q$13:Q21)</f>
        <v>0.23447204968944099</v>
      </c>
      <c r="S21" s="711">
        <f t="shared" si="3"/>
        <v>0.26052449965493446</v>
      </c>
      <c r="T21" s="905"/>
      <c r="U21" s="711"/>
      <c r="V21" s="711">
        <f t="shared" si="4"/>
        <v>0</v>
      </c>
      <c r="W21" s="711">
        <f t="shared" si="5"/>
        <v>0</v>
      </c>
      <c r="X21" s="711"/>
      <c r="Y21" s="711"/>
      <c r="Z21" s="720"/>
      <c r="AA21" s="713" t="s">
        <v>180</v>
      </c>
      <c r="AB21" s="714"/>
      <c r="AC21" s="719"/>
    </row>
    <row r="22" spans="1:31" s="721" customFormat="1">
      <c r="A22" s="716"/>
      <c r="B22" s="700"/>
      <c r="C22" s="688"/>
      <c r="D22" s="701"/>
      <c r="E22" s="702"/>
      <c r="F22" s="703"/>
      <c r="G22" s="704"/>
      <c r="H22" s="702"/>
      <c r="I22" s="702"/>
      <c r="J22" s="702"/>
      <c r="K22" s="702"/>
      <c r="L22" s="705"/>
      <c r="M22" s="688"/>
      <c r="N22" s="706"/>
      <c r="O22" s="707"/>
      <c r="P22" s="708"/>
      <c r="Q22" s="709"/>
      <c r="R22" s="710"/>
      <c r="S22" s="711"/>
      <c r="T22" s="905"/>
      <c r="U22" s="711"/>
      <c r="V22" s="711"/>
      <c r="W22" s="711"/>
      <c r="X22" s="711"/>
      <c r="Y22" s="711"/>
      <c r="Z22" s="722"/>
      <c r="AA22" s="713" t="s">
        <v>180</v>
      </c>
      <c r="AB22" s="723"/>
      <c r="AC22" s="719"/>
    </row>
    <row r="23" spans="1:31" s="721" customFormat="1" ht="12" thickBot="1">
      <c r="A23" s="724"/>
      <c r="B23" s="725"/>
      <c r="C23" s="726"/>
      <c r="D23" s="727"/>
      <c r="E23" s="726"/>
      <c r="F23" s="728"/>
      <c r="G23" s="729"/>
      <c r="H23" s="726"/>
      <c r="I23" s="726"/>
      <c r="J23" s="726"/>
      <c r="K23" s="726"/>
      <c r="L23" s="730"/>
      <c r="M23" s="726"/>
      <c r="N23" s="731"/>
      <c r="O23" s="732"/>
      <c r="P23" s="733"/>
      <c r="Q23" s="734"/>
      <c r="R23" s="735"/>
      <c r="S23" s="736"/>
      <c r="T23" s="906"/>
      <c r="U23" s="736"/>
      <c r="V23" s="736"/>
      <c r="W23" s="736"/>
      <c r="X23" s="736"/>
      <c r="Y23" s="736"/>
      <c r="Z23" s="737"/>
      <c r="AA23" s="713" t="s">
        <v>180</v>
      </c>
      <c r="AB23" s="738"/>
      <c r="AC23" s="739"/>
    </row>
    <row r="24" spans="1:31" s="721" customFormat="1">
      <c r="A24" s="740" t="s">
        <v>182</v>
      </c>
      <c r="B24" s="700"/>
      <c r="C24" s="688"/>
      <c r="D24" s="741"/>
      <c r="E24" s="688"/>
      <c r="F24" s="742"/>
      <c r="G24" s="743"/>
      <c r="H24" s="688"/>
      <c r="I24" s="688"/>
      <c r="J24" s="688"/>
      <c r="K24" s="688"/>
      <c r="L24" s="744"/>
      <c r="M24" s="688"/>
      <c r="N24" s="706"/>
      <c r="O24" s="707"/>
      <c r="P24" s="708"/>
      <c r="Q24" s="709"/>
      <c r="R24" s="710"/>
      <c r="S24" s="711"/>
      <c r="T24" s="711"/>
      <c r="U24" s="711"/>
      <c r="V24" s="711"/>
      <c r="W24" s="711"/>
      <c r="X24" s="711"/>
      <c r="Y24" s="711"/>
      <c r="Z24" s="722"/>
      <c r="AA24" s="713" t="s">
        <v>180</v>
      </c>
      <c r="AB24" s="738"/>
      <c r="AC24" s="739"/>
    </row>
    <row r="25" spans="1:31" s="721" customFormat="1">
      <c r="A25" s="716">
        <v>770</v>
      </c>
      <c r="B25" s="700">
        <v>0</v>
      </c>
      <c r="C25" s="688">
        <v>178</v>
      </c>
      <c r="D25" s="745">
        <v>76</v>
      </c>
      <c r="E25" s="746"/>
      <c r="F25" s="747"/>
      <c r="G25" s="748">
        <f t="shared" ref="G25:G86" si="7">AVERAGE(D25:F25)</f>
        <v>76</v>
      </c>
      <c r="H25" s="746">
        <v>5.7</v>
      </c>
      <c r="I25" s="746"/>
      <c r="J25" s="746"/>
      <c r="K25" s="746"/>
      <c r="L25" s="749">
        <f t="shared" ref="L25:L86" si="8">AVERAGE(H25:K25)</f>
        <v>5.7</v>
      </c>
      <c r="M25" s="688">
        <f>G25*    PI()* (L25/2)^2</f>
        <v>1939.3365609875152</v>
      </c>
      <c r="N25" s="706">
        <f>O21</f>
        <v>90</v>
      </c>
      <c r="O25" s="707">
        <f>C25</f>
        <v>178</v>
      </c>
      <c r="P25" s="708">
        <f>(A25-B25)/M25</f>
        <v>0.39704299681119504</v>
      </c>
      <c r="Q25" s="709">
        <f t="shared" ref="Q25:Q75" si="9">(P25*(O25-N25))/100</f>
        <v>0.34939783719385159</v>
      </c>
      <c r="R25" s="710">
        <f>SUM(Q$13:Q25)</f>
        <v>0.58386988688329255</v>
      </c>
      <c r="S25" s="711">
        <f t="shared" ref="S25:S75" si="10">R25/O25*100</f>
        <v>0.32801679038387221</v>
      </c>
      <c r="T25" s="711"/>
      <c r="U25" s="711"/>
      <c r="V25" s="711">
        <f>U25*    PI()* (L25/2)^2</f>
        <v>0</v>
      </c>
      <c r="W25" s="711">
        <f t="shared" si="5"/>
        <v>0.31969695847135188</v>
      </c>
      <c r="X25" s="711"/>
      <c r="Y25" s="711"/>
      <c r="Z25" s="722"/>
      <c r="AA25" s="713" t="s">
        <v>180</v>
      </c>
      <c r="AB25" s="738"/>
      <c r="AC25" s="739"/>
    </row>
    <row r="26" spans="1:31" s="721" customFormat="1">
      <c r="A26" s="716">
        <v>620</v>
      </c>
      <c r="B26" s="700">
        <v>0</v>
      </c>
      <c r="C26" s="688">
        <v>237</v>
      </c>
      <c r="D26" s="745">
        <v>58</v>
      </c>
      <c r="E26" s="746"/>
      <c r="F26" s="747"/>
      <c r="G26" s="748">
        <f t="shared" si="7"/>
        <v>58</v>
      </c>
      <c r="H26" s="746">
        <v>5.7</v>
      </c>
      <c r="I26" s="746"/>
      <c r="J26" s="746"/>
      <c r="K26" s="746"/>
      <c r="L26" s="749">
        <f t="shared" si="8"/>
        <v>5.7</v>
      </c>
      <c r="M26" s="688">
        <f t="shared" ref="M26:M86" si="11">G26*    PI()* (L26/2)^2</f>
        <v>1480.0200070694195</v>
      </c>
      <c r="N26" s="706">
        <f>(C25+C26-G26)/2</f>
        <v>178.5</v>
      </c>
      <c r="O26" s="707">
        <f>(C26+C27-G27)/2</f>
        <v>237</v>
      </c>
      <c r="P26" s="708">
        <f>(A26-B26)/M26</f>
        <v>0.41891325592797829</v>
      </c>
      <c r="Q26" s="709">
        <f t="shared" si="9"/>
        <v>0.2450642547178673</v>
      </c>
      <c r="R26" s="710">
        <f>SUM(Q$13:Q26)</f>
        <v>0.82893414160115986</v>
      </c>
      <c r="S26" s="711">
        <f t="shared" si="10"/>
        <v>0.34976124118192398</v>
      </c>
      <c r="T26" s="711"/>
      <c r="U26" s="711"/>
      <c r="V26" s="711">
        <f t="shared" ref="V26:V100" si="12">U26*    PI()* (L26/2)^2</f>
        <v>0</v>
      </c>
      <c r="W26" s="711">
        <f t="shared" si="5"/>
        <v>0.48647991010991026</v>
      </c>
      <c r="X26" s="711"/>
      <c r="Y26" s="711"/>
      <c r="Z26" s="722"/>
      <c r="AA26" s="713" t="s">
        <v>180</v>
      </c>
      <c r="AB26" s="714"/>
      <c r="AC26" s="739"/>
    </row>
    <row r="27" spans="1:31" s="721" customFormat="1">
      <c r="A27" s="716">
        <v>720</v>
      </c>
      <c r="B27" s="700">
        <v>0</v>
      </c>
      <c r="C27" s="688">
        <v>298</v>
      </c>
      <c r="D27" s="745">
        <v>61</v>
      </c>
      <c r="E27" s="746"/>
      <c r="F27" s="747"/>
      <c r="G27" s="748">
        <f t="shared" si="7"/>
        <v>61</v>
      </c>
      <c r="H27" s="746">
        <v>5.7</v>
      </c>
      <c r="I27" s="746"/>
      <c r="J27" s="746"/>
      <c r="K27" s="746"/>
      <c r="L27" s="749">
        <f t="shared" si="8"/>
        <v>5.7</v>
      </c>
      <c r="M27" s="688">
        <f t="shared" si="11"/>
        <v>1556.5727660557689</v>
      </c>
      <c r="N27" s="706">
        <f t="shared" ref="N27:N90" si="13">(C26+C27-G27)/2</f>
        <v>237</v>
      </c>
      <c r="O27" s="707">
        <f t="shared" ref="O27:O90" si="14">(C27+C28-G28)/2</f>
        <v>296.75</v>
      </c>
      <c r="P27" s="708">
        <f t="shared" ref="P27:P75" si="15">(A27-B27)/M27</f>
        <v>0.462554668629095</v>
      </c>
      <c r="Q27" s="709">
        <f t="shared" si="9"/>
        <v>0.27637641450588424</v>
      </c>
      <c r="R27" s="710">
        <f>SUM(Q$13:Q27)</f>
        <v>1.1053105561070442</v>
      </c>
      <c r="S27" s="711">
        <f t="shared" si="10"/>
        <v>0.37247196498973689</v>
      </c>
      <c r="T27" s="711"/>
      <c r="U27" s="711"/>
      <c r="V27" s="711">
        <f t="shared" si="12"/>
        <v>0</v>
      </c>
      <c r="W27" s="711">
        <f t="shared" si="5"/>
        <v>0.3115819642848765</v>
      </c>
      <c r="X27" s="711"/>
      <c r="Y27" s="711"/>
      <c r="Z27" s="722"/>
      <c r="AA27" s="713" t="s">
        <v>180</v>
      </c>
      <c r="AB27" s="714"/>
      <c r="AC27" s="739"/>
    </row>
    <row r="28" spans="1:31" s="721" customFormat="1">
      <c r="A28" s="716">
        <v>485</v>
      </c>
      <c r="B28" s="700">
        <v>0</v>
      </c>
      <c r="C28" s="688">
        <f>C29-D29</f>
        <v>338</v>
      </c>
      <c r="D28" s="745">
        <v>42.5</v>
      </c>
      <c r="E28" s="746"/>
      <c r="F28" s="747"/>
      <c r="G28" s="748">
        <f t="shared" si="7"/>
        <v>42.5</v>
      </c>
      <c r="H28" s="746">
        <v>5.7</v>
      </c>
      <c r="I28" s="746"/>
      <c r="J28" s="746"/>
      <c r="K28" s="746"/>
      <c r="L28" s="749">
        <f t="shared" si="8"/>
        <v>5.7</v>
      </c>
      <c r="M28" s="688">
        <f t="shared" si="11"/>
        <v>1084.4974189732816</v>
      </c>
      <c r="N28" s="706">
        <f t="shared" si="13"/>
        <v>296.75</v>
      </c>
      <c r="O28" s="707">
        <f t="shared" si="14"/>
        <v>338</v>
      </c>
      <c r="P28" s="708">
        <f t="shared" si="15"/>
        <v>0.44721176050299921</v>
      </c>
      <c r="Q28" s="709">
        <f t="shared" si="9"/>
        <v>0.18447485120748716</v>
      </c>
      <c r="R28" s="710">
        <f>SUM(Q$13:Q28)</f>
        <v>1.2897854073145314</v>
      </c>
      <c r="S28" s="711">
        <f t="shared" si="10"/>
        <v>0.38159331577353001</v>
      </c>
      <c r="T28" s="711"/>
      <c r="U28" s="711"/>
      <c r="V28" s="711">
        <f t="shared" si="12"/>
        <v>0</v>
      </c>
      <c r="W28" s="711">
        <f t="shared" si="5"/>
        <v>0.57630381508118456</v>
      </c>
      <c r="X28" s="711"/>
      <c r="Y28" s="711"/>
      <c r="Z28" s="722"/>
      <c r="AA28" s="713" t="s">
        <v>180</v>
      </c>
      <c r="AB28" s="714"/>
      <c r="AC28" s="739"/>
    </row>
    <row r="29" spans="1:31">
      <c r="A29" s="716">
        <v>625</v>
      </c>
      <c r="B29" s="700">
        <v>0</v>
      </c>
      <c r="C29" s="688">
        <v>388</v>
      </c>
      <c r="D29" s="745">
        <v>50</v>
      </c>
      <c r="E29" s="746"/>
      <c r="F29" s="747"/>
      <c r="G29" s="748">
        <f t="shared" si="7"/>
        <v>50</v>
      </c>
      <c r="H29" s="746">
        <v>5.7</v>
      </c>
      <c r="I29" s="746"/>
      <c r="J29" s="746"/>
      <c r="K29" s="746"/>
      <c r="L29" s="749">
        <f t="shared" si="8"/>
        <v>5.7</v>
      </c>
      <c r="M29" s="688">
        <f t="shared" si="11"/>
        <v>1275.8793164391548</v>
      </c>
      <c r="N29" s="706">
        <f t="shared" si="13"/>
        <v>338</v>
      </c>
      <c r="O29" s="707">
        <f t="shared" si="14"/>
        <v>388</v>
      </c>
      <c r="P29" s="708">
        <f t="shared" si="15"/>
        <v>0.48985824281900686</v>
      </c>
      <c r="Q29" s="709">
        <f t="shared" si="9"/>
        <v>0.2449291214095034</v>
      </c>
      <c r="R29" s="710">
        <f>SUM(Q$13:Q29)</f>
        <v>1.5347145287240349</v>
      </c>
      <c r="S29" s="711">
        <f t="shared" si="10"/>
        <v>0.39554498162990592</v>
      </c>
      <c r="T29" s="711"/>
      <c r="U29" s="711"/>
      <c r="V29" s="711">
        <f t="shared" si="12"/>
        <v>0</v>
      </c>
      <c r="W29" s="711">
        <f t="shared" si="5"/>
        <v>0.6270185508083288</v>
      </c>
      <c r="X29" s="711"/>
      <c r="Y29" s="711"/>
      <c r="Z29" s="722"/>
      <c r="AA29" s="713" t="s">
        <v>180</v>
      </c>
      <c r="AB29" s="714"/>
      <c r="AC29" s="739"/>
      <c r="AD29" s="721"/>
      <c r="AE29" s="721"/>
    </row>
    <row r="30" spans="1:31">
      <c r="A30" s="716">
        <v>800</v>
      </c>
      <c r="B30" s="700">
        <v>0</v>
      </c>
      <c r="C30" s="688">
        <v>452</v>
      </c>
      <c r="D30" s="745">
        <v>64</v>
      </c>
      <c r="E30" s="746"/>
      <c r="F30" s="747"/>
      <c r="G30" s="748">
        <f t="shared" si="7"/>
        <v>64</v>
      </c>
      <c r="H30" s="746">
        <v>5.7</v>
      </c>
      <c r="I30" s="746"/>
      <c r="J30" s="746"/>
      <c r="K30" s="746"/>
      <c r="L30" s="749">
        <f t="shared" si="8"/>
        <v>5.7</v>
      </c>
      <c r="M30" s="688">
        <f t="shared" si="11"/>
        <v>1633.1255250421182</v>
      </c>
      <c r="N30" s="706">
        <f t="shared" si="13"/>
        <v>388</v>
      </c>
      <c r="O30" s="707">
        <f t="shared" si="14"/>
        <v>454.5</v>
      </c>
      <c r="P30" s="708">
        <f t="shared" si="15"/>
        <v>0.48985824281900686</v>
      </c>
      <c r="Q30" s="709">
        <f t="shared" si="9"/>
        <v>0.32575573147463954</v>
      </c>
      <c r="R30" s="710">
        <f>SUM(Q$13:Q30)</f>
        <v>1.8604702601986745</v>
      </c>
      <c r="S30" s="711">
        <f t="shared" si="10"/>
        <v>0.40934439168287667</v>
      </c>
      <c r="T30" s="711"/>
      <c r="U30" s="711"/>
      <c r="V30" s="711">
        <f t="shared" si="12"/>
        <v>0</v>
      </c>
      <c r="W30" s="711">
        <f t="shared" si="5"/>
        <v>0.17757361302188998</v>
      </c>
      <c r="X30" s="711"/>
      <c r="Y30" s="711"/>
      <c r="Z30" s="722"/>
      <c r="AA30" s="713" t="s">
        <v>180</v>
      </c>
      <c r="AB30" s="714"/>
      <c r="AC30" s="739"/>
      <c r="AD30" s="721"/>
      <c r="AE30" s="721"/>
    </row>
    <row r="31" spans="1:31">
      <c r="A31" s="716">
        <v>290</v>
      </c>
      <c r="B31" s="700">
        <v>0</v>
      </c>
      <c r="C31" s="688">
        <f>C32-D32</f>
        <v>480.5</v>
      </c>
      <c r="D31" s="745">
        <v>23.5</v>
      </c>
      <c r="E31" s="746"/>
      <c r="F31" s="747"/>
      <c r="G31" s="748">
        <f t="shared" si="7"/>
        <v>23.5</v>
      </c>
      <c r="H31" s="746">
        <v>5.7</v>
      </c>
      <c r="I31" s="746"/>
      <c r="J31" s="746"/>
      <c r="K31" s="746"/>
      <c r="L31" s="749">
        <f t="shared" si="8"/>
        <v>5.7</v>
      </c>
      <c r="M31" s="688">
        <f t="shared" si="11"/>
        <v>599.66327872640284</v>
      </c>
      <c r="N31" s="706">
        <f t="shared" si="13"/>
        <v>454.5</v>
      </c>
      <c r="O31" s="707">
        <f t="shared" si="14"/>
        <v>480.5</v>
      </c>
      <c r="P31" s="708">
        <f t="shared" si="15"/>
        <v>0.48360473333621096</v>
      </c>
      <c r="Q31" s="709">
        <f t="shared" si="9"/>
        <v>0.12573723066741485</v>
      </c>
      <c r="R31" s="710">
        <f>SUM(Q$13:Q31)</f>
        <v>1.9862074908660894</v>
      </c>
      <c r="S31" s="711">
        <f t="shared" si="10"/>
        <v>0.41336264117920696</v>
      </c>
      <c r="T31" s="711"/>
      <c r="U31" s="711"/>
      <c r="V31" s="711">
        <f t="shared" si="12"/>
        <v>0</v>
      </c>
      <c r="W31" s="711">
        <f t="shared" si="5"/>
        <v>1.0088995298910608</v>
      </c>
      <c r="X31" s="711"/>
      <c r="Y31" s="711"/>
      <c r="Z31" s="722"/>
      <c r="AA31" s="713" t="s">
        <v>180</v>
      </c>
      <c r="AB31" s="714"/>
      <c r="AC31" s="739"/>
      <c r="AD31" s="721"/>
      <c r="AE31" s="721"/>
    </row>
    <row r="32" spans="1:31">
      <c r="A32" s="716">
        <v>605</v>
      </c>
      <c r="B32" s="700">
        <v>0</v>
      </c>
      <c r="C32" s="688">
        <f>C33-D33</f>
        <v>526</v>
      </c>
      <c r="D32" s="745">
        <v>45.5</v>
      </c>
      <c r="E32" s="746"/>
      <c r="F32" s="747"/>
      <c r="G32" s="748">
        <f t="shared" si="7"/>
        <v>45.5</v>
      </c>
      <c r="H32" s="746">
        <v>5.7</v>
      </c>
      <c r="I32" s="746"/>
      <c r="J32" s="746"/>
      <c r="K32" s="746"/>
      <c r="L32" s="749">
        <f t="shared" si="8"/>
        <v>5.7</v>
      </c>
      <c r="M32" s="688">
        <f t="shared" si="11"/>
        <v>1161.0501779596309</v>
      </c>
      <c r="N32" s="706">
        <f t="shared" si="13"/>
        <v>480.5</v>
      </c>
      <c r="O32" s="707">
        <f t="shared" si="14"/>
        <v>526</v>
      </c>
      <c r="P32" s="708">
        <f t="shared" si="15"/>
        <v>0.52107997697670183</v>
      </c>
      <c r="Q32" s="709">
        <f t="shared" si="9"/>
        <v>0.23709138952439932</v>
      </c>
      <c r="R32" s="710">
        <f>SUM(Q$13:Q32)</f>
        <v>2.2232988803904887</v>
      </c>
      <c r="S32" s="711">
        <f t="shared" si="10"/>
        <v>0.42268039551149977</v>
      </c>
      <c r="T32" s="711"/>
      <c r="U32" s="711"/>
      <c r="V32" s="711">
        <f t="shared" si="12"/>
        <v>0</v>
      </c>
      <c r="W32" s="711">
        <f t="shared" si="5"/>
        <v>0.16795139753794522</v>
      </c>
      <c r="X32" s="711"/>
      <c r="Y32" s="711"/>
      <c r="Z32" s="722"/>
      <c r="AA32" s="713" t="s">
        <v>180</v>
      </c>
      <c r="AB32" s="714"/>
      <c r="AC32" s="739"/>
      <c r="AD32" s="721"/>
      <c r="AE32" s="721"/>
    </row>
    <row r="33" spans="1:32">
      <c r="A33" s="716">
        <v>195</v>
      </c>
      <c r="B33" s="700">
        <v>0</v>
      </c>
      <c r="C33" s="688">
        <v>544</v>
      </c>
      <c r="D33" s="745">
        <v>18</v>
      </c>
      <c r="E33" s="746"/>
      <c r="F33" s="747"/>
      <c r="G33" s="748">
        <f t="shared" si="7"/>
        <v>18</v>
      </c>
      <c r="H33" s="746">
        <v>5.7</v>
      </c>
      <c r="I33" s="746"/>
      <c r="J33" s="746"/>
      <c r="K33" s="746"/>
      <c r="L33" s="749">
        <f t="shared" si="8"/>
        <v>5.7</v>
      </c>
      <c r="M33" s="688">
        <f t="shared" si="11"/>
        <v>459.31655391809574</v>
      </c>
      <c r="N33" s="706">
        <f t="shared" si="13"/>
        <v>526</v>
      </c>
      <c r="O33" s="707">
        <f t="shared" si="14"/>
        <v>541.75</v>
      </c>
      <c r="P33" s="708">
        <f t="shared" si="15"/>
        <v>0.42454381044313927</v>
      </c>
      <c r="Q33" s="709">
        <f t="shared" si="9"/>
        <v>6.6865650144794439E-2</v>
      </c>
      <c r="R33" s="710">
        <f>SUM(Q$13:Q33)</f>
        <v>2.2901645305352831</v>
      </c>
      <c r="S33" s="711">
        <f t="shared" si="10"/>
        <v>0.42273456954965999</v>
      </c>
      <c r="T33" s="711"/>
      <c r="U33" s="711"/>
      <c r="V33" s="711">
        <f t="shared" si="12"/>
        <v>0</v>
      </c>
      <c r="W33" s="711">
        <f t="shared" si="5"/>
        <v>0.37011511679658299</v>
      </c>
      <c r="X33" s="711"/>
      <c r="Y33" s="711"/>
      <c r="Z33" s="722" t="s">
        <v>257</v>
      </c>
      <c r="AA33" s="713" t="s">
        <v>180</v>
      </c>
      <c r="AB33" s="714"/>
      <c r="AC33" s="739"/>
      <c r="AD33" s="721"/>
      <c r="AE33" s="721"/>
    </row>
    <row r="34" spans="1:32">
      <c r="A34" s="716">
        <v>170</v>
      </c>
      <c r="B34" s="700">
        <v>0</v>
      </c>
      <c r="C34" s="688">
        <f>C35-D35</f>
        <v>552.5</v>
      </c>
      <c r="D34" s="745">
        <v>13</v>
      </c>
      <c r="E34" s="746"/>
      <c r="F34" s="747"/>
      <c r="G34" s="748">
        <f t="shared" si="7"/>
        <v>13</v>
      </c>
      <c r="H34" s="746">
        <v>5.7</v>
      </c>
      <c r="I34" s="746"/>
      <c r="J34" s="746"/>
      <c r="K34" s="746"/>
      <c r="L34" s="749">
        <f t="shared" si="8"/>
        <v>5.7</v>
      </c>
      <c r="M34" s="688">
        <f t="shared" si="11"/>
        <v>331.72862227418028</v>
      </c>
      <c r="N34" s="706">
        <f t="shared" si="13"/>
        <v>541.75</v>
      </c>
      <c r="O34" s="707">
        <f t="shared" si="14"/>
        <v>552.5</v>
      </c>
      <c r="P34" s="708">
        <f t="shared" si="15"/>
        <v>0.5124670847952687</v>
      </c>
      <c r="Q34" s="709">
        <f t="shared" si="9"/>
        <v>5.509021161549138E-2</v>
      </c>
      <c r="R34" s="710">
        <f>SUM(Q$13:Q34)</f>
        <v>2.3452547421507743</v>
      </c>
      <c r="S34" s="711">
        <f t="shared" si="10"/>
        <v>0.42448049631688223</v>
      </c>
      <c r="T34" s="711"/>
      <c r="U34" s="711"/>
      <c r="V34" s="711">
        <f t="shared" si="12"/>
        <v>0</v>
      </c>
      <c r="W34" s="711">
        <f t="shared" si="5"/>
        <v>1.2660951506706637</v>
      </c>
      <c r="X34" s="711"/>
      <c r="Y34" s="711"/>
      <c r="Z34" s="722" t="s">
        <v>258</v>
      </c>
      <c r="AA34" s="713"/>
      <c r="AB34" s="714"/>
      <c r="AC34" s="751"/>
    </row>
    <row r="35" spans="1:32">
      <c r="A35" s="716">
        <v>420</v>
      </c>
      <c r="B35" s="700">
        <v>0</v>
      </c>
      <c r="C35" s="688">
        <f>C36-D36</f>
        <v>585.5</v>
      </c>
      <c r="D35" s="745">
        <v>33</v>
      </c>
      <c r="E35" s="746"/>
      <c r="F35" s="747"/>
      <c r="G35" s="748">
        <f t="shared" si="7"/>
        <v>33</v>
      </c>
      <c r="H35" s="746">
        <v>5.7</v>
      </c>
      <c r="I35" s="746"/>
      <c r="J35" s="746"/>
      <c r="K35" s="746"/>
      <c r="L35" s="749">
        <f t="shared" si="8"/>
        <v>5.7</v>
      </c>
      <c r="M35" s="688">
        <f t="shared" si="11"/>
        <v>842.08034884984215</v>
      </c>
      <c r="N35" s="706">
        <f t="shared" si="13"/>
        <v>552.5</v>
      </c>
      <c r="O35" s="707">
        <f t="shared" si="14"/>
        <v>585.5</v>
      </c>
      <c r="P35" s="708">
        <f t="shared" si="15"/>
        <v>0.49876475632480699</v>
      </c>
      <c r="Q35" s="709">
        <f t="shared" si="9"/>
        <v>0.16459236958718632</v>
      </c>
      <c r="R35" s="710">
        <f>SUM(Q$13:Q35)</f>
        <v>2.5098471117379608</v>
      </c>
      <c r="S35" s="711">
        <f t="shared" si="10"/>
        <v>0.42866731199623581</v>
      </c>
      <c r="T35" s="711"/>
      <c r="U35" s="711"/>
      <c r="V35" s="711">
        <f t="shared" si="12"/>
        <v>0</v>
      </c>
      <c r="W35" s="711">
        <f t="shared" si="5"/>
        <v>0.62939362107654218</v>
      </c>
      <c r="X35" s="711"/>
      <c r="Y35" s="711"/>
      <c r="Z35" s="722"/>
      <c r="AA35" s="713"/>
      <c r="AB35" s="714"/>
      <c r="AC35" s="752"/>
      <c r="AD35" s="753"/>
      <c r="AE35" s="754"/>
      <c r="AF35" s="753"/>
    </row>
    <row r="36" spans="1:32">
      <c r="A36" s="716">
        <v>530</v>
      </c>
      <c r="B36" s="700">
        <v>0</v>
      </c>
      <c r="C36" s="688">
        <v>622</v>
      </c>
      <c r="D36" s="745">
        <v>36.5</v>
      </c>
      <c r="E36" s="746"/>
      <c r="F36" s="747"/>
      <c r="G36" s="748">
        <f t="shared" si="7"/>
        <v>36.5</v>
      </c>
      <c r="H36" s="746">
        <v>5.7</v>
      </c>
      <c r="I36" s="746"/>
      <c r="J36" s="746"/>
      <c r="K36" s="746"/>
      <c r="L36" s="749">
        <f t="shared" si="8"/>
        <v>5.7</v>
      </c>
      <c r="M36" s="688">
        <f t="shared" si="11"/>
        <v>931.39190100058295</v>
      </c>
      <c r="N36" s="706">
        <f t="shared" si="13"/>
        <v>585.5</v>
      </c>
      <c r="O36" s="707">
        <f t="shared" si="14"/>
        <v>622.5</v>
      </c>
      <c r="P36" s="708">
        <f t="shared" si="15"/>
        <v>0.56904080809659985</v>
      </c>
      <c r="Q36" s="709">
        <f t="shared" si="9"/>
        <v>0.21054509899574195</v>
      </c>
      <c r="R36" s="710">
        <f>SUM(Q$13:Q36)</f>
        <v>2.7203922107337029</v>
      </c>
      <c r="S36" s="711">
        <f t="shared" si="10"/>
        <v>0.43701079690501249</v>
      </c>
      <c r="T36" s="711"/>
      <c r="U36" s="711"/>
      <c r="V36" s="711">
        <f t="shared" si="12"/>
        <v>0</v>
      </c>
      <c r="W36" s="711">
        <f t="shared" si="5"/>
        <v>0.57440911760694513</v>
      </c>
      <c r="X36" s="711"/>
      <c r="Y36" s="711"/>
      <c r="Z36" s="722"/>
      <c r="AA36" s="713"/>
      <c r="AB36" s="714"/>
      <c r="AC36" s="752"/>
      <c r="AD36" s="753"/>
      <c r="AE36" s="755"/>
      <c r="AF36" s="753"/>
    </row>
    <row r="37" spans="1:32">
      <c r="A37" s="716">
        <v>535</v>
      </c>
      <c r="B37" s="700">
        <v>0</v>
      </c>
      <c r="C37" s="688">
        <f>C38-D38</f>
        <v>659</v>
      </c>
      <c r="D37" s="745">
        <v>36</v>
      </c>
      <c r="E37" s="746"/>
      <c r="F37" s="747"/>
      <c r="G37" s="748">
        <f t="shared" si="7"/>
        <v>36</v>
      </c>
      <c r="H37" s="746">
        <v>5.7</v>
      </c>
      <c r="I37" s="746"/>
      <c r="J37" s="746"/>
      <c r="K37" s="746"/>
      <c r="L37" s="749">
        <f t="shared" si="8"/>
        <v>5.7</v>
      </c>
      <c r="M37" s="688">
        <f t="shared" si="11"/>
        <v>918.63310783619147</v>
      </c>
      <c r="N37" s="706">
        <f t="shared" si="13"/>
        <v>622.5</v>
      </c>
      <c r="O37" s="707">
        <f t="shared" si="14"/>
        <v>659</v>
      </c>
      <c r="P37" s="708">
        <f t="shared" si="15"/>
        <v>0.58238702201815262</v>
      </c>
      <c r="Q37" s="709">
        <f t="shared" si="9"/>
        <v>0.21257126303662571</v>
      </c>
      <c r="R37" s="710">
        <f>SUM(Q$13:Q37)</f>
        <v>2.9329634737703287</v>
      </c>
      <c r="S37" s="711">
        <f t="shared" si="10"/>
        <v>0.44506274260551271</v>
      </c>
      <c r="T37" s="711"/>
      <c r="U37" s="711"/>
      <c r="V37" s="711">
        <f t="shared" si="12"/>
        <v>0</v>
      </c>
      <c r="W37" s="711">
        <f t="shared" si="5"/>
        <v>0.66403006248798713</v>
      </c>
      <c r="X37" s="711"/>
      <c r="Y37" s="711"/>
      <c r="Z37" s="722"/>
      <c r="AA37" s="713"/>
      <c r="AB37" s="714"/>
      <c r="AC37" s="756"/>
      <c r="AD37" s="753"/>
      <c r="AE37" s="753"/>
      <c r="AF37" s="753"/>
    </row>
    <row r="38" spans="1:32">
      <c r="A38" s="716">
        <v>610</v>
      </c>
      <c r="B38" s="700">
        <v>0</v>
      </c>
      <c r="C38" s="688">
        <v>701</v>
      </c>
      <c r="D38" s="745">
        <v>42</v>
      </c>
      <c r="E38" s="746"/>
      <c r="F38" s="747"/>
      <c r="G38" s="748">
        <f t="shared" si="7"/>
        <v>42</v>
      </c>
      <c r="H38" s="746">
        <v>5.7</v>
      </c>
      <c r="I38" s="746"/>
      <c r="J38" s="746"/>
      <c r="K38" s="746"/>
      <c r="L38" s="749">
        <f t="shared" si="8"/>
        <v>5.7</v>
      </c>
      <c r="M38" s="688">
        <f t="shared" si="11"/>
        <v>1071.73862580889</v>
      </c>
      <c r="N38" s="706">
        <f t="shared" si="13"/>
        <v>659</v>
      </c>
      <c r="O38" s="707">
        <f t="shared" si="14"/>
        <v>701</v>
      </c>
      <c r="P38" s="708">
        <f t="shared" si="15"/>
        <v>0.56916862498970322</v>
      </c>
      <c r="Q38" s="709">
        <f t="shared" si="9"/>
        <v>0.23905082249567536</v>
      </c>
      <c r="R38" s="710">
        <f>SUM(Q$13:Q38)</f>
        <v>3.1720142962660041</v>
      </c>
      <c r="S38" s="711">
        <f t="shared" si="10"/>
        <v>0.45249847307646279</v>
      </c>
      <c r="T38" s="711"/>
      <c r="U38" s="711"/>
      <c r="V38" s="711">
        <f t="shared" si="12"/>
        <v>0</v>
      </c>
      <c r="W38" s="711">
        <f t="shared" si="5"/>
        <v>0.5784992581862558</v>
      </c>
      <c r="X38" s="711"/>
      <c r="Y38" s="711"/>
      <c r="Z38" s="722"/>
      <c r="AA38" s="713"/>
      <c r="AB38" s="714"/>
      <c r="AC38" s="757"/>
      <c r="AD38" s="758"/>
    </row>
    <row r="39" spans="1:32">
      <c r="A39" s="716">
        <v>620</v>
      </c>
      <c r="B39" s="700">
        <v>0</v>
      </c>
      <c r="C39" s="688">
        <f>C40-D40</f>
        <v>745</v>
      </c>
      <c r="D39" s="745">
        <v>44</v>
      </c>
      <c r="E39" s="746"/>
      <c r="F39" s="747"/>
      <c r="G39" s="748">
        <f t="shared" si="7"/>
        <v>44</v>
      </c>
      <c r="H39" s="746">
        <v>5.7</v>
      </c>
      <c r="I39" s="746"/>
      <c r="J39" s="746"/>
      <c r="K39" s="746"/>
      <c r="L39" s="749">
        <f t="shared" si="8"/>
        <v>5.7</v>
      </c>
      <c r="M39" s="688">
        <f t="shared" si="11"/>
        <v>1122.7737984664561</v>
      </c>
      <c r="N39" s="706">
        <f t="shared" si="13"/>
        <v>701</v>
      </c>
      <c r="O39" s="707">
        <f t="shared" si="14"/>
        <v>745</v>
      </c>
      <c r="P39" s="708">
        <f t="shared" si="15"/>
        <v>0.55220383735960776</v>
      </c>
      <c r="Q39" s="709">
        <f t="shared" si="9"/>
        <v>0.24296968843822742</v>
      </c>
      <c r="R39" s="710">
        <f>SUM(Q$13:Q39)</f>
        <v>3.4149839847042314</v>
      </c>
      <c r="S39" s="711">
        <f t="shared" si="10"/>
        <v>0.45838711204083643</v>
      </c>
      <c r="T39" s="711"/>
      <c r="U39" s="711"/>
      <c r="V39" s="711">
        <f t="shared" si="12"/>
        <v>0</v>
      </c>
      <c r="W39" s="711">
        <f t="shared" si="5"/>
        <v>0.54329732385380769</v>
      </c>
      <c r="X39" s="711"/>
      <c r="Y39" s="711"/>
      <c r="Z39" s="722"/>
      <c r="AA39" s="713"/>
      <c r="AB39" s="714"/>
      <c r="AC39" s="758"/>
      <c r="AD39" s="758"/>
    </row>
    <row r="40" spans="1:32">
      <c r="A40" s="716">
        <v>610</v>
      </c>
      <c r="B40" s="700">
        <v>0</v>
      </c>
      <c r="C40" s="688">
        <v>786</v>
      </c>
      <c r="D40" s="745">
        <v>41</v>
      </c>
      <c r="E40" s="746"/>
      <c r="F40" s="747"/>
      <c r="G40" s="748">
        <f t="shared" si="7"/>
        <v>41</v>
      </c>
      <c r="H40" s="746">
        <v>5.7</v>
      </c>
      <c r="I40" s="746"/>
      <c r="J40" s="746"/>
      <c r="K40" s="746"/>
      <c r="L40" s="749">
        <f t="shared" si="8"/>
        <v>5.7</v>
      </c>
      <c r="M40" s="688">
        <f t="shared" si="11"/>
        <v>1046.2210394801068</v>
      </c>
      <c r="N40" s="706">
        <f t="shared" si="13"/>
        <v>745</v>
      </c>
      <c r="O40" s="707">
        <f t="shared" si="14"/>
        <v>787</v>
      </c>
      <c r="P40" s="708">
        <f t="shared" si="15"/>
        <v>0.58305078657481801</v>
      </c>
      <c r="Q40" s="709">
        <f t="shared" si="9"/>
        <v>0.24488133036142357</v>
      </c>
      <c r="R40" s="710">
        <f>SUM(Q$13:Q40)</f>
        <v>3.6598653150656548</v>
      </c>
      <c r="S40" s="711">
        <f t="shared" si="10"/>
        <v>0.465040065446716</v>
      </c>
      <c r="T40" s="711"/>
      <c r="U40" s="711"/>
      <c r="V40" s="711">
        <f t="shared" si="12"/>
        <v>0</v>
      </c>
      <c r="W40" s="711">
        <f t="shared" si="5"/>
        <v>0.67863288273462419</v>
      </c>
      <c r="X40" s="711"/>
      <c r="Y40" s="711"/>
      <c r="Z40" s="722" t="s">
        <v>259</v>
      </c>
      <c r="AA40" s="713"/>
      <c r="AB40" s="714"/>
    </row>
    <row r="41" spans="1:32">
      <c r="A41" s="716">
        <v>710</v>
      </c>
      <c r="B41" s="700">
        <v>0</v>
      </c>
      <c r="C41" s="688">
        <v>835</v>
      </c>
      <c r="D41" s="745">
        <v>47</v>
      </c>
      <c r="E41" s="746"/>
      <c r="F41" s="747"/>
      <c r="G41" s="748">
        <f t="shared" si="7"/>
        <v>47</v>
      </c>
      <c r="H41" s="746">
        <v>5.7</v>
      </c>
      <c r="I41" s="746"/>
      <c r="J41" s="746"/>
      <c r="K41" s="746"/>
      <c r="L41" s="749">
        <f t="shared" si="8"/>
        <v>5.7</v>
      </c>
      <c r="M41" s="688">
        <f t="shared" si="11"/>
        <v>1199.3265574528057</v>
      </c>
      <c r="N41" s="706">
        <f t="shared" si="13"/>
        <v>787</v>
      </c>
      <c r="O41" s="707">
        <f t="shared" si="14"/>
        <v>835.25</v>
      </c>
      <c r="P41" s="708">
        <f t="shared" si="15"/>
        <v>0.59199889770467207</v>
      </c>
      <c r="Q41" s="709">
        <f t="shared" si="9"/>
        <v>0.28563946814250429</v>
      </c>
      <c r="R41" s="710">
        <f>SUM(Q$13:Q41)</f>
        <v>3.9455047832081593</v>
      </c>
      <c r="S41" s="711">
        <f t="shared" si="10"/>
        <v>0.47237411352387421</v>
      </c>
      <c r="T41" s="711"/>
      <c r="U41" s="711"/>
      <c r="V41" s="711">
        <f t="shared" si="12"/>
        <v>0</v>
      </c>
      <c r="W41" s="711">
        <f t="shared" si="5"/>
        <v>0.53363280919857758</v>
      </c>
      <c r="X41" s="711"/>
      <c r="Y41" s="711"/>
      <c r="Z41" s="722"/>
      <c r="AA41" s="713"/>
      <c r="AB41" s="714"/>
    </row>
    <row r="42" spans="1:32">
      <c r="A42" s="716">
        <v>640</v>
      </c>
      <c r="B42" s="700">
        <v>0</v>
      </c>
      <c r="C42" s="688">
        <f>C43-D43</f>
        <v>874.5</v>
      </c>
      <c r="D42" s="745">
        <v>39</v>
      </c>
      <c r="E42" s="746"/>
      <c r="F42" s="747"/>
      <c r="G42" s="748">
        <f t="shared" si="7"/>
        <v>39</v>
      </c>
      <c r="H42" s="746">
        <v>5.7</v>
      </c>
      <c r="I42" s="746"/>
      <c r="J42" s="746"/>
      <c r="K42" s="746"/>
      <c r="L42" s="749">
        <f t="shared" si="8"/>
        <v>5.7</v>
      </c>
      <c r="M42" s="688">
        <f t="shared" si="11"/>
        <v>995.18586682254067</v>
      </c>
      <c r="N42" s="706">
        <f t="shared" si="13"/>
        <v>835.25</v>
      </c>
      <c r="O42" s="707">
        <f t="shared" si="14"/>
        <v>874.5</v>
      </c>
      <c r="P42" s="708">
        <f t="shared" si="15"/>
        <v>0.64309594954700389</v>
      </c>
      <c r="Q42" s="709">
        <f t="shared" si="9"/>
        <v>0.25241516019719901</v>
      </c>
      <c r="R42" s="710">
        <f>SUM(Q$13:Q42)</f>
        <v>4.197919943405358</v>
      </c>
      <c r="S42" s="711">
        <f t="shared" si="10"/>
        <v>0.48003658586682196</v>
      </c>
      <c r="T42" s="711">
        <v>29</v>
      </c>
      <c r="U42" s="711">
        <v>7</v>
      </c>
      <c r="V42" s="711">
        <f t="shared" si="12"/>
        <v>178.62310430148167</v>
      </c>
      <c r="W42" s="711">
        <f t="shared" si="5"/>
        <v>0.34318200800008508</v>
      </c>
      <c r="X42" s="711"/>
      <c r="Y42" s="711"/>
      <c r="Z42" s="722"/>
      <c r="AA42" s="713"/>
      <c r="AB42" s="714"/>
    </row>
    <row r="43" spans="1:32">
      <c r="A43" s="716">
        <v>540</v>
      </c>
      <c r="B43" s="700">
        <v>0</v>
      </c>
      <c r="C43" s="688">
        <v>910</v>
      </c>
      <c r="D43" s="745">
        <v>35.5</v>
      </c>
      <c r="E43" s="746"/>
      <c r="F43" s="747"/>
      <c r="G43" s="748">
        <f t="shared" si="7"/>
        <v>35.5</v>
      </c>
      <c r="H43" s="746">
        <v>5.7</v>
      </c>
      <c r="I43" s="746"/>
      <c r="J43" s="746"/>
      <c r="K43" s="746"/>
      <c r="L43" s="749">
        <f t="shared" si="8"/>
        <v>5.7</v>
      </c>
      <c r="M43" s="688">
        <f t="shared" si="11"/>
        <v>905.87431467179999</v>
      </c>
      <c r="N43" s="706">
        <f t="shared" si="13"/>
        <v>874.5</v>
      </c>
      <c r="O43" s="707">
        <f t="shared" si="14"/>
        <v>910</v>
      </c>
      <c r="P43" s="708">
        <f t="shared" si="15"/>
        <v>0.59610918562763648</v>
      </c>
      <c r="Q43" s="709">
        <f t="shared" si="9"/>
        <v>0.21161876089781095</v>
      </c>
      <c r="R43" s="710">
        <f>SUM(Q$13:Q43)</f>
        <v>4.4095387043031691</v>
      </c>
      <c r="S43" s="711">
        <f t="shared" si="10"/>
        <v>0.48456469278056807</v>
      </c>
      <c r="T43" s="711">
        <v>25</v>
      </c>
      <c r="U43" s="711">
        <v>1</v>
      </c>
      <c r="V43" s="711">
        <f t="shared" si="12"/>
        <v>25.517586328783096</v>
      </c>
      <c r="W43" s="711">
        <f t="shared" si="5"/>
        <v>0.66416181202723479</v>
      </c>
      <c r="X43" s="711"/>
      <c r="Y43" s="711"/>
      <c r="Z43" s="722" t="s">
        <v>263</v>
      </c>
      <c r="AA43" s="713"/>
      <c r="AB43" s="714"/>
    </row>
    <row r="44" spans="1:32">
      <c r="A44" s="716">
        <v>630</v>
      </c>
      <c r="B44" s="700">
        <v>0</v>
      </c>
      <c r="C44" s="688">
        <f>C45-D45</f>
        <v>953</v>
      </c>
      <c r="D44" s="745">
        <v>43</v>
      </c>
      <c r="E44" s="746"/>
      <c r="F44" s="747"/>
      <c r="G44" s="748">
        <f t="shared" si="7"/>
        <v>43</v>
      </c>
      <c r="H44" s="746">
        <v>5.7</v>
      </c>
      <c r="I44" s="746"/>
      <c r="J44" s="746"/>
      <c r="K44" s="746"/>
      <c r="L44" s="749">
        <f t="shared" si="8"/>
        <v>5.7</v>
      </c>
      <c r="M44" s="688">
        <f t="shared" si="11"/>
        <v>1097.2562121376732</v>
      </c>
      <c r="N44" s="706">
        <f t="shared" si="13"/>
        <v>910</v>
      </c>
      <c r="O44" s="707">
        <f t="shared" si="14"/>
        <v>953</v>
      </c>
      <c r="P44" s="708">
        <f t="shared" si="15"/>
        <v>0.57415942879251036</v>
      </c>
      <c r="Q44" s="709">
        <f t="shared" si="9"/>
        <v>0.24688855438077945</v>
      </c>
      <c r="R44" s="710">
        <f>SUM(Q$13:Q44)</f>
        <v>4.6564272586839488</v>
      </c>
      <c r="S44" s="711">
        <f t="shared" si="10"/>
        <v>0.48860726743797994</v>
      </c>
      <c r="T44" s="711"/>
      <c r="U44" s="711"/>
      <c r="V44" s="711">
        <f t="shared" si="12"/>
        <v>0</v>
      </c>
      <c r="W44" s="711">
        <f t="shared" si="5"/>
        <v>0.53314804102161673</v>
      </c>
      <c r="X44" s="711"/>
      <c r="Y44" s="711"/>
      <c r="Z44" s="722"/>
      <c r="AA44" s="713"/>
      <c r="AB44" s="714"/>
    </row>
    <row r="45" spans="1:32">
      <c r="A45" s="716">
        <v>585</v>
      </c>
      <c r="B45" s="700">
        <v>0</v>
      </c>
      <c r="C45" s="688">
        <f>C46-D46</f>
        <v>990</v>
      </c>
      <c r="D45" s="745">
        <v>37</v>
      </c>
      <c r="E45" s="746"/>
      <c r="F45" s="747"/>
      <c r="G45" s="748">
        <f t="shared" si="7"/>
        <v>37</v>
      </c>
      <c r="H45" s="746">
        <v>5.7</v>
      </c>
      <c r="I45" s="746"/>
      <c r="J45" s="746"/>
      <c r="K45" s="746"/>
      <c r="L45" s="749">
        <f t="shared" si="8"/>
        <v>5.7</v>
      </c>
      <c r="M45" s="688">
        <f t="shared" si="11"/>
        <v>944.15069416497454</v>
      </c>
      <c r="N45" s="706">
        <f t="shared" si="13"/>
        <v>953</v>
      </c>
      <c r="O45" s="707">
        <f t="shared" si="14"/>
        <v>990</v>
      </c>
      <c r="P45" s="708">
        <f t="shared" si="15"/>
        <v>0.61960448010620328</v>
      </c>
      <c r="Q45" s="709">
        <f t="shared" si="9"/>
        <v>0.2292536576392952</v>
      </c>
      <c r="R45" s="710">
        <f>SUM(Q$13:Q45)</f>
        <v>4.8856809163232437</v>
      </c>
      <c r="S45" s="711">
        <f t="shared" si="10"/>
        <v>0.49350312286093373</v>
      </c>
      <c r="T45" s="711"/>
      <c r="U45" s="711"/>
      <c r="V45" s="711">
        <f t="shared" si="12"/>
        <v>0</v>
      </c>
      <c r="W45" s="711">
        <f t="shared" si="5"/>
        <v>0.13768988446804517</v>
      </c>
      <c r="X45" s="711"/>
      <c r="Y45" s="711"/>
      <c r="Z45" s="722"/>
      <c r="AA45" s="713"/>
      <c r="AB45" s="714"/>
    </row>
    <row r="46" spans="1:32">
      <c r="A46" s="716">
        <v>130</v>
      </c>
      <c r="B46" s="700">
        <v>0</v>
      </c>
      <c r="C46" s="688">
        <v>1000</v>
      </c>
      <c r="D46" s="745">
        <v>10</v>
      </c>
      <c r="E46" s="746"/>
      <c r="F46" s="747"/>
      <c r="G46" s="748">
        <f t="shared" si="7"/>
        <v>10</v>
      </c>
      <c r="H46" s="746">
        <v>4.9000000000000004</v>
      </c>
      <c r="I46" s="746"/>
      <c r="J46" s="746"/>
      <c r="K46" s="746"/>
      <c r="L46" s="749">
        <f t="shared" si="8"/>
        <v>4.9000000000000004</v>
      </c>
      <c r="M46" s="688">
        <f t="shared" si="11"/>
        <v>188.57409903172737</v>
      </c>
      <c r="N46" s="706">
        <f t="shared" si="13"/>
        <v>990</v>
      </c>
      <c r="O46" s="707">
        <f t="shared" si="14"/>
        <v>999.75</v>
      </c>
      <c r="P46" s="708">
        <f t="shared" si="15"/>
        <v>0.68938417665793883</v>
      </c>
      <c r="Q46" s="709">
        <f t="shared" si="9"/>
        <v>6.7214957224149038E-2</v>
      </c>
      <c r="R46" s="710">
        <f>SUM(Q$13:Q46)</f>
        <v>4.9528958735473925</v>
      </c>
      <c r="S46" s="711">
        <f t="shared" si="10"/>
        <v>0.49541344071491794</v>
      </c>
      <c r="T46" s="711"/>
      <c r="U46" s="711"/>
      <c r="V46" s="711">
        <f t="shared" si="12"/>
        <v>0</v>
      </c>
      <c r="W46" s="711">
        <f t="shared" si="5"/>
        <v>3.102228794960725</v>
      </c>
      <c r="X46" s="711"/>
      <c r="Y46" s="711"/>
      <c r="Z46" s="722" t="s">
        <v>260</v>
      </c>
      <c r="AA46" s="713"/>
      <c r="AB46" s="714"/>
    </row>
    <row r="47" spans="1:32">
      <c r="A47" s="716">
        <v>585</v>
      </c>
      <c r="B47" s="700">
        <v>0</v>
      </c>
      <c r="C47" s="688">
        <f>C48-D48</f>
        <v>1035</v>
      </c>
      <c r="D47" s="745">
        <v>35.5</v>
      </c>
      <c r="E47" s="746"/>
      <c r="F47" s="747"/>
      <c r="G47" s="748">
        <f t="shared" si="7"/>
        <v>35.5</v>
      </c>
      <c r="H47" s="746">
        <v>5.7</v>
      </c>
      <c r="I47" s="746"/>
      <c r="J47" s="746"/>
      <c r="K47" s="746"/>
      <c r="L47" s="749">
        <f t="shared" si="8"/>
        <v>5.7</v>
      </c>
      <c r="M47" s="688">
        <f t="shared" si="11"/>
        <v>905.87431467179999</v>
      </c>
      <c r="N47" s="706">
        <f t="shared" si="13"/>
        <v>999.75</v>
      </c>
      <c r="O47" s="707">
        <f t="shared" si="14"/>
        <v>1035</v>
      </c>
      <c r="P47" s="708">
        <f t="shared" si="15"/>
        <v>0.64578495109660616</v>
      </c>
      <c r="Q47" s="709">
        <f t="shared" si="9"/>
        <v>0.22763919526155366</v>
      </c>
      <c r="R47" s="710">
        <f>SUM(Q$13:Q47)</f>
        <v>5.180535068808946</v>
      </c>
      <c r="S47" s="711">
        <f t="shared" si="10"/>
        <v>0.50053478925690298</v>
      </c>
      <c r="T47" s="711"/>
      <c r="U47" s="711"/>
      <c r="V47" s="711">
        <f t="shared" si="12"/>
        <v>0</v>
      </c>
      <c r="W47" s="711">
        <f t="shared" si="5"/>
        <v>0.85552707196558941</v>
      </c>
      <c r="X47" s="711"/>
      <c r="Y47" s="711"/>
      <c r="Z47" s="722"/>
      <c r="AA47" s="713"/>
      <c r="AB47" s="714"/>
    </row>
    <row r="48" spans="1:32">
      <c r="A48" s="716">
        <v>775</v>
      </c>
      <c r="B48" s="700">
        <v>0</v>
      </c>
      <c r="C48" s="688">
        <v>1082</v>
      </c>
      <c r="D48" s="745">
        <v>47</v>
      </c>
      <c r="E48" s="746"/>
      <c r="F48" s="747"/>
      <c r="G48" s="748">
        <f t="shared" si="7"/>
        <v>47</v>
      </c>
      <c r="H48" s="746">
        <v>5.7</v>
      </c>
      <c r="I48" s="746"/>
      <c r="J48" s="746"/>
      <c r="K48" s="746"/>
      <c r="L48" s="749">
        <f t="shared" si="8"/>
        <v>5.7</v>
      </c>
      <c r="M48" s="688">
        <f t="shared" si="11"/>
        <v>1199.3265574528057</v>
      </c>
      <c r="N48" s="706">
        <f t="shared" si="13"/>
        <v>1035</v>
      </c>
      <c r="O48" s="707">
        <f t="shared" si="14"/>
        <v>1079.75</v>
      </c>
      <c r="P48" s="708">
        <f t="shared" si="15"/>
        <v>0.64619597988890265</v>
      </c>
      <c r="Q48" s="709">
        <f t="shared" si="9"/>
        <v>0.28917270100028392</v>
      </c>
      <c r="R48" s="710">
        <f>SUM(Q$13:Q48)</f>
        <v>5.4697077698092302</v>
      </c>
      <c r="S48" s="711">
        <f t="shared" si="10"/>
        <v>0.50657168509462658</v>
      </c>
      <c r="T48" s="711"/>
      <c r="U48" s="711"/>
      <c r="V48" s="711">
        <f t="shared" si="12"/>
        <v>0</v>
      </c>
      <c r="W48" s="711">
        <f t="shared" si="5"/>
        <v>0.35019653103656656</v>
      </c>
      <c r="X48" s="711"/>
      <c r="Y48" s="711"/>
      <c r="Z48" s="722" t="s">
        <v>261</v>
      </c>
      <c r="AA48" s="713"/>
      <c r="AB48" s="714"/>
    </row>
    <row r="49" spans="1:32">
      <c r="A49" s="716">
        <v>420</v>
      </c>
      <c r="B49" s="700">
        <v>0</v>
      </c>
      <c r="C49" s="688">
        <f>C50-D50</f>
        <v>1101.5</v>
      </c>
      <c r="D49" s="745">
        <v>24</v>
      </c>
      <c r="E49" s="746"/>
      <c r="F49" s="747"/>
      <c r="G49" s="748">
        <f t="shared" si="7"/>
        <v>24</v>
      </c>
      <c r="H49" s="746">
        <v>5.7</v>
      </c>
      <c r="I49" s="746"/>
      <c r="J49" s="746"/>
      <c r="K49" s="746"/>
      <c r="L49" s="749">
        <f t="shared" si="8"/>
        <v>5.7</v>
      </c>
      <c r="M49" s="688">
        <f t="shared" si="11"/>
        <v>612.42207189079431</v>
      </c>
      <c r="N49" s="706">
        <f t="shared" si="13"/>
        <v>1079.75</v>
      </c>
      <c r="O49" s="707">
        <f t="shared" si="14"/>
        <v>1101.5</v>
      </c>
      <c r="P49" s="708">
        <f t="shared" si="15"/>
        <v>0.68580153994660964</v>
      </c>
      <c r="Q49" s="709">
        <f>(P49*(O49-N49))/100</f>
        <v>0.14916183493838761</v>
      </c>
      <c r="R49" s="710">
        <f>SUM(Q$13:Q49)</f>
        <v>5.6188696047476174</v>
      </c>
      <c r="S49" s="711">
        <f t="shared" si="10"/>
        <v>0.51011072217409148</v>
      </c>
      <c r="T49" s="711">
        <v>0</v>
      </c>
      <c r="U49" s="711">
        <v>3.5</v>
      </c>
      <c r="V49" s="711">
        <f t="shared" si="12"/>
        <v>89.311552150740837</v>
      </c>
      <c r="W49" s="711">
        <f t="shared" si="5"/>
        <v>0.43395715839275462</v>
      </c>
      <c r="X49" s="711"/>
      <c r="Y49" s="711"/>
      <c r="Z49" s="722" t="s">
        <v>262</v>
      </c>
      <c r="AA49" s="713"/>
      <c r="AB49" s="714"/>
    </row>
    <row r="50" spans="1:32">
      <c r="A50" s="716">
        <v>365</v>
      </c>
      <c r="B50" s="700">
        <v>0</v>
      </c>
      <c r="C50" s="688">
        <f>C51-D51</f>
        <v>1123.5</v>
      </c>
      <c r="D50" s="745">
        <v>22</v>
      </c>
      <c r="E50" s="746"/>
      <c r="F50" s="747"/>
      <c r="G50" s="748">
        <f t="shared" si="7"/>
        <v>22</v>
      </c>
      <c r="H50" s="746">
        <v>5.7</v>
      </c>
      <c r="I50" s="746"/>
      <c r="J50" s="746"/>
      <c r="K50" s="746"/>
      <c r="L50" s="749">
        <f t="shared" si="8"/>
        <v>5.7</v>
      </c>
      <c r="M50" s="688">
        <f t="shared" si="11"/>
        <v>561.38689923322806</v>
      </c>
      <c r="N50" s="706">
        <f t="shared" si="13"/>
        <v>1101.5</v>
      </c>
      <c r="O50" s="707">
        <f t="shared" si="14"/>
        <v>1123.5</v>
      </c>
      <c r="P50" s="708">
        <f t="shared" si="15"/>
        <v>0.65017548592340912</v>
      </c>
      <c r="Q50" s="709">
        <f>(P50*(O50-N50))/100</f>
        <v>0.14303860690315001</v>
      </c>
      <c r="R50" s="710">
        <f>SUM(Q$13:Q50)</f>
        <v>5.7619082116507672</v>
      </c>
      <c r="S50" s="711">
        <f t="shared" si="10"/>
        <v>0.5128534233779054</v>
      </c>
      <c r="T50" s="711"/>
      <c r="U50" s="711"/>
      <c r="V50" s="711">
        <f t="shared" si="12"/>
        <v>0</v>
      </c>
      <c r="W50" s="711">
        <f t="shared" si="5"/>
        <v>1.0331555666728145</v>
      </c>
      <c r="X50" s="711"/>
      <c r="Y50" s="711"/>
      <c r="Z50" s="722"/>
      <c r="AA50" s="713"/>
      <c r="AB50" s="714"/>
    </row>
    <row r="51" spans="1:32">
      <c r="A51" s="716">
        <v>580</v>
      </c>
      <c r="B51" s="700">
        <v>0</v>
      </c>
      <c r="C51" s="688">
        <v>1157</v>
      </c>
      <c r="D51" s="745">
        <v>33.5</v>
      </c>
      <c r="E51" s="746"/>
      <c r="F51" s="747"/>
      <c r="G51" s="748">
        <f t="shared" si="7"/>
        <v>33.5</v>
      </c>
      <c r="H51" s="746">
        <v>5.7</v>
      </c>
      <c r="I51" s="746"/>
      <c r="J51" s="746"/>
      <c r="K51" s="746"/>
      <c r="L51" s="749">
        <f t="shared" si="8"/>
        <v>5.7</v>
      </c>
      <c r="M51" s="688">
        <f t="shared" si="11"/>
        <v>854.83914201423374</v>
      </c>
      <c r="N51" s="706">
        <f t="shared" si="13"/>
        <v>1123.5</v>
      </c>
      <c r="O51" s="707">
        <f t="shared" si="14"/>
        <v>1155.5</v>
      </c>
      <c r="P51" s="708">
        <f t="shared" si="15"/>
        <v>0.67849022288960947</v>
      </c>
      <c r="Q51" s="709">
        <f t="shared" si="9"/>
        <v>0.21711687132467503</v>
      </c>
      <c r="R51" s="710">
        <f>SUM(Q$13:Q51)</f>
        <v>5.9790250829754426</v>
      </c>
      <c r="S51" s="711">
        <f t="shared" si="10"/>
        <v>0.51744050912812134</v>
      </c>
      <c r="T51" s="711">
        <v>10</v>
      </c>
      <c r="U51" s="711">
        <v>0.5</v>
      </c>
      <c r="V51" s="711">
        <f t="shared" si="12"/>
        <v>12.758793164391548</v>
      </c>
      <c r="W51" s="711">
        <f t="shared" si="5"/>
        <v>0.80813281610258003</v>
      </c>
      <c r="X51" s="711"/>
      <c r="Y51" s="711"/>
      <c r="Z51" s="722"/>
      <c r="AA51" s="713"/>
      <c r="AB51" s="714"/>
    </row>
    <row r="52" spans="1:32" ht="12" thickBot="1">
      <c r="A52" s="716">
        <v>705</v>
      </c>
      <c r="B52" s="700">
        <v>0</v>
      </c>
      <c r="C52" s="688">
        <f>C53-D53</f>
        <v>1196</v>
      </c>
      <c r="D52" s="745">
        <v>42</v>
      </c>
      <c r="E52" s="746"/>
      <c r="F52" s="747"/>
      <c r="G52" s="748">
        <f t="shared" si="7"/>
        <v>42</v>
      </c>
      <c r="H52" s="746">
        <v>5.7</v>
      </c>
      <c r="I52" s="746"/>
      <c r="J52" s="746"/>
      <c r="K52" s="746"/>
      <c r="L52" s="749">
        <f t="shared" si="8"/>
        <v>5.7</v>
      </c>
      <c r="M52" s="688">
        <f t="shared" si="11"/>
        <v>1071.73862580889</v>
      </c>
      <c r="N52" s="706">
        <f t="shared" si="13"/>
        <v>1155.5</v>
      </c>
      <c r="O52" s="707">
        <f t="shared" si="14"/>
        <v>1196</v>
      </c>
      <c r="P52" s="708">
        <f t="shared" si="15"/>
        <v>0.65780964035695211</v>
      </c>
      <c r="Q52" s="709">
        <f t="shared" si="9"/>
        <v>0.2664129043445656</v>
      </c>
      <c r="R52" s="710">
        <f>SUM(Q$13:Q52)</f>
        <v>6.2454379873200079</v>
      </c>
      <c r="S52" s="711">
        <f t="shared" si="10"/>
        <v>0.52219381164883005</v>
      </c>
      <c r="T52" s="711">
        <v>11</v>
      </c>
      <c r="U52" s="711">
        <v>1</v>
      </c>
      <c r="V52" s="711">
        <f t="shared" si="12"/>
        <v>25.517586328783096</v>
      </c>
      <c r="W52" s="711">
        <f t="shared" si="5"/>
        <v>0.17415358727085253</v>
      </c>
      <c r="X52" s="711"/>
      <c r="Y52" s="711"/>
      <c r="Z52" s="722"/>
      <c r="AA52" s="713"/>
      <c r="AB52" s="759"/>
    </row>
    <row r="53" spans="1:32">
      <c r="A53" s="716">
        <v>215</v>
      </c>
      <c r="B53" s="700">
        <v>0</v>
      </c>
      <c r="C53" s="688">
        <v>1208</v>
      </c>
      <c r="D53" s="745">
        <v>12</v>
      </c>
      <c r="E53" s="746"/>
      <c r="F53" s="747"/>
      <c r="G53" s="748">
        <f t="shared" si="7"/>
        <v>12</v>
      </c>
      <c r="H53" s="746">
        <v>5.7</v>
      </c>
      <c r="I53" s="746"/>
      <c r="J53" s="746"/>
      <c r="K53" s="746"/>
      <c r="L53" s="749">
        <f t="shared" si="8"/>
        <v>5.7</v>
      </c>
      <c r="M53" s="688">
        <f t="shared" si="11"/>
        <v>306.21103594539716</v>
      </c>
      <c r="N53" s="706">
        <f t="shared" si="13"/>
        <v>1196</v>
      </c>
      <c r="O53" s="707">
        <f t="shared" si="14"/>
        <v>1210</v>
      </c>
      <c r="P53" s="708">
        <f t="shared" si="15"/>
        <v>0.7021301480405765</v>
      </c>
      <c r="Q53" s="709">
        <f t="shared" si="9"/>
        <v>9.8298220725680702E-2</v>
      </c>
      <c r="R53" s="710">
        <f>SUM(Q$13:Q53)</f>
        <v>6.3437362080456889</v>
      </c>
      <c r="S53" s="711">
        <f t="shared" si="10"/>
        <v>0.52427571967319742</v>
      </c>
      <c r="T53" s="711">
        <v>0</v>
      </c>
      <c r="U53" s="711">
        <v>4</v>
      </c>
      <c r="V53" s="711">
        <f t="shared" si="12"/>
        <v>102.07034531513239</v>
      </c>
      <c r="W53" s="711">
        <f t="shared" si="5"/>
        <v>2.078920843724664</v>
      </c>
      <c r="X53" s="711"/>
      <c r="Y53" s="711"/>
      <c r="Z53" s="722"/>
      <c r="AA53" s="760" t="s">
        <v>183</v>
      </c>
      <c r="AB53" s="761">
        <f>AVERAGE(AB12:AB52)</f>
        <v>542</v>
      </c>
    </row>
    <row r="54" spans="1:32">
      <c r="A54" s="716">
        <v>750</v>
      </c>
      <c r="B54" s="700">
        <v>0</v>
      </c>
      <c r="C54" s="688">
        <f>C55-D55</f>
        <v>1253</v>
      </c>
      <c r="D54" s="745">
        <v>41</v>
      </c>
      <c r="E54" s="746"/>
      <c r="F54" s="747"/>
      <c r="G54" s="748">
        <f t="shared" si="7"/>
        <v>41</v>
      </c>
      <c r="H54" s="746">
        <v>5.7</v>
      </c>
      <c r="I54" s="746"/>
      <c r="J54" s="746"/>
      <c r="K54" s="746"/>
      <c r="L54" s="749">
        <f t="shared" si="8"/>
        <v>5.7</v>
      </c>
      <c r="M54" s="688">
        <f t="shared" si="11"/>
        <v>1046.2210394801068</v>
      </c>
      <c r="N54" s="706">
        <f t="shared" si="13"/>
        <v>1210</v>
      </c>
      <c r="O54" s="707">
        <f t="shared" si="14"/>
        <v>1253</v>
      </c>
      <c r="P54" s="708">
        <f t="shared" si="15"/>
        <v>0.71686572119854675</v>
      </c>
      <c r="Q54" s="709">
        <f t="shared" si="9"/>
        <v>0.3082522601153751</v>
      </c>
      <c r="R54" s="710">
        <f>SUM(Q$13:Q54)</f>
        <v>6.6519884681610639</v>
      </c>
      <c r="S54" s="711">
        <f t="shared" si="10"/>
        <v>0.53088495356433074</v>
      </c>
      <c r="T54" s="711"/>
      <c r="U54" s="711"/>
      <c r="V54" s="711">
        <f t="shared" si="12"/>
        <v>0</v>
      </c>
      <c r="W54" s="711">
        <f t="shared" si="5"/>
        <v>0.72164482600653701</v>
      </c>
      <c r="X54" s="711"/>
      <c r="Y54" s="711"/>
      <c r="Z54" s="722"/>
      <c r="AA54" s="586" t="s">
        <v>184</v>
      </c>
      <c r="AB54" s="759" t="e">
        <f>STDEV(AB12:AB52)</f>
        <v>#DIV/0!</v>
      </c>
      <c r="AC54" s="762"/>
      <c r="AD54" s="762"/>
    </row>
    <row r="55" spans="1:32">
      <c r="A55" s="716">
        <v>755</v>
      </c>
      <c r="B55" s="700">
        <v>0</v>
      </c>
      <c r="C55" s="688">
        <v>1296</v>
      </c>
      <c r="D55" s="745">
        <v>43</v>
      </c>
      <c r="E55" s="746"/>
      <c r="F55" s="747"/>
      <c r="G55" s="748">
        <f t="shared" si="7"/>
        <v>43</v>
      </c>
      <c r="H55" s="746">
        <v>5.7</v>
      </c>
      <c r="I55" s="746"/>
      <c r="J55" s="746"/>
      <c r="K55" s="746"/>
      <c r="L55" s="749">
        <f t="shared" si="8"/>
        <v>5.7</v>
      </c>
      <c r="M55" s="688">
        <f t="shared" si="11"/>
        <v>1097.2562121376732</v>
      </c>
      <c r="N55" s="706">
        <f t="shared" si="13"/>
        <v>1253</v>
      </c>
      <c r="O55" s="707">
        <f t="shared" si="14"/>
        <v>1297.5</v>
      </c>
      <c r="P55" s="708">
        <f t="shared" si="15"/>
        <v>0.68807995037832592</v>
      </c>
      <c r="Q55" s="709">
        <f t="shared" si="9"/>
        <v>0.30619557791835506</v>
      </c>
      <c r="R55" s="710">
        <f>SUM(Q$13:Q55)</f>
        <v>6.9581840460794186</v>
      </c>
      <c r="S55" s="711">
        <f t="shared" si="10"/>
        <v>0.53627622705814404</v>
      </c>
      <c r="T55" s="711"/>
      <c r="U55" s="711"/>
      <c r="V55" s="711">
        <f t="shared" si="12"/>
        <v>0</v>
      </c>
      <c r="W55" s="711">
        <f t="shared" si="5"/>
        <v>0.615170816563404</v>
      </c>
      <c r="X55" s="711"/>
      <c r="Y55" s="711"/>
      <c r="Z55" s="722"/>
      <c r="AA55" s="586" t="s">
        <v>186</v>
      </c>
      <c r="AB55" s="759" t="e">
        <f>AB54/SQRT(COUNT(AB12:AB52))</f>
        <v>#DIV/0!</v>
      </c>
      <c r="AC55" s="757"/>
      <c r="AD55" s="762"/>
      <c r="AE55" s="762"/>
      <c r="AF55" s="762"/>
    </row>
    <row r="56" spans="1:32">
      <c r="A56" s="716">
        <v>675</v>
      </c>
      <c r="B56" s="700">
        <v>0</v>
      </c>
      <c r="C56" s="688">
        <f>C57-D57</f>
        <v>1334.5</v>
      </c>
      <c r="D56" s="745">
        <v>35.5</v>
      </c>
      <c r="E56" s="746"/>
      <c r="F56" s="747"/>
      <c r="G56" s="748">
        <f t="shared" si="7"/>
        <v>35.5</v>
      </c>
      <c r="H56" s="746">
        <v>5.7</v>
      </c>
      <c r="I56" s="746"/>
      <c r="J56" s="746"/>
      <c r="K56" s="746"/>
      <c r="L56" s="749">
        <f t="shared" si="8"/>
        <v>5.7</v>
      </c>
      <c r="M56" s="688">
        <f t="shared" si="11"/>
        <v>905.87431467179999</v>
      </c>
      <c r="N56" s="706">
        <f t="shared" si="13"/>
        <v>1297.5</v>
      </c>
      <c r="O56" s="707">
        <f t="shared" si="14"/>
        <v>1334.5</v>
      </c>
      <c r="P56" s="708">
        <f t="shared" si="15"/>
        <v>0.74513648203454563</v>
      </c>
      <c r="Q56" s="709">
        <f t="shared" si="9"/>
        <v>0.27570049835278188</v>
      </c>
      <c r="R56" s="710">
        <f>SUM(Q$13:Q56)</f>
        <v>7.2338845444322004</v>
      </c>
      <c r="S56" s="711">
        <f t="shared" si="10"/>
        <v>0.54206703217925822</v>
      </c>
      <c r="T56" s="711"/>
      <c r="U56" s="711"/>
      <c r="V56" s="711">
        <f t="shared" si="12"/>
        <v>0</v>
      </c>
      <c r="W56" s="711">
        <f t="shared" si="5"/>
        <v>0.61266777411729301</v>
      </c>
      <c r="X56" s="711"/>
      <c r="Y56" s="711"/>
      <c r="Z56" s="722"/>
      <c r="AA56" s="586" t="s">
        <v>187</v>
      </c>
      <c r="AB56" s="759">
        <f>MAX(AB12:AB52)</f>
        <v>542</v>
      </c>
      <c r="AC56" s="757"/>
    </row>
    <row r="57" spans="1:32" ht="12" thickBot="1">
      <c r="A57" s="716">
        <v>555</v>
      </c>
      <c r="B57" s="700">
        <v>0</v>
      </c>
      <c r="C57" s="688">
        <v>1368</v>
      </c>
      <c r="D57" s="745">
        <v>33.5</v>
      </c>
      <c r="E57" s="746"/>
      <c r="F57" s="747"/>
      <c r="G57" s="748">
        <f t="shared" si="7"/>
        <v>33.5</v>
      </c>
      <c r="H57" s="746">
        <v>5.7</v>
      </c>
      <c r="I57" s="746"/>
      <c r="J57" s="746"/>
      <c r="K57" s="746"/>
      <c r="L57" s="749">
        <f t="shared" si="8"/>
        <v>5.7</v>
      </c>
      <c r="M57" s="688">
        <f t="shared" si="11"/>
        <v>854.83914201423374</v>
      </c>
      <c r="N57" s="706">
        <f t="shared" si="13"/>
        <v>1334.5</v>
      </c>
      <c r="O57" s="707">
        <f t="shared" si="14"/>
        <v>1367.75</v>
      </c>
      <c r="P57" s="708">
        <f t="shared" si="15"/>
        <v>0.64924495466160914</v>
      </c>
      <c r="Q57" s="709">
        <f t="shared" si="9"/>
        <v>0.21587394742498503</v>
      </c>
      <c r="R57" s="710">
        <f>SUM(Q$13:Q57)</f>
        <v>7.4497584918571853</v>
      </c>
      <c r="S57" s="711">
        <f t="shared" si="10"/>
        <v>0.54467252727890225</v>
      </c>
      <c r="T57" s="711">
        <v>25</v>
      </c>
      <c r="U57" s="711">
        <v>9</v>
      </c>
      <c r="V57" s="711">
        <f t="shared" si="12"/>
        <v>229.65827695904787</v>
      </c>
      <c r="W57" s="711">
        <f t="shared" si="5"/>
        <v>0.36243559926624208</v>
      </c>
      <c r="X57" s="711"/>
      <c r="Y57" s="711"/>
      <c r="Z57" s="722" t="s">
        <v>264</v>
      </c>
      <c r="AA57" s="799" t="s">
        <v>188</v>
      </c>
      <c r="AB57" s="800">
        <f>MIN(AB12:AB52)</f>
        <v>542</v>
      </c>
      <c r="AC57" s="762"/>
    </row>
    <row r="58" spans="1:32">
      <c r="A58" s="716">
        <v>565</v>
      </c>
      <c r="B58" s="700">
        <v>0</v>
      </c>
      <c r="C58" s="688">
        <f>C59-D59</f>
        <v>1401</v>
      </c>
      <c r="D58" s="745">
        <v>33.5</v>
      </c>
      <c r="E58" s="746"/>
      <c r="F58" s="747"/>
      <c r="G58" s="748">
        <f t="shared" si="7"/>
        <v>33.5</v>
      </c>
      <c r="H58" s="746">
        <v>5.7</v>
      </c>
      <c r="I58" s="746"/>
      <c r="J58" s="746"/>
      <c r="K58" s="746"/>
      <c r="L58" s="749">
        <f t="shared" si="8"/>
        <v>5.7</v>
      </c>
      <c r="M58" s="688">
        <f t="shared" si="11"/>
        <v>854.83914201423374</v>
      </c>
      <c r="N58" s="706">
        <f t="shared" si="13"/>
        <v>1367.75</v>
      </c>
      <c r="O58" s="707">
        <f t="shared" si="14"/>
        <v>1401</v>
      </c>
      <c r="P58" s="708">
        <f t="shared" si="15"/>
        <v>0.66094306195280927</v>
      </c>
      <c r="Q58" s="709">
        <f t="shared" si="9"/>
        <v>0.21976356809930908</v>
      </c>
      <c r="R58" s="710">
        <f>SUM(Q$13:Q58)</f>
        <v>7.6695220599564946</v>
      </c>
      <c r="S58" s="711">
        <f t="shared" si="10"/>
        <v>0.54743198143872196</v>
      </c>
      <c r="T58" s="711"/>
      <c r="U58" s="711"/>
      <c r="V58" s="711">
        <f t="shared" si="12"/>
        <v>0</v>
      </c>
      <c r="W58" s="711">
        <f t="shared" si="5"/>
        <v>0.783773188510411</v>
      </c>
      <c r="X58" s="711"/>
      <c r="Y58" s="711"/>
      <c r="Z58" s="722"/>
    </row>
    <row r="59" spans="1:32">
      <c r="A59" s="716">
        <v>670</v>
      </c>
      <c r="B59" s="700">
        <v>0</v>
      </c>
      <c r="C59" s="688">
        <v>1439</v>
      </c>
      <c r="D59" s="745">
        <v>38</v>
      </c>
      <c r="E59" s="746"/>
      <c r="F59" s="747"/>
      <c r="G59" s="748">
        <f t="shared" si="7"/>
        <v>38</v>
      </c>
      <c r="H59" s="746">
        <v>5.7</v>
      </c>
      <c r="I59" s="746"/>
      <c r="J59" s="746"/>
      <c r="K59" s="746"/>
      <c r="L59" s="749">
        <f t="shared" si="8"/>
        <v>5.7</v>
      </c>
      <c r="M59" s="688">
        <f t="shared" si="11"/>
        <v>969.66828049375761</v>
      </c>
      <c r="N59" s="706">
        <f t="shared" si="13"/>
        <v>1401</v>
      </c>
      <c r="O59" s="707">
        <f t="shared" si="14"/>
        <v>1439</v>
      </c>
      <c r="P59" s="708">
        <f t="shared" si="15"/>
        <v>0.69095794250259923</v>
      </c>
      <c r="Q59" s="709">
        <f t="shared" si="9"/>
        <v>0.26256401815098768</v>
      </c>
      <c r="R59" s="710">
        <f>SUM(Q$13:Q59)</f>
        <v>7.9320860781074822</v>
      </c>
      <c r="S59" s="711">
        <f t="shared" si="10"/>
        <v>0.55122210410753869</v>
      </c>
      <c r="T59" s="711"/>
      <c r="U59" s="711"/>
      <c r="V59" s="711">
        <f t="shared" si="12"/>
        <v>0</v>
      </c>
      <c r="W59" s="711">
        <f t="shared" si="5"/>
        <v>0.51564025559895466</v>
      </c>
      <c r="X59" s="711"/>
      <c r="Y59" s="711"/>
      <c r="Z59" s="722"/>
    </row>
    <row r="60" spans="1:32">
      <c r="A60" s="716">
        <v>500</v>
      </c>
      <c r="B60" s="700">
        <v>0</v>
      </c>
      <c r="C60" s="688">
        <f>C61-D61</f>
        <v>1466.5</v>
      </c>
      <c r="D60" s="745">
        <v>27.5</v>
      </c>
      <c r="E60" s="746"/>
      <c r="F60" s="747"/>
      <c r="G60" s="748">
        <f t="shared" si="7"/>
        <v>27.5</v>
      </c>
      <c r="H60" s="746">
        <v>5.7</v>
      </c>
      <c r="I60" s="746"/>
      <c r="J60" s="746"/>
      <c r="K60" s="746"/>
      <c r="L60" s="749">
        <f t="shared" si="8"/>
        <v>5.7</v>
      </c>
      <c r="M60" s="688">
        <f t="shared" si="11"/>
        <v>701.73362404153522</v>
      </c>
      <c r="N60" s="706">
        <f t="shared" si="13"/>
        <v>1439</v>
      </c>
      <c r="O60" s="707">
        <f t="shared" si="14"/>
        <v>1466.5</v>
      </c>
      <c r="P60" s="708">
        <f t="shared" si="15"/>
        <v>0.71252108046400986</v>
      </c>
      <c r="Q60" s="709">
        <f t="shared" si="9"/>
        <v>0.19594329712760269</v>
      </c>
      <c r="R60" s="710">
        <f>SUM(Q$13:Q60)</f>
        <v>8.1280293752350854</v>
      </c>
      <c r="S60" s="711">
        <f t="shared" si="10"/>
        <v>0.55424680363007739</v>
      </c>
      <c r="T60" s="711">
        <v>0</v>
      </c>
      <c r="U60" s="711">
        <v>0.6</v>
      </c>
      <c r="V60" s="711">
        <f t="shared" si="12"/>
        <v>15.310551797269857</v>
      </c>
      <c r="W60" s="711">
        <f t="shared" si="5"/>
        <v>0.98041229921182971</v>
      </c>
      <c r="X60" s="711"/>
      <c r="Y60" s="711"/>
      <c r="Z60" s="722" t="s">
        <v>264</v>
      </c>
    </row>
    <row r="61" spans="1:32">
      <c r="A61" s="716">
        <v>705</v>
      </c>
      <c r="B61" s="700">
        <v>0</v>
      </c>
      <c r="C61" s="688">
        <v>1500</v>
      </c>
      <c r="D61" s="745">
        <v>33.5</v>
      </c>
      <c r="E61" s="746"/>
      <c r="F61" s="747"/>
      <c r="G61" s="748">
        <f t="shared" si="7"/>
        <v>33.5</v>
      </c>
      <c r="H61" s="746">
        <v>5.7</v>
      </c>
      <c r="I61" s="746"/>
      <c r="J61" s="746"/>
      <c r="K61" s="746"/>
      <c r="L61" s="749">
        <f t="shared" si="8"/>
        <v>5.7</v>
      </c>
      <c r="M61" s="688">
        <f t="shared" si="11"/>
        <v>854.83914201423374</v>
      </c>
      <c r="N61" s="706">
        <f t="shared" si="13"/>
        <v>1466.5</v>
      </c>
      <c r="O61" s="707">
        <f t="shared" si="14"/>
        <v>1500.75</v>
      </c>
      <c r="P61" s="708">
        <f t="shared" si="15"/>
        <v>0.82471656402961158</v>
      </c>
      <c r="Q61" s="709">
        <f t="shared" si="9"/>
        <v>0.28246542318014195</v>
      </c>
      <c r="R61" s="710">
        <f>SUM(Q$13:Q61)</f>
        <v>8.4104947984152272</v>
      </c>
      <c r="S61" s="711">
        <f t="shared" si="10"/>
        <v>0.56041944350592887</v>
      </c>
      <c r="T61" s="711">
        <v>8</v>
      </c>
      <c r="U61" s="711">
        <v>12</v>
      </c>
      <c r="V61" s="711">
        <f t="shared" si="12"/>
        <v>306.21103594539716</v>
      </c>
      <c r="W61" s="711">
        <f t="shared" si="5"/>
        <v>0.3155745945144538</v>
      </c>
      <c r="X61" s="711"/>
      <c r="Y61" s="711"/>
      <c r="Z61" s="722"/>
    </row>
    <row r="62" spans="1:32">
      <c r="A62" s="716">
        <v>610</v>
      </c>
      <c r="B62" s="700">
        <v>0</v>
      </c>
      <c r="C62" s="688">
        <f>C63-D63</f>
        <v>1536.5</v>
      </c>
      <c r="D62" s="745">
        <v>35</v>
      </c>
      <c r="E62" s="746"/>
      <c r="F62" s="747"/>
      <c r="G62" s="748">
        <f t="shared" si="7"/>
        <v>35</v>
      </c>
      <c r="H62" s="746">
        <v>5.7</v>
      </c>
      <c r="I62" s="746"/>
      <c r="J62" s="746"/>
      <c r="K62" s="746"/>
      <c r="L62" s="749">
        <f t="shared" si="8"/>
        <v>5.7</v>
      </c>
      <c r="M62" s="688">
        <f t="shared" si="11"/>
        <v>893.11552150740829</v>
      </c>
      <c r="N62" s="706">
        <f t="shared" si="13"/>
        <v>1500.75</v>
      </c>
      <c r="O62" s="707">
        <f t="shared" si="14"/>
        <v>1536.5</v>
      </c>
      <c r="P62" s="708">
        <f t="shared" si="15"/>
        <v>0.68300234998764398</v>
      </c>
      <c r="Q62" s="709">
        <f t="shared" si="9"/>
        <v>0.24417334012058273</v>
      </c>
      <c r="R62" s="710">
        <f>SUM(Q$13:Q62)</f>
        <v>8.6546681385358095</v>
      </c>
      <c r="S62" s="711">
        <f t="shared" si="10"/>
        <v>0.56327160029520396</v>
      </c>
      <c r="T62" s="711"/>
      <c r="U62" s="711"/>
      <c r="V62" s="711">
        <f t="shared" si="12"/>
        <v>0</v>
      </c>
      <c r="W62" s="711">
        <f t="shared" si="5"/>
        <v>0.75018290900282203</v>
      </c>
      <c r="X62" s="711"/>
      <c r="Y62" s="711"/>
      <c r="Z62" s="722"/>
    </row>
    <row r="63" spans="1:32">
      <c r="A63" s="716">
        <v>670</v>
      </c>
      <c r="B63" s="700">
        <v>0</v>
      </c>
      <c r="C63" s="688">
        <v>1575</v>
      </c>
      <c r="D63" s="745">
        <v>38.5</v>
      </c>
      <c r="E63" s="746"/>
      <c r="F63" s="747"/>
      <c r="G63" s="748">
        <f t="shared" si="7"/>
        <v>38.5</v>
      </c>
      <c r="H63" s="746">
        <v>5.7</v>
      </c>
      <c r="I63" s="746"/>
      <c r="J63" s="746"/>
      <c r="K63" s="746"/>
      <c r="L63" s="749">
        <f t="shared" si="8"/>
        <v>5.7</v>
      </c>
      <c r="M63" s="688">
        <f t="shared" si="11"/>
        <v>982.4270736581492</v>
      </c>
      <c r="N63" s="706">
        <f t="shared" si="13"/>
        <v>1536.5</v>
      </c>
      <c r="O63" s="707">
        <f t="shared" si="14"/>
        <v>1573.75</v>
      </c>
      <c r="P63" s="708">
        <f t="shared" si="15"/>
        <v>0.68198446272983815</v>
      </c>
      <c r="Q63" s="709">
        <f t="shared" si="9"/>
        <v>0.25403921236686472</v>
      </c>
      <c r="R63" s="710">
        <f>SUM(Q$13:Q63)</f>
        <v>8.9087073509026737</v>
      </c>
      <c r="S63" s="711">
        <f t="shared" si="10"/>
        <v>0.566081483774594</v>
      </c>
      <c r="T63" s="711"/>
      <c r="U63" s="711"/>
      <c r="V63" s="711">
        <f t="shared" si="12"/>
        <v>0</v>
      </c>
      <c r="W63" s="711">
        <f t="shared" si="5"/>
        <v>0.68198446272983815</v>
      </c>
      <c r="X63" s="711"/>
      <c r="Y63" s="711"/>
      <c r="Z63" s="722"/>
    </row>
    <row r="64" spans="1:32">
      <c r="A64" s="716">
        <v>670</v>
      </c>
      <c r="B64" s="700">
        <v>0</v>
      </c>
      <c r="C64" s="688">
        <f>C65-D65</f>
        <v>1607.5</v>
      </c>
      <c r="D64" s="745">
        <v>35</v>
      </c>
      <c r="E64" s="746"/>
      <c r="F64" s="747"/>
      <c r="G64" s="748">
        <f t="shared" si="7"/>
        <v>35</v>
      </c>
      <c r="H64" s="746">
        <v>5.7</v>
      </c>
      <c r="I64" s="746"/>
      <c r="J64" s="746"/>
      <c r="K64" s="746"/>
      <c r="L64" s="749">
        <f t="shared" si="8"/>
        <v>5.7</v>
      </c>
      <c r="M64" s="688">
        <f t="shared" si="11"/>
        <v>893.11552150740829</v>
      </c>
      <c r="N64" s="706">
        <f t="shared" si="13"/>
        <v>1573.75</v>
      </c>
      <c r="O64" s="707">
        <f t="shared" si="14"/>
        <v>1607.5</v>
      </c>
      <c r="P64" s="708">
        <f t="shared" si="15"/>
        <v>0.75018290900282203</v>
      </c>
      <c r="Q64" s="709">
        <f t="shared" si="9"/>
        <v>0.25318673178845247</v>
      </c>
      <c r="R64" s="710">
        <f>SUM(Q$13:Q64)</f>
        <v>9.161894082691127</v>
      </c>
      <c r="S64" s="711">
        <f t="shared" si="10"/>
        <v>0.56994675475528001</v>
      </c>
      <c r="T64" s="711"/>
      <c r="U64" s="711"/>
      <c r="V64" s="711">
        <f t="shared" si="12"/>
        <v>0</v>
      </c>
      <c r="W64" s="711">
        <f t="shared" si="5"/>
        <v>0.7949699483462741</v>
      </c>
      <c r="X64" s="711"/>
      <c r="Y64" s="711"/>
      <c r="Z64" s="722"/>
    </row>
    <row r="65" spans="1:26">
      <c r="A65" s="716">
        <v>710</v>
      </c>
      <c r="B65" s="700">
        <v>0</v>
      </c>
      <c r="C65" s="688">
        <v>1648</v>
      </c>
      <c r="D65" s="745">
        <v>40.5</v>
      </c>
      <c r="E65" s="746"/>
      <c r="F65" s="747"/>
      <c r="G65" s="748">
        <f t="shared" si="7"/>
        <v>40.5</v>
      </c>
      <c r="H65" s="746">
        <v>5.7</v>
      </c>
      <c r="I65" s="746"/>
      <c r="J65" s="746"/>
      <c r="K65" s="746"/>
      <c r="L65" s="749">
        <f t="shared" si="8"/>
        <v>5.7</v>
      </c>
      <c r="M65" s="688">
        <f t="shared" si="11"/>
        <v>1033.4622463157154</v>
      </c>
      <c r="N65" s="706">
        <f t="shared" si="13"/>
        <v>1607.5</v>
      </c>
      <c r="O65" s="707">
        <f t="shared" si="14"/>
        <v>1649.25</v>
      </c>
      <c r="P65" s="708">
        <f t="shared" si="15"/>
        <v>0.68701106647208865</v>
      </c>
      <c r="Q65" s="709">
        <f t="shared" si="9"/>
        <v>0.286827120252097</v>
      </c>
      <c r="R65" s="710">
        <f>SUM(Q$13:Q65)</f>
        <v>9.4487212029432239</v>
      </c>
      <c r="S65" s="711">
        <f t="shared" si="10"/>
        <v>0.57291018359516288</v>
      </c>
      <c r="T65" s="711"/>
      <c r="U65" s="711"/>
      <c r="V65" s="711">
        <f t="shared" si="12"/>
        <v>0</v>
      </c>
      <c r="W65" s="711">
        <f t="shared" si="5"/>
        <v>0.55154409561843731</v>
      </c>
      <c r="X65" s="711"/>
      <c r="Y65" s="711"/>
      <c r="Z65" s="722"/>
    </row>
    <row r="66" spans="1:26">
      <c r="A66" s="716">
        <v>570</v>
      </c>
      <c r="B66" s="700">
        <v>0</v>
      </c>
      <c r="C66" s="688">
        <f>C67-D67</f>
        <v>1683</v>
      </c>
      <c r="D66" s="745">
        <v>32.5</v>
      </c>
      <c r="E66" s="746"/>
      <c r="F66" s="747"/>
      <c r="G66" s="748">
        <f t="shared" si="7"/>
        <v>32.5</v>
      </c>
      <c r="H66" s="746">
        <v>5.7</v>
      </c>
      <c r="I66" s="746"/>
      <c r="J66" s="746"/>
      <c r="K66" s="746"/>
      <c r="L66" s="749">
        <f t="shared" si="8"/>
        <v>5.7</v>
      </c>
      <c r="M66" s="688">
        <f t="shared" si="11"/>
        <v>829.32155568545056</v>
      </c>
      <c r="N66" s="706">
        <f t="shared" si="13"/>
        <v>1649.25</v>
      </c>
      <c r="O66" s="707">
        <f t="shared" si="14"/>
        <v>1683</v>
      </c>
      <c r="P66" s="708">
        <f t="shared" si="15"/>
        <v>0.68730879607836048</v>
      </c>
      <c r="Q66" s="709">
        <f t="shared" si="9"/>
        <v>0.23196671867644666</v>
      </c>
      <c r="R66" s="710">
        <f>SUM(Q$13:Q66)</f>
        <v>9.6806879216196702</v>
      </c>
      <c r="S66" s="711">
        <f t="shared" si="10"/>
        <v>0.57520427341768687</v>
      </c>
      <c r="T66" s="711"/>
      <c r="U66" s="711"/>
      <c r="V66" s="711">
        <f t="shared" si="12"/>
        <v>0</v>
      </c>
      <c r="W66" s="711">
        <f t="shared" si="5"/>
        <v>0.88023758094246163</v>
      </c>
      <c r="X66" s="711"/>
      <c r="Y66" s="711"/>
      <c r="Z66" s="722"/>
    </row>
    <row r="67" spans="1:26">
      <c r="A67" s="716">
        <v>730</v>
      </c>
      <c r="B67" s="700">
        <v>0</v>
      </c>
      <c r="C67" s="688">
        <v>1724</v>
      </c>
      <c r="D67" s="745">
        <v>41</v>
      </c>
      <c r="E67" s="746"/>
      <c r="F67" s="747"/>
      <c r="G67" s="748">
        <f t="shared" si="7"/>
        <v>41</v>
      </c>
      <c r="H67" s="746">
        <v>5.7</v>
      </c>
      <c r="I67" s="746"/>
      <c r="J67" s="746"/>
      <c r="K67" s="746"/>
      <c r="L67" s="749">
        <f t="shared" si="8"/>
        <v>5.7</v>
      </c>
      <c r="M67" s="688">
        <f t="shared" si="11"/>
        <v>1046.2210394801068</v>
      </c>
      <c r="N67" s="706">
        <f t="shared" si="13"/>
        <v>1683</v>
      </c>
      <c r="O67" s="707">
        <f t="shared" si="14"/>
        <v>1724.25</v>
      </c>
      <c r="P67" s="708">
        <f t="shared" si="15"/>
        <v>0.69774930196658547</v>
      </c>
      <c r="Q67" s="709">
        <f t="shared" si="9"/>
        <v>0.28782158706121647</v>
      </c>
      <c r="R67" s="710">
        <f>SUM(Q$13:Q67)</f>
        <v>9.9685095086808868</v>
      </c>
      <c r="S67" s="711">
        <f t="shared" si="10"/>
        <v>0.57813597266526817</v>
      </c>
      <c r="T67" s="711"/>
      <c r="U67" s="711"/>
      <c r="V67" s="711">
        <f t="shared" si="12"/>
        <v>0</v>
      </c>
      <c r="W67" s="711">
        <f t="shared" si="5"/>
        <v>0.54481794811089557</v>
      </c>
      <c r="X67" s="711"/>
      <c r="Y67" s="711"/>
      <c r="Z67" s="722" t="s">
        <v>265</v>
      </c>
    </row>
    <row r="68" spans="1:26">
      <c r="A68" s="716">
        <v>570</v>
      </c>
      <c r="B68" s="700">
        <v>0</v>
      </c>
      <c r="C68" s="688">
        <f>C69-D69</f>
        <v>1753.5</v>
      </c>
      <c r="D68" s="745">
        <v>29</v>
      </c>
      <c r="E68" s="746"/>
      <c r="F68" s="747"/>
      <c r="G68" s="748">
        <f t="shared" si="7"/>
        <v>29</v>
      </c>
      <c r="H68" s="746">
        <v>5.7</v>
      </c>
      <c r="I68" s="746"/>
      <c r="J68" s="746"/>
      <c r="K68" s="746"/>
      <c r="L68" s="749">
        <f t="shared" si="8"/>
        <v>5.7</v>
      </c>
      <c r="M68" s="688">
        <f t="shared" si="11"/>
        <v>740.01000353470977</v>
      </c>
      <c r="N68" s="706">
        <f t="shared" si="13"/>
        <v>1724.25</v>
      </c>
      <c r="O68" s="707">
        <f t="shared" si="14"/>
        <v>1753.5</v>
      </c>
      <c r="P68" s="708">
        <f t="shared" si="15"/>
        <v>0.77025985767402461</v>
      </c>
      <c r="Q68" s="709">
        <f t="shared" si="9"/>
        <v>0.22530100836965217</v>
      </c>
      <c r="R68" s="710">
        <f>SUM(Q$13:Q68)</f>
        <v>10.193810517050538</v>
      </c>
      <c r="S68" s="711">
        <f t="shared" si="10"/>
        <v>0.58134077656404548</v>
      </c>
      <c r="T68" s="711">
        <v>0</v>
      </c>
      <c r="U68" s="711">
        <v>5</v>
      </c>
      <c r="V68" s="711">
        <f t="shared" si="12"/>
        <v>127.58793164391548</v>
      </c>
      <c r="W68" s="711">
        <f t="shared" si="5"/>
        <v>0.59895897270255061</v>
      </c>
      <c r="X68" s="711"/>
      <c r="Y68" s="711"/>
      <c r="Z68" s="722"/>
    </row>
    <row r="69" spans="1:26">
      <c r="A69" s="716">
        <v>585</v>
      </c>
      <c r="B69" s="700">
        <v>0</v>
      </c>
      <c r="C69" s="688">
        <v>1782</v>
      </c>
      <c r="D69" s="745">
        <v>28.5</v>
      </c>
      <c r="E69" s="746"/>
      <c r="F69" s="747"/>
      <c r="G69" s="748">
        <f t="shared" si="7"/>
        <v>28.5</v>
      </c>
      <c r="H69" s="746">
        <v>5.7</v>
      </c>
      <c r="I69" s="746"/>
      <c r="J69" s="746"/>
      <c r="K69" s="746"/>
      <c r="L69" s="749">
        <f t="shared" si="8"/>
        <v>5.7</v>
      </c>
      <c r="M69" s="688">
        <f t="shared" si="11"/>
        <v>727.25121037031818</v>
      </c>
      <c r="N69" s="706">
        <f t="shared" si="13"/>
        <v>1753.5</v>
      </c>
      <c r="O69" s="707">
        <f t="shared" si="14"/>
        <v>1781.5</v>
      </c>
      <c r="P69" s="708">
        <f t="shared" si="15"/>
        <v>0.80439879873436926</v>
      </c>
      <c r="Q69" s="709">
        <f t="shared" si="9"/>
        <v>0.22523166364562339</v>
      </c>
      <c r="R69" s="710">
        <f>SUM(Q$13:Q69)</f>
        <v>10.419042180696161</v>
      </c>
      <c r="S69" s="711">
        <f t="shared" si="10"/>
        <v>0.58484660009520972</v>
      </c>
      <c r="T69" s="711">
        <v>1</v>
      </c>
      <c r="U69" s="711">
        <v>4</v>
      </c>
      <c r="V69" s="711">
        <f t="shared" si="12"/>
        <v>102.07034531513239</v>
      </c>
      <c r="W69" s="711">
        <f t="shared" si="5"/>
        <v>0.81345826142272082</v>
      </c>
      <c r="X69" s="711"/>
      <c r="Y69" s="711"/>
      <c r="Z69" s="722"/>
    </row>
    <row r="70" spans="1:26">
      <c r="A70" s="716">
        <v>705</v>
      </c>
      <c r="B70" s="700">
        <v>0</v>
      </c>
      <c r="C70" s="688">
        <v>1815</v>
      </c>
      <c r="D70" s="745">
        <v>34</v>
      </c>
      <c r="E70" s="746"/>
      <c r="F70" s="747"/>
      <c r="G70" s="748">
        <f t="shared" si="7"/>
        <v>34</v>
      </c>
      <c r="H70" s="746">
        <v>5.7</v>
      </c>
      <c r="I70" s="746"/>
      <c r="J70" s="746"/>
      <c r="K70" s="746"/>
      <c r="L70" s="749">
        <f t="shared" si="8"/>
        <v>5.7</v>
      </c>
      <c r="M70" s="688">
        <f t="shared" si="11"/>
        <v>867.59793517862533</v>
      </c>
      <c r="N70" s="706">
        <f t="shared" si="13"/>
        <v>1781.5</v>
      </c>
      <c r="O70" s="707">
        <f t="shared" si="14"/>
        <v>1814.75</v>
      </c>
      <c r="P70" s="708">
        <f t="shared" si="15"/>
        <v>0.81258837926447014</v>
      </c>
      <c r="Q70" s="709">
        <f t="shared" si="9"/>
        <v>0.27018563610543633</v>
      </c>
      <c r="R70" s="710">
        <f>SUM(Q$13:Q70)</f>
        <v>10.689227816801598</v>
      </c>
      <c r="S70" s="711">
        <f t="shared" si="10"/>
        <v>0.58901930386012391</v>
      </c>
      <c r="T70" s="711"/>
      <c r="U70" s="711"/>
      <c r="V70" s="711">
        <f t="shared" si="12"/>
        <v>0</v>
      </c>
      <c r="W70" s="711">
        <f t="shared" si="5"/>
        <v>0.62240812028767922</v>
      </c>
      <c r="X70" s="711"/>
      <c r="Y70" s="711"/>
      <c r="Z70" s="722"/>
    </row>
    <row r="71" spans="1:26">
      <c r="A71" s="716">
        <v>540</v>
      </c>
      <c r="B71" s="700">
        <v>0</v>
      </c>
      <c r="C71" s="688">
        <f>C72-D72</f>
        <v>1839.5</v>
      </c>
      <c r="D71" s="745">
        <v>25</v>
      </c>
      <c r="E71" s="746"/>
      <c r="F71" s="747"/>
      <c r="G71" s="748">
        <f t="shared" si="7"/>
        <v>25</v>
      </c>
      <c r="H71" s="746">
        <v>5.7</v>
      </c>
      <c r="I71" s="746"/>
      <c r="J71" s="746"/>
      <c r="K71" s="746"/>
      <c r="L71" s="749">
        <f t="shared" si="8"/>
        <v>5.7</v>
      </c>
      <c r="M71" s="688">
        <f t="shared" si="11"/>
        <v>637.93965821957738</v>
      </c>
      <c r="N71" s="706">
        <f t="shared" si="13"/>
        <v>1814.75</v>
      </c>
      <c r="O71" s="707">
        <f t="shared" si="14"/>
        <v>1839.5</v>
      </c>
      <c r="P71" s="708">
        <f t="shared" si="15"/>
        <v>0.84647504359124393</v>
      </c>
      <c r="Q71" s="709">
        <f t="shared" si="9"/>
        <v>0.20950257328883284</v>
      </c>
      <c r="R71" s="710">
        <f>SUM(Q$13:Q71)</f>
        <v>10.89873039009043</v>
      </c>
      <c r="S71" s="711">
        <f t="shared" si="10"/>
        <v>0.59248330470728072</v>
      </c>
      <c r="T71" s="711"/>
      <c r="U71" s="711"/>
      <c r="V71" s="711">
        <f t="shared" si="12"/>
        <v>0</v>
      </c>
      <c r="W71" s="711">
        <f t="shared" si="5"/>
        <v>0.75242226096999454</v>
      </c>
      <c r="X71" s="711"/>
      <c r="Y71" s="711"/>
      <c r="Z71" s="722"/>
    </row>
    <row r="72" spans="1:26">
      <c r="A72" s="716">
        <v>480</v>
      </c>
      <c r="B72" s="700">
        <v>0</v>
      </c>
      <c r="C72" s="688">
        <v>1862</v>
      </c>
      <c r="D72" s="745">
        <v>22.5</v>
      </c>
      <c r="E72" s="746"/>
      <c r="F72" s="747"/>
      <c r="G72" s="748">
        <f t="shared" si="7"/>
        <v>22.5</v>
      </c>
      <c r="H72" s="746">
        <v>5.7</v>
      </c>
      <c r="I72" s="746"/>
      <c r="J72" s="746"/>
      <c r="K72" s="746"/>
      <c r="L72" s="749">
        <f t="shared" si="8"/>
        <v>5.7</v>
      </c>
      <c r="M72" s="688">
        <f t="shared" si="11"/>
        <v>574.14569239761965</v>
      </c>
      <c r="N72" s="706">
        <f t="shared" si="13"/>
        <v>1839.5</v>
      </c>
      <c r="O72" s="707">
        <f t="shared" si="14"/>
        <v>1860.75</v>
      </c>
      <c r="P72" s="708">
        <f t="shared" si="15"/>
        <v>0.83602473441110503</v>
      </c>
      <c r="Q72" s="709">
        <f t="shared" si="9"/>
        <v>0.17765525606235982</v>
      </c>
      <c r="R72" s="710">
        <f>SUM(Q$13:Q72)</f>
        <v>11.07638564615279</v>
      </c>
      <c r="S72" s="711">
        <f t="shared" si="10"/>
        <v>0.59526457859211557</v>
      </c>
      <c r="T72" s="711"/>
      <c r="U72" s="711"/>
      <c r="V72" s="711">
        <f t="shared" si="12"/>
        <v>0</v>
      </c>
      <c r="W72" s="711">
        <f t="shared" si="5"/>
        <v>0.9318192352290442</v>
      </c>
      <c r="X72" s="711"/>
      <c r="Y72" s="711"/>
      <c r="Z72" s="722" t="s">
        <v>266</v>
      </c>
    </row>
    <row r="73" spans="1:26">
      <c r="A73" s="716">
        <v>535</v>
      </c>
      <c r="B73" s="700">
        <v>0</v>
      </c>
      <c r="C73" s="688">
        <f>C74-D74</f>
        <v>1884</v>
      </c>
      <c r="D73" s="745">
        <v>24.5</v>
      </c>
      <c r="E73" s="746"/>
      <c r="F73" s="747"/>
      <c r="G73" s="748">
        <f t="shared" si="7"/>
        <v>24.5</v>
      </c>
      <c r="H73" s="746">
        <v>5.7</v>
      </c>
      <c r="I73" s="746"/>
      <c r="J73" s="746"/>
      <c r="K73" s="746"/>
      <c r="L73" s="749">
        <f t="shared" si="8"/>
        <v>5.7</v>
      </c>
      <c r="M73" s="688">
        <f t="shared" si="11"/>
        <v>625.18086505518579</v>
      </c>
      <c r="N73" s="706">
        <f t="shared" si="13"/>
        <v>1860.75</v>
      </c>
      <c r="O73" s="707">
        <f t="shared" si="14"/>
        <v>1884</v>
      </c>
      <c r="P73" s="708">
        <f t="shared" si="15"/>
        <v>0.85575235888381618</v>
      </c>
      <c r="Q73" s="709">
        <f t="shared" si="9"/>
        <v>0.19896242344048726</v>
      </c>
      <c r="R73" s="710">
        <f>SUM(Q$13:Q73)</f>
        <v>11.275348069593278</v>
      </c>
      <c r="S73" s="711">
        <f t="shared" si="10"/>
        <v>0.59847919689985551</v>
      </c>
      <c r="T73" s="711"/>
      <c r="U73" s="711"/>
      <c r="V73" s="711">
        <f t="shared" si="12"/>
        <v>0</v>
      </c>
      <c r="W73" s="711">
        <f t="shared" si="5"/>
        <v>1.2796296955272017</v>
      </c>
      <c r="X73" s="711"/>
      <c r="Y73" s="711"/>
      <c r="Z73" s="722"/>
    </row>
    <row r="74" spans="1:26">
      <c r="A74" s="716">
        <v>800</v>
      </c>
      <c r="B74" s="700">
        <v>0</v>
      </c>
      <c r="C74" s="688">
        <v>1926</v>
      </c>
      <c r="D74" s="745">
        <v>42</v>
      </c>
      <c r="E74" s="746"/>
      <c r="F74" s="747"/>
      <c r="G74" s="748">
        <f t="shared" si="7"/>
        <v>42</v>
      </c>
      <c r="H74" s="746">
        <v>5.7</v>
      </c>
      <c r="I74" s="746"/>
      <c r="J74" s="746"/>
      <c r="K74" s="746"/>
      <c r="L74" s="749">
        <f t="shared" si="8"/>
        <v>5.7</v>
      </c>
      <c r="M74" s="688">
        <f t="shared" si="11"/>
        <v>1071.73862580889</v>
      </c>
      <c r="N74" s="706">
        <f t="shared" si="13"/>
        <v>1884</v>
      </c>
      <c r="O74" s="707">
        <f t="shared" si="14"/>
        <v>1932.5</v>
      </c>
      <c r="P74" s="708">
        <f t="shared" si="15"/>
        <v>0.746450655724201</v>
      </c>
      <c r="Q74" s="709">
        <f t="shared" si="9"/>
        <v>0.36202856802623751</v>
      </c>
      <c r="R74" s="710">
        <f>SUM(Q$13:Q74)</f>
        <v>11.637376637619516</v>
      </c>
      <c r="S74" s="711">
        <f t="shared" si="10"/>
        <v>0.60219284023904351</v>
      </c>
      <c r="T74" s="711">
        <v>13</v>
      </c>
      <c r="U74" s="711">
        <v>5</v>
      </c>
      <c r="V74" s="711">
        <f t="shared" si="12"/>
        <v>127.58793164391548</v>
      </c>
      <c r="W74" s="711">
        <f t="shared" si="5"/>
        <v>0.69348590561976509</v>
      </c>
      <c r="X74" s="711"/>
      <c r="Y74" s="711"/>
      <c r="Z74" s="722" t="s">
        <v>267</v>
      </c>
    </row>
    <row r="75" spans="1:26">
      <c r="A75" s="716">
        <v>885</v>
      </c>
      <c r="B75" s="700">
        <v>0</v>
      </c>
      <c r="C75" s="688">
        <f>C76-D76</f>
        <v>1978</v>
      </c>
      <c r="D75" s="745">
        <v>39</v>
      </c>
      <c r="E75" s="746"/>
      <c r="F75" s="747"/>
      <c r="G75" s="748">
        <f t="shared" si="7"/>
        <v>39</v>
      </c>
      <c r="H75" s="746">
        <v>5.7</v>
      </c>
      <c r="I75" s="746"/>
      <c r="J75" s="746"/>
      <c r="K75" s="746"/>
      <c r="L75" s="749">
        <f t="shared" si="8"/>
        <v>5.7</v>
      </c>
      <c r="M75" s="688">
        <f t="shared" si="11"/>
        <v>995.18586682254067</v>
      </c>
      <c r="N75" s="706">
        <f t="shared" si="13"/>
        <v>1932.5</v>
      </c>
      <c r="O75" s="707">
        <f t="shared" si="14"/>
        <v>1978</v>
      </c>
      <c r="P75" s="708">
        <f t="shared" si="15"/>
        <v>0.88928111773296636</v>
      </c>
      <c r="Q75" s="709">
        <f t="shared" si="9"/>
        <v>0.4046229085684997</v>
      </c>
      <c r="R75" s="710">
        <f>SUM(Q$13:Q75)</f>
        <v>12.041999546188016</v>
      </c>
      <c r="S75" s="711">
        <f t="shared" si="10"/>
        <v>0.60879674146552154</v>
      </c>
      <c r="T75" s="711"/>
      <c r="U75" s="711"/>
      <c r="V75" s="711">
        <f t="shared" si="12"/>
        <v>0</v>
      </c>
      <c r="W75" s="711">
        <f t="shared" si="5"/>
        <v>0.34666891030268182</v>
      </c>
      <c r="X75" s="711"/>
      <c r="Y75" s="711"/>
      <c r="Z75" s="722" t="s">
        <v>268</v>
      </c>
    </row>
    <row r="76" spans="1:26">
      <c r="A76" s="716">
        <v>345</v>
      </c>
      <c r="B76" s="700">
        <v>0</v>
      </c>
      <c r="C76" s="688">
        <f>C77-D77</f>
        <v>1998</v>
      </c>
      <c r="D76" s="745">
        <v>20</v>
      </c>
      <c r="E76" s="746"/>
      <c r="F76" s="747"/>
      <c r="G76" s="748">
        <f t="shared" si="7"/>
        <v>20</v>
      </c>
      <c r="H76" s="746">
        <v>5.7</v>
      </c>
      <c r="I76" s="746"/>
      <c r="J76" s="746"/>
      <c r="K76" s="746"/>
      <c r="L76" s="749">
        <f t="shared" si="8"/>
        <v>5.7</v>
      </c>
      <c r="M76" s="688">
        <f t="shared" si="11"/>
        <v>510.35172657566193</v>
      </c>
      <c r="N76" s="706">
        <f t="shared" si="13"/>
        <v>1978</v>
      </c>
      <c r="O76" s="707">
        <f t="shared" si="14"/>
        <v>1998</v>
      </c>
      <c r="P76" s="708">
        <f t="shared" ref="P76:P86" si="16">(A76-B76)/M76</f>
        <v>0.67600437509022948</v>
      </c>
      <c r="Q76" s="709">
        <f t="shared" ref="Q76:Q86" si="17">(P76*(O76-N76))/100</f>
        <v>0.1352008750180459</v>
      </c>
      <c r="R76" s="710">
        <f>SUM(Q$13:Q76)</f>
        <v>12.177200421206063</v>
      </c>
      <c r="S76" s="711">
        <f t="shared" ref="S76:S86" si="18">R76/O76*100</f>
        <v>0.60946949055085398</v>
      </c>
      <c r="T76" s="711">
        <v>1</v>
      </c>
      <c r="U76" s="711">
        <v>15</v>
      </c>
      <c r="V76" s="711">
        <f t="shared" ref="V76:V87" si="19">U76*    PI()* (L76/2)^2</f>
        <v>382.76379493174642</v>
      </c>
      <c r="W76" s="711">
        <f t="shared" si="5"/>
        <v>6.8005833453639378E-2</v>
      </c>
      <c r="X76" s="711"/>
      <c r="Y76" s="711"/>
      <c r="Z76" s="722"/>
    </row>
    <row r="77" spans="1:26">
      <c r="A77" s="716">
        <v>460</v>
      </c>
      <c r="B77" s="700">
        <v>0</v>
      </c>
      <c r="C77" s="688">
        <v>2022</v>
      </c>
      <c r="D77" s="745">
        <v>24</v>
      </c>
      <c r="E77" s="746"/>
      <c r="F77" s="747"/>
      <c r="G77" s="748">
        <f t="shared" si="7"/>
        <v>24</v>
      </c>
      <c r="H77" s="746">
        <v>5.7</v>
      </c>
      <c r="I77" s="746"/>
      <c r="J77" s="746"/>
      <c r="K77" s="746"/>
      <c r="L77" s="749">
        <f t="shared" si="8"/>
        <v>5.7</v>
      </c>
      <c r="M77" s="688">
        <f t="shared" si="11"/>
        <v>612.42207189079431</v>
      </c>
      <c r="N77" s="706">
        <f t="shared" si="13"/>
        <v>1998</v>
      </c>
      <c r="O77" s="707">
        <f t="shared" si="14"/>
        <v>2015</v>
      </c>
      <c r="P77" s="708">
        <f t="shared" si="16"/>
        <v>0.75111597232247718</v>
      </c>
      <c r="Q77" s="709">
        <f t="shared" si="17"/>
        <v>0.12768971529482112</v>
      </c>
      <c r="R77" s="710">
        <f>SUM(Q$13:Q77)</f>
        <v>12.304890136500884</v>
      </c>
      <c r="S77" s="711">
        <f t="shared" si="18"/>
        <v>0.61066452290326967</v>
      </c>
      <c r="T77" s="711"/>
      <c r="U77" s="711"/>
      <c r="V77" s="711">
        <f t="shared" si="19"/>
        <v>0</v>
      </c>
      <c r="W77" s="711">
        <f t="shared" si="5"/>
        <v>1.567546377020822</v>
      </c>
      <c r="X77" s="711"/>
      <c r="Y77" s="711"/>
      <c r="Z77" s="722" t="s">
        <v>269</v>
      </c>
    </row>
    <row r="78" spans="1:26">
      <c r="A78" s="716">
        <v>960</v>
      </c>
      <c r="B78" s="700">
        <v>0</v>
      </c>
      <c r="C78" s="688">
        <f>C79-D79</f>
        <v>2058</v>
      </c>
      <c r="D78" s="745">
        <v>50</v>
      </c>
      <c r="E78" s="746"/>
      <c r="F78" s="747"/>
      <c r="G78" s="748">
        <f t="shared" si="7"/>
        <v>50</v>
      </c>
      <c r="H78" s="746">
        <v>5.7</v>
      </c>
      <c r="I78" s="746"/>
      <c r="J78" s="746"/>
      <c r="K78" s="746"/>
      <c r="L78" s="749">
        <f t="shared" si="8"/>
        <v>5.7</v>
      </c>
      <c r="M78" s="688">
        <f t="shared" si="11"/>
        <v>1275.8793164391548</v>
      </c>
      <c r="N78" s="706">
        <f t="shared" si="13"/>
        <v>2015</v>
      </c>
      <c r="O78" s="707">
        <f t="shared" si="14"/>
        <v>2058</v>
      </c>
      <c r="P78" s="708">
        <f t="shared" si="16"/>
        <v>0.75242226096999454</v>
      </c>
      <c r="Q78" s="709">
        <f t="shared" si="17"/>
        <v>0.32354157221709762</v>
      </c>
      <c r="R78" s="710">
        <f>SUM(Q$13:Q78)</f>
        <v>12.628431708717981</v>
      </c>
      <c r="S78" s="711">
        <f t="shared" si="18"/>
        <v>0.61362641927686978</v>
      </c>
      <c r="T78" s="711"/>
      <c r="U78" s="711"/>
      <c r="V78" s="711">
        <f t="shared" si="19"/>
        <v>0</v>
      </c>
      <c r="W78" s="711">
        <f t="shared" si="5"/>
        <v>0.30567154351906028</v>
      </c>
      <c r="X78" s="711"/>
      <c r="Y78" s="711"/>
      <c r="Z78" s="722" t="s">
        <v>270</v>
      </c>
    </row>
    <row r="79" spans="1:26">
      <c r="A79" s="716">
        <v>390</v>
      </c>
      <c r="B79" s="700">
        <v>0</v>
      </c>
      <c r="C79" s="688">
        <v>2078</v>
      </c>
      <c r="D79" s="745">
        <v>20</v>
      </c>
      <c r="E79" s="746"/>
      <c r="F79" s="747"/>
      <c r="G79" s="748">
        <f t="shared" si="7"/>
        <v>20</v>
      </c>
      <c r="H79" s="746">
        <v>5.7</v>
      </c>
      <c r="I79" s="746"/>
      <c r="J79" s="746"/>
      <c r="K79" s="746"/>
      <c r="L79" s="749">
        <f t="shared" si="8"/>
        <v>5.7</v>
      </c>
      <c r="M79" s="688">
        <f t="shared" si="11"/>
        <v>510.35172657566193</v>
      </c>
      <c r="N79" s="706">
        <f t="shared" si="13"/>
        <v>2058</v>
      </c>
      <c r="O79" s="707">
        <f t="shared" si="14"/>
        <v>2079.5</v>
      </c>
      <c r="P79" s="708">
        <f t="shared" si="16"/>
        <v>0.76417885879765068</v>
      </c>
      <c r="Q79" s="709">
        <f t="shared" si="17"/>
        <v>0.1642984546414949</v>
      </c>
      <c r="R79" s="710">
        <f>SUM(Q$13:Q79)</f>
        <v>12.792730163359476</v>
      </c>
      <c r="S79" s="711">
        <f t="shared" si="18"/>
        <v>0.61518298453279519</v>
      </c>
      <c r="T79" s="711"/>
      <c r="U79" s="711"/>
      <c r="V79" s="711">
        <f t="shared" si="19"/>
        <v>0</v>
      </c>
      <c r="W79" s="711">
        <f t="shared" si="5"/>
        <v>1.1364711233400959</v>
      </c>
      <c r="X79" s="711"/>
      <c r="Y79" s="711"/>
      <c r="Z79" s="722"/>
    </row>
    <row r="80" spans="1:26">
      <c r="A80" s="716">
        <v>580</v>
      </c>
      <c r="B80" s="700">
        <v>0</v>
      </c>
      <c r="C80" s="688">
        <f>C81-D81</f>
        <v>2108</v>
      </c>
      <c r="D80" s="745">
        <v>27</v>
      </c>
      <c r="E80" s="746"/>
      <c r="F80" s="747"/>
      <c r="G80" s="748">
        <f t="shared" si="7"/>
        <v>27</v>
      </c>
      <c r="H80" s="746">
        <v>5.7</v>
      </c>
      <c r="I80" s="746"/>
      <c r="J80" s="746"/>
      <c r="K80" s="746"/>
      <c r="L80" s="749">
        <f t="shared" si="8"/>
        <v>5.7</v>
      </c>
      <c r="M80" s="688">
        <f t="shared" si="11"/>
        <v>688.97483087714352</v>
      </c>
      <c r="N80" s="706">
        <f t="shared" si="13"/>
        <v>2079.5</v>
      </c>
      <c r="O80" s="707">
        <f t="shared" si="14"/>
        <v>2108</v>
      </c>
      <c r="P80" s="708">
        <f t="shared" si="16"/>
        <v>0.84183046173340448</v>
      </c>
      <c r="Q80" s="709">
        <f t="shared" si="17"/>
        <v>0.23992168159402028</v>
      </c>
      <c r="R80" s="710">
        <f>SUM(Q$13:Q80)</f>
        <v>13.032651844953497</v>
      </c>
      <c r="S80" s="711">
        <f t="shared" si="18"/>
        <v>0.61824724122170294</v>
      </c>
      <c r="T80" s="711"/>
      <c r="U80" s="711"/>
      <c r="V80" s="711">
        <f t="shared" si="19"/>
        <v>0</v>
      </c>
      <c r="W80" s="711">
        <f t="shared" si="5"/>
        <v>0.9144020532621463</v>
      </c>
      <c r="X80" s="711"/>
      <c r="Y80" s="711"/>
      <c r="Z80" s="722"/>
    </row>
    <row r="81" spans="1:26">
      <c r="A81" s="716">
        <v>630</v>
      </c>
      <c r="B81" s="700">
        <v>0</v>
      </c>
      <c r="C81" s="688">
        <v>2137</v>
      </c>
      <c r="D81" s="745">
        <v>29</v>
      </c>
      <c r="E81" s="746"/>
      <c r="F81" s="747"/>
      <c r="G81" s="748">
        <f t="shared" si="7"/>
        <v>29</v>
      </c>
      <c r="H81" s="746">
        <v>5.7</v>
      </c>
      <c r="I81" s="746"/>
      <c r="J81" s="746"/>
      <c r="K81" s="746"/>
      <c r="L81" s="749">
        <f t="shared" si="8"/>
        <v>5.7</v>
      </c>
      <c r="M81" s="688">
        <f t="shared" si="11"/>
        <v>740.01000353470977</v>
      </c>
      <c r="N81" s="706">
        <f t="shared" si="13"/>
        <v>2108</v>
      </c>
      <c r="O81" s="707">
        <f t="shared" si="14"/>
        <v>2137</v>
      </c>
      <c r="P81" s="708">
        <f t="shared" si="16"/>
        <v>0.85133984269234297</v>
      </c>
      <c r="Q81" s="709">
        <f t="shared" si="17"/>
        <v>0.24688855438077947</v>
      </c>
      <c r="R81" s="710">
        <f>SUM(Q$13:Q81)</f>
        <v>13.279540399334277</v>
      </c>
      <c r="S81" s="711">
        <f t="shared" si="18"/>
        <v>0.62141040708162265</v>
      </c>
      <c r="T81" s="711">
        <v>8</v>
      </c>
      <c r="U81" s="711">
        <v>1</v>
      </c>
      <c r="V81" s="711">
        <f t="shared" si="19"/>
        <v>25.517586328783096</v>
      </c>
      <c r="W81" s="711">
        <f t="shared" si="5"/>
        <v>0.62383903473772273</v>
      </c>
      <c r="X81" s="711"/>
      <c r="Y81" s="711"/>
      <c r="Z81" s="722"/>
    </row>
    <row r="82" spans="1:26">
      <c r="A82" s="716">
        <v>490</v>
      </c>
      <c r="B82" s="700">
        <v>0</v>
      </c>
      <c r="C82" s="688">
        <f>C83-D83</f>
        <v>2161</v>
      </c>
      <c r="D82" s="745">
        <v>24</v>
      </c>
      <c r="E82" s="746"/>
      <c r="F82" s="747"/>
      <c r="G82" s="748">
        <f t="shared" si="7"/>
        <v>24</v>
      </c>
      <c r="H82" s="746">
        <v>5.7</v>
      </c>
      <c r="I82" s="746"/>
      <c r="J82" s="746"/>
      <c r="K82" s="746"/>
      <c r="L82" s="749">
        <f t="shared" si="8"/>
        <v>5.7</v>
      </c>
      <c r="M82" s="688">
        <f t="shared" si="11"/>
        <v>612.42207189079431</v>
      </c>
      <c r="N82" s="706">
        <f t="shared" si="13"/>
        <v>2137</v>
      </c>
      <c r="O82" s="707">
        <f t="shared" si="14"/>
        <v>2161</v>
      </c>
      <c r="P82" s="708">
        <f t="shared" si="16"/>
        <v>0.80010179660437786</v>
      </c>
      <c r="Q82" s="709">
        <f t="shared" si="17"/>
        <v>0.19202443118505069</v>
      </c>
      <c r="R82" s="710">
        <f>SUM(Q$13:Q82)</f>
        <v>13.471564830519327</v>
      </c>
      <c r="S82" s="711">
        <f t="shared" si="18"/>
        <v>0.62339494819617425</v>
      </c>
      <c r="T82" s="711">
        <v>15</v>
      </c>
      <c r="U82" s="711">
        <v>1</v>
      </c>
      <c r="V82" s="711">
        <f t="shared" si="19"/>
        <v>25.517586328783096</v>
      </c>
      <c r="W82" s="711">
        <f t="shared" si="5"/>
        <v>0.76196980435506501</v>
      </c>
      <c r="X82" s="711"/>
      <c r="Y82" s="711"/>
      <c r="Z82" s="722" t="s">
        <v>271</v>
      </c>
    </row>
    <row r="83" spans="1:26">
      <c r="A83" s="716">
        <v>495</v>
      </c>
      <c r="B83" s="700">
        <v>0</v>
      </c>
      <c r="C83" s="688">
        <v>2186</v>
      </c>
      <c r="D83" s="745">
        <v>25</v>
      </c>
      <c r="E83" s="746"/>
      <c r="F83" s="747"/>
      <c r="G83" s="748">
        <f t="shared" si="7"/>
        <v>25</v>
      </c>
      <c r="H83" s="746">
        <v>5.7</v>
      </c>
      <c r="I83" s="746"/>
      <c r="J83" s="746"/>
      <c r="K83" s="746"/>
      <c r="L83" s="749">
        <f t="shared" si="8"/>
        <v>5.7</v>
      </c>
      <c r="M83" s="688">
        <f t="shared" si="11"/>
        <v>637.93965821957738</v>
      </c>
      <c r="N83" s="706">
        <f t="shared" si="13"/>
        <v>2161</v>
      </c>
      <c r="O83" s="707">
        <f t="shared" si="14"/>
        <v>2185.75</v>
      </c>
      <c r="P83" s="708">
        <f>(A83-B83)/M83</f>
        <v>0.77593545662530694</v>
      </c>
      <c r="Q83" s="709">
        <f t="shared" si="17"/>
        <v>0.19204402551476346</v>
      </c>
      <c r="R83" s="710">
        <f>SUM(Q$13:Q83)</f>
        <v>13.66360885603409</v>
      </c>
      <c r="S83" s="711">
        <f t="shared" si="18"/>
        <v>0.62512221690651215</v>
      </c>
      <c r="T83" s="711"/>
      <c r="U83" s="711"/>
      <c r="V83" s="711">
        <f t="shared" si="19"/>
        <v>0</v>
      </c>
      <c r="W83" s="711">
        <f t="shared" si="5"/>
        <v>0.79944865228061923</v>
      </c>
      <c r="X83" s="711"/>
      <c r="Y83" s="711"/>
      <c r="Z83" s="722"/>
    </row>
    <row r="84" spans="1:26">
      <c r="A84" s="716">
        <v>510</v>
      </c>
      <c r="B84" s="700">
        <v>0</v>
      </c>
      <c r="C84" s="688">
        <f>C85-D85</f>
        <v>2211</v>
      </c>
      <c r="D84" s="745">
        <v>25.5</v>
      </c>
      <c r="E84" s="746"/>
      <c r="F84" s="747"/>
      <c r="G84" s="748">
        <f t="shared" si="7"/>
        <v>25.5</v>
      </c>
      <c r="H84" s="746">
        <v>5.7</v>
      </c>
      <c r="I84" s="746"/>
      <c r="J84" s="746"/>
      <c r="K84" s="746"/>
      <c r="L84" s="749">
        <f t="shared" si="8"/>
        <v>5.7</v>
      </c>
      <c r="M84" s="688">
        <f t="shared" si="11"/>
        <v>650.69845138396897</v>
      </c>
      <c r="N84" s="706">
        <f t="shared" si="13"/>
        <v>2185.75</v>
      </c>
      <c r="O84" s="707">
        <f t="shared" si="14"/>
        <v>2211</v>
      </c>
      <c r="P84" s="708">
        <f t="shared" si="16"/>
        <v>0.783773188510411</v>
      </c>
      <c r="Q84" s="709">
        <f t="shared" si="17"/>
        <v>0.19790273009887877</v>
      </c>
      <c r="R84" s="710">
        <f>SUM(Q$13:Q84)</f>
        <v>13.861511586132968</v>
      </c>
      <c r="S84" s="711">
        <f t="shared" si="18"/>
        <v>0.62693403826924321</v>
      </c>
      <c r="T84" s="711"/>
      <c r="U84" s="711"/>
      <c r="V84" s="711">
        <f t="shared" si="19"/>
        <v>0</v>
      </c>
      <c r="W84" s="711">
        <f t="shared" si="5"/>
        <v>0.77608913764266185</v>
      </c>
      <c r="X84" s="711"/>
      <c r="Y84" s="711"/>
      <c r="Z84" s="722"/>
    </row>
    <row r="85" spans="1:26">
      <c r="A85" s="716">
        <v>505</v>
      </c>
      <c r="B85" s="700">
        <v>0</v>
      </c>
      <c r="C85" s="688">
        <v>2236</v>
      </c>
      <c r="D85" s="745">
        <v>25</v>
      </c>
      <c r="E85" s="746"/>
      <c r="F85" s="747"/>
      <c r="G85" s="748">
        <f t="shared" si="7"/>
        <v>25</v>
      </c>
      <c r="H85" s="746">
        <v>5.7</v>
      </c>
      <c r="I85" s="746"/>
      <c r="J85" s="746"/>
      <c r="K85" s="746"/>
      <c r="L85" s="749">
        <f t="shared" si="8"/>
        <v>5.7</v>
      </c>
      <c r="M85" s="688">
        <f t="shared" si="11"/>
        <v>637.93965821957738</v>
      </c>
      <c r="N85" s="706">
        <f t="shared" si="13"/>
        <v>2211</v>
      </c>
      <c r="O85" s="707">
        <f t="shared" si="14"/>
        <v>2236</v>
      </c>
      <c r="P85" s="708">
        <f t="shared" si="16"/>
        <v>0.79161092039551517</v>
      </c>
      <c r="Q85" s="709">
        <f t="shared" si="17"/>
        <v>0.19790273009887879</v>
      </c>
      <c r="R85" s="710">
        <f>SUM(Q$13:Q85)</f>
        <v>14.059414316231846</v>
      </c>
      <c r="S85" s="711">
        <f t="shared" si="18"/>
        <v>0.62877523775634381</v>
      </c>
      <c r="T85" s="711">
        <v>3</v>
      </c>
      <c r="U85" s="711">
        <v>5</v>
      </c>
      <c r="V85" s="711">
        <f t="shared" si="19"/>
        <v>127.58793164391548</v>
      </c>
      <c r="W85" s="711">
        <f t="shared" si="5"/>
        <v>0.89073570546256142</v>
      </c>
      <c r="X85" s="711"/>
      <c r="Y85" s="711"/>
      <c r="Z85" s="722"/>
    </row>
    <row r="86" spans="1:26">
      <c r="A86" s="716">
        <v>710</v>
      </c>
      <c r="B86" s="700">
        <v>0</v>
      </c>
      <c r="C86" s="688">
        <f>C87-D87</f>
        <v>2271.5</v>
      </c>
      <c r="D86" s="745">
        <v>35.5</v>
      </c>
      <c r="E86" s="746"/>
      <c r="F86" s="747"/>
      <c r="G86" s="748">
        <f t="shared" si="7"/>
        <v>35.5</v>
      </c>
      <c r="H86" s="746">
        <v>5.7</v>
      </c>
      <c r="I86" s="746"/>
      <c r="J86" s="746"/>
      <c r="K86" s="746"/>
      <c r="L86" s="749">
        <f t="shared" si="8"/>
        <v>5.7</v>
      </c>
      <c r="M86" s="688">
        <f t="shared" si="11"/>
        <v>905.87431467179999</v>
      </c>
      <c r="N86" s="706">
        <f t="shared" si="13"/>
        <v>2236</v>
      </c>
      <c r="O86" s="707">
        <f t="shared" si="14"/>
        <v>2271.5</v>
      </c>
      <c r="P86" s="708">
        <f t="shared" si="16"/>
        <v>0.78377318851041089</v>
      </c>
      <c r="Q86" s="709">
        <f t="shared" si="17"/>
        <v>0.27823948192119585</v>
      </c>
      <c r="R86" s="710">
        <f>SUM(Q$13:Q86)</f>
        <v>14.337653798153042</v>
      </c>
      <c r="S86" s="711">
        <f t="shared" si="18"/>
        <v>0.63119761383020212</v>
      </c>
      <c r="T86" s="711">
        <v>21</v>
      </c>
      <c r="U86" s="711">
        <v>0.5</v>
      </c>
      <c r="V86" s="711">
        <f t="shared" si="19"/>
        <v>12.758793164391548</v>
      </c>
      <c r="W86" s="711">
        <f t="shared" si="5"/>
        <v>0.66877220530330095</v>
      </c>
      <c r="X86" s="711"/>
      <c r="Y86" s="711"/>
      <c r="Z86" s="722"/>
    </row>
    <row r="87" spans="1:26">
      <c r="A87" s="716">
        <v>620</v>
      </c>
      <c r="B87" s="700">
        <v>0</v>
      </c>
      <c r="C87" s="688">
        <v>2303</v>
      </c>
      <c r="D87" s="745">
        <v>31.5</v>
      </c>
      <c r="E87" s="746"/>
      <c r="F87" s="747"/>
      <c r="G87" s="748">
        <f t="shared" ref="G87:G92" si="20">AVERAGE(D87:F87)</f>
        <v>31.5</v>
      </c>
      <c r="H87" s="746">
        <v>5.7</v>
      </c>
      <c r="I87" s="746"/>
      <c r="J87" s="746"/>
      <c r="K87" s="746"/>
      <c r="L87" s="749">
        <f t="shared" ref="L87:L94" si="21">AVERAGE(H87:K87)</f>
        <v>5.7</v>
      </c>
      <c r="M87" s="688">
        <f t="shared" ref="M87:M94" si="22">G87*    PI()* (L87/2)^2</f>
        <v>803.80396935666761</v>
      </c>
      <c r="N87" s="706">
        <f t="shared" si="13"/>
        <v>2271.5</v>
      </c>
      <c r="O87" s="707">
        <f t="shared" si="14"/>
        <v>2302.5</v>
      </c>
      <c r="P87" s="708">
        <f t="shared" ref="P87:P93" si="23">(A87-B87)/M87</f>
        <v>0.77133234424834085</v>
      </c>
      <c r="Q87" s="709">
        <f t="shared" ref="Q87:Q93" si="24">(P87*(O87-N87))/100</f>
        <v>0.23911302671698567</v>
      </c>
      <c r="R87" s="710">
        <f>SUM(Q$13:Q87)</f>
        <v>14.576766824870028</v>
      </c>
      <c r="S87" s="711">
        <f t="shared" ref="S87:S94" si="25">R87/O87*100</f>
        <v>0.63308433549924115</v>
      </c>
      <c r="T87" s="711">
        <v>5</v>
      </c>
      <c r="U87" s="711">
        <v>0.8</v>
      </c>
      <c r="V87" s="711">
        <f t="shared" si="19"/>
        <v>20.414069063026478</v>
      </c>
      <c r="W87" s="711"/>
      <c r="X87" s="711"/>
      <c r="Y87" s="711"/>
      <c r="Z87" s="722"/>
    </row>
    <row r="88" spans="1:26">
      <c r="A88" s="716">
        <v>555</v>
      </c>
      <c r="B88" s="700">
        <v>0</v>
      </c>
      <c r="C88" s="688">
        <f>C89-D89</f>
        <v>2329.5</v>
      </c>
      <c r="D88" s="745">
        <v>27.5</v>
      </c>
      <c r="E88" s="746"/>
      <c r="F88" s="747"/>
      <c r="G88" s="748">
        <f t="shared" si="20"/>
        <v>27.5</v>
      </c>
      <c r="H88" s="746">
        <v>5.7</v>
      </c>
      <c r="I88" s="746"/>
      <c r="J88" s="746"/>
      <c r="K88" s="746"/>
      <c r="L88" s="749">
        <f t="shared" si="21"/>
        <v>5.7</v>
      </c>
      <c r="M88" s="688">
        <f t="shared" si="22"/>
        <v>701.73362404153522</v>
      </c>
      <c r="N88" s="706">
        <f t="shared" si="13"/>
        <v>2302.5</v>
      </c>
      <c r="O88" s="707">
        <f t="shared" si="14"/>
        <v>2329.5</v>
      </c>
      <c r="P88" s="708">
        <f t="shared" si="23"/>
        <v>0.79089839931505102</v>
      </c>
      <c r="Q88" s="709">
        <f t="shared" si="24"/>
        <v>0.21354256781506378</v>
      </c>
      <c r="R88" s="710">
        <f>SUM(Q$13:Q88)</f>
        <v>14.790309392685092</v>
      </c>
      <c r="S88" s="711">
        <f t="shared" si="25"/>
        <v>0.63491347468062209</v>
      </c>
      <c r="T88" s="711"/>
      <c r="U88" s="711"/>
      <c r="V88" s="711"/>
      <c r="W88" s="711"/>
      <c r="X88" s="711"/>
      <c r="Y88" s="711"/>
      <c r="Z88" s="722"/>
    </row>
    <row r="89" spans="1:26">
      <c r="A89" s="716">
        <v>510</v>
      </c>
      <c r="B89" s="700">
        <v>0</v>
      </c>
      <c r="C89" s="688">
        <v>2354</v>
      </c>
      <c r="D89" s="745">
        <v>24.5</v>
      </c>
      <c r="E89" s="746"/>
      <c r="F89" s="747"/>
      <c r="G89" s="748">
        <f t="shared" si="20"/>
        <v>24.5</v>
      </c>
      <c r="H89" s="746">
        <v>5.7</v>
      </c>
      <c r="I89" s="746"/>
      <c r="J89" s="746"/>
      <c r="K89" s="746"/>
      <c r="L89" s="749">
        <f t="shared" si="21"/>
        <v>5.7</v>
      </c>
      <c r="M89" s="688">
        <f t="shared" si="22"/>
        <v>625.18086505518579</v>
      </c>
      <c r="N89" s="706">
        <f t="shared" si="13"/>
        <v>2329.5</v>
      </c>
      <c r="O89" s="707">
        <f t="shared" si="14"/>
        <v>2354.5</v>
      </c>
      <c r="P89" s="708">
        <f t="shared" si="23"/>
        <v>0.81576393089859112</v>
      </c>
      <c r="Q89" s="709">
        <f t="shared" si="24"/>
        <v>0.20394098272464778</v>
      </c>
      <c r="R89" s="710">
        <f>SUM(Q$13:Q89)</f>
        <v>14.99425037540974</v>
      </c>
      <c r="S89" s="711">
        <f t="shared" si="25"/>
        <v>0.63683373860308934</v>
      </c>
      <c r="T89" s="711"/>
      <c r="U89" s="711"/>
      <c r="V89" s="711"/>
      <c r="W89" s="711"/>
      <c r="X89" s="711"/>
      <c r="Y89" s="711"/>
      <c r="Z89" s="722"/>
    </row>
    <row r="90" spans="1:26">
      <c r="A90" s="716">
        <v>570</v>
      </c>
      <c r="B90" s="700">
        <v>0</v>
      </c>
      <c r="C90" s="688">
        <f>C91-D91</f>
        <v>2383.5</v>
      </c>
      <c r="D90" s="745">
        <v>28.5</v>
      </c>
      <c r="E90" s="746"/>
      <c r="F90" s="747"/>
      <c r="G90" s="748">
        <f t="shared" si="20"/>
        <v>28.5</v>
      </c>
      <c r="H90" s="746">
        <v>5.7</v>
      </c>
      <c r="I90" s="746"/>
      <c r="J90" s="746"/>
      <c r="K90" s="746"/>
      <c r="L90" s="749">
        <f t="shared" si="21"/>
        <v>5.7</v>
      </c>
      <c r="M90" s="688">
        <f t="shared" si="22"/>
        <v>727.25121037031818</v>
      </c>
      <c r="N90" s="706">
        <f t="shared" si="13"/>
        <v>2354.5</v>
      </c>
      <c r="O90" s="707">
        <f t="shared" si="14"/>
        <v>2383.5</v>
      </c>
      <c r="P90" s="708">
        <f>(A90-B90)/M90</f>
        <v>0.78377318851041111</v>
      </c>
      <c r="Q90" s="709">
        <f t="shared" si="24"/>
        <v>0.22729422466801921</v>
      </c>
      <c r="R90" s="710">
        <f>SUM(Q$13:Q90)</f>
        <v>15.22154460007776</v>
      </c>
      <c r="S90" s="711">
        <f t="shared" si="25"/>
        <v>0.63862154814674887</v>
      </c>
      <c r="T90" s="711"/>
      <c r="U90" s="711"/>
      <c r="V90" s="711"/>
      <c r="W90" s="711"/>
      <c r="X90" s="711"/>
      <c r="Y90" s="711"/>
      <c r="Z90" s="722"/>
    </row>
    <row r="91" spans="1:26">
      <c r="A91" s="716">
        <v>470</v>
      </c>
      <c r="B91" s="700">
        <v>0</v>
      </c>
      <c r="C91" s="688">
        <f>C92-D92</f>
        <v>2407</v>
      </c>
      <c r="D91" s="745">
        <v>23.5</v>
      </c>
      <c r="E91" s="746"/>
      <c r="F91" s="747"/>
      <c r="G91" s="748">
        <f t="shared" si="20"/>
        <v>23.5</v>
      </c>
      <c r="H91" s="746">
        <v>5.7</v>
      </c>
      <c r="I91" s="746"/>
      <c r="J91" s="746"/>
      <c r="K91" s="746"/>
      <c r="L91" s="749">
        <f t="shared" si="21"/>
        <v>5.7</v>
      </c>
      <c r="M91" s="688">
        <f t="shared" si="22"/>
        <v>599.66327872640284</v>
      </c>
      <c r="N91" s="706">
        <f t="shared" ref="N91:N94" si="26">(C90+C91-G91)/2</f>
        <v>2383.5</v>
      </c>
      <c r="O91" s="707">
        <f t="shared" ref="O91:O93" si="27">(C91+C92-G92)/2</f>
        <v>2407</v>
      </c>
      <c r="P91" s="708">
        <f t="shared" si="23"/>
        <v>0.78377318851041089</v>
      </c>
      <c r="Q91" s="709">
        <f t="shared" si="24"/>
        <v>0.18418669929994658</v>
      </c>
      <c r="R91" s="710">
        <f>SUM(Q$13:Q91)</f>
        <v>15.405731299377706</v>
      </c>
      <c r="S91" s="711">
        <f t="shared" si="25"/>
        <v>0.64003869129113866</v>
      </c>
      <c r="T91" s="711"/>
      <c r="U91" s="711"/>
      <c r="V91" s="711"/>
      <c r="W91" s="711"/>
      <c r="X91" s="711"/>
      <c r="Y91" s="711"/>
      <c r="Z91" s="722"/>
    </row>
    <row r="92" spans="1:26">
      <c r="A92" s="716">
        <v>255</v>
      </c>
      <c r="B92" s="700">
        <v>0</v>
      </c>
      <c r="C92" s="688">
        <v>2420</v>
      </c>
      <c r="D92" s="745">
        <v>13</v>
      </c>
      <c r="E92" s="746"/>
      <c r="F92" s="747"/>
      <c r="G92" s="748">
        <f t="shared" si="20"/>
        <v>13</v>
      </c>
      <c r="H92" s="746">
        <v>5.7</v>
      </c>
      <c r="I92" s="746"/>
      <c r="J92" s="746"/>
      <c r="K92" s="746"/>
      <c r="L92" s="749">
        <f t="shared" si="21"/>
        <v>5.7</v>
      </c>
      <c r="M92" s="688">
        <f t="shared" si="22"/>
        <v>331.72862227418028</v>
      </c>
      <c r="N92" s="706">
        <f t="shared" si="26"/>
        <v>2407</v>
      </c>
      <c r="O92" s="707">
        <f t="shared" si="27"/>
        <v>2418</v>
      </c>
      <c r="P92" s="708">
        <f>(A92-B92)/M92</f>
        <v>0.768700627192903</v>
      </c>
      <c r="Q92" s="709">
        <f>(P92*(O92-N92))/100</f>
        <v>8.4557068991219342E-2</v>
      </c>
      <c r="R92" s="710">
        <f>SUM(Q$13:Q92)</f>
        <v>15.490288368368926</v>
      </c>
      <c r="S92" s="711">
        <f t="shared" si="25"/>
        <v>0.64062400200036906</v>
      </c>
      <c r="T92" s="711"/>
      <c r="U92" s="711"/>
      <c r="V92" s="711"/>
      <c r="W92" s="711"/>
      <c r="X92" s="711"/>
      <c r="Y92" s="711"/>
      <c r="Z92" s="722"/>
    </row>
    <row r="93" spans="1:26">
      <c r="A93" s="716">
        <v>700</v>
      </c>
      <c r="B93" s="700">
        <v>0</v>
      </c>
      <c r="C93" s="688">
        <f>C94-D94</f>
        <v>2450.5</v>
      </c>
      <c r="D93" s="745">
        <v>34.5</v>
      </c>
      <c r="E93" s="746"/>
      <c r="F93" s="747"/>
      <c r="G93" s="748">
        <f>AVERAGE(D93:F93)</f>
        <v>34.5</v>
      </c>
      <c r="H93" s="746">
        <v>5.7</v>
      </c>
      <c r="I93" s="746"/>
      <c r="J93" s="746"/>
      <c r="K93" s="746"/>
      <c r="L93" s="749">
        <f t="shared" si="21"/>
        <v>5.7</v>
      </c>
      <c r="M93" s="688">
        <f t="shared" si="22"/>
        <v>880.35672834301681</v>
      </c>
      <c r="N93" s="706">
        <f t="shared" si="26"/>
        <v>2418</v>
      </c>
      <c r="O93" s="707">
        <f t="shared" si="27"/>
        <v>2450.5</v>
      </c>
      <c r="P93" s="708">
        <f t="shared" si="23"/>
        <v>0.79513222022795316</v>
      </c>
      <c r="Q93" s="709">
        <f t="shared" si="24"/>
        <v>0.2584179715740848</v>
      </c>
      <c r="R93" s="710">
        <f>SUM(Q$13:Q93)</f>
        <v>15.748706339943011</v>
      </c>
      <c r="S93" s="711">
        <f t="shared" si="25"/>
        <v>0.64267318261346706</v>
      </c>
      <c r="T93" s="711"/>
      <c r="U93" s="711"/>
      <c r="V93" s="711"/>
      <c r="W93" s="711"/>
      <c r="X93" s="711"/>
      <c r="Y93" s="711"/>
      <c r="Z93" s="722"/>
    </row>
    <row r="94" spans="1:26">
      <c r="A94" s="716">
        <v>730</v>
      </c>
      <c r="B94" s="700">
        <v>0</v>
      </c>
      <c r="C94" s="688">
        <v>2485</v>
      </c>
      <c r="D94" s="745">
        <v>34.5</v>
      </c>
      <c r="E94" s="746"/>
      <c r="F94" s="747"/>
      <c r="G94" s="748">
        <f>AVERAGE(D94:F94)</f>
        <v>34.5</v>
      </c>
      <c r="H94" s="746">
        <v>5.7</v>
      </c>
      <c r="I94" s="746"/>
      <c r="J94" s="746"/>
      <c r="K94" s="746"/>
      <c r="L94" s="749">
        <f t="shared" si="21"/>
        <v>5.7</v>
      </c>
      <c r="M94" s="688">
        <f t="shared" si="22"/>
        <v>880.35672834301681</v>
      </c>
      <c r="N94" s="706">
        <f t="shared" si="26"/>
        <v>2450.5</v>
      </c>
      <c r="O94" s="707">
        <f>C94</f>
        <v>2485</v>
      </c>
      <c r="P94" s="708">
        <f>(A94-B94)/M94</f>
        <v>0.82920931538057974</v>
      </c>
      <c r="Q94" s="709">
        <f>(P94*(O94-N94))/100</f>
        <v>0.28607721380630002</v>
      </c>
      <c r="R94" s="710">
        <f>SUM(Q$13:Q94)</f>
        <v>16.03478355374931</v>
      </c>
      <c r="S94" s="711">
        <f t="shared" si="25"/>
        <v>0.64526291966798033</v>
      </c>
      <c r="T94" s="711"/>
      <c r="U94" s="711"/>
      <c r="V94" s="711"/>
      <c r="W94" s="711"/>
      <c r="X94" s="711"/>
      <c r="Y94" s="711"/>
      <c r="Z94" s="722"/>
    </row>
    <row r="95" spans="1:26">
      <c r="A95" s="716"/>
      <c r="B95" s="700"/>
      <c r="C95" s="688"/>
      <c r="D95" s="745"/>
      <c r="E95" s="746"/>
      <c r="F95" s="747"/>
      <c r="G95" s="748"/>
      <c r="H95" s="746"/>
      <c r="I95" s="746"/>
      <c r="J95" s="746"/>
      <c r="K95" s="746"/>
      <c r="L95" s="749"/>
      <c r="M95" s="688"/>
      <c r="N95" s="706"/>
      <c r="O95" s="707"/>
      <c r="P95" s="708"/>
      <c r="Q95" s="709"/>
      <c r="R95" s="710"/>
      <c r="S95" s="711"/>
      <c r="T95" s="711"/>
      <c r="U95" s="711"/>
      <c r="V95" s="711"/>
      <c r="W95" s="711"/>
      <c r="X95" s="711"/>
      <c r="Y95" s="711"/>
      <c r="Z95" s="722"/>
    </row>
    <row r="96" spans="1:26">
      <c r="A96" s="716"/>
      <c r="B96" s="700"/>
      <c r="C96" s="688"/>
      <c r="D96" s="745"/>
      <c r="E96" s="746"/>
      <c r="F96" s="747"/>
      <c r="G96" s="748"/>
      <c r="H96" s="746"/>
      <c r="I96" s="746"/>
      <c r="J96" s="746"/>
      <c r="K96" s="746"/>
      <c r="L96" s="749"/>
      <c r="M96" s="688"/>
      <c r="N96" s="706"/>
      <c r="O96" s="707"/>
      <c r="P96" s="708"/>
      <c r="Q96" s="709"/>
      <c r="R96" s="710"/>
      <c r="S96" s="711"/>
      <c r="T96" s="711"/>
      <c r="U96" s="711"/>
      <c r="V96" s="711"/>
      <c r="W96" s="711"/>
      <c r="X96" s="711"/>
      <c r="Y96" s="711"/>
      <c r="Z96" s="722"/>
    </row>
    <row r="97" spans="1:26">
      <c r="A97" s="716"/>
      <c r="B97" s="700"/>
      <c r="C97" s="688"/>
      <c r="D97" s="745"/>
      <c r="E97" s="746"/>
      <c r="F97" s="747"/>
      <c r="G97" s="748"/>
      <c r="H97" s="746"/>
      <c r="I97" s="746"/>
      <c r="J97" s="746"/>
      <c r="K97" s="746"/>
      <c r="L97" s="749"/>
      <c r="M97" s="688"/>
      <c r="N97" s="706"/>
      <c r="O97" s="707"/>
      <c r="P97" s="708"/>
      <c r="Q97" s="709"/>
      <c r="R97" s="710"/>
      <c r="S97" s="711"/>
      <c r="T97" s="711"/>
      <c r="U97" s="711"/>
      <c r="V97" s="711">
        <f t="shared" si="12"/>
        <v>0</v>
      </c>
      <c r="W97" s="711" t="e">
        <f t="shared" si="5"/>
        <v>#DIV/0!</v>
      </c>
      <c r="X97" s="711"/>
      <c r="Y97" s="711"/>
      <c r="Z97" s="722"/>
    </row>
    <row r="98" spans="1:26">
      <c r="A98" s="716"/>
      <c r="B98" s="700"/>
      <c r="C98" s="688"/>
      <c r="D98" s="745"/>
      <c r="E98" s="746"/>
      <c r="F98" s="747"/>
      <c r="G98" s="748"/>
      <c r="H98" s="746"/>
      <c r="I98" s="746"/>
      <c r="J98" s="746"/>
      <c r="K98" s="746"/>
      <c r="L98" s="749"/>
      <c r="M98" s="688"/>
      <c r="N98" s="706"/>
      <c r="O98" s="707"/>
      <c r="P98" s="708"/>
      <c r="Q98" s="709"/>
      <c r="R98" s="710"/>
      <c r="S98" s="711"/>
      <c r="T98" s="711"/>
      <c r="U98" s="711"/>
      <c r="V98" s="711">
        <f t="shared" si="12"/>
        <v>0</v>
      </c>
      <c r="W98" s="711" t="e">
        <f t="shared" ref="W98:W100" si="28">(A99-(V98/0.9))/M98</f>
        <v>#DIV/0!</v>
      </c>
      <c r="X98" s="711"/>
      <c r="Y98" s="711"/>
      <c r="Z98" s="722"/>
    </row>
    <row r="99" spans="1:26">
      <c r="A99" s="716"/>
      <c r="B99" s="700"/>
      <c r="C99" s="688"/>
      <c r="D99" s="745"/>
      <c r="E99" s="746"/>
      <c r="F99" s="747"/>
      <c r="G99" s="748"/>
      <c r="H99" s="746"/>
      <c r="I99" s="746"/>
      <c r="J99" s="746"/>
      <c r="K99" s="746"/>
      <c r="L99" s="749"/>
      <c r="M99" s="688"/>
      <c r="N99" s="706"/>
      <c r="O99" s="707"/>
      <c r="P99" s="708"/>
      <c r="Q99" s="709"/>
      <c r="R99" s="710"/>
      <c r="S99" s="711"/>
      <c r="T99" s="711"/>
      <c r="U99" s="711"/>
      <c r="V99" s="711">
        <f t="shared" si="12"/>
        <v>0</v>
      </c>
      <c r="W99" s="711" t="e">
        <f t="shared" si="28"/>
        <v>#DIV/0!</v>
      </c>
      <c r="X99" s="711"/>
      <c r="Y99" s="711"/>
      <c r="Z99" s="722"/>
    </row>
    <row r="100" spans="1:26">
      <c r="A100" s="716"/>
      <c r="B100" s="700"/>
      <c r="C100" s="688"/>
      <c r="D100" s="745"/>
      <c r="E100" s="746"/>
      <c r="F100" s="747"/>
      <c r="G100" s="748"/>
      <c r="H100" s="746"/>
      <c r="I100" s="746"/>
      <c r="J100" s="746"/>
      <c r="K100" s="746"/>
      <c r="L100" s="749"/>
      <c r="M100" s="688"/>
      <c r="N100" s="706"/>
      <c r="O100" s="707"/>
      <c r="P100" s="708"/>
      <c r="Q100" s="709"/>
      <c r="R100" s="710"/>
      <c r="S100" s="711"/>
      <c r="T100" s="711"/>
      <c r="U100" s="711"/>
      <c r="V100" s="711">
        <f t="shared" si="12"/>
        <v>0</v>
      </c>
      <c r="W100" s="711" t="e">
        <f t="shared" si="28"/>
        <v>#VALUE!</v>
      </c>
      <c r="X100" s="711"/>
      <c r="Y100" s="711"/>
      <c r="Z100" s="722"/>
    </row>
    <row r="101" spans="1:26">
      <c r="A101" s="763" t="s">
        <v>185</v>
      </c>
      <c r="B101" s="764"/>
      <c r="C101" s="765"/>
      <c r="D101" s="765"/>
      <c r="E101" s="765"/>
      <c r="F101" s="765"/>
      <c r="G101" s="766"/>
      <c r="H101" s="765"/>
      <c r="I101" s="765"/>
      <c r="J101" s="765"/>
      <c r="K101" s="765"/>
      <c r="L101" s="767"/>
      <c r="M101" s="765"/>
      <c r="N101" s="768"/>
      <c r="O101" s="769"/>
      <c r="P101" s="770"/>
      <c r="Q101" s="771"/>
      <c r="R101" s="772"/>
      <c r="S101" s="773"/>
      <c r="T101" s="773"/>
      <c r="U101" s="773"/>
      <c r="V101" s="773"/>
      <c r="W101" s="773"/>
      <c r="X101" s="773"/>
      <c r="Y101" s="773"/>
      <c r="Z101" s="774"/>
    </row>
    <row r="102" spans="1:26">
      <c r="A102" s="775"/>
      <c r="B102" s="776"/>
      <c r="C102" s="777"/>
      <c r="D102" s="777"/>
      <c r="E102" s="777"/>
      <c r="F102" s="777"/>
      <c r="G102" s="778"/>
      <c r="H102" s="777"/>
      <c r="I102" s="777"/>
      <c r="J102" s="777"/>
      <c r="K102" s="777"/>
      <c r="L102" s="779"/>
      <c r="M102" s="777"/>
      <c r="N102" s="780"/>
      <c r="O102" s="781"/>
      <c r="P102" s="782"/>
      <c r="Q102" s="783"/>
      <c r="R102" s="784"/>
      <c r="S102" s="785"/>
      <c r="T102" s="785"/>
      <c r="U102" s="785"/>
      <c r="V102" s="785"/>
      <c r="W102" s="785"/>
      <c r="X102" s="785"/>
      <c r="Y102" s="785"/>
      <c r="Z102" s="786"/>
    </row>
    <row r="103" spans="1:26" ht="12" thickBot="1">
      <c r="A103" s="787"/>
      <c r="B103" s="788"/>
      <c r="C103" s="789"/>
      <c r="D103" s="789"/>
      <c r="E103" s="789"/>
      <c r="F103" s="789"/>
      <c r="G103" s="790"/>
      <c r="H103" s="789"/>
      <c r="I103" s="789"/>
      <c r="J103" s="789"/>
      <c r="K103" s="789"/>
      <c r="L103" s="791"/>
      <c r="M103" s="789"/>
      <c r="N103" s="792"/>
      <c r="O103" s="793"/>
      <c r="P103" s="794"/>
      <c r="Q103" s="795"/>
      <c r="R103" s="796"/>
      <c r="S103" s="797"/>
      <c r="T103" s="797"/>
      <c r="U103" s="797"/>
      <c r="V103" s="797"/>
      <c r="W103" s="797"/>
      <c r="X103" s="797"/>
      <c r="Y103" s="797"/>
      <c r="Z103" s="798"/>
    </row>
    <row r="104" spans="1:26">
      <c r="A104" s="801"/>
      <c r="B104" s="801"/>
      <c r="C104" s="802"/>
      <c r="D104" s="803"/>
      <c r="E104" s="803"/>
      <c r="F104" s="803"/>
      <c r="G104" s="804"/>
      <c r="H104" s="805"/>
      <c r="I104" s="806"/>
      <c r="J104" s="807"/>
      <c r="K104" s="808"/>
      <c r="L104" s="809"/>
      <c r="M104" s="762"/>
      <c r="O104" s="750"/>
      <c r="P104" s="810"/>
    </row>
    <row r="105" spans="1:26">
      <c r="A105" s="762"/>
      <c r="B105" s="762"/>
      <c r="C105" s="811"/>
      <c r="D105" s="811"/>
      <c r="E105" s="811"/>
      <c r="F105" s="811"/>
      <c r="G105" s="806"/>
      <c r="H105" s="805"/>
      <c r="I105" s="806"/>
      <c r="J105" s="807"/>
      <c r="K105" s="812"/>
      <c r="L105" s="809"/>
      <c r="M105" s="762"/>
      <c r="O105" s="750"/>
      <c r="P105" s="810"/>
    </row>
    <row r="106" spans="1:26">
      <c r="A106" s="813"/>
      <c r="B106" s="813"/>
      <c r="C106" s="813"/>
      <c r="D106" s="813"/>
      <c r="E106" s="807"/>
      <c r="F106" s="814"/>
      <c r="G106" s="762"/>
      <c r="H106" s="750"/>
      <c r="I106" s="762"/>
      <c r="J106" s="750"/>
      <c r="K106" s="750"/>
      <c r="L106" s="762"/>
      <c r="M106" s="762"/>
      <c r="O106" s="750"/>
      <c r="P106" s="810"/>
    </row>
    <row r="107" spans="1:26">
      <c r="A107" s="815"/>
      <c r="B107" s="815"/>
      <c r="C107" s="813"/>
      <c r="D107" s="813"/>
      <c r="E107" s="807"/>
      <c r="F107" s="814"/>
      <c r="G107" s="750"/>
      <c r="H107" s="750"/>
      <c r="I107" s="762"/>
      <c r="J107" s="750"/>
      <c r="K107" s="750"/>
      <c r="L107" s="762"/>
      <c r="M107" s="762"/>
      <c r="O107" s="750"/>
      <c r="P107" s="810"/>
    </row>
    <row r="108" spans="1:26">
      <c r="A108" s="659"/>
      <c r="B108" s="659"/>
      <c r="C108" s="813"/>
      <c r="D108" s="813"/>
      <c r="E108" s="807"/>
      <c r="F108" s="814"/>
      <c r="G108" s="750"/>
      <c r="H108" s="750"/>
      <c r="I108" s="762"/>
      <c r="J108" s="750"/>
      <c r="K108" s="750"/>
      <c r="L108" s="762"/>
      <c r="M108" s="762"/>
      <c r="O108" s="750"/>
      <c r="P108" s="810"/>
    </row>
    <row r="109" spans="1:26">
      <c r="A109" s="813"/>
      <c r="B109" s="813"/>
      <c r="C109" s="813"/>
      <c r="D109" s="813"/>
      <c r="E109" s="807"/>
      <c r="F109" s="814"/>
      <c r="G109" s="750"/>
      <c r="H109" s="750"/>
      <c r="I109" s="762"/>
      <c r="J109" s="750"/>
      <c r="K109" s="750"/>
      <c r="L109" s="762"/>
      <c r="M109" s="762"/>
      <c r="O109" s="750"/>
      <c r="P109" s="810"/>
    </row>
    <row r="110" spans="1:26" s="813" customFormat="1">
      <c r="E110" s="807"/>
      <c r="F110" s="814"/>
      <c r="G110" s="750"/>
      <c r="H110" s="750"/>
      <c r="I110" s="762"/>
      <c r="J110" s="806"/>
      <c r="K110" s="750"/>
      <c r="L110" s="762"/>
      <c r="M110" s="762"/>
      <c r="N110" s="750"/>
      <c r="O110" s="750"/>
      <c r="P110" s="810"/>
      <c r="Q110" s="810"/>
      <c r="R110" s="810"/>
      <c r="S110" s="810"/>
      <c r="T110" s="810"/>
      <c r="U110" s="810"/>
      <c r="V110" s="810"/>
      <c r="W110" s="810"/>
      <c r="X110" s="810"/>
      <c r="Y110" s="810"/>
      <c r="Z110" s="750"/>
    </row>
    <row r="111" spans="1:26" s="813" customFormat="1">
      <c r="E111" s="807"/>
      <c r="F111" s="814"/>
      <c r="G111" s="750"/>
      <c r="H111" s="750"/>
      <c r="I111" s="762"/>
      <c r="J111" s="806"/>
      <c r="K111" s="750"/>
      <c r="L111" s="762"/>
      <c r="M111" s="762"/>
      <c r="N111" s="750"/>
      <c r="O111" s="750"/>
      <c r="P111" s="810"/>
      <c r="Q111" s="810"/>
      <c r="R111" s="810"/>
      <c r="S111" s="810"/>
      <c r="T111" s="810"/>
      <c r="U111" s="810"/>
      <c r="V111" s="810"/>
      <c r="W111" s="810"/>
      <c r="X111" s="810"/>
      <c r="Y111" s="810"/>
      <c r="Z111" s="750"/>
    </row>
    <row r="112" spans="1:26" s="813" customFormat="1">
      <c r="E112" s="807"/>
      <c r="F112" s="814"/>
      <c r="G112" s="750"/>
      <c r="H112" s="750"/>
      <c r="I112" s="762"/>
      <c r="J112" s="750"/>
      <c r="K112" s="750"/>
      <c r="L112" s="762"/>
      <c r="M112" s="762"/>
      <c r="N112" s="750"/>
      <c r="O112" s="750"/>
      <c r="P112" s="810"/>
      <c r="Q112" s="810"/>
      <c r="R112" s="810"/>
      <c r="S112" s="810"/>
      <c r="T112" s="810"/>
      <c r="U112" s="810"/>
      <c r="V112" s="810"/>
      <c r="W112" s="810"/>
      <c r="X112" s="810"/>
      <c r="Y112" s="810"/>
      <c r="Z112" s="750"/>
    </row>
    <row r="113" spans="5:26" s="813" customFormat="1">
      <c r="E113" s="807"/>
      <c r="F113" s="814"/>
      <c r="G113" s="750"/>
      <c r="H113" s="750"/>
      <c r="I113" s="762"/>
      <c r="J113" s="750"/>
      <c r="K113" s="750"/>
      <c r="L113" s="762"/>
      <c r="M113" s="762"/>
      <c r="N113" s="750"/>
      <c r="O113" s="750"/>
      <c r="P113" s="810"/>
      <c r="Q113" s="810"/>
      <c r="R113" s="810"/>
      <c r="S113" s="810"/>
      <c r="T113" s="810"/>
      <c r="U113" s="810"/>
      <c r="V113" s="810"/>
      <c r="W113" s="810"/>
      <c r="X113" s="810"/>
      <c r="Y113" s="810"/>
      <c r="Z113" s="750"/>
    </row>
    <row r="114" spans="5:26" s="813" customFormat="1">
      <c r="E114" s="807"/>
      <c r="F114" s="814"/>
      <c r="G114" s="750"/>
      <c r="H114" s="750"/>
      <c r="I114" s="762"/>
      <c r="J114" s="750"/>
      <c r="K114" s="750"/>
      <c r="L114" s="762"/>
      <c r="M114" s="762"/>
      <c r="N114" s="750"/>
      <c r="O114" s="750"/>
      <c r="P114" s="810"/>
      <c r="Q114" s="810"/>
      <c r="R114" s="810"/>
      <c r="S114" s="810"/>
      <c r="T114" s="810"/>
      <c r="U114" s="810"/>
      <c r="V114" s="810"/>
      <c r="W114" s="810"/>
      <c r="X114" s="810"/>
      <c r="Y114" s="810"/>
      <c r="Z114" s="750"/>
    </row>
    <row r="115" spans="5:26" s="813" customFormat="1">
      <c r="E115" s="807"/>
      <c r="F115" s="814"/>
      <c r="G115" s="750"/>
      <c r="H115" s="750"/>
      <c r="I115" s="762"/>
      <c r="J115" s="750"/>
      <c r="K115" s="750"/>
      <c r="L115" s="762"/>
      <c r="M115" s="762"/>
      <c r="N115" s="750"/>
      <c r="O115" s="750"/>
      <c r="P115" s="810"/>
      <c r="Q115" s="810"/>
      <c r="R115" s="810"/>
      <c r="S115" s="810"/>
      <c r="T115" s="810"/>
      <c r="U115" s="810"/>
      <c r="V115" s="810"/>
      <c r="W115" s="810"/>
      <c r="X115" s="810"/>
      <c r="Y115" s="810"/>
      <c r="Z115" s="750"/>
    </row>
    <row r="116" spans="5:26" s="813" customFormat="1">
      <c r="E116" s="807"/>
      <c r="F116" s="814"/>
      <c r="G116" s="750"/>
      <c r="H116" s="750"/>
      <c r="I116" s="762"/>
      <c r="J116" s="750"/>
      <c r="K116" s="750"/>
      <c r="L116" s="762"/>
      <c r="M116" s="762"/>
      <c r="N116" s="750"/>
      <c r="O116" s="750"/>
      <c r="P116" s="810"/>
      <c r="Q116" s="810"/>
      <c r="R116" s="810"/>
      <c r="S116" s="810"/>
      <c r="T116" s="810"/>
      <c r="U116" s="810"/>
      <c r="V116" s="810"/>
      <c r="W116" s="810"/>
      <c r="X116" s="810"/>
      <c r="Y116" s="810"/>
      <c r="Z116" s="750"/>
    </row>
    <row r="117" spans="5:26" s="813" customFormat="1">
      <c r="E117" s="807"/>
      <c r="F117" s="814"/>
      <c r="G117" s="750"/>
      <c r="H117" s="750"/>
      <c r="I117" s="762"/>
      <c r="J117" s="750"/>
      <c r="K117" s="750"/>
      <c r="L117" s="762"/>
      <c r="M117" s="750"/>
      <c r="N117" s="750"/>
      <c r="O117" s="750"/>
      <c r="P117" s="810"/>
      <c r="Q117" s="810"/>
      <c r="R117" s="810"/>
      <c r="S117" s="810"/>
      <c r="T117" s="810"/>
      <c r="U117" s="810"/>
      <c r="V117" s="810"/>
      <c r="W117" s="810"/>
      <c r="X117" s="810"/>
      <c r="Y117" s="810"/>
      <c r="Z117" s="750"/>
    </row>
    <row r="118" spans="5:26" s="813" customFormat="1">
      <c r="E118" s="807"/>
      <c r="F118" s="814"/>
      <c r="G118" s="750"/>
      <c r="H118" s="750"/>
      <c r="I118" s="762"/>
      <c r="J118" s="750"/>
      <c r="K118" s="750"/>
      <c r="L118" s="762"/>
      <c r="M118" s="750"/>
      <c r="N118" s="750"/>
      <c r="O118" s="750"/>
      <c r="P118" s="810"/>
      <c r="Q118" s="810"/>
      <c r="R118" s="810"/>
      <c r="S118" s="810"/>
      <c r="T118" s="810"/>
      <c r="U118" s="810"/>
      <c r="V118" s="810"/>
      <c r="W118" s="810"/>
      <c r="X118" s="810"/>
      <c r="Y118" s="810"/>
      <c r="Z118" s="750"/>
    </row>
    <row r="119" spans="5:26" s="813" customFormat="1">
      <c r="E119" s="807"/>
      <c r="F119" s="814"/>
      <c r="G119" s="750"/>
      <c r="H119" s="750"/>
      <c r="I119" s="762"/>
      <c r="J119" s="750"/>
      <c r="K119" s="750"/>
      <c r="L119" s="750"/>
      <c r="M119" s="750"/>
      <c r="N119" s="750"/>
      <c r="O119" s="750"/>
      <c r="P119" s="810"/>
      <c r="Q119" s="810"/>
      <c r="R119" s="810"/>
      <c r="S119" s="810"/>
      <c r="T119" s="810"/>
      <c r="U119" s="810"/>
      <c r="V119" s="810"/>
      <c r="W119" s="810"/>
      <c r="X119" s="810"/>
      <c r="Y119" s="810"/>
      <c r="Z119" s="750"/>
    </row>
    <row r="120" spans="5:26" s="813" customFormat="1">
      <c r="E120" s="807"/>
      <c r="F120" s="814"/>
      <c r="G120" s="750"/>
      <c r="H120" s="750"/>
      <c r="I120" s="762"/>
      <c r="J120" s="750"/>
      <c r="K120" s="750"/>
      <c r="L120" s="750"/>
      <c r="M120" s="750"/>
      <c r="N120" s="750"/>
      <c r="O120" s="750"/>
      <c r="P120" s="810"/>
      <c r="Q120" s="810"/>
      <c r="R120" s="810"/>
      <c r="S120" s="810"/>
      <c r="T120" s="810"/>
      <c r="U120" s="810"/>
      <c r="V120" s="810"/>
      <c r="W120" s="810"/>
      <c r="X120" s="810"/>
      <c r="Y120" s="810"/>
      <c r="Z120" s="750"/>
    </row>
    <row r="121" spans="5:26" s="813" customFormat="1">
      <c r="E121" s="807"/>
      <c r="F121" s="814"/>
      <c r="G121" s="750"/>
      <c r="H121" s="750"/>
      <c r="I121" s="762"/>
      <c r="J121" s="750"/>
      <c r="K121" s="750"/>
      <c r="L121" s="750"/>
      <c r="M121" s="750"/>
      <c r="N121" s="750"/>
      <c r="O121" s="750"/>
      <c r="P121" s="810"/>
      <c r="Q121" s="810"/>
      <c r="R121" s="810"/>
      <c r="S121" s="810"/>
      <c r="T121" s="810"/>
      <c r="U121" s="810"/>
      <c r="V121" s="810"/>
      <c r="W121" s="810"/>
      <c r="X121" s="810"/>
      <c r="Y121" s="810"/>
      <c r="Z121" s="750"/>
    </row>
    <row r="122" spans="5:26" s="813" customFormat="1">
      <c r="E122" s="807"/>
      <c r="F122" s="814"/>
      <c r="G122" s="750"/>
      <c r="H122" s="750"/>
      <c r="I122" s="762"/>
      <c r="J122" s="750"/>
      <c r="K122" s="750"/>
      <c r="L122" s="750"/>
      <c r="M122" s="750"/>
      <c r="N122" s="750"/>
      <c r="O122" s="750"/>
      <c r="P122" s="810"/>
      <c r="Q122" s="810"/>
      <c r="R122" s="810"/>
      <c r="S122" s="810"/>
      <c r="T122" s="810"/>
      <c r="U122" s="810"/>
      <c r="V122" s="810"/>
      <c r="W122" s="810"/>
      <c r="X122" s="810"/>
      <c r="Y122" s="810"/>
      <c r="Z122" s="750"/>
    </row>
    <row r="123" spans="5:26" s="813" customFormat="1">
      <c r="E123" s="807"/>
      <c r="F123" s="814"/>
      <c r="G123" s="750"/>
      <c r="H123" s="750"/>
      <c r="I123" s="762"/>
      <c r="J123" s="750"/>
      <c r="K123" s="750"/>
      <c r="L123" s="750"/>
      <c r="M123" s="750"/>
      <c r="N123" s="750"/>
      <c r="O123" s="750"/>
      <c r="P123" s="810"/>
      <c r="Q123" s="810"/>
      <c r="R123" s="810"/>
      <c r="S123" s="810"/>
      <c r="T123" s="810"/>
      <c r="U123" s="810"/>
      <c r="V123" s="810"/>
      <c r="W123" s="810"/>
      <c r="X123" s="810"/>
      <c r="Y123" s="810"/>
      <c r="Z123" s="750"/>
    </row>
    <row r="124" spans="5:26" s="813" customFormat="1">
      <c r="E124" s="807"/>
      <c r="F124" s="814"/>
      <c r="G124" s="750"/>
      <c r="H124" s="750"/>
      <c r="I124" s="762"/>
      <c r="J124" s="750"/>
      <c r="K124" s="750"/>
      <c r="L124" s="750"/>
      <c r="M124" s="750"/>
      <c r="N124" s="750"/>
      <c r="O124" s="750"/>
      <c r="P124" s="810"/>
      <c r="Q124" s="810"/>
      <c r="R124" s="810"/>
      <c r="S124" s="810"/>
      <c r="T124" s="810"/>
      <c r="U124" s="810"/>
      <c r="V124" s="810"/>
      <c r="W124" s="810"/>
      <c r="X124" s="810"/>
      <c r="Y124" s="810"/>
      <c r="Z124" s="750"/>
    </row>
    <row r="125" spans="5:26" s="813" customFormat="1">
      <c r="E125" s="807"/>
      <c r="F125" s="814"/>
      <c r="G125" s="750"/>
      <c r="H125" s="750"/>
      <c r="I125" s="762"/>
      <c r="J125" s="750"/>
      <c r="K125" s="750"/>
      <c r="L125" s="750"/>
      <c r="M125" s="750"/>
      <c r="N125" s="750"/>
      <c r="O125" s="750"/>
      <c r="P125" s="810"/>
      <c r="Q125" s="810"/>
      <c r="R125" s="810"/>
      <c r="S125" s="810"/>
      <c r="T125" s="810"/>
      <c r="U125" s="810"/>
      <c r="V125" s="810"/>
      <c r="W125" s="810"/>
      <c r="X125" s="810"/>
      <c r="Y125" s="810"/>
      <c r="Z125" s="750"/>
    </row>
    <row r="126" spans="5:26" s="813" customFormat="1">
      <c r="E126" s="807"/>
      <c r="F126" s="814"/>
      <c r="G126" s="750"/>
      <c r="H126" s="750"/>
      <c r="I126" s="762"/>
      <c r="J126" s="750"/>
      <c r="K126" s="750"/>
      <c r="L126" s="750"/>
      <c r="M126" s="750"/>
      <c r="N126" s="750"/>
      <c r="O126" s="750"/>
      <c r="P126" s="810"/>
      <c r="Q126" s="810"/>
      <c r="R126" s="810"/>
      <c r="S126" s="810"/>
      <c r="T126" s="810"/>
      <c r="U126" s="810"/>
      <c r="V126" s="810"/>
      <c r="W126" s="810"/>
      <c r="X126" s="810"/>
      <c r="Y126" s="810"/>
      <c r="Z126" s="750"/>
    </row>
    <row r="127" spans="5:26" s="813" customFormat="1">
      <c r="E127" s="807"/>
      <c r="F127" s="814"/>
      <c r="G127" s="750"/>
      <c r="H127" s="750"/>
      <c r="I127" s="762"/>
      <c r="J127" s="750"/>
      <c r="K127" s="750"/>
      <c r="L127" s="750"/>
      <c r="M127" s="750"/>
      <c r="N127" s="750"/>
      <c r="O127" s="750"/>
      <c r="P127" s="810"/>
      <c r="Q127" s="810"/>
      <c r="R127" s="810"/>
      <c r="S127" s="810"/>
      <c r="T127" s="810"/>
      <c r="U127" s="810"/>
      <c r="V127" s="810"/>
      <c r="W127" s="810"/>
      <c r="X127" s="810"/>
      <c r="Y127" s="810"/>
      <c r="Z127" s="750"/>
    </row>
    <row r="128" spans="5:26" s="813" customFormat="1">
      <c r="E128" s="807"/>
      <c r="F128" s="814"/>
      <c r="G128" s="750"/>
      <c r="H128" s="750"/>
      <c r="I128" s="762"/>
      <c r="J128" s="750"/>
      <c r="K128" s="750"/>
      <c r="L128" s="750"/>
      <c r="M128" s="750"/>
      <c r="N128" s="750"/>
      <c r="O128" s="750"/>
      <c r="P128" s="810"/>
      <c r="Q128" s="810"/>
      <c r="R128" s="810"/>
      <c r="S128" s="810"/>
      <c r="T128" s="810"/>
      <c r="U128" s="810"/>
      <c r="V128" s="810"/>
      <c r="W128" s="810"/>
      <c r="X128" s="810"/>
      <c r="Y128" s="810"/>
      <c r="Z128" s="750"/>
    </row>
    <row r="129" spans="5:26" s="813" customFormat="1">
      <c r="E129" s="807"/>
      <c r="F129" s="814"/>
      <c r="G129" s="750"/>
      <c r="H129" s="750"/>
      <c r="I129" s="762"/>
      <c r="J129" s="750"/>
      <c r="K129" s="750"/>
      <c r="L129" s="750"/>
      <c r="M129" s="750"/>
      <c r="N129" s="750"/>
      <c r="O129" s="750"/>
      <c r="P129" s="810"/>
      <c r="Q129" s="810"/>
      <c r="R129" s="810"/>
      <c r="S129" s="810"/>
      <c r="T129" s="810"/>
      <c r="U129" s="810"/>
      <c r="V129" s="810"/>
      <c r="W129" s="810"/>
      <c r="X129" s="810"/>
      <c r="Y129" s="810"/>
      <c r="Z129" s="750"/>
    </row>
    <row r="130" spans="5:26" s="813" customFormat="1">
      <c r="E130" s="807"/>
      <c r="F130" s="814"/>
      <c r="G130" s="810"/>
      <c r="H130" s="750"/>
      <c r="I130" s="762"/>
      <c r="J130" s="750"/>
      <c r="K130" s="750"/>
      <c r="L130" s="750"/>
      <c r="M130" s="750"/>
      <c r="N130" s="750"/>
      <c r="O130" s="750"/>
      <c r="P130" s="810"/>
      <c r="Q130" s="810"/>
      <c r="R130" s="810"/>
      <c r="S130" s="810"/>
      <c r="T130" s="810"/>
      <c r="U130" s="810"/>
      <c r="V130" s="810"/>
      <c r="W130" s="810"/>
      <c r="X130" s="810"/>
      <c r="Y130" s="810"/>
      <c r="Z130" s="750"/>
    </row>
    <row r="131" spans="5:26" s="813" customFormat="1">
      <c r="E131" s="807"/>
      <c r="F131" s="814"/>
      <c r="G131" s="810"/>
      <c r="H131" s="750"/>
      <c r="I131" s="762"/>
      <c r="J131" s="750"/>
      <c r="K131" s="750"/>
      <c r="L131" s="750"/>
      <c r="M131" s="750"/>
      <c r="N131" s="750"/>
      <c r="O131" s="750"/>
      <c r="P131" s="810"/>
      <c r="Q131" s="810"/>
      <c r="R131" s="810"/>
      <c r="S131" s="810"/>
      <c r="T131" s="810"/>
      <c r="U131" s="810"/>
      <c r="V131" s="810"/>
      <c r="W131" s="810"/>
      <c r="X131" s="810"/>
      <c r="Y131" s="810"/>
      <c r="Z131" s="750"/>
    </row>
    <row r="132" spans="5:26" s="813" customFormat="1">
      <c r="E132" s="807"/>
      <c r="F132" s="814"/>
      <c r="G132" s="810"/>
      <c r="H132" s="750"/>
      <c r="I132" s="762"/>
      <c r="J132" s="750"/>
      <c r="K132" s="750"/>
      <c r="L132" s="750"/>
      <c r="M132" s="750"/>
      <c r="N132" s="750"/>
      <c r="O132" s="750"/>
      <c r="P132" s="810"/>
      <c r="Q132" s="810"/>
      <c r="R132" s="810"/>
      <c r="S132" s="810"/>
      <c r="T132" s="810"/>
      <c r="U132" s="810"/>
      <c r="V132" s="810"/>
      <c r="W132" s="810"/>
      <c r="X132" s="810"/>
      <c r="Y132" s="810"/>
      <c r="Z132" s="750"/>
    </row>
    <row r="133" spans="5:26" s="813" customFormat="1">
      <c r="E133" s="807"/>
      <c r="F133" s="814"/>
      <c r="G133" s="810"/>
      <c r="H133" s="750"/>
      <c r="I133" s="762"/>
      <c r="J133" s="750"/>
      <c r="K133" s="750"/>
      <c r="L133" s="750"/>
      <c r="M133" s="750"/>
      <c r="N133" s="750"/>
      <c r="O133" s="750"/>
      <c r="P133" s="810"/>
      <c r="Q133" s="810"/>
      <c r="R133" s="810"/>
      <c r="S133" s="810"/>
      <c r="T133" s="810"/>
      <c r="U133" s="810"/>
      <c r="V133" s="810"/>
      <c r="W133" s="810"/>
      <c r="X133" s="810"/>
      <c r="Y133" s="810"/>
      <c r="Z133" s="750"/>
    </row>
    <row r="134" spans="5:26" s="813" customFormat="1">
      <c r="E134" s="807"/>
      <c r="F134" s="814"/>
      <c r="G134" s="750"/>
      <c r="H134" s="750"/>
      <c r="I134" s="762"/>
      <c r="J134" s="750"/>
      <c r="K134" s="750"/>
      <c r="L134" s="750"/>
      <c r="M134" s="750"/>
      <c r="N134" s="750"/>
      <c r="O134" s="750"/>
      <c r="P134" s="810"/>
      <c r="Q134" s="810"/>
      <c r="R134" s="810"/>
      <c r="S134" s="810"/>
      <c r="T134" s="810"/>
      <c r="U134" s="810"/>
      <c r="V134" s="810"/>
      <c r="W134" s="810"/>
      <c r="X134" s="810"/>
      <c r="Y134" s="810"/>
      <c r="Z134" s="750"/>
    </row>
    <row r="135" spans="5:26" s="813" customFormat="1">
      <c r="E135" s="807"/>
      <c r="F135" s="814"/>
      <c r="G135" s="750"/>
      <c r="H135" s="750"/>
      <c r="I135" s="762"/>
      <c r="J135" s="750"/>
      <c r="K135" s="750"/>
      <c r="L135" s="750"/>
      <c r="M135" s="750"/>
      <c r="N135" s="750"/>
      <c r="O135" s="750"/>
      <c r="P135" s="810"/>
      <c r="Q135" s="810"/>
      <c r="R135" s="810"/>
      <c r="S135" s="810"/>
      <c r="T135" s="810"/>
      <c r="U135" s="810"/>
      <c r="V135" s="810"/>
      <c r="W135" s="810"/>
      <c r="X135" s="810"/>
      <c r="Y135" s="810"/>
      <c r="Z135" s="750"/>
    </row>
    <row r="136" spans="5:26" s="813" customFormat="1">
      <c r="E136" s="807"/>
      <c r="F136" s="814"/>
      <c r="G136" s="750"/>
      <c r="H136" s="750"/>
      <c r="I136" s="762"/>
      <c r="J136" s="750"/>
      <c r="K136" s="750"/>
      <c r="L136" s="750"/>
      <c r="M136" s="750"/>
      <c r="N136" s="750"/>
      <c r="O136" s="750"/>
      <c r="P136" s="810"/>
      <c r="Q136" s="810"/>
      <c r="R136" s="816"/>
      <c r="S136" s="816"/>
      <c r="T136" s="816"/>
      <c r="U136" s="816"/>
      <c r="V136" s="816"/>
      <c r="W136" s="816"/>
      <c r="X136" s="816"/>
      <c r="Y136" s="816"/>
    </row>
    <row r="137" spans="5:26" s="813" customFormat="1">
      <c r="E137" s="807"/>
      <c r="F137" s="814"/>
      <c r="G137" s="750"/>
      <c r="H137" s="750"/>
      <c r="I137" s="762"/>
      <c r="J137" s="750"/>
      <c r="K137" s="750"/>
      <c r="L137" s="750"/>
      <c r="M137" s="750"/>
      <c r="N137" s="750"/>
      <c r="O137" s="750"/>
      <c r="P137" s="810"/>
      <c r="Q137" s="810"/>
      <c r="R137" s="816"/>
      <c r="S137" s="816"/>
      <c r="T137" s="816"/>
      <c r="U137" s="816"/>
      <c r="V137" s="816"/>
      <c r="W137" s="816"/>
      <c r="X137" s="816"/>
      <c r="Y137" s="816"/>
    </row>
    <row r="138" spans="5:26" s="813" customFormat="1">
      <c r="E138" s="807"/>
      <c r="F138" s="814"/>
      <c r="G138" s="750"/>
      <c r="H138" s="750"/>
      <c r="I138" s="762"/>
      <c r="J138" s="750"/>
      <c r="K138" s="750"/>
      <c r="L138" s="750"/>
      <c r="M138" s="750"/>
      <c r="N138" s="750"/>
      <c r="O138" s="750"/>
      <c r="P138" s="810"/>
      <c r="Q138" s="810"/>
      <c r="R138" s="816"/>
      <c r="S138" s="816"/>
      <c r="T138" s="816"/>
      <c r="U138" s="816"/>
      <c r="V138" s="816"/>
      <c r="W138" s="816"/>
      <c r="X138" s="816"/>
      <c r="Y138" s="816"/>
    </row>
    <row r="139" spans="5:26" s="813" customFormat="1">
      <c r="E139" s="807"/>
      <c r="F139" s="814"/>
      <c r="G139" s="750"/>
      <c r="H139" s="750"/>
      <c r="I139" s="762"/>
      <c r="J139" s="750"/>
      <c r="K139" s="750"/>
      <c r="L139" s="750"/>
      <c r="M139" s="750"/>
      <c r="N139" s="750"/>
      <c r="O139" s="750"/>
      <c r="P139" s="810"/>
      <c r="Q139" s="810"/>
      <c r="R139" s="816"/>
      <c r="S139" s="816"/>
      <c r="T139" s="816"/>
      <c r="U139" s="816"/>
      <c r="V139" s="816"/>
      <c r="W139" s="816"/>
      <c r="X139" s="816"/>
      <c r="Y139" s="816"/>
    </row>
    <row r="140" spans="5:26" s="813" customFormat="1">
      <c r="E140" s="807"/>
      <c r="F140" s="814"/>
      <c r="G140" s="750"/>
      <c r="H140" s="750"/>
      <c r="I140" s="762"/>
      <c r="J140" s="750"/>
      <c r="K140" s="750"/>
      <c r="L140" s="750"/>
      <c r="M140" s="750"/>
      <c r="N140" s="750"/>
      <c r="O140" s="750"/>
      <c r="P140" s="810"/>
      <c r="Q140" s="810"/>
      <c r="R140" s="816"/>
      <c r="S140" s="816"/>
      <c r="T140" s="816"/>
      <c r="U140" s="816"/>
      <c r="V140" s="816"/>
      <c r="W140" s="816"/>
      <c r="X140" s="816"/>
      <c r="Y140" s="816"/>
    </row>
    <row r="141" spans="5:26" s="813" customFormat="1">
      <c r="E141" s="807"/>
      <c r="F141" s="814"/>
      <c r="G141" s="750"/>
      <c r="H141" s="750"/>
      <c r="I141" s="762"/>
      <c r="J141" s="750"/>
      <c r="K141" s="750"/>
      <c r="L141" s="750"/>
      <c r="M141" s="750"/>
      <c r="P141" s="816"/>
      <c r="Q141" s="816"/>
      <c r="R141" s="816"/>
      <c r="S141" s="816"/>
      <c r="T141" s="816"/>
      <c r="U141" s="816"/>
      <c r="V141" s="816"/>
      <c r="W141" s="816"/>
      <c r="X141" s="816"/>
      <c r="Y141" s="816"/>
    </row>
    <row r="142" spans="5:26" s="813" customFormat="1">
      <c r="E142" s="807"/>
      <c r="F142" s="814"/>
      <c r="G142" s="750"/>
      <c r="H142" s="750"/>
      <c r="I142" s="762"/>
      <c r="J142" s="750"/>
      <c r="K142" s="750"/>
      <c r="L142" s="750"/>
      <c r="M142" s="750"/>
      <c r="P142" s="816"/>
      <c r="Q142" s="816"/>
      <c r="R142" s="816"/>
      <c r="S142" s="816"/>
      <c r="T142" s="816"/>
      <c r="U142" s="816"/>
      <c r="V142" s="816"/>
      <c r="W142" s="816"/>
      <c r="X142" s="816"/>
      <c r="Y142" s="816"/>
    </row>
    <row r="143" spans="5:26" s="813" customFormat="1">
      <c r="E143" s="807"/>
      <c r="F143" s="814"/>
      <c r="G143" s="750"/>
      <c r="H143" s="750"/>
      <c r="I143" s="762"/>
      <c r="J143" s="750"/>
      <c r="K143" s="750"/>
      <c r="L143" s="750"/>
      <c r="M143" s="750"/>
      <c r="P143" s="816"/>
      <c r="Q143" s="816"/>
      <c r="R143" s="816"/>
      <c r="S143" s="816"/>
      <c r="T143" s="816"/>
      <c r="U143" s="816"/>
      <c r="V143" s="816"/>
      <c r="W143" s="816"/>
      <c r="X143" s="816"/>
      <c r="Y143" s="816"/>
    </row>
    <row r="144" spans="5:26" s="813" customFormat="1">
      <c r="E144" s="807"/>
      <c r="F144" s="814"/>
      <c r="G144" s="750"/>
      <c r="H144" s="750"/>
      <c r="I144" s="762"/>
      <c r="J144" s="750"/>
      <c r="K144" s="750"/>
      <c r="L144" s="750"/>
      <c r="M144" s="750"/>
      <c r="P144" s="816"/>
      <c r="Q144" s="816"/>
      <c r="R144" s="816"/>
      <c r="S144" s="816"/>
      <c r="T144" s="816"/>
      <c r="U144" s="816"/>
      <c r="V144" s="816"/>
      <c r="W144" s="816"/>
      <c r="X144" s="816"/>
      <c r="Y144" s="816"/>
    </row>
    <row r="145" spans="5:25" s="813" customFormat="1">
      <c r="E145" s="807"/>
      <c r="F145" s="814"/>
      <c r="G145" s="750"/>
      <c r="H145" s="750"/>
      <c r="I145" s="762"/>
      <c r="J145" s="750"/>
      <c r="K145" s="750"/>
      <c r="L145" s="750"/>
      <c r="M145" s="750"/>
      <c r="P145" s="816"/>
      <c r="Q145" s="816"/>
      <c r="R145" s="816"/>
      <c r="S145" s="816"/>
      <c r="T145" s="816"/>
      <c r="U145" s="816"/>
      <c r="V145" s="816"/>
      <c r="W145" s="816"/>
      <c r="X145" s="816"/>
      <c r="Y145" s="816"/>
    </row>
    <row r="146" spans="5:25" s="813" customFormat="1">
      <c r="E146" s="807"/>
      <c r="F146" s="814"/>
      <c r="G146" s="750"/>
      <c r="H146" s="750"/>
      <c r="I146" s="762"/>
      <c r="J146" s="750"/>
      <c r="K146" s="750"/>
      <c r="L146" s="750"/>
      <c r="M146" s="750"/>
      <c r="P146" s="816"/>
      <c r="Q146" s="816"/>
      <c r="R146" s="816"/>
      <c r="S146" s="816"/>
      <c r="T146" s="816"/>
      <c r="U146" s="816"/>
      <c r="V146" s="816"/>
      <c r="W146" s="816"/>
      <c r="X146" s="816"/>
      <c r="Y146" s="816"/>
    </row>
    <row r="147" spans="5:25" s="813" customFormat="1">
      <c r="E147" s="807"/>
      <c r="F147" s="814"/>
      <c r="G147" s="750"/>
      <c r="H147" s="750"/>
      <c r="I147" s="762"/>
      <c r="J147" s="750"/>
      <c r="K147" s="750"/>
      <c r="L147" s="750"/>
      <c r="M147" s="750"/>
      <c r="P147" s="816"/>
      <c r="Q147" s="816"/>
      <c r="R147" s="816"/>
      <c r="S147" s="816"/>
      <c r="T147" s="816"/>
      <c r="U147" s="816"/>
      <c r="V147" s="816"/>
      <c r="W147" s="816"/>
      <c r="X147" s="816"/>
      <c r="Y147" s="816"/>
    </row>
    <row r="148" spans="5:25" s="813" customFormat="1">
      <c r="E148" s="807"/>
      <c r="F148" s="814"/>
      <c r="G148" s="750"/>
      <c r="H148" s="750"/>
      <c r="I148" s="762"/>
      <c r="J148" s="750"/>
      <c r="K148" s="750"/>
      <c r="L148" s="750"/>
      <c r="M148" s="750"/>
      <c r="P148" s="816"/>
      <c r="Q148" s="816"/>
      <c r="R148" s="816"/>
      <c r="S148" s="816"/>
      <c r="T148" s="816"/>
      <c r="U148" s="816"/>
      <c r="V148" s="816"/>
      <c r="W148" s="816"/>
      <c r="X148" s="816"/>
      <c r="Y148" s="816"/>
    </row>
    <row r="149" spans="5:25" s="813" customFormat="1">
      <c r="E149" s="807"/>
      <c r="F149" s="814"/>
      <c r="G149" s="750"/>
      <c r="H149" s="750"/>
      <c r="I149" s="762"/>
      <c r="J149" s="750"/>
      <c r="K149" s="750"/>
      <c r="L149" s="750"/>
      <c r="M149" s="750"/>
      <c r="P149" s="816"/>
      <c r="Q149" s="816"/>
      <c r="R149" s="816"/>
      <c r="S149" s="816"/>
      <c r="T149" s="816"/>
      <c r="U149" s="816"/>
      <c r="V149" s="816"/>
      <c r="W149" s="816"/>
      <c r="X149" s="816"/>
      <c r="Y149" s="816"/>
    </row>
    <row r="150" spans="5:25" s="813" customFormat="1">
      <c r="E150" s="807"/>
      <c r="F150" s="814"/>
      <c r="G150" s="750"/>
      <c r="H150" s="750"/>
      <c r="I150" s="762"/>
      <c r="J150" s="750"/>
      <c r="K150" s="750"/>
      <c r="L150" s="750"/>
      <c r="M150" s="750"/>
      <c r="P150" s="816"/>
      <c r="Q150" s="816"/>
      <c r="R150" s="816"/>
      <c r="S150" s="816"/>
      <c r="T150" s="816"/>
      <c r="U150" s="816"/>
      <c r="V150" s="816"/>
      <c r="W150" s="816"/>
      <c r="X150" s="816"/>
      <c r="Y150" s="816"/>
    </row>
    <row r="151" spans="5:25" s="813" customFormat="1">
      <c r="E151" s="807"/>
      <c r="F151" s="814"/>
      <c r="G151" s="750"/>
      <c r="H151" s="750"/>
      <c r="I151" s="762"/>
      <c r="J151" s="750"/>
      <c r="K151" s="750"/>
      <c r="L151" s="750"/>
      <c r="M151" s="750"/>
      <c r="P151" s="816"/>
      <c r="Q151" s="816"/>
      <c r="R151" s="816"/>
      <c r="S151" s="816"/>
      <c r="T151" s="816"/>
      <c r="U151" s="816"/>
      <c r="V151" s="816"/>
      <c r="W151" s="816"/>
      <c r="X151" s="816"/>
      <c r="Y151" s="816"/>
    </row>
    <row r="152" spans="5:25" s="813" customFormat="1">
      <c r="E152" s="807"/>
      <c r="F152" s="814"/>
      <c r="G152" s="750"/>
      <c r="H152" s="750"/>
      <c r="I152" s="762"/>
      <c r="J152" s="750"/>
      <c r="K152" s="750"/>
      <c r="L152" s="750"/>
      <c r="M152" s="750"/>
      <c r="P152" s="816"/>
      <c r="Q152" s="816"/>
      <c r="R152" s="816"/>
      <c r="S152" s="816"/>
      <c r="T152" s="816"/>
      <c r="U152" s="816"/>
      <c r="V152" s="816"/>
      <c r="W152" s="816"/>
      <c r="X152" s="816"/>
      <c r="Y152" s="816"/>
    </row>
    <row r="153" spans="5:25" s="813" customFormat="1">
      <c r="E153" s="807"/>
      <c r="F153" s="814"/>
      <c r="G153" s="750"/>
      <c r="H153" s="750"/>
      <c r="I153" s="762"/>
      <c r="J153" s="750"/>
      <c r="K153" s="750"/>
      <c r="L153" s="750"/>
      <c r="M153" s="750"/>
      <c r="P153" s="816"/>
      <c r="Q153" s="816"/>
      <c r="R153" s="816"/>
      <c r="S153" s="816"/>
      <c r="T153" s="816"/>
      <c r="U153" s="816"/>
      <c r="V153" s="816"/>
      <c r="W153" s="816"/>
      <c r="X153" s="816"/>
      <c r="Y153" s="816"/>
    </row>
    <row r="154" spans="5:25" s="813" customFormat="1">
      <c r="E154" s="807"/>
      <c r="F154" s="814"/>
      <c r="G154" s="750"/>
      <c r="H154" s="750"/>
      <c r="I154" s="762"/>
      <c r="J154" s="750"/>
      <c r="K154" s="750"/>
      <c r="L154" s="750"/>
      <c r="M154" s="750"/>
      <c r="P154" s="816"/>
      <c r="Q154" s="816"/>
      <c r="R154" s="816"/>
      <c r="S154" s="816"/>
      <c r="T154" s="816"/>
      <c r="U154" s="816"/>
      <c r="V154" s="816"/>
      <c r="W154" s="816"/>
      <c r="X154" s="816"/>
      <c r="Y154" s="816"/>
    </row>
    <row r="155" spans="5:25" s="813" customFormat="1">
      <c r="E155" s="807"/>
      <c r="F155" s="814"/>
      <c r="G155" s="750"/>
      <c r="H155" s="750"/>
      <c r="I155" s="762"/>
      <c r="J155" s="750"/>
      <c r="K155" s="750"/>
      <c r="L155" s="750"/>
      <c r="M155" s="750"/>
      <c r="P155" s="816"/>
      <c r="Q155" s="816"/>
      <c r="R155" s="816"/>
      <c r="S155" s="816"/>
      <c r="T155" s="816"/>
      <c r="U155" s="816"/>
      <c r="V155" s="816"/>
      <c r="W155" s="816"/>
      <c r="X155" s="816"/>
      <c r="Y155" s="816"/>
    </row>
    <row r="156" spans="5:25" s="813" customFormat="1">
      <c r="E156" s="807"/>
      <c r="F156" s="814"/>
      <c r="G156" s="750"/>
      <c r="H156" s="750"/>
      <c r="I156" s="762"/>
      <c r="J156" s="750"/>
      <c r="K156" s="750"/>
      <c r="L156" s="750"/>
      <c r="P156" s="816"/>
      <c r="Q156" s="816"/>
      <c r="R156" s="816"/>
      <c r="S156" s="816"/>
      <c r="T156" s="816"/>
      <c r="U156" s="816"/>
      <c r="V156" s="816"/>
      <c r="W156" s="816"/>
      <c r="X156" s="816"/>
      <c r="Y156" s="816"/>
    </row>
    <row r="157" spans="5:25" s="813" customFormat="1">
      <c r="E157" s="807"/>
      <c r="F157" s="814"/>
      <c r="G157" s="750"/>
      <c r="H157" s="750"/>
      <c r="I157" s="762"/>
      <c r="J157" s="750"/>
      <c r="K157" s="750"/>
      <c r="L157" s="750"/>
      <c r="P157" s="816"/>
      <c r="Q157" s="816"/>
      <c r="R157" s="816"/>
      <c r="S157" s="816"/>
      <c r="T157" s="816"/>
      <c r="U157" s="816"/>
      <c r="V157" s="816"/>
      <c r="W157" s="816"/>
      <c r="X157" s="816"/>
      <c r="Y157" s="816"/>
    </row>
    <row r="158" spans="5:25" s="813" customFormat="1">
      <c r="E158" s="807"/>
      <c r="F158" s="814"/>
      <c r="G158" s="750"/>
      <c r="H158" s="750"/>
      <c r="I158" s="762"/>
      <c r="J158" s="750"/>
      <c r="K158" s="750"/>
      <c r="L158" s="750"/>
      <c r="P158" s="816"/>
      <c r="Q158" s="816"/>
      <c r="R158" s="816"/>
      <c r="S158" s="816"/>
      <c r="T158" s="816"/>
      <c r="U158" s="816"/>
      <c r="V158" s="816"/>
      <c r="W158" s="816"/>
      <c r="X158" s="816"/>
      <c r="Y158" s="816"/>
    </row>
    <row r="159" spans="5:25" s="813" customFormat="1">
      <c r="E159" s="807"/>
      <c r="F159" s="814"/>
      <c r="G159" s="750"/>
      <c r="H159" s="750"/>
      <c r="I159" s="762"/>
      <c r="J159" s="750"/>
      <c r="K159" s="750"/>
      <c r="L159" s="750"/>
      <c r="P159" s="816"/>
      <c r="Q159" s="816"/>
      <c r="R159" s="816"/>
      <c r="S159" s="816"/>
      <c r="T159" s="816"/>
      <c r="U159" s="816"/>
      <c r="V159" s="816"/>
      <c r="W159" s="816"/>
      <c r="X159" s="816"/>
      <c r="Y159" s="816"/>
    </row>
    <row r="160" spans="5:25" s="813" customFormat="1">
      <c r="E160" s="807"/>
      <c r="F160" s="814"/>
      <c r="G160" s="750"/>
      <c r="H160" s="750"/>
      <c r="I160" s="762"/>
      <c r="J160" s="750"/>
      <c r="K160" s="750"/>
      <c r="L160" s="750"/>
      <c r="P160" s="816"/>
      <c r="Q160" s="816"/>
      <c r="R160" s="816"/>
      <c r="S160" s="816"/>
      <c r="T160" s="816"/>
      <c r="U160" s="816"/>
      <c r="V160" s="816"/>
      <c r="W160" s="816"/>
      <c r="X160" s="816"/>
      <c r="Y160" s="816"/>
    </row>
    <row r="161" spans="1:26" s="813" customFormat="1">
      <c r="E161" s="807"/>
      <c r="F161" s="814"/>
      <c r="G161" s="750"/>
      <c r="H161" s="750"/>
      <c r="I161" s="762"/>
      <c r="J161" s="750"/>
      <c r="K161" s="750"/>
      <c r="L161" s="750"/>
      <c r="P161" s="816"/>
      <c r="Q161" s="816"/>
      <c r="R161" s="816"/>
      <c r="S161" s="816"/>
      <c r="T161" s="816"/>
      <c r="U161" s="816"/>
      <c r="V161" s="816"/>
      <c r="W161" s="816"/>
      <c r="X161" s="816"/>
      <c r="Y161" s="816"/>
    </row>
    <row r="162" spans="1:26" s="813" customFormat="1">
      <c r="E162" s="807"/>
      <c r="F162" s="814"/>
      <c r="G162" s="750"/>
      <c r="H162" s="750"/>
      <c r="I162" s="762"/>
      <c r="J162" s="750"/>
      <c r="K162" s="750"/>
      <c r="L162" s="750"/>
      <c r="P162" s="816"/>
      <c r="Q162" s="816"/>
      <c r="R162" s="816"/>
      <c r="S162" s="816"/>
      <c r="T162" s="816"/>
      <c r="U162" s="816"/>
      <c r="V162" s="816"/>
      <c r="W162" s="816"/>
      <c r="X162" s="816"/>
      <c r="Y162" s="816"/>
    </row>
    <row r="163" spans="1:26" s="813" customFormat="1">
      <c r="E163" s="807"/>
      <c r="F163" s="814"/>
      <c r="G163" s="750"/>
      <c r="H163" s="750"/>
      <c r="I163" s="762"/>
      <c r="J163" s="750"/>
      <c r="K163" s="750"/>
      <c r="L163" s="750"/>
      <c r="P163" s="816"/>
      <c r="Q163" s="816"/>
      <c r="R163" s="816"/>
      <c r="S163" s="816"/>
      <c r="T163" s="816"/>
      <c r="U163" s="816"/>
      <c r="V163" s="816"/>
      <c r="W163" s="816"/>
      <c r="X163" s="816"/>
      <c r="Y163" s="816"/>
    </row>
    <row r="164" spans="1:26" s="813" customFormat="1">
      <c r="E164" s="807"/>
      <c r="F164" s="814"/>
      <c r="G164" s="750"/>
      <c r="H164" s="750"/>
      <c r="I164" s="762"/>
      <c r="J164" s="750"/>
      <c r="K164" s="750"/>
      <c r="L164" s="750"/>
      <c r="P164" s="816"/>
      <c r="Q164" s="816"/>
      <c r="R164" s="816"/>
      <c r="S164" s="816"/>
      <c r="T164" s="816"/>
      <c r="U164" s="816"/>
      <c r="V164" s="816"/>
      <c r="W164" s="816"/>
      <c r="X164" s="816"/>
      <c r="Y164" s="816"/>
    </row>
    <row r="165" spans="1:26" s="813" customFormat="1">
      <c r="E165" s="807"/>
      <c r="F165" s="814"/>
      <c r="G165" s="750"/>
      <c r="H165" s="750"/>
      <c r="I165" s="762"/>
      <c r="J165" s="750"/>
      <c r="K165" s="750"/>
      <c r="L165" s="750"/>
      <c r="P165" s="816"/>
      <c r="Q165" s="816"/>
      <c r="R165" s="816"/>
      <c r="S165" s="816"/>
      <c r="T165" s="816"/>
      <c r="U165" s="816"/>
      <c r="V165" s="816"/>
      <c r="W165" s="816"/>
      <c r="X165" s="816"/>
      <c r="Y165" s="816"/>
    </row>
    <row r="166" spans="1:26" s="813" customFormat="1">
      <c r="E166" s="807"/>
      <c r="F166" s="814"/>
      <c r="G166" s="750"/>
      <c r="H166" s="750"/>
      <c r="I166" s="762"/>
      <c r="J166" s="750"/>
      <c r="K166" s="750"/>
      <c r="L166" s="750"/>
      <c r="P166" s="816"/>
      <c r="Q166" s="816"/>
      <c r="R166" s="816"/>
      <c r="S166" s="816"/>
      <c r="T166" s="816"/>
      <c r="U166" s="816"/>
      <c r="V166" s="816"/>
      <c r="W166" s="816"/>
      <c r="X166" s="816"/>
      <c r="Y166" s="816"/>
    </row>
    <row r="167" spans="1:26">
      <c r="A167" s="813"/>
      <c r="B167" s="813"/>
      <c r="C167" s="813"/>
      <c r="D167" s="813"/>
      <c r="E167" s="807"/>
      <c r="F167" s="814"/>
      <c r="G167" s="750"/>
      <c r="H167" s="750"/>
      <c r="I167" s="762"/>
      <c r="J167" s="750"/>
      <c r="K167" s="750"/>
      <c r="L167" s="750"/>
      <c r="M167" s="813"/>
      <c r="N167" s="813"/>
      <c r="O167" s="813"/>
      <c r="P167" s="816"/>
      <c r="Q167" s="816"/>
      <c r="R167" s="816"/>
      <c r="S167" s="816"/>
      <c r="T167" s="816"/>
      <c r="U167" s="816"/>
      <c r="V167" s="816"/>
      <c r="W167" s="816"/>
      <c r="X167" s="816"/>
      <c r="Y167" s="816"/>
      <c r="Z167" s="813"/>
    </row>
    <row r="168" spans="1:26">
      <c r="A168" s="813"/>
      <c r="B168" s="813"/>
      <c r="C168" s="813"/>
      <c r="D168" s="813"/>
      <c r="E168" s="807"/>
      <c r="F168" s="814"/>
      <c r="G168" s="750"/>
      <c r="H168" s="750"/>
      <c r="I168" s="762"/>
      <c r="J168" s="750"/>
      <c r="K168" s="750"/>
      <c r="L168" s="750"/>
      <c r="M168" s="813"/>
      <c r="N168" s="813"/>
      <c r="O168" s="813"/>
      <c r="P168" s="816"/>
      <c r="Q168" s="816"/>
      <c r="R168" s="816"/>
      <c r="S168" s="816"/>
      <c r="T168" s="816"/>
      <c r="U168" s="816"/>
      <c r="V168" s="816"/>
      <c r="W168" s="816"/>
      <c r="X168" s="816"/>
      <c r="Y168" s="816"/>
      <c r="Z168" s="813"/>
    </row>
    <row r="169" spans="1:26">
      <c r="A169" s="813"/>
      <c r="B169" s="813"/>
      <c r="C169" s="813"/>
      <c r="D169" s="813"/>
      <c r="E169" s="807"/>
      <c r="F169" s="814"/>
      <c r="G169" s="750"/>
      <c r="H169" s="750"/>
      <c r="I169" s="762"/>
      <c r="J169" s="750"/>
      <c r="K169" s="750"/>
      <c r="L169" s="750"/>
      <c r="M169" s="813"/>
      <c r="N169" s="813"/>
      <c r="O169" s="813"/>
      <c r="P169" s="816"/>
      <c r="Q169" s="816"/>
      <c r="R169" s="816"/>
      <c r="S169" s="816"/>
      <c r="T169" s="816"/>
      <c r="U169" s="816"/>
      <c r="V169" s="816"/>
      <c r="W169" s="816"/>
      <c r="X169" s="816"/>
      <c r="Y169" s="816"/>
      <c r="Z169" s="813"/>
    </row>
    <row r="170" spans="1:26">
      <c r="A170" s="813"/>
      <c r="B170" s="813"/>
      <c r="C170" s="813"/>
      <c r="D170" s="813"/>
      <c r="E170" s="807"/>
      <c r="F170" s="814"/>
      <c r="G170" s="750"/>
      <c r="H170" s="750"/>
      <c r="I170" s="762"/>
      <c r="J170" s="750"/>
      <c r="K170" s="750"/>
      <c r="L170" s="750"/>
      <c r="M170" s="813"/>
      <c r="N170" s="813"/>
      <c r="O170" s="813"/>
      <c r="P170" s="816"/>
      <c r="Q170" s="816"/>
      <c r="R170" s="816"/>
      <c r="S170" s="816"/>
      <c r="T170" s="816"/>
      <c r="U170" s="816"/>
      <c r="V170" s="816"/>
      <c r="W170" s="816"/>
      <c r="X170" s="816"/>
      <c r="Y170" s="816"/>
      <c r="Z170" s="813"/>
    </row>
    <row r="171" spans="1:26">
      <c r="A171" s="813"/>
      <c r="B171" s="813"/>
      <c r="C171" s="813"/>
      <c r="D171" s="813"/>
      <c r="E171" s="807"/>
      <c r="F171" s="814"/>
      <c r="G171" s="750"/>
      <c r="H171" s="750"/>
      <c r="I171" s="762"/>
      <c r="J171" s="750"/>
      <c r="K171" s="750"/>
      <c r="L171" s="750"/>
      <c r="M171" s="813"/>
      <c r="N171" s="813"/>
      <c r="O171" s="813"/>
      <c r="P171" s="816"/>
      <c r="Q171" s="816"/>
      <c r="R171" s="816"/>
      <c r="S171" s="816"/>
      <c r="T171" s="816"/>
      <c r="U171" s="816"/>
      <c r="V171" s="816"/>
      <c r="W171" s="816"/>
      <c r="X171" s="816"/>
      <c r="Y171" s="816"/>
      <c r="Z171" s="813"/>
    </row>
    <row r="172" spans="1:26">
      <c r="A172" s="813"/>
      <c r="B172" s="813"/>
      <c r="C172" s="813"/>
      <c r="D172" s="813"/>
      <c r="E172" s="807"/>
      <c r="F172" s="814"/>
      <c r="G172" s="750"/>
      <c r="H172" s="750"/>
      <c r="I172" s="762"/>
      <c r="J172" s="750"/>
      <c r="K172" s="750"/>
      <c r="L172" s="750"/>
      <c r="M172" s="813"/>
      <c r="N172" s="813"/>
      <c r="O172" s="813"/>
      <c r="P172" s="816"/>
      <c r="Q172" s="816"/>
      <c r="R172" s="816"/>
      <c r="S172" s="816"/>
      <c r="T172" s="816"/>
      <c r="U172" s="816"/>
      <c r="V172" s="816"/>
      <c r="W172" s="816"/>
      <c r="X172" s="816"/>
      <c r="Y172" s="816"/>
      <c r="Z172" s="813"/>
    </row>
    <row r="173" spans="1:26">
      <c r="A173" s="813"/>
      <c r="B173" s="813"/>
      <c r="C173" s="813"/>
      <c r="D173" s="813"/>
      <c r="E173" s="807"/>
      <c r="F173" s="814"/>
      <c r="G173" s="750"/>
      <c r="H173" s="750"/>
      <c r="I173" s="762"/>
      <c r="J173" s="750"/>
      <c r="K173" s="750"/>
      <c r="L173" s="750"/>
      <c r="M173" s="813"/>
      <c r="N173" s="813"/>
      <c r="O173" s="813"/>
      <c r="P173" s="816"/>
      <c r="Q173" s="816"/>
      <c r="R173" s="816"/>
      <c r="S173" s="816"/>
      <c r="T173" s="816"/>
      <c r="U173" s="816"/>
      <c r="V173" s="816"/>
      <c r="W173" s="816"/>
      <c r="X173" s="816"/>
      <c r="Y173" s="816"/>
      <c r="Z173" s="813"/>
    </row>
    <row r="174" spans="1:26">
      <c r="A174" s="813"/>
      <c r="B174" s="813"/>
      <c r="C174" s="813"/>
      <c r="D174" s="813"/>
      <c r="E174" s="807"/>
      <c r="F174" s="814"/>
      <c r="G174" s="750"/>
      <c r="H174" s="750"/>
      <c r="I174" s="762"/>
      <c r="J174" s="750"/>
      <c r="K174" s="750"/>
      <c r="L174" s="750"/>
      <c r="M174" s="813"/>
      <c r="N174" s="813"/>
      <c r="O174" s="813"/>
      <c r="P174" s="816"/>
      <c r="Q174" s="816"/>
      <c r="R174" s="816"/>
      <c r="S174" s="816"/>
      <c r="T174" s="816"/>
      <c r="U174" s="816"/>
      <c r="V174" s="816"/>
      <c r="W174" s="816"/>
      <c r="X174" s="816"/>
      <c r="Y174" s="816"/>
      <c r="Z174" s="813"/>
    </row>
    <row r="175" spans="1:26">
      <c r="A175" s="813"/>
      <c r="B175" s="813"/>
      <c r="C175" s="813"/>
      <c r="D175" s="813"/>
      <c r="E175" s="807"/>
      <c r="F175" s="814"/>
      <c r="G175" s="750"/>
      <c r="H175" s="750"/>
      <c r="I175" s="762"/>
      <c r="J175" s="750"/>
      <c r="K175" s="750"/>
      <c r="L175" s="750"/>
      <c r="M175" s="813"/>
      <c r="N175" s="813"/>
      <c r="O175" s="813"/>
      <c r="P175" s="816"/>
      <c r="Q175" s="816"/>
      <c r="R175" s="816"/>
      <c r="S175" s="816"/>
      <c r="T175" s="816"/>
      <c r="U175" s="816"/>
      <c r="V175" s="816"/>
      <c r="W175" s="816"/>
      <c r="X175" s="816"/>
      <c r="Y175" s="816"/>
      <c r="Z175" s="813"/>
    </row>
    <row r="176" spans="1:26">
      <c r="A176" s="813"/>
      <c r="B176" s="813"/>
      <c r="C176" s="813"/>
      <c r="D176" s="813"/>
      <c r="E176" s="807"/>
      <c r="F176" s="814"/>
      <c r="G176" s="750"/>
      <c r="H176" s="750"/>
      <c r="I176" s="762"/>
      <c r="J176" s="750"/>
      <c r="K176" s="750"/>
      <c r="L176" s="750"/>
      <c r="M176" s="813"/>
      <c r="N176" s="813"/>
      <c r="O176" s="813"/>
      <c r="P176" s="816"/>
      <c r="Q176" s="816"/>
      <c r="R176" s="816"/>
      <c r="S176" s="816"/>
      <c r="T176" s="816"/>
      <c r="U176" s="816"/>
      <c r="V176" s="816"/>
      <c r="W176" s="816"/>
      <c r="X176" s="816"/>
      <c r="Y176" s="816"/>
      <c r="Z176" s="813"/>
    </row>
    <row r="177" spans="1:26">
      <c r="A177" s="813"/>
      <c r="B177" s="813"/>
      <c r="C177" s="813"/>
      <c r="D177" s="813"/>
      <c r="E177" s="807"/>
      <c r="F177" s="814"/>
      <c r="G177" s="750"/>
      <c r="H177" s="750"/>
      <c r="I177" s="762"/>
      <c r="J177" s="750"/>
      <c r="K177" s="750"/>
      <c r="L177" s="750"/>
      <c r="M177" s="813"/>
      <c r="N177" s="813"/>
      <c r="O177" s="813"/>
      <c r="P177" s="816"/>
      <c r="Q177" s="816"/>
      <c r="R177" s="816"/>
      <c r="S177" s="816"/>
      <c r="T177" s="816"/>
      <c r="U177" s="816"/>
      <c r="V177" s="816"/>
      <c r="W177" s="816"/>
      <c r="X177" s="816"/>
      <c r="Y177" s="816"/>
      <c r="Z177" s="813"/>
    </row>
    <row r="178" spans="1:26">
      <c r="A178" s="813"/>
      <c r="B178" s="813"/>
      <c r="C178" s="813"/>
      <c r="D178" s="813"/>
      <c r="E178" s="807"/>
      <c r="F178" s="814"/>
      <c r="G178" s="750"/>
      <c r="H178" s="750"/>
      <c r="I178" s="762"/>
      <c r="J178" s="750"/>
      <c r="K178" s="750"/>
      <c r="L178" s="750"/>
      <c r="M178" s="813"/>
      <c r="N178" s="813"/>
      <c r="O178" s="813"/>
      <c r="P178" s="816"/>
      <c r="Q178" s="816"/>
      <c r="R178" s="816"/>
      <c r="S178" s="816"/>
      <c r="T178" s="816"/>
      <c r="U178" s="816"/>
      <c r="V178" s="816"/>
      <c r="W178" s="816"/>
      <c r="X178" s="816"/>
      <c r="Y178" s="816"/>
      <c r="Z178" s="813"/>
    </row>
    <row r="179" spans="1:26">
      <c r="A179" s="813"/>
      <c r="B179" s="813"/>
      <c r="C179" s="813"/>
      <c r="D179" s="813"/>
      <c r="E179" s="807"/>
      <c r="F179" s="814"/>
      <c r="G179" s="750"/>
      <c r="H179" s="750"/>
      <c r="I179" s="762"/>
      <c r="J179" s="750"/>
      <c r="K179" s="750"/>
      <c r="L179" s="750"/>
      <c r="M179" s="813"/>
      <c r="N179" s="813"/>
      <c r="O179" s="813"/>
      <c r="P179" s="816"/>
      <c r="Q179" s="816"/>
      <c r="R179" s="816"/>
      <c r="S179" s="816"/>
      <c r="T179" s="816"/>
      <c r="U179" s="816"/>
      <c r="V179" s="816"/>
      <c r="W179" s="816"/>
      <c r="X179" s="816"/>
      <c r="Y179" s="816"/>
      <c r="Z179" s="813"/>
    </row>
    <row r="180" spans="1:26">
      <c r="A180" s="813"/>
      <c r="B180" s="813"/>
      <c r="C180" s="813"/>
      <c r="D180" s="813"/>
      <c r="E180" s="807"/>
      <c r="F180" s="814"/>
      <c r="G180" s="750"/>
      <c r="H180" s="750"/>
      <c r="I180" s="762"/>
      <c r="J180" s="750"/>
      <c r="K180" s="750"/>
      <c r="L180" s="750"/>
      <c r="M180" s="813"/>
      <c r="N180" s="813"/>
      <c r="O180" s="813"/>
      <c r="P180" s="816"/>
      <c r="Q180" s="816"/>
      <c r="R180" s="816"/>
      <c r="S180" s="816"/>
      <c r="T180" s="816"/>
      <c r="U180" s="816"/>
      <c r="V180" s="816"/>
      <c r="W180" s="816"/>
      <c r="X180" s="816"/>
      <c r="Y180" s="816"/>
      <c r="Z180" s="813"/>
    </row>
    <row r="181" spans="1:26">
      <c r="A181" s="813"/>
      <c r="B181" s="813"/>
      <c r="C181" s="813"/>
      <c r="D181" s="813"/>
      <c r="E181" s="807"/>
      <c r="F181" s="814"/>
      <c r="G181" s="750"/>
      <c r="H181" s="750"/>
      <c r="I181" s="762"/>
      <c r="J181" s="750"/>
      <c r="K181" s="750"/>
      <c r="L181" s="750"/>
      <c r="M181" s="813"/>
      <c r="N181" s="813"/>
      <c r="O181" s="813"/>
      <c r="P181" s="816"/>
      <c r="Q181" s="816"/>
      <c r="R181" s="816"/>
      <c r="S181" s="816"/>
      <c r="T181" s="816"/>
      <c r="U181" s="816"/>
      <c r="V181" s="816"/>
      <c r="W181" s="816"/>
      <c r="X181" s="816"/>
      <c r="Y181" s="816"/>
      <c r="Z181" s="813"/>
    </row>
    <row r="182" spans="1:26">
      <c r="A182" s="813"/>
      <c r="B182" s="813"/>
      <c r="C182" s="813"/>
      <c r="D182" s="813"/>
      <c r="E182" s="807"/>
      <c r="F182" s="814"/>
      <c r="G182" s="750"/>
      <c r="H182" s="750"/>
      <c r="I182" s="762"/>
      <c r="J182" s="750"/>
      <c r="K182" s="750"/>
      <c r="L182" s="750"/>
      <c r="M182" s="813"/>
      <c r="N182" s="813"/>
      <c r="O182" s="813"/>
      <c r="P182" s="816"/>
      <c r="Q182" s="816"/>
      <c r="R182" s="816"/>
      <c r="S182" s="816"/>
      <c r="T182" s="816"/>
      <c r="U182" s="816"/>
      <c r="V182" s="816"/>
      <c r="W182" s="816"/>
      <c r="X182" s="816"/>
      <c r="Y182" s="816"/>
      <c r="Z182" s="813"/>
    </row>
    <row r="183" spans="1:26">
      <c r="A183" s="813"/>
      <c r="B183" s="813"/>
      <c r="C183" s="813"/>
      <c r="D183" s="813"/>
      <c r="E183" s="807"/>
      <c r="F183" s="814"/>
      <c r="G183" s="750"/>
      <c r="H183" s="750"/>
      <c r="I183" s="762"/>
      <c r="J183" s="750"/>
      <c r="K183" s="750"/>
      <c r="L183" s="750"/>
      <c r="M183" s="813"/>
      <c r="N183" s="813"/>
      <c r="O183" s="813"/>
      <c r="P183" s="816"/>
      <c r="Q183" s="816"/>
      <c r="R183" s="816"/>
      <c r="S183" s="816"/>
      <c r="T183" s="816"/>
      <c r="U183" s="816"/>
      <c r="V183" s="816"/>
      <c r="W183" s="816"/>
      <c r="X183" s="816"/>
      <c r="Y183" s="816"/>
      <c r="Z183" s="813"/>
    </row>
    <row r="184" spans="1:26">
      <c r="A184" s="813"/>
      <c r="B184" s="813"/>
      <c r="C184" s="813"/>
      <c r="D184" s="813"/>
      <c r="E184" s="807"/>
      <c r="F184" s="814"/>
      <c r="G184" s="750"/>
      <c r="H184" s="750"/>
      <c r="I184" s="762"/>
      <c r="J184" s="750"/>
      <c r="K184" s="750"/>
      <c r="L184" s="750"/>
      <c r="M184" s="813"/>
      <c r="N184" s="813"/>
      <c r="O184" s="813"/>
      <c r="P184" s="816"/>
      <c r="Q184" s="816"/>
      <c r="R184" s="816"/>
      <c r="S184" s="816"/>
      <c r="T184" s="816"/>
      <c r="U184" s="816"/>
      <c r="V184" s="816"/>
      <c r="W184" s="816"/>
      <c r="X184" s="816"/>
      <c r="Y184" s="816"/>
      <c r="Z184" s="813"/>
    </row>
    <row r="185" spans="1:26">
      <c r="A185" s="813"/>
      <c r="B185" s="813"/>
      <c r="C185" s="813"/>
      <c r="D185" s="813"/>
      <c r="E185" s="807"/>
      <c r="F185" s="814"/>
      <c r="G185" s="750"/>
      <c r="H185" s="750"/>
      <c r="I185" s="762"/>
      <c r="J185" s="750"/>
      <c r="K185" s="750"/>
      <c r="L185" s="750"/>
      <c r="M185" s="813"/>
      <c r="N185" s="813"/>
      <c r="O185" s="813"/>
      <c r="P185" s="816"/>
      <c r="Q185" s="816"/>
      <c r="R185" s="816"/>
      <c r="S185" s="816"/>
      <c r="T185" s="816"/>
      <c r="U185" s="816"/>
      <c r="V185" s="816"/>
      <c r="W185" s="816"/>
      <c r="X185" s="816"/>
      <c r="Y185" s="816"/>
      <c r="Z185" s="813"/>
    </row>
    <row r="186" spans="1:26">
      <c r="A186" s="813"/>
      <c r="B186" s="813"/>
      <c r="C186" s="813"/>
      <c r="D186" s="813"/>
      <c r="E186" s="807"/>
      <c r="F186" s="814"/>
      <c r="G186" s="750"/>
      <c r="H186" s="750"/>
      <c r="I186" s="762"/>
      <c r="J186" s="750"/>
      <c r="K186" s="750"/>
      <c r="L186" s="750"/>
      <c r="M186" s="813"/>
      <c r="N186" s="813"/>
      <c r="O186" s="813"/>
      <c r="P186" s="816"/>
      <c r="Q186" s="816"/>
      <c r="R186" s="816"/>
      <c r="S186" s="816"/>
      <c r="T186" s="816"/>
      <c r="U186" s="816"/>
      <c r="V186" s="816"/>
      <c r="W186" s="816"/>
      <c r="X186" s="816"/>
      <c r="Y186" s="816"/>
      <c r="Z186" s="813"/>
    </row>
    <row r="187" spans="1:26">
      <c r="A187" s="813"/>
      <c r="B187" s="813"/>
      <c r="C187" s="813"/>
      <c r="D187" s="813"/>
      <c r="E187" s="807"/>
      <c r="F187" s="814"/>
      <c r="G187" s="750"/>
      <c r="H187" s="750"/>
      <c r="I187" s="762"/>
      <c r="J187" s="750"/>
      <c r="K187" s="750"/>
      <c r="L187" s="750"/>
      <c r="M187" s="813"/>
      <c r="N187" s="813"/>
      <c r="O187" s="813"/>
      <c r="P187" s="816"/>
      <c r="Q187" s="816"/>
      <c r="R187" s="816"/>
      <c r="S187" s="816"/>
      <c r="T187" s="816"/>
      <c r="U187" s="816"/>
      <c r="V187" s="816"/>
      <c r="W187" s="816"/>
      <c r="X187" s="816"/>
      <c r="Y187" s="816"/>
      <c r="Z187" s="813"/>
    </row>
    <row r="188" spans="1:26">
      <c r="A188" s="813"/>
      <c r="B188" s="813"/>
      <c r="C188" s="813"/>
      <c r="D188" s="813"/>
      <c r="E188" s="807"/>
      <c r="F188" s="814"/>
      <c r="G188" s="750"/>
      <c r="H188" s="750"/>
      <c r="I188" s="762"/>
      <c r="J188" s="750"/>
      <c r="K188" s="750"/>
      <c r="L188" s="750"/>
      <c r="M188" s="813"/>
      <c r="N188" s="813"/>
      <c r="O188" s="813"/>
      <c r="P188" s="816"/>
      <c r="Q188" s="816"/>
      <c r="R188" s="816"/>
      <c r="S188" s="816"/>
      <c r="T188" s="816"/>
      <c r="U188" s="816"/>
      <c r="V188" s="816"/>
      <c r="W188" s="816"/>
      <c r="X188" s="816"/>
      <c r="Y188" s="816"/>
      <c r="Z188" s="813"/>
    </row>
    <row r="189" spans="1:26">
      <c r="A189" s="813"/>
      <c r="B189" s="813"/>
      <c r="C189" s="813"/>
      <c r="D189" s="813"/>
      <c r="E189" s="807"/>
      <c r="F189" s="814"/>
      <c r="G189" s="750"/>
      <c r="H189" s="750"/>
      <c r="I189" s="762"/>
      <c r="J189" s="750"/>
      <c r="K189" s="750"/>
      <c r="L189" s="750"/>
      <c r="M189" s="813"/>
      <c r="N189" s="813"/>
      <c r="O189" s="813"/>
      <c r="P189" s="816"/>
      <c r="Q189" s="816"/>
      <c r="R189" s="816"/>
      <c r="S189" s="816"/>
      <c r="T189" s="816"/>
      <c r="U189" s="816"/>
      <c r="V189" s="816"/>
      <c r="W189" s="816"/>
      <c r="X189" s="816"/>
      <c r="Y189" s="816"/>
      <c r="Z189" s="813"/>
    </row>
    <row r="190" spans="1:26">
      <c r="A190" s="813"/>
      <c r="B190" s="813"/>
      <c r="C190" s="813"/>
      <c r="D190" s="813"/>
      <c r="E190" s="807"/>
      <c r="F190" s="814"/>
      <c r="G190" s="750"/>
      <c r="H190" s="750"/>
      <c r="I190" s="762"/>
      <c r="J190" s="750"/>
      <c r="K190" s="750"/>
      <c r="L190" s="750"/>
      <c r="M190" s="813"/>
      <c r="N190" s="813"/>
      <c r="O190" s="813"/>
      <c r="P190" s="816"/>
      <c r="Q190" s="816"/>
      <c r="R190" s="816"/>
      <c r="S190" s="816"/>
      <c r="T190" s="816"/>
      <c r="U190" s="816"/>
      <c r="V190" s="816"/>
      <c r="W190" s="816"/>
      <c r="X190" s="816"/>
      <c r="Y190" s="816"/>
      <c r="Z190" s="813"/>
    </row>
    <row r="191" spans="1:26">
      <c r="A191" s="813"/>
      <c r="B191" s="813"/>
      <c r="C191" s="813"/>
      <c r="D191" s="813"/>
      <c r="E191" s="807"/>
      <c r="F191" s="814"/>
      <c r="G191" s="750"/>
      <c r="H191" s="750"/>
      <c r="I191" s="762"/>
      <c r="J191" s="750"/>
      <c r="K191" s="750"/>
      <c r="L191" s="750"/>
      <c r="M191" s="813"/>
      <c r="N191" s="813"/>
      <c r="O191" s="813"/>
      <c r="P191" s="816"/>
      <c r="Q191" s="816"/>
      <c r="R191" s="816"/>
      <c r="S191" s="816"/>
      <c r="T191" s="816"/>
      <c r="U191" s="816"/>
      <c r="V191" s="816"/>
      <c r="W191" s="816"/>
      <c r="X191" s="816"/>
      <c r="Y191" s="816"/>
      <c r="Z191" s="813"/>
    </row>
    <row r="192" spans="1:26">
      <c r="A192" s="813"/>
      <c r="B192" s="813"/>
      <c r="C192" s="813"/>
      <c r="D192" s="813"/>
      <c r="E192" s="807"/>
      <c r="F192" s="814"/>
      <c r="G192" s="750"/>
      <c r="H192" s="750"/>
      <c r="I192" s="762"/>
      <c r="J192" s="750"/>
      <c r="K192" s="750"/>
      <c r="L192" s="750"/>
      <c r="M192" s="813"/>
      <c r="N192" s="813"/>
      <c r="O192" s="813"/>
      <c r="P192" s="816"/>
      <c r="Q192" s="816"/>
      <c r="R192" s="816"/>
      <c r="S192" s="816"/>
      <c r="T192" s="816"/>
      <c r="U192" s="816"/>
      <c r="V192" s="816"/>
      <c r="W192" s="816"/>
      <c r="X192" s="816"/>
      <c r="Y192" s="816"/>
      <c r="Z192" s="813"/>
    </row>
    <row r="193" spans="1:17">
      <c r="A193" s="813"/>
      <c r="B193" s="813"/>
      <c r="C193" s="813"/>
      <c r="D193" s="813"/>
      <c r="E193" s="807"/>
      <c r="F193" s="814"/>
      <c r="G193" s="750"/>
      <c r="H193" s="750"/>
      <c r="I193" s="762"/>
      <c r="J193" s="750"/>
      <c r="K193" s="750"/>
      <c r="L193" s="750"/>
      <c r="M193" s="813"/>
      <c r="N193" s="813"/>
      <c r="O193" s="813"/>
      <c r="P193" s="816"/>
      <c r="Q193" s="816"/>
    </row>
    <row r="194" spans="1:17">
      <c r="A194" s="813"/>
      <c r="B194" s="813"/>
      <c r="C194" s="813"/>
      <c r="D194" s="813"/>
      <c r="E194" s="807"/>
      <c r="F194" s="814"/>
      <c r="G194" s="750"/>
      <c r="H194" s="750"/>
      <c r="I194" s="762"/>
      <c r="J194" s="750"/>
      <c r="K194" s="750"/>
      <c r="L194" s="750"/>
      <c r="M194" s="813"/>
      <c r="N194" s="813"/>
      <c r="O194" s="813"/>
      <c r="P194" s="816"/>
      <c r="Q194" s="816"/>
    </row>
    <row r="195" spans="1:17">
      <c r="A195" s="813"/>
      <c r="B195" s="813"/>
      <c r="C195" s="813"/>
      <c r="D195" s="813"/>
      <c r="E195" s="807"/>
      <c r="F195" s="814"/>
      <c r="G195" s="750"/>
      <c r="H195" s="750"/>
      <c r="I195" s="762"/>
      <c r="J195" s="750"/>
      <c r="K195" s="750"/>
      <c r="L195" s="750"/>
      <c r="M195" s="813"/>
      <c r="N195" s="813"/>
      <c r="O195" s="813"/>
      <c r="P195" s="816"/>
      <c r="Q195" s="816"/>
    </row>
    <row r="196" spans="1:17">
      <c r="A196" s="813"/>
      <c r="B196" s="813"/>
      <c r="C196" s="813"/>
      <c r="D196" s="813"/>
      <c r="E196" s="807"/>
      <c r="F196" s="814"/>
      <c r="G196" s="750"/>
      <c r="H196" s="750"/>
      <c r="I196" s="762"/>
      <c r="J196" s="750"/>
      <c r="K196" s="750"/>
      <c r="L196" s="750"/>
      <c r="M196" s="813"/>
      <c r="N196" s="813"/>
      <c r="O196" s="813"/>
      <c r="P196" s="816"/>
      <c r="Q196" s="816"/>
    </row>
    <row r="197" spans="1:17">
      <c r="A197" s="813"/>
      <c r="B197" s="813"/>
      <c r="C197" s="813"/>
      <c r="D197" s="813"/>
      <c r="E197" s="807"/>
      <c r="F197" s="814"/>
      <c r="G197" s="750"/>
      <c r="H197" s="750"/>
      <c r="I197" s="762"/>
      <c r="J197" s="750"/>
      <c r="K197" s="750"/>
      <c r="L197" s="750"/>
      <c r="M197" s="813"/>
      <c r="N197" s="813"/>
      <c r="O197" s="813"/>
      <c r="P197" s="816"/>
      <c r="Q197" s="816"/>
    </row>
    <row r="198" spans="1:17">
      <c r="A198" s="813"/>
      <c r="B198" s="813"/>
      <c r="C198" s="813"/>
      <c r="D198" s="813"/>
      <c r="E198" s="807"/>
      <c r="F198" s="814"/>
      <c r="G198" s="750"/>
      <c r="H198" s="750"/>
      <c r="I198" s="762"/>
      <c r="J198" s="750"/>
      <c r="K198" s="750"/>
      <c r="L198" s="750"/>
      <c r="M198" s="813"/>
    </row>
    <row r="199" spans="1:17">
      <c r="A199" s="813"/>
      <c r="B199" s="813"/>
      <c r="C199" s="813"/>
      <c r="D199" s="813"/>
      <c r="E199" s="807"/>
      <c r="F199" s="814"/>
      <c r="G199" s="750"/>
      <c r="H199" s="750"/>
      <c r="I199" s="762"/>
      <c r="J199" s="750"/>
      <c r="K199" s="750"/>
      <c r="L199" s="750"/>
      <c r="M199" s="813"/>
    </row>
    <row r="200" spans="1:17">
      <c r="A200" s="813"/>
      <c r="B200" s="813"/>
      <c r="C200" s="813"/>
      <c r="D200" s="813"/>
      <c r="E200" s="807"/>
      <c r="F200" s="814"/>
      <c r="G200" s="750"/>
      <c r="H200" s="750"/>
      <c r="I200" s="762"/>
      <c r="J200" s="750"/>
      <c r="K200" s="750"/>
      <c r="L200" s="750"/>
      <c r="M200" s="813"/>
    </row>
    <row r="201" spans="1:17">
      <c r="A201" s="813"/>
      <c r="B201" s="813"/>
      <c r="C201" s="813"/>
      <c r="D201" s="813"/>
      <c r="E201" s="807"/>
      <c r="F201" s="814"/>
      <c r="G201" s="750"/>
      <c r="H201" s="750"/>
      <c r="I201" s="762"/>
      <c r="J201" s="750"/>
      <c r="K201" s="750"/>
      <c r="L201" s="750"/>
      <c r="M201" s="813"/>
    </row>
    <row r="202" spans="1:17">
      <c r="J202" s="750"/>
      <c r="K202" s="750"/>
      <c r="L202" s="750"/>
      <c r="M202" s="813"/>
    </row>
    <row r="203" spans="1:17">
      <c r="J203" s="750"/>
      <c r="K203" s="750"/>
      <c r="L203" s="750"/>
      <c r="M203" s="813"/>
    </row>
    <row r="204" spans="1:17">
      <c r="J204" s="750"/>
      <c r="K204" s="750"/>
      <c r="L204" s="750"/>
      <c r="M204" s="813"/>
    </row>
    <row r="205" spans="1:17">
      <c r="J205" s="750"/>
      <c r="K205" s="750"/>
      <c r="L205" s="750"/>
      <c r="M205" s="813"/>
    </row>
    <row r="206" spans="1:17">
      <c r="J206" s="750"/>
      <c r="K206" s="750"/>
      <c r="L206" s="750"/>
      <c r="M206" s="813"/>
    </row>
    <row r="207" spans="1:17">
      <c r="J207" s="750"/>
      <c r="K207" s="750"/>
      <c r="L207" s="750"/>
      <c r="M207" s="813"/>
    </row>
    <row r="208" spans="1:17">
      <c r="K208" s="750"/>
      <c r="L208" s="750"/>
      <c r="M208" s="813"/>
    </row>
    <row r="209" spans="11:13">
      <c r="K209" s="750"/>
      <c r="L209" s="750"/>
      <c r="M209" s="813"/>
    </row>
    <row r="210" spans="11:13">
      <c r="K210" s="750"/>
      <c r="L210" s="750"/>
      <c r="M210" s="813"/>
    </row>
    <row r="211" spans="11:13">
      <c r="L211" s="750"/>
      <c r="M211" s="813"/>
    </row>
    <row r="212" spans="11:13">
      <c r="L212" s="750"/>
      <c r="M212" s="813"/>
    </row>
    <row r="213" spans="11:13">
      <c r="L213" s="750"/>
    </row>
    <row r="214" spans="11:13">
      <c r="L214" s="750"/>
    </row>
    <row r="215" spans="11:13">
      <c r="L215" s="750"/>
    </row>
  </sheetData>
  <mergeCells count="7">
    <mergeCell ref="X7:Y7"/>
    <mergeCell ref="AA7:AB7"/>
    <mergeCell ref="D9:F9"/>
    <mergeCell ref="H9:K9"/>
    <mergeCell ref="A7:L7"/>
    <mergeCell ref="R7:S7"/>
    <mergeCell ref="T7:W7"/>
  </mergeCells>
  <conditionalFormatting sqref="P104:P120 AF9:AF57">
    <cfRule type="aboveAverage" dxfId="1" priority="1" aboveAverage="0" stdDev="1"/>
    <cfRule type="aboveAverage" dxfId="0" priority="2" stdDev="1"/>
  </conditionalFormatting>
  <dataValidations disablePrompts="1" count="1">
    <dataValidation type="list" allowBlank="1" showInputMessage="1" showErrorMessage="1" sqref="B5" xr:uid="{3C391664-E0DE-46B7-9D57-618986F935DB}">
      <formula1>$AH$5:$AH$8</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0810-1710-4600-880D-3A8C40DFA603}">
  <dimension ref="A3:W26"/>
  <sheetViews>
    <sheetView topLeftCell="J1" workbookViewId="0">
      <selection activeCell="M16" sqref="M16"/>
    </sheetView>
  </sheetViews>
  <sheetFormatPr defaultColWidth="17.42578125" defaultRowHeight="15.75" customHeight="1"/>
  <cols>
    <col min="1" max="1" width="12.42578125" style="2" customWidth="1"/>
    <col min="2" max="2" width="27.42578125" style="2" customWidth="1"/>
    <col min="3" max="3" width="11.42578125" style="2" bestFit="1" customWidth="1"/>
    <col min="4" max="4" width="20" style="2" bestFit="1" customWidth="1"/>
    <col min="5" max="5" width="10.5703125" style="3" bestFit="1" customWidth="1"/>
    <col min="6" max="7" width="13.5703125" style="2" bestFit="1" customWidth="1"/>
    <col min="8" max="8" width="14.42578125" style="2" bestFit="1" customWidth="1"/>
    <col min="9" max="9" width="17.42578125" style="2" bestFit="1"/>
    <col min="10" max="10" width="19.5703125" style="2" bestFit="1" customWidth="1"/>
    <col min="11" max="11" width="16.42578125" style="2" bestFit="1" customWidth="1"/>
    <col min="12" max="12" width="18" style="2" customWidth="1"/>
    <col min="13" max="13" width="22.140625" style="2" customWidth="1"/>
    <col min="14" max="14" width="11.5703125" style="2" bestFit="1" customWidth="1"/>
    <col min="15" max="15" width="11.42578125" style="2" bestFit="1" customWidth="1"/>
    <col min="16" max="17" width="7.85546875" style="2" bestFit="1" customWidth="1"/>
    <col min="18" max="18" width="14.5703125" style="2" bestFit="1" customWidth="1"/>
    <col min="19" max="19" width="20.5703125" style="2" bestFit="1" customWidth="1"/>
    <col min="20" max="20" width="21" style="2" bestFit="1" customWidth="1"/>
    <col min="21" max="21" width="8.5703125" style="2" bestFit="1" customWidth="1"/>
    <col min="22" max="16384" width="17.42578125" style="2"/>
  </cols>
  <sheetData>
    <row r="3" spans="1:23" ht="15">
      <c r="A3" s="20"/>
      <c r="B3" s="21"/>
      <c r="C3" s="22"/>
      <c r="D3" s="31"/>
      <c r="E3" s="936" t="s">
        <v>11</v>
      </c>
      <c r="F3" s="937"/>
      <c r="G3" s="938"/>
      <c r="H3" s="32"/>
      <c r="I3" s="518"/>
      <c r="J3" s="26"/>
      <c r="K3" s="518"/>
      <c r="L3" s="33"/>
      <c r="M3" s="34"/>
      <c r="N3" s="26"/>
      <c r="O3" s="35"/>
      <c r="P3" s="26"/>
      <c r="Q3" s="437"/>
      <c r="R3" s="36"/>
      <c r="S3" s="37"/>
      <c r="T3" s="939" t="s">
        <v>12</v>
      </c>
      <c r="U3" s="940"/>
      <c r="V3" s="519"/>
      <c r="W3" s="38"/>
    </row>
    <row r="4" spans="1:23" s="52" customFormat="1" ht="38.25">
      <c r="A4" s="39" t="s">
        <v>13</v>
      </c>
      <c r="B4" s="40" t="s">
        <v>14</v>
      </c>
      <c r="C4" s="41" t="s">
        <v>15</v>
      </c>
      <c r="D4" s="42" t="s">
        <v>16</v>
      </c>
      <c r="E4" s="180" t="s">
        <v>17</v>
      </c>
      <c r="F4" s="40" t="s">
        <v>18</v>
      </c>
      <c r="G4" s="430" t="s">
        <v>19</v>
      </c>
      <c r="H4" s="430" t="s">
        <v>20</v>
      </c>
      <c r="I4" s="44" t="s">
        <v>21</v>
      </c>
      <c r="J4" s="44" t="s">
        <v>22</v>
      </c>
      <c r="K4" s="40" t="s">
        <v>23</v>
      </c>
      <c r="L4" s="46" t="s">
        <v>24</v>
      </c>
      <c r="M4" s="46" t="s">
        <v>25</v>
      </c>
      <c r="N4" s="44" t="s">
        <v>26</v>
      </c>
      <c r="O4" s="47" t="s">
        <v>27</v>
      </c>
      <c r="P4" s="44" t="s">
        <v>28</v>
      </c>
      <c r="Q4" s="438" t="s">
        <v>29</v>
      </c>
      <c r="R4" s="48" t="s">
        <v>7</v>
      </c>
      <c r="S4" s="49" t="s">
        <v>8</v>
      </c>
      <c r="T4" s="50" t="s">
        <v>30</v>
      </c>
      <c r="U4" s="50" t="s">
        <v>31</v>
      </c>
      <c r="V4" s="51" t="s">
        <v>2</v>
      </c>
      <c r="W4" s="41" t="s">
        <v>32</v>
      </c>
    </row>
    <row r="5" spans="1:23" thickBot="1">
      <c r="A5" s="53" t="s">
        <v>33</v>
      </c>
      <c r="B5" s="54"/>
      <c r="C5" s="55"/>
      <c r="D5" s="56"/>
      <c r="E5" s="65" t="s">
        <v>34</v>
      </c>
      <c r="F5" s="57" t="s">
        <v>34</v>
      </c>
      <c r="G5" s="226" t="s">
        <v>34</v>
      </c>
      <c r="H5" s="227" t="s">
        <v>34</v>
      </c>
      <c r="I5" s="57" t="s">
        <v>34</v>
      </c>
      <c r="J5" s="57" t="s">
        <v>34</v>
      </c>
      <c r="K5" s="58" t="s">
        <v>35</v>
      </c>
      <c r="L5" s="59" t="s">
        <v>34</v>
      </c>
      <c r="M5" s="60" t="s">
        <v>34</v>
      </c>
      <c r="N5" s="60" t="s">
        <v>35</v>
      </c>
      <c r="O5" s="61" t="s">
        <v>36</v>
      </c>
      <c r="P5" s="62" t="s">
        <v>36</v>
      </c>
      <c r="Q5" s="439" t="s">
        <v>36</v>
      </c>
      <c r="R5" s="63" t="s">
        <v>36</v>
      </c>
      <c r="S5" s="64" t="s">
        <v>36</v>
      </c>
      <c r="T5" s="65" t="s">
        <v>34</v>
      </c>
      <c r="U5" s="65" t="s">
        <v>34</v>
      </c>
      <c r="V5" s="66" t="s">
        <v>34</v>
      </c>
      <c r="W5" s="67"/>
    </row>
    <row r="6" spans="1:23" s="429" customFormat="1" ht="15">
      <c r="A6" s="427">
        <v>44823</v>
      </c>
      <c r="B6" s="428" t="s">
        <v>109</v>
      </c>
      <c r="C6" s="435" t="s">
        <v>119</v>
      </c>
      <c r="D6" s="436" t="s">
        <v>53</v>
      </c>
      <c r="E6" s="441">
        <v>12.2</v>
      </c>
      <c r="F6" s="428">
        <v>1.97</v>
      </c>
      <c r="G6" s="431">
        <f>E6-F6</f>
        <v>10.229999999999999</v>
      </c>
      <c r="H6" s="433"/>
      <c r="I6" s="441"/>
      <c r="J6" s="441"/>
      <c r="K6" s="442"/>
      <c r="L6" s="441"/>
      <c r="M6" s="441"/>
      <c r="N6" s="443"/>
      <c r="O6" s="441"/>
      <c r="P6" s="441"/>
      <c r="Q6" s="442"/>
      <c r="R6" s="441"/>
      <c r="S6" s="434"/>
      <c r="V6" s="434"/>
    </row>
    <row r="7" spans="1:23" s="429" customFormat="1" ht="15">
      <c r="A7" s="427">
        <v>44823</v>
      </c>
      <c r="B7" s="428" t="s">
        <v>109</v>
      </c>
      <c r="C7" s="435" t="s">
        <v>119</v>
      </c>
      <c r="D7" s="436" t="s">
        <v>53</v>
      </c>
      <c r="E7" s="441">
        <v>12.7</v>
      </c>
      <c r="F7" s="428">
        <f>E7-G7</f>
        <v>2.4699999999999989</v>
      </c>
      <c r="G7" s="431">
        <v>10.23</v>
      </c>
      <c r="H7" s="433"/>
      <c r="I7" s="441"/>
      <c r="J7" s="441"/>
      <c r="K7" s="442"/>
      <c r="L7" s="441"/>
      <c r="M7" s="441"/>
      <c r="N7" s="443"/>
      <c r="O7" s="441"/>
      <c r="P7" s="441"/>
      <c r="Q7" s="442"/>
      <c r="R7" s="441"/>
      <c r="S7" s="434">
        <v>0</v>
      </c>
      <c r="V7" s="434"/>
    </row>
    <row r="8" spans="1:23" s="429" customFormat="1" ht="15">
      <c r="A8" s="427">
        <v>45053</v>
      </c>
      <c r="B8" s="428" t="s">
        <v>195</v>
      </c>
      <c r="C8" s="435" t="s">
        <v>119</v>
      </c>
      <c r="D8" s="436" t="s">
        <v>52</v>
      </c>
      <c r="E8" s="441">
        <v>12.7</v>
      </c>
      <c r="F8" s="428">
        <f>E8-G8</f>
        <v>1.9800000000000004</v>
      </c>
      <c r="G8" s="431">
        <f>G9</f>
        <v>10.719999999999999</v>
      </c>
      <c r="H8" s="433"/>
      <c r="I8" s="441"/>
      <c r="J8" s="441"/>
      <c r="K8" s="442"/>
      <c r="L8" s="441"/>
      <c r="M8" s="441"/>
      <c r="N8" s="443"/>
      <c r="O8" s="441"/>
      <c r="P8" s="441"/>
      <c r="Q8" s="442"/>
      <c r="R8" s="441"/>
      <c r="S8" s="434"/>
      <c r="V8" s="434"/>
    </row>
    <row r="9" spans="1:23" s="429" customFormat="1" ht="15">
      <c r="A9" s="427">
        <v>45053</v>
      </c>
      <c r="B9" s="428" t="s">
        <v>195</v>
      </c>
      <c r="C9" s="435" t="s">
        <v>119</v>
      </c>
      <c r="D9" s="436" t="s">
        <v>52</v>
      </c>
      <c r="E9" s="441">
        <v>12.2</v>
      </c>
      <c r="F9" s="428">
        <v>1.48</v>
      </c>
      <c r="G9" s="431">
        <f>E9-F9</f>
        <v>10.719999999999999</v>
      </c>
      <c r="H9" s="433"/>
      <c r="I9" s="441"/>
      <c r="J9" s="441">
        <f>'20230506_PitAUU'!I3</f>
        <v>1.1279999999999999</v>
      </c>
      <c r="K9" s="442">
        <f>'20230506_PitAUU'!I4</f>
        <v>0.47187715665976532</v>
      </c>
      <c r="L9" s="441">
        <f>G9-J9</f>
        <v>9.5919999999999987</v>
      </c>
      <c r="M9" s="441"/>
      <c r="N9" s="443"/>
      <c r="O9" s="441"/>
      <c r="P9" s="441">
        <f>J9*K9</f>
        <v>0.53227743271221528</v>
      </c>
      <c r="Q9" s="442"/>
      <c r="R9" s="441">
        <f>(L9-G7)*0.9</f>
        <v>-0.57420000000000149</v>
      </c>
      <c r="S9" s="434"/>
      <c r="T9" s="429">
        <v>394119.54700000002</v>
      </c>
      <c r="U9" s="429">
        <v>6695609.5010000002</v>
      </c>
      <c r="V9" s="910">
        <v>656.88400000000001</v>
      </c>
    </row>
    <row r="10" spans="1:23" s="429" customFormat="1" ht="15">
      <c r="A10" s="427">
        <v>45176</v>
      </c>
      <c r="B10" s="428" t="s">
        <v>127</v>
      </c>
      <c r="C10" s="435" t="s">
        <v>119</v>
      </c>
      <c r="D10" s="436" t="s">
        <v>53</v>
      </c>
      <c r="E10" s="441">
        <v>6.1</v>
      </c>
      <c r="F10" s="428">
        <v>1.31</v>
      </c>
      <c r="G10" s="431">
        <f>E10-F10</f>
        <v>4.7899999999999991</v>
      </c>
      <c r="H10" s="433"/>
      <c r="I10" s="441"/>
      <c r="J10" s="441"/>
      <c r="K10" s="442"/>
      <c r="L10" s="441"/>
      <c r="M10" s="441"/>
      <c r="N10" s="443"/>
      <c r="O10" s="441">
        <f>Q10-P9</f>
        <v>-4.8540774327122147</v>
      </c>
      <c r="P10" s="441"/>
      <c r="Q10" s="442">
        <f>(G10-L9)*0.9</f>
        <v>-4.3217999999999996</v>
      </c>
      <c r="R10" s="441"/>
      <c r="S10" s="434">
        <v>0</v>
      </c>
      <c r="V10" s="434"/>
    </row>
    <row r="11" spans="1:23" s="429" customFormat="1" ht="15">
      <c r="A11" s="427">
        <v>45176</v>
      </c>
      <c r="B11" s="428" t="s">
        <v>127</v>
      </c>
      <c r="C11" s="435" t="s">
        <v>119</v>
      </c>
      <c r="D11" s="436" t="s">
        <v>53</v>
      </c>
      <c r="E11" s="441">
        <v>8.1</v>
      </c>
      <c r="F11" s="441">
        <f>E11-G11</f>
        <v>3.3100000000000005</v>
      </c>
      <c r="G11" s="431">
        <v>4.7899999999999991</v>
      </c>
      <c r="H11" s="433"/>
      <c r="I11" s="441"/>
      <c r="J11" s="441"/>
      <c r="K11" s="442"/>
      <c r="L11" s="441"/>
      <c r="M11" s="441"/>
      <c r="N11" s="443"/>
      <c r="O11" s="441"/>
      <c r="P11" s="441"/>
      <c r="Q11" s="442"/>
      <c r="R11" s="441"/>
      <c r="S11" s="434"/>
      <c r="T11">
        <v>394119.58899999998</v>
      </c>
      <c r="U11">
        <v>6695602.7769999998</v>
      </c>
      <c r="V11">
        <v>649.42499999999995</v>
      </c>
    </row>
    <row r="12" spans="1:23" s="70" customFormat="1" ht="15">
      <c r="A12" s="407"/>
      <c r="B12" s="143"/>
      <c r="C12" s="413"/>
      <c r="D12" s="415"/>
      <c r="E12" s="408"/>
      <c r="F12" s="143"/>
      <c r="G12" s="419"/>
      <c r="H12" s="432"/>
      <c r="I12" s="408"/>
      <c r="J12" s="408"/>
      <c r="K12" s="417"/>
      <c r="L12" s="408"/>
      <c r="M12" s="408"/>
      <c r="N12" s="440"/>
      <c r="O12" s="408"/>
      <c r="P12" s="408"/>
      <c r="Q12" s="417"/>
      <c r="R12" s="408"/>
      <c r="S12" s="341"/>
      <c r="V12" s="341"/>
    </row>
    <row r="13" spans="1:23" s="477" customFormat="1" ht="15">
      <c r="A13" s="467"/>
      <c r="B13" s="468"/>
      <c r="C13" s="469"/>
      <c r="D13" s="470"/>
      <c r="E13" s="473"/>
      <c r="F13" s="468"/>
      <c r="G13" s="471"/>
      <c r="H13" s="472"/>
      <c r="I13" s="473"/>
      <c r="J13" s="473"/>
      <c r="K13" s="474"/>
      <c r="L13" s="473"/>
      <c r="M13" s="473"/>
      <c r="N13" s="475"/>
      <c r="O13" s="473"/>
      <c r="P13" s="473"/>
      <c r="Q13" s="474"/>
      <c r="R13" s="473"/>
      <c r="S13" s="476"/>
      <c r="V13" s="476"/>
    </row>
    <row r="14" spans="1:23" s="477" customFormat="1" ht="15">
      <c r="A14" s="467"/>
      <c r="B14" s="468"/>
      <c r="C14" s="469"/>
      <c r="D14" s="470"/>
      <c r="E14" s="473"/>
      <c r="F14" s="468"/>
      <c r="G14" s="471"/>
      <c r="H14" s="472"/>
      <c r="I14" s="473"/>
      <c r="J14" s="473"/>
      <c r="K14" s="474"/>
      <c r="L14" s="473"/>
      <c r="M14" s="473"/>
      <c r="N14" s="475"/>
      <c r="O14" s="473"/>
      <c r="P14" s="473"/>
      <c r="Q14" s="474"/>
      <c r="R14" s="473"/>
      <c r="S14" s="476"/>
      <c r="V14" s="476"/>
    </row>
    <row r="15" spans="1:23" s="477" customFormat="1" ht="15">
      <c r="A15" s="467"/>
      <c r="B15" s="468"/>
      <c r="C15" s="469"/>
      <c r="D15" s="470"/>
      <c r="E15" s="473"/>
      <c r="F15" s="468"/>
      <c r="G15" s="471"/>
      <c r="H15" s="472"/>
      <c r="I15" s="473"/>
      <c r="J15" s="473"/>
      <c r="K15" s="474"/>
      <c r="L15" s="473"/>
      <c r="M15" s="473"/>
      <c r="N15" s="475"/>
      <c r="O15" s="473"/>
      <c r="P15" s="473"/>
      <c r="Q15" s="474"/>
      <c r="R15" s="473"/>
      <c r="S15" s="476"/>
      <c r="V15" s="476"/>
    </row>
    <row r="16" spans="1:23" s="70" customFormat="1" ht="15">
      <c r="A16" s="407"/>
      <c r="B16" s="143"/>
      <c r="C16" s="143"/>
      <c r="D16" s="143"/>
      <c r="E16" s="408"/>
      <c r="F16" s="143"/>
      <c r="G16" s="143"/>
      <c r="I16" s="408"/>
      <c r="J16" s="408"/>
      <c r="K16" s="408"/>
      <c r="L16" s="408"/>
      <c r="M16" s="408"/>
      <c r="N16" s="408"/>
      <c r="O16" s="408"/>
      <c r="P16" s="408"/>
      <c r="Q16" s="408"/>
      <c r="R16" s="408"/>
    </row>
    <row r="17" spans="1:21" thickBot="1">
      <c r="A17" s="100"/>
      <c r="B17" s="100"/>
      <c r="C17" s="100"/>
      <c r="D17" s="100"/>
      <c r="E17" s="101"/>
      <c r="F17" s="101"/>
      <c r="G17" s="100"/>
      <c r="H17" s="100"/>
      <c r="I17" s="100"/>
      <c r="J17" s="100"/>
      <c r="K17" s="100"/>
      <c r="L17" s="100"/>
      <c r="M17" s="100"/>
      <c r="N17" s="100"/>
      <c r="O17" s="100"/>
      <c r="P17" s="100"/>
      <c r="Q17" s="100"/>
      <c r="R17" s="102"/>
      <c r="S17" s="102"/>
      <c r="T17" s="102"/>
      <c r="U17" s="102"/>
    </row>
    <row r="18" spans="1:21" ht="14.45" customHeight="1">
      <c r="A18" s="941" t="s">
        <v>37</v>
      </c>
      <c r="B18" s="942"/>
      <c r="C18" s="945" t="s">
        <v>38</v>
      </c>
      <c r="D18" s="946"/>
      <c r="E18" s="921" t="s">
        <v>39</v>
      </c>
      <c r="F18" s="104"/>
      <c r="G18" s="103" t="s">
        <v>40</v>
      </c>
      <c r="H18" s="104"/>
      <c r="I18" s="105" t="s">
        <v>41</v>
      </c>
      <c r="Q18" s="70"/>
      <c r="R18" s="68"/>
      <c r="S18" s="68"/>
      <c r="T18" s="68"/>
      <c r="U18" s="102"/>
    </row>
    <row r="19" spans="1:21" ht="14.45" customHeight="1">
      <c r="A19" s="943"/>
      <c r="B19" s="944"/>
      <c r="C19" s="106" t="s">
        <v>42</v>
      </c>
      <c r="D19" s="106" t="s">
        <v>43</v>
      </c>
      <c r="E19" s="185">
        <f>A7</f>
        <v>44823</v>
      </c>
      <c r="F19" s="108" t="s">
        <v>44</v>
      </c>
      <c r="G19" s="109">
        <f>A9</f>
        <v>45053</v>
      </c>
      <c r="H19" s="108" t="s">
        <v>44</v>
      </c>
      <c r="I19" s="110">
        <f>A10</f>
        <v>45176</v>
      </c>
      <c r="Q19" s="70"/>
      <c r="R19" s="111"/>
      <c r="S19" s="111"/>
      <c r="T19" s="68"/>
      <c r="U19" s="102"/>
    </row>
    <row r="20" spans="1:21" ht="15">
      <c r="A20" s="112"/>
      <c r="B20" s="113" t="s">
        <v>45</v>
      </c>
      <c r="C20" s="114">
        <f>P9</f>
        <v>0.53227743271221528</v>
      </c>
      <c r="D20" s="114"/>
      <c r="E20" s="922"/>
      <c r="F20" s="115"/>
      <c r="G20" s="116"/>
      <c r="H20" s="114"/>
      <c r="I20" s="117"/>
      <c r="Q20" s="70"/>
      <c r="R20" s="111"/>
      <c r="S20" s="111"/>
      <c r="T20" s="68"/>
      <c r="U20" s="102"/>
    </row>
    <row r="21" spans="1:21" ht="15">
      <c r="A21" s="112"/>
      <c r="B21" s="113" t="s">
        <v>46</v>
      </c>
      <c r="C21" s="114">
        <f>O10</f>
        <v>-4.8540774327122147</v>
      </c>
      <c r="D21" s="114"/>
      <c r="E21" s="922"/>
      <c r="F21" s="115"/>
      <c r="G21" s="116"/>
      <c r="H21" s="114"/>
      <c r="I21" s="117"/>
      <c r="Q21" s="70"/>
      <c r="R21" s="111"/>
      <c r="S21" s="111"/>
      <c r="T21" s="68"/>
      <c r="U21" s="102"/>
    </row>
    <row r="22" spans="1:21" ht="15">
      <c r="A22" s="112"/>
      <c r="B22" s="113" t="s">
        <v>47</v>
      </c>
      <c r="C22" s="114">
        <f>Q10</f>
        <v>-4.3217999999999996</v>
      </c>
      <c r="D22" s="114"/>
      <c r="E22" s="922"/>
      <c r="F22" s="115"/>
      <c r="G22" s="116"/>
      <c r="H22" s="114"/>
      <c r="I22" s="117"/>
      <c r="Q22" s="70"/>
      <c r="R22" s="111"/>
      <c r="S22" s="111"/>
      <c r="T22" s="68"/>
      <c r="U22" s="102"/>
    </row>
    <row r="23" spans="1:21" ht="15">
      <c r="A23" s="112"/>
      <c r="B23" s="118" t="s">
        <v>48</v>
      </c>
      <c r="C23" s="114">
        <f>S7</f>
        <v>0</v>
      </c>
      <c r="D23" s="114"/>
      <c r="E23" s="922"/>
      <c r="F23" s="115"/>
      <c r="G23" s="114"/>
      <c r="H23" s="114"/>
      <c r="I23" s="117"/>
      <c r="Q23" s="70"/>
      <c r="R23" s="111"/>
      <c r="S23" s="111"/>
      <c r="T23" s="68"/>
      <c r="U23" s="102"/>
    </row>
    <row r="24" spans="1:21" ht="15">
      <c r="A24" s="112"/>
      <c r="B24" s="119" t="s">
        <v>49</v>
      </c>
      <c r="C24" s="114">
        <f>R9</f>
        <v>-0.57420000000000149</v>
      </c>
      <c r="D24" s="114"/>
      <c r="E24" s="922"/>
      <c r="F24" s="115"/>
      <c r="G24" s="114"/>
      <c r="H24" s="114"/>
      <c r="I24" s="117"/>
      <c r="Q24" s="70"/>
      <c r="R24" s="111"/>
      <c r="S24" s="111"/>
      <c r="T24" s="68"/>
      <c r="U24" s="102"/>
    </row>
    <row r="25" spans="1:21" thickBot="1">
      <c r="A25" s="120"/>
      <c r="B25" s="121" t="s">
        <v>50</v>
      </c>
      <c r="C25" s="122">
        <f>S10</f>
        <v>0</v>
      </c>
      <c r="D25" s="122"/>
      <c r="E25" s="923"/>
      <c r="F25" s="123"/>
      <c r="G25" s="124"/>
      <c r="H25" s="124"/>
      <c r="I25" s="125"/>
      <c r="Q25" s="70"/>
      <c r="R25" s="111"/>
      <c r="S25" s="111"/>
      <c r="T25" s="68"/>
      <c r="U25" s="102"/>
    </row>
    <row r="26" spans="1:21" ht="15">
      <c r="A26" s="102"/>
      <c r="B26" s="102"/>
      <c r="C26" s="102"/>
      <c r="D26" s="102"/>
      <c r="E26" s="135"/>
      <c r="F26" s="102"/>
      <c r="G26" s="102"/>
      <c r="H26" s="102"/>
      <c r="I26" s="102"/>
      <c r="J26" s="102"/>
      <c r="K26" s="102"/>
      <c r="L26" s="102"/>
      <c r="M26" s="102"/>
      <c r="N26" s="102"/>
      <c r="O26" s="102"/>
      <c r="P26" s="102"/>
      <c r="Q26" s="68"/>
      <c r="R26" s="68"/>
      <c r="S26" s="68"/>
      <c r="T26" s="68"/>
      <c r="U26" s="102"/>
    </row>
  </sheetData>
  <mergeCells count="4">
    <mergeCell ref="E3:G3"/>
    <mergeCell ref="T3:U3"/>
    <mergeCell ref="A18:B19"/>
    <mergeCell ref="C18:D18"/>
  </mergeCell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1BB8-9FD9-4D7E-A065-53A0537E079E}">
  <dimension ref="A1:Q169"/>
  <sheetViews>
    <sheetView workbookViewId="0">
      <selection activeCell="L40" sqref="L40"/>
    </sheetView>
  </sheetViews>
  <sheetFormatPr defaultColWidth="7.85546875" defaultRowHeight="11.25"/>
  <cols>
    <col min="1" max="1" width="15.7109375" style="750" bestFit="1" customWidth="1"/>
    <col min="2" max="2" width="9.5703125" style="750" bestFit="1" customWidth="1"/>
    <col min="3" max="3" width="5.140625" style="817" customWidth="1"/>
    <col min="4" max="6" width="7.7109375" style="817" customWidth="1"/>
    <col min="7" max="7" width="6.28515625" style="813" customWidth="1"/>
    <col min="8" max="8" width="6.85546875" style="816" customWidth="1"/>
    <col min="9" max="9" width="9.7109375" style="813" customWidth="1"/>
    <col min="10" max="10" width="8.7109375" style="813" bestFit="1" customWidth="1"/>
    <col min="11" max="11" width="12.7109375" style="807" bestFit="1" customWidth="1"/>
    <col min="12" max="12" width="17.28515625" style="814" bestFit="1" customWidth="1"/>
    <col min="13" max="13" width="12.85546875" style="750" customWidth="1"/>
    <col min="14" max="14" width="11.28515625" style="750" customWidth="1"/>
    <col min="15" max="15" width="14.5703125" style="762" customWidth="1"/>
    <col min="16" max="16" width="2.42578125" style="762" customWidth="1"/>
    <col min="17" max="17" width="14" style="750" bestFit="1" customWidth="1"/>
    <col min="18" max="18" width="5.42578125" style="750" customWidth="1"/>
    <col min="19" max="27" width="5.28515625" style="750" customWidth="1"/>
    <col min="28" max="28" width="17" style="750" customWidth="1"/>
    <col min="29" max="16384" width="7.85546875" style="750"/>
  </cols>
  <sheetData>
    <row r="1" spans="1:15" s="585" customFormat="1" ht="12.75">
      <c r="A1" s="826" t="s">
        <v>133</v>
      </c>
      <c r="B1" s="827" t="s">
        <v>189</v>
      </c>
      <c r="C1" s="579"/>
      <c r="D1" s="827"/>
      <c r="E1" s="580"/>
      <c r="F1" s="580"/>
      <c r="G1" s="581"/>
      <c r="H1" s="582" t="s">
        <v>209</v>
      </c>
      <c r="I1" s="583">
        <f>M12</f>
        <v>129</v>
      </c>
      <c r="J1" s="584"/>
      <c r="K1" s="827"/>
      <c r="L1" s="827"/>
      <c r="M1" s="828"/>
      <c r="N1" s="586"/>
    </row>
    <row r="2" spans="1:15" s="585" customFormat="1" ht="12.75">
      <c r="A2" s="829" t="s">
        <v>135</v>
      </c>
      <c r="B2" s="597" t="s">
        <v>250</v>
      </c>
      <c r="C2" s="589"/>
      <c r="D2" s="597"/>
      <c r="E2" s="590"/>
      <c r="F2" s="590"/>
      <c r="G2" s="591"/>
      <c r="H2" s="592" t="s">
        <v>210</v>
      </c>
      <c r="I2" s="830">
        <f>M12</f>
        <v>129</v>
      </c>
      <c r="J2" s="594"/>
      <c r="K2" s="597"/>
      <c r="L2" s="597"/>
      <c r="M2" s="831"/>
      <c r="N2" s="595"/>
    </row>
    <row r="3" spans="1:15" s="599" customFormat="1" ht="11.25" customHeight="1">
      <c r="A3" s="832" t="s">
        <v>137</v>
      </c>
      <c r="B3" s="818">
        <v>45052</v>
      </c>
      <c r="C3" s="589"/>
      <c r="D3" s="590"/>
      <c r="E3" s="590"/>
      <c r="F3" s="590"/>
      <c r="G3" s="591"/>
      <c r="H3" s="596" t="s">
        <v>211</v>
      </c>
      <c r="I3" s="833">
        <f>M53/100</f>
        <v>1.1279999999999999</v>
      </c>
      <c r="J3" s="594"/>
      <c r="K3" s="597"/>
      <c r="L3" s="597"/>
      <c r="M3" s="834"/>
      <c r="N3" s="600"/>
    </row>
    <row r="4" spans="1:15" s="585" customFormat="1" ht="12.75">
      <c r="A4" s="832" t="s">
        <v>139</v>
      </c>
      <c r="B4" s="597" t="s">
        <v>195</v>
      </c>
      <c r="C4" s="589"/>
      <c r="D4" s="590"/>
      <c r="E4" s="590"/>
      <c r="F4" s="590"/>
      <c r="G4" s="591"/>
      <c r="H4" s="596" t="s">
        <v>212</v>
      </c>
      <c r="I4" s="833">
        <f>J24</f>
        <v>0.47187715665976532</v>
      </c>
      <c r="J4" s="594"/>
      <c r="K4" s="597"/>
      <c r="L4" s="597"/>
      <c r="M4" s="831"/>
      <c r="N4" s="586"/>
    </row>
    <row r="5" spans="1:15" s="606" customFormat="1" ht="12.75">
      <c r="A5" s="829" t="s">
        <v>141</v>
      </c>
      <c r="B5" s="603" t="s">
        <v>142</v>
      </c>
      <c r="C5" s="589"/>
      <c r="D5" s="590"/>
      <c r="E5" s="590"/>
      <c r="F5" s="590"/>
      <c r="G5" s="591"/>
      <c r="H5" s="596"/>
      <c r="I5" s="604"/>
      <c r="J5" s="594"/>
      <c r="K5" s="597"/>
      <c r="L5" s="597"/>
      <c r="M5" s="635"/>
      <c r="N5" s="605"/>
    </row>
    <row r="6" spans="1:15" s="605" customFormat="1" ht="13.5" thickBot="1">
      <c r="A6" s="835"/>
      <c r="B6" s="836"/>
      <c r="C6" s="837"/>
      <c r="D6" s="838"/>
      <c r="E6" s="838"/>
      <c r="F6" s="838"/>
      <c r="G6" s="839"/>
      <c r="H6" s="840"/>
      <c r="I6" s="841"/>
      <c r="J6" s="839"/>
      <c r="K6" s="842"/>
      <c r="L6" s="836"/>
      <c r="M6" s="843"/>
    </row>
    <row r="7" spans="1:15" s="606" customFormat="1" ht="13.15" customHeight="1">
      <c r="A7" s="844" t="s">
        <v>143</v>
      </c>
      <c r="B7" s="845"/>
      <c r="C7" s="846"/>
      <c r="D7" s="847"/>
      <c r="E7" s="848" t="s">
        <v>144</v>
      </c>
      <c r="F7" s="845"/>
      <c r="G7" s="849" t="s">
        <v>145</v>
      </c>
      <c r="H7" s="619"/>
      <c r="I7" s="850" t="s">
        <v>146</v>
      </c>
      <c r="J7" s="850"/>
      <c r="K7" s="620"/>
      <c r="L7" s="954" t="s">
        <v>147</v>
      </c>
      <c r="M7" s="955"/>
      <c r="N7" s="605"/>
      <c r="O7" s="605"/>
    </row>
    <row r="8" spans="1:15" s="637" customFormat="1" ht="11.25" customHeight="1">
      <c r="A8" s="621"/>
      <c r="B8" s="615"/>
      <c r="C8" s="622"/>
      <c r="D8" s="631"/>
      <c r="E8" s="851"/>
      <c r="F8" s="631"/>
      <c r="G8" s="852"/>
      <c r="H8" s="633"/>
      <c r="I8" s="659"/>
      <c r="J8" s="659"/>
      <c r="K8" s="634"/>
      <c r="L8" s="635"/>
      <c r="M8" s="635"/>
      <c r="N8" s="636"/>
    </row>
    <row r="9" spans="1:15" s="648" customFormat="1">
      <c r="C9" s="639"/>
      <c r="D9" s="853"/>
      <c r="E9" s="851" t="s">
        <v>150</v>
      </c>
      <c r="F9" s="631"/>
      <c r="G9" s="852"/>
      <c r="H9" s="633"/>
      <c r="I9" s="762"/>
      <c r="J9" s="762"/>
      <c r="K9" s="634"/>
      <c r="L9" s="644"/>
      <c r="M9" s="645"/>
      <c r="N9" s="646"/>
      <c r="O9" s="647"/>
    </row>
    <row r="10" spans="1:15" s="648" customFormat="1">
      <c r="A10" s="649" t="s">
        <v>151</v>
      </c>
      <c r="B10" s="650" t="s">
        <v>51</v>
      </c>
      <c r="C10" s="651" t="s">
        <v>152</v>
      </c>
      <c r="D10" s="658" t="s">
        <v>162</v>
      </c>
      <c r="E10" s="656" t="s">
        <v>163</v>
      </c>
      <c r="F10" s="658" t="s">
        <v>164</v>
      </c>
      <c r="G10" s="852" t="s">
        <v>165</v>
      </c>
      <c r="H10" s="633" t="s">
        <v>166</v>
      </c>
      <c r="I10" s="659" t="s">
        <v>166</v>
      </c>
      <c r="J10" s="659" t="s">
        <v>165</v>
      </c>
      <c r="K10" s="660" t="s">
        <v>167</v>
      </c>
      <c r="L10" s="644" t="s">
        <v>168</v>
      </c>
      <c r="M10" s="644" t="s">
        <v>169</v>
      </c>
      <c r="N10" s="661"/>
    </row>
    <row r="11" spans="1:15" s="648" customFormat="1" ht="12" thickBot="1">
      <c r="A11" s="662" t="s">
        <v>170</v>
      </c>
      <c r="B11" s="663" t="s">
        <v>170</v>
      </c>
      <c r="C11" s="664" t="s">
        <v>171</v>
      </c>
      <c r="D11" s="673" t="s">
        <v>173</v>
      </c>
      <c r="E11" s="671" t="s">
        <v>171</v>
      </c>
      <c r="F11" s="673" t="s">
        <v>171</v>
      </c>
      <c r="G11" s="854" t="s">
        <v>174</v>
      </c>
      <c r="H11" s="675" t="s">
        <v>175</v>
      </c>
      <c r="I11" s="674" t="s">
        <v>175</v>
      </c>
      <c r="J11" s="674" t="s">
        <v>174</v>
      </c>
      <c r="K11" s="677"/>
      <c r="L11" s="678"/>
      <c r="M11" s="679" t="s">
        <v>171</v>
      </c>
      <c r="N11" s="661"/>
    </row>
    <row r="12" spans="1:15" s="648" customFormat="1">
      <c r="B12" s="700"/>
      <c r="C12" s="688"/>
      <c r="D12" s="855"/>
      <c r="E12" s="856"/>
      <c r="F12" s="857"/>
      <c r="G12" s="858"/>
      <c r="H12" s="709"/>
      <c r="I12" s="859"/>
      <c r="J12" s="860"/>
      <c r="K12" s="712"/>
      <c r="L12" s="696" t="s">
        <v>179</v>
      </c>
      <c r="M12" s="697">
        <v>129</v>
      </c>
      <c r="N12" s="698"/>
    </row>
    <row r="13" spans="1:15" s="648" customFormat="1">
      <c r="A13" s="699">
        <v>490</v>
      </c>
      <c r="B13" s="700">
        <v>0</v>
      </c>
      <c r="C13" s="688">
        <v>10</v>
      </c>
      <c r="D13" s="855">
        <v>966</v>
      </c>
      <c r="E13" s="861">
        <f>C12</f>
        <v>0</v>
      </c>
      <c r="F13" s="862">
        <f>(C13+C14-10)/2</f>
        <v>10</v>
      </c>
      <c r="G13" s="708">
        <f>(A13-B13)/966</f>
        <v>0.50724637681159424</v>
      </c>
      <c r="H13" s="709">
        <f>(G13*(F13-E13))/100</f>
        <v>5.0724637681159424E-2</v>
      </c>
      <c r="I13" s="710">
        <f>SUM(H$13:H13)</f>
        <v>5.0724637681159424E-2</v>
      </c>
      <c r="J13" s="711">
        <f t="shared" ref="J13:J23" si="0">I13/F13*100</f>
        <v>0.50724637681159424</v>
      </c>
      <c r="K13" s="712"/>
      <c r="L13" s="713" t="s">
        <v>180</v>
      </c>
      <c r="M13" s="714">
        <v>110</v>
      </c>
      <c r="N13" s="661"/>
    </row>
    <row r="14" spans="1:15" s="648" customFormat="1">
      <c r="A14" s="699">
        <v>490</v>
      </c>
      <c r="B14" s="700">
        <v>0</v>
      </c>
      <c r="C14" s="688">
        <v>20</v>
      </c>
      <c r="D14" s="855">
        <v>966</v>
      </c>
      <c r="E14" s="861">
        <f>(C13+C14-10)/2</f>
        <v>10</v>
      </c>
      <c r="F14" s="862">
        <f t="shared" ref="F14:F23" si="1">(C14+C15-10)/2</f>
        <v>20</v>
      </c>
      <c r="G14" s="708">
        <f t="shared" ref="G14:G23" si="2">(A14-B14)/966</f>
        <v>0.50724637681159424</v>
      </c>
      <c r="H14" s="709">
        <f>(G14*(F14-E14))/100</f>
        <v>5.0724637681159424E-2</v>
      </c>
      <c r="I14" s="710">
        <f>SUM(H$13:H14)</f>
        <v>0.10144927536231885</v>
      </c>
      <c r="J14" s="711">
        <f>I14/F14*100</f>
        <v>0.50724637681159424</v>
      </c>
      <c r="K14" s="712"/>
      <c r="L14" s="713" t="s">
        <v>180</v>
      </c>
      <c r="M14" s="714">
        <v>112</v>
      </c>
      <c r="N14" s="661"/>
    </row>
    <row r="15" spans="1:15" s="648" customFormat="1">
      <c r="A15" s="699">
        <v>470</v>
      </c>
      <c r="B15" s="700">
        <v>0</v>
      </c>
      <c r="C15" s="688">
        <v>30</v>
      </c>
      <c r="D15" s="855">
        <v>966</v>
      </c>
      <c r="E15" s="861">
        <f>(C14+C15-10)/2</f>
        <v>20</v>
      </c>
      <c r="F15" s="862">
        <f t="shared" si="1"/>
        <v>30</v>
      </c>
      <c r="G15" s="708">
        <f t="shared" si="2"/>
        <v>0.48654244306418221</v>
      </c>
      <c r="H15" s="709">
        <f t="shared" ref="H15:H24" si="3">(G15*(F15-E15))/100</f>
        <v>4.8654244306418216E-2</v>
      </c>
      <c r="I15" s="710">
        <f>SUM(H$13:H15)</f>
        <v>0.15010351966873706</v>
      </c>
      <c r="J15" s="711">
        <f t="shared" si="0"/>
        <v>0.50034506556245695</v>
      </c>
      <c r="K15" s="712"/>
      <c r="L15" s="713" t="s">
        <v>180</v>
      </c>
      <c r="M15" s="715">
        <v>107</v>
      </c>
      <c r="N15" s="661"/>
    </row>
    <row r="16" spans="1:15" s="648" customFormat="1">
      <c r="A16" s="699">
        <v>445</v>
      </c>
      <c r="B16" s="700">
        <v>0</v>
      </c>
      <c r="C16" s="688">
        <v>40</v>
      </c>
      <c r="D16" s="855">
        <v>966</v>
      </c>
      <c r="E16" s="861">
        <f t="shared" ref="E16:E24" si="4">(C15+C16-10)/2</f>
        <v>30</v>
      </c>
      <c r="F16" s="862">
        <f t="shared" si="1"/>
        <v>40</v>
      </c>
      <c r="G16" s="708">
        <f t="shared" si="2"/>
        <v>0.46066252587991718</v>
      </c>
      <c r="H16" s="709">
        <f t="shared" si="3"/>
        <v>4.6066252587991713E-2</v>
      </c>
      <c r="I16" s="710">
        <f>SUM(H$13:H16)</f>
        <v>0.19616977225672877</v>
      </c>
      <c r="J16" s="711">
        <f t="shared" si="0"/>
        <v>0.49042443064182195</v>
      </c>
      <c r="K16" s="712"/>
      <c r="L16" s="713" t="s">
        <v>180</v>
      </c>
      <c r="M16" s="714">
        <v>106</v>
      </c>
      <c r="N16" s="661"/>
    </row>
    <row r="17" spans="1:16" s="648" customFormat="1" ht="33.75">
      <c r="A17" s="716">
        <v>470</v>
      </c>
      <c r="B17" s="700">
        <v>0</v>
      </c>
      <c r="C17" s="688">
        <v>50</v>
      </c>
      <c r="D17" s="855">
        <v>966</v>
      </c>
      <c r="E17" s="861">
        <f t="shared" si="4"/>
        <v>40</v>
      </c>
      <c r="F17" s="862">
        <f t="shared" si="1"/>
        <v>50</v>
      </c>
      <c r="G17" s="708">
        <f t="shared" si="2"/>
        <v>0.48654244306418221</v>
      </c>
      <c r="H17" s="709">
        <f>(G17*(F17-E17))/100</f>
        <v>4.8654244306418216E-2</v>
      </c>
      <c r="I17" s="710">
        <f>SUM(H$13:H17)</f>
        <v>0.24482401656314698</v>
      </c>
      <c r="J17" s="711">
        <f t="shared" si="0"/>
        <v>0.48964803312629396</v>
      </c>
      <c r="K17" s="712" t="s">
        <v>255</v>
      </c>
      <c r="L17" s="713" t="s">
        <v>180</v>
      </c>
      <c r="M17" s="714"/>
      <c r="N17" s="646"/>
    </row>
    <row r="18" spans="1:16" s="648" customFormat="1">
      <c r="A18" s="716">
        <v>485</v>
      </c>
      <c r="B18" s="700">
        <v>0</v>
      </c>
      <c r="C18" s="688">
        <v>60</v>
      </c>
      <c r="D18" s="855">
        <v>966</v>
      </c>
      <c r="E18" s="861">
        <f t="shared" si="4"/>
        <v>50</v>
      </c>
      <c r="F18" s="862">
        <f t="shared" si="1"/>
        <v>60</v>
      </c>
      <c r="G18" s="708">
        <f t="shared" si="2"/>
        <v>0.50207039337474124</v>
      </c>
      <c r="H18" s="709">
        <f t="shared" si="3"/>
        <v>5.0207039337474127E-2</v>
      </c>
      <c r="I18" s="710">
        <f>SUM(H$13:H18)</f>
        <v>0.29503105590062112</v>
      </c>
      <c r="J18" s="711">
        <f t="shared" si="0"/>
        <v>0.4917184265010352</v>
      </c>
      <c r="K18" s="717" t="s">
        <v>251</v>
      </c>
      <c r="L18" s="713" t="s">
        <v>180</v>
      </c>
      <c r="M18" s="714"/>
      <c r="N18" s="646"/>
    </row>
    <row r="19" spans="1:16" s="648" customFormat="1" ht="10.15" customHeight="1">
      <c r="A19" s="716">
        <v>455</v>
      </c>
      <c r="B19" s="700">
        <v>0</v>
      </c>
      <c r="C19" s="688">
        <v>70</v>
      </c>
      <c r="D19" s="855">
        <v>966</v>
      </c>
      <c r="E19" s="861">
        <f t="shared" si="4"/>
        <v>60</v>
      </c>
      <c r="F19" s="862">
        <f t="shared" si="1"/>
        <v>70</v>
      </c>
      <c r="G19" s="708">
        <f t="shared" si="2"/>
        <v>0.47101449275362317</v>
      </c>
      <c r="H19" s="709">
        <f t="shared" si="3"/>
        <v>4.7101449275362313E-2</v>
      </c>
      <c r="I19" s="710">
        <f>SUM(H$13:H19)</f>
        <v>0.34213250517598343</v>
      </c>
      <c r="J19" s="711">
        <f>I19/F19*100</f>
        <v>0.48876072167997636</v>
      </c>
      <c r="K19" s="717"/>
      <c r="L19" s="713" t="s">
        <v>180</v>
      </c>
      <c r="M19" s="714"/>
      <c r="N19" s="718"/>
    </row>
    <row r="20" spans="1:16" s="648" customFormat="1">
      <c r="A20" s="716">
        <v>445</v>
      </c>
      <c r="B20" s="700">
        <v>0</v>
      </c>
      <c r="C20" s="688">
        <v>80</v>
      </c>
      <c r="D20" s="855">
        <v>966</v>
      </c>
      <c r="E20" s="861">
        <f t="shared" si="4"/>
        <v>70</v>
      </c>
      <c r="F20" s="862">
        <f t="shared" si="1"/>
        <v>80</v>
      </c>
      <c r="G20" s="708">
        <f t="shared" si="2"/>
        <v>0.46066252587991718</v>
      </c>
      <c r="H20" s="709">
        <f t="shared" si="3"/>
        <v>4.6066252587991713E-2</v>
      </c>
      <c r="I20" s="710">
        <f>SUM(H$13:H20)</f>
        <v>0.38819875776397517</v>
      </c>
      <c r="J20" s="711">
        <f t="shared" si="0"/>
        <v>0.48524844720496901</v>
      </c>
      <c r="K20" s="712"/>
      <c r="L20" s="713" t="s">
        <v>180</v>
      </c>
      <c r="M20" s="714"/>
      <c r="N20" s="719"/>
    </row>
    <row r="21" spans="1:16" s="721" customFormat="1">
      <c r="A21" s="716">
        <v>480</v>
      </c>
      <c r="B21" s="700">
        <v>0</v>
      </c>
      <c r="C21" s="688">
        <v>90</v>
      </c>
      <c r="D21" s="855">
        <v>966</v>
      </c>
      <c r="E21" s="861">
        <f t="shared" si="4"/>
        <v>80</v>
      </c>
      <c r="F21" s="862">
        <f t="shared" si="1"/>
        <v>90</v>
      </c>
      <c r="G21" s="708">
        <f t="shared" si="2"/>
        <v>0.49689440993788819</v>
      </c>
      <c r="H21" s="709">
        <f t="shared" si="3"/>
        <v>4.9689440993788817E-2</v>
      </c>
      <c r="I21" s="710">
        <f>SUM(H$13:H21)</f>
        <v>0.43788819875776397</v>
      </c>
      <c r="J21" s="711">
        <f t="shared" si="0"/>
        <v>0.48654244306418221</v>
      </c>
      <c r="K21" s="720"/>
      <c r="L21" s="713" t="s">
        <v>180</v>
      </c>
      <c r="M21" s="714"/>
      <c r="N21" s="719"/>
    </row>
    <row r="22" spans="1:16" s="721" customFormat="1">
      <c r="A22" s="716">
        <v>395</v>
      </c>
      <c r="B22" s="700">
        <v>0</v>
      </c>
      <c r="C22" s="688">
        <v>100</v>
      </c>
      <c r="D22" s="855">
        <v>966</v>
      </c>
      <c r="E22" s="861">
        <f t="shared" si="4"/>
        <v>90</v>
      </c>
      <c r="F22" s="862">
        <f t="shared" si="1"/>
        <v>100</v>
      </c>
      <c r="G22" s="708">
        <f t="shared" si="2"/>
        <v>0.40890269151138714</v>
      </c>
      <c r="H22" s="709">
        <f t="shared" si="3"/>
        <v>4.0890269151138713E-2</v>
      </c>
      <c r="I22" s="710">
        <f>SUM(H$13:H22)</f>
        <v>0.47877846790890266</v>
      </c>
      <c r="J22" s="711">
        <f t="shared" si="0"/>
        <v>0.47877846790890272</v>
      </c>
      <c r="K22" s="712" t="s">
        <v>252</v>
      </c>
      <c r="L22" s="713" t="s">
        <v>180</v>
      </c>
      <c r="M22" s="723"/>
      <c r="N22" s="719"/>
    </row>
    <row r="23" spans="1:16" s="721" customFormat="1">
      <c r="A23" s="716">
        <v>440</v>
      </c>
      <c r="B23" s="700">
        <v>0</v>
      </c>
      <c r="C23" s="688">
        <v>110</v>
      </c>
      <c r="D23" s="855">
        <v>966</v>
      </c>
      <c r="E23" s="861">
        <f t="shared" si="4"/>
        <v>100</v>
      </c>
      <c r="F23" s="862">
        <f t="shared" si="1"/>
        <v>110</v>
      </c>
      <c r="G23" s="708">
        <f t="shared" si="2"/>
        <v>0.45548654244306419</v>
      </c>
      <c r="H23" s="709">
        <f t="shared" si="3"/>
        <v>4.5548654244306423E-2</v>
      </c>
      <c r="I23" s="710">
        <f>SUM(H$13:H23)</f>
        <v>0.52432712215320909</v>
      </c>
      <c r="J23" s="711">
        <f t="shared" si="0"/>
        <v>0.47666102013928097</v>
      </c>
      <c r="K23" s="866" t="s">
        <v>253</v>
      </c>
      <c r="L23" s="713" t="s">
        <v>180</v>
      </c>
      <c r="M23" s="738"/>
      <c r="N23" s="739"/>
    </row>
    <row r="24" spans="1:16" s="721" customFormat="1">
      <c r="A24" s="716">
        <v>405</v>
      </c>
      <c r="B24" s="700">
        <v>0</v>
      </c>
      <c r="C24" s="688">
        <v>120</v>
      </c>
      <c r="D24" s="855">
        <v>966</v>
      </c>
      <c r="E24" s="861">
        <f t="shared" si="4"/>
        <v>110</v>
      </c>
      <c r="F24" s="862">
        <f>C24</f>
        <v>120</v>
      </c>
      <c r="G24" s="708">
        <f>(A24-B24)/966</f>
        <v>0.41925465838509318</v>
      </c>
      <c r="H24" s="709">
        <f t="shared" si="3"/>
        <v>4.192546583850932E-2</v>
      </c>
      <c r="I24" s="710">
        <f>SUM(H$13:H24)</f>
        <v>0.5662525879917184</v>
      </c>
      <c r="J24" s="711">
        <f>I24/F24*100</f>
        <v>0.47187715665976532</v>
      </c>
      <c r="K24" s="867"/>
      <c r="L24" s="713" t="s">
        <v>180</v>
      </c>
      <c r="M24" s="738"/>
      <c r="N24" s="739"/>
    </row>
    <row r="25" spans="1:16" s="721" customFormat="1">
      <c r="A25" s="716"/>
      <c r="B25" s="700"/>
      <c r="C25" s="688">
        <v>129</v>
      </c>
      <c r="D25" s="855">
        <v>966</v>
      </c>
      <c r="E25" s="861"/>
      <c r="F25" s="862">
        <f>C25</f>
        <v>129</v>
      </c>
      <c r="G25" s="708"/>
      <c r="H25" s="863"/>
      <c r="I25" s="864"/>
      <c r="J25" s="711"/>
      <c r="K25" s="867" t="s">
        <v>254</v>
      </c>
      <c r="L25" s="713" t="s">
        <v>180</v>
      </c>
      <c r="M25" s="738"/>
      <c r="N25" s="739"/>
    </row>
    <row r="26" spans="1:16" s="721" customFormat="1">
      <c r="A26" s="716"/>
      <c r="B26" s="700"/>
      <c r="C26" s="688"/>
      <c r="D26" s="855"/>
      <c r="E26" s="861"/>
      <c r="F26" s="862"/>
      <c r="G26" s="708"/>
      <c r="H26" s="863"/>
      <c r="I26" s="864"/>
      <c r="J26" s="711"/>
      <c r="K26" s="867"/>
      <c r="L26" s="713" t="s">
        <v>180</v>
      </c>
      <c r="M26" s="714"/>
      <c r="N26" s="739"/>
    </row>
    <row r="27" spans="1:16" s="721" customFormat="1">
      <c r="A27" s="716"/>
      <c r="B27" s="700"/>
      <c r="C27" s="688"/>
      <c r="D27" s="855"/>
      <c r="E27" s="861"/>
      <c r="F27" s="862"/>
      <c r="G27" s="708"/>
      <c r="H27" s="863"/>
      <c r="I27" s="864"/>
      <c r="J27" s="711"/>
      <c r="K27" s="867"/>
      <c r="L27" s="713" t="s">
        <v>180</v>
      </c>
      <c r="M27" s="714"/>
      <c r="N27" s="739"/>
    </row>
    <row r="28" spans="1:16" s="721" customFormat="1">
      <c r="A28" s="716"/>
      <c r="B28" s="700"/>
      <c r="C28" s="688"/>
      <c r="D28" s="855"/>
      <c r="E28" s="861"/>
      <c r="F28" s="862"/>
      <c r="G28" s="708"/>
      <c r="H28" s="863"/>
      <c r="I28" s="864"/>
      <c r="J28" s="711"/>
      <c r="K28" s="867"/>
      <c r="L28" s="713" t="s">
        <v>180</v>
      </c>
      <c r="M28" s="714"/>
      <c r="N28" s="739"/>
    </row>
    <row r="29" spans="1:16">
      <c r="A29" s="716"/>
      <c r="B29" s="700"/>
      <c r="C29" s="688"/>
      <c r="D29" s="855"/>
      <c r="E29" s="861"/>
      <c r="F29" s="862"/>
      <c r="G29" s="708"/>
      <c r="H29" s="863"/>
      <c r="I29" s="864"/>
      <c r="J29" s="711"/>
      <c r="K29" s="867"/>
      <c r="L29" s="713" t="s">
        <v>180</v>
      </c>
      <c r="M29" s="714"/>
      <c r="N29" s="739"/>
      <c r="O29" s="721"/>
      <c r="P29" s="721"/>
    </row>
    <row r="30" spans="1:16">
      <c r="A30" s="716"/>
      <c r="B30" s="700"/>
      <c r="C30" s="688"/>
      <c r="D30" s="855"/>
      <c r="E30" s="861"/>
      <c r="F30" s="862"/>
      <c r="G30" s="708"/>
      <c r="H30" s="863"/>
      <c r="I30" s="864"/>
      <c r="J30" s="711"/>
      <c r="K30" s="867"/>
      <c r="L30" s="713" t="s">
        <v>180</v>
      </c>
      <c r="M30" s="714"/>
      <c r="N30" s="739"/>
      <c r="O30" s="721"/>
      <c r="P30" s="721"/>
    </row>
    <row r="31" spans="1:16">
      <c r="A31" s="716"/>
      <c r="B31" s="700"/>
      <c r="C31" s="688"/>
      <c r="D31" s="855"/>
      <c r="E31" s="861"/>
      <c r="F31" s="862"/>
      <c r="G31" s="708"/>
      <c r="H31" s="863"/>
      <c r="I31" s="864"/>
      <c r="J31" s="711"/>
      <c r="K31" s="867"/>
      <c r="L31" s="713" t="s">
        <v>180</v>
      </c>
      <c r="M31" s="714"/>
      <c r="N31" s="739"/>
      <c r="O31" s="721"/>
      <c r="P31" s="721"/>
    </row>
    <row r="32" spans="1:16">
      <c r="A32" s="716"/>
      <c r="B32" s="700"/>
      <c r="C32" s="688"/>
      <c r="D32" s="855"/>
      <c r="E32" s="861"/>
      <c r="F32" s="862"/>
      <c r="G32" s="708"/>
      <c r="H32" s="863"/>
      <c r="I32" s="864"/>
      <c r="J32" s="711"/>
      <c r="K32" s="722"/>
      <c r="L32" s="713" t="s">
        <v>180</v>
      </c>
      <c r="M32" s="714"/>
      <c r="N32" s="739"/>
      <c r="O32" s="721"/>
      <c r="P32" s="721"/>
    </row>
    <row r="33" spans="1:17">
      <c r="A33" s="716"/>
      <c r="B33" s="700"/>
      <c r="C33" s="688"/>
      <c r="D33" s="855"/>
      <c r="E33" s="861"/>
      <c r="F33" s="862"/>
      <c r="G33" s="708"/>
      <c r="H33" s="863"/>
      <c r="I33" s="864"/>
      <c r="J33" s="711"/>
      <c r="K33" s="722"/>
      <c r="L33" s="713" t="s">
        <v>180</v>
      </c>
      <c r="M33" s="714"/>
      <c r="N33" s="739"/>
      <c r="O33" s="721"/>
      <c r="P33" s="721"/>
    </row>
    <row r="34" spans="1:17">
      <c r="A34" s="716"/>
      <c r="B34" s="700"/>
      <c r="C34" s="688"/>
      <c r="D34" s="855"/>
      <c r="E34" s="861"/>
      <c r="F34" s="862"/>
      <c r="G34" s="708"/>
      <c r="H34" s="863"/>
      <c r="I34" s="864"/>
      <c r="J34" s="711"/>
      <c r="K34" s="722"/>
      <c r="L34" s="713"/>
      <c r="M34" s="714"/>
      <c r="N34" s="751"/>
      <c r="O34" s="750"/>
      <c r="P34" s="750"/>
    </row>
    <row r="35" spans="1:17">
      <c r="A35" s="716"/>
      <c r="B35" s="700"/>
      <c r="C35" s="688"/>
      <c r="D35" s="855"/>
      <c r="E35" s="861"/>
      <c r="F35" s="862"/>
      <c r="G35" s="708"/>
      <c r="H35" s="863"/>
      <c r="I35" s="864"/>
      <c r="J35" s="711"/>
      <c r="K35" s="722"/>
      <c r="L35" s="713"/>
      <c r="M35" s="714"/>
      <c r="N35" s="752"/>
      <c r="O35" s="753"/>
      <c r="P35" s="754"/>
      <c r="Q35" s="753"/>
    </row>
    <row r="36" spans="1:17">
      <c r="A36" s="716"/>
      <c r="B36" s="700"/>
      <c r="C36" s="688"/>
      <c r="D36" s="855"/>
      <c r="E36" s="861"/>
      <c r="F36" s="862"/>
      <c r="G36" s="708"/>
      <c r="H36" s="863"/>
      <c r="I36" s="864"/>
      <c r="J36" s="711"/>
      <c r="K36" s="722"/>
      <c r="L36" s="713"/>
      <c r="M36" s="714"/>
      <c r="N36" s="752"/>
      <c r="O36" s="753"/>
      <c r="P36" s="755"/>
      <c r="Q36" s="753"/>
    </row>
    <row r="37" spans="1:17">
      <c r="A37" s="716"/>
      <c r="B37" s="700"/>
      <c r="C37" s="688"/>
      <c r="D37" s="855"/>
      <c r="E37" s="861"/>
      <c r="F37" s="862"/>
      <c r="G37" s="708"/>
      <c r="H37" s="863"/>
      <c r="I37" s="864"/>
      <c r="J37" s="711"/>
      <c r="K37" s="722"/>
      <c r="L37" s="713"/>
      <c r="M37" s="714"/>
      <c r="N37" s="756"/>
      <c r="O37" s="753"/>
      <c r="P37" s="753"/>
      <c r="Q37" s="753"/>
    </row>
    <row r="38" spans="1:17">
      <c r="A38" s="716"/>
      <c r="B38" s="700"/>
      <c r="C38" s="688"/>
      <c r="D38" s="855"/>
      <c r="E38" s="861"/>
      <c r="F38" s="862"/>
      <c r="G38" s="708"/>
      <c r="H38" s="863"/>
      <c r="I38" s="864"/>
      <c r="J38" s="711"/>
      <c r="K38" s="722"/>
      <c r="L38" s="713"/>
      <c r="M38" s="714"/>
      <c r="N38" s="757"/>
      <c r="O38" s="758"/>
      <c r="P38" s="750"/>
    </row>
    <row r="39" spans="1:17">
      <c r="A39" s="716"/>
      <c r="B39" s="700"/>
      <c r="C39" s="688"/>
      <c r="D39" s="855"/>
      <c r="E39" s="861"/>
      <c r="F39" s="862"/>
      <c r="G39" s="708"/>
      <c r="H39" s="863"/>
      <c r="I39" s="864"/>
      <c r="J39" s="711"/>
      <c r="K39" s="722"/>
      <c r="L39" s="713"/>
      <c r="M39" s="714"/>
      <c r="N39" s="758"/>
      <c r="O39" s="758"/>
      <c r="P39" s="750"/>
    </row>
    <row r="40" spans="1:17">
      <c r="A40" s="716"/>
      <c r="B40" s="700"/>
      <c r="C40" s="688"/>
      <c r="D40" s="855"/>
      <c r="E40" s="861"/>
      <c r="F40" s="862"/>
      <c r="G40" s="708"/>
      <c r="H40" s="863"/>
      <c r="I40" s="864"/>
      <c r="J40" s="711"/>
      <c r="K40" s="722"/>
      <c r="L40" s="713"/>
      <c r="M40" s="714"/>
      <c r="O40" s="750"/>
      <c r="P40" s="750"/>
    </row>
    <row r="41" spans="1:17">
      <c r="A41" s="716"/>
      <c r="B41" s="700"/>
      <c r="C41" s="688"/>
      <c r="D41" s="855"/>
      <c r="E41" s="861"/>
      <c r="F41" s="862"/>
      <c r="G41" s="708"/>
      <c r="H41" s="863"/>
      <c r="I41" s="864"/>
      <c r="J41" s="711"/>
      <c r="K41" s="722"/>
      <c r="L41" s="713"/>
      <c r="M41" s="714"/>
      <c r="O41" s="750"/>
      <c r="P41" s="750"/>
    </row>
    <row r="42" spans="1:17">
      <c r="A42" s="716"/>
      <c r="B42" s="700"/>
      <c r="C42" s="688"/>
      <c r="D42" s="855"/>
      <c r="E42" s="861"/>
      <c r="F42" s="862"/>
      <c r="G42" s="708"/>
      <c r="H42" s="863"/>
      <c r="I42" s="864"/>
      <c r="J42" s="711"/>
      <c r="K42" s="722"/>
      <c r="L42" s="713"/>
      <c r="M42" s="714"/>
      <c r="O42" s="750"/>
      <c r="P42" s="750"/>
    </row>
    <row r="43" spans="1:17">
      <c r="A43" s="716"/>
      <c r="B43" s="700"/>
      <c r="C43" s="688"/>
      <c r="D43" s="855"/>
      <c r="E43" s="861"/>
      <c r="F43" s="862"/>
      <c r="G43" s="708"/>
      <c r="H43" s="863"/>
      <c r="I43" s="864"/>
      <c r="J43" s="711"/>
      <c r="K43" s="722"/>
      <c r="L43" s="713"/>
      <c r="M43" s="714"/>
      <c r="O43" s="750"/>
      <c r="P43" s="750"/>
    </row>
    <row r="44" spans="1:17">
      <c r="A44" s="716"/>
      <c r="B44" s="700"/>
      <c r="C44" s="688"/>
      <c r="D44" s="855"/>
      <c r="E44" s="861"/>
      <c r="F44" s="862"/>
      <c r="G44" s="708"/>
      <c r="H44" s="863"/>
      <c r="I44" s="864"/>
      <c r="J44" s="711"/>
      <c r="K44" s="722"/>
      <c r="L44" s="713"/>
      <c r="M44" s="714"/>
      <c r="O44" s="750"/>
      <c r="P44" s="750"/>
    </row>
    <row r="45" spans="1:17">
      <c r="A45" s="716"/>
      <c r="B45" s="700"/>
      <c r="C45" s="688"/>
      <c r="D45" s="855"/>
      <c r="E45" s="861"/>
      <c r="F45" s="862"/>
      <c r="G45" s="708"/>
      <c r="H45" s="863"/>
      <c r="I45" s="864"/>
      <c r="J45" s="711"/>
      <c r="K45" s="722"/>
      <c r="L45" s="713"/>
      <c r="M45" s="714"/>
      <c r="O45" s="750"/>
      <c r="P45" s="750"/>
    </row>
    <row r="46" spans="1:17">
      <c r="A46" s="716"/>
      <c r="B46" s="700"/>
      <c r="C46" s="688"/>
      <c r="D46" s="855"/>
      <c r="E46" s="861"/>
      <c r="F46" s="862"/>
      <c r="G46" s="708"/>
      <c r="H46" s="863"/>
      <c r="I46" s="864"/>
      <c r="J46" s="711"/>
      <c r="K46" s="722"/>
      <c r="L46" s="713"/>
      <c r="M46" s="714"/>
      <c r="O46" s="750"/>
      <c r="P46" s="750"/>
    </row>
    <row r="47" spans="1:17">
      <c r="A47" s="716"/>
      <c r="B47" s="700"/>
      <c r="C47" s="688"/>
      <c r="D47" s="855"/>
      <c r="E47" s="861"/>
      <c r="F47" s="862"/>
      <c r="G47" s="708"/>
      <c r="H47" s="863"/>
      <c r="I47" s="864"/>
      <c r="J47" s="711"/>
      <c r="K47" s="722"/>
      <c r="L47" s="713"/>
      <c r="M47" s="714"/>
      <c r="O47" s="750"/>
      <c r="P47" s="750"/>
    </row>
    <row r="48" spans="1:17">
      <c r="A48" s="716"/>
      <c r="B48" s="700"/>
      <c r="C48" s="688"/>
      <c r="D48" s="855"/>
      <c r="E48" s="861"/>
      <c r="F48" s="862"/>
      <c r="G48" s="708"/>
      <c r="H48" s="863"/>
      <c r="I48" s="864"/>
      <c r="J48" s="711"/>
      <c r="K48" s="722"/>
      <c r="L48" s="713"/>
      <c r="M48" s="714"/>
      <c r="O48" s="750"/>
      <c r="P48" s="750"/>
    </row>
    <row r="49" spans="1:17">
      <c r="A49" s="716"/>
      <c r="B49" s="700"/>
      <c r="C49" s="688"/>
      <c r="D49" s="855"/>
      <c r="E49" s="861"/>
      <c r="F49" s="862"/>
      <c r="G49" s="708"/>
      <c r="H49" s="863"/>
      <c r="I49" s="864"/>
      <c r="J49" s="711"/>
      <c r="K49" s="722"/>
      <c r="L49" s="713"/>
      <c r="M49" s="714"/>
      <c r="O49" s="750"/>
      <c r="P49" s="750"/>
    </row>
    <row r="50" spans="1:17">
      <c r="A50" s="716"/>
      <c r="B50" s="700"/>
      <c r="C50" s="688"/>
      <c r="D50" s="855"/>
      <c r="E50" s="861"/>
      <c r="F50" s="862"/>
      <c r="G50" s="708"/>
      <c r="H50" s="863"/>
      <c r="I50" s="864"/>
      <c r="J50" s="711"/>
      <c r="K50" s="722"/>
      <c r="L50" s="713"/>
      <c r="M50" s="714"/>
      <c r="O50" s="750"/>
      <c r="P50" s="750"/>
    </row>
    <row r="51" spans="1:17">
      <c r="A51" s="716"/>
      <c r="B51" s="700"/>
      <c r="C51" s="688"/>
      <c r="D51" s="855"/>
      <c r="E51" s="861"/>
      <c r="F51" s="862"/>
      <c r="G51" s="708"/>
      <c r="H51" s="863"/>
      <c r="I51" s="864"/>
      <c r="J51" s="711"/>
      <c r="K51" s="722"/>
      <c r="L51" s="713"/>
      <c r="M51" s="714"/>
      <c r="O51" s="750"/>
      <c r="P51" s="750"/>
    </row>
    <row r="52" spans="1:17" ht="12" thickBot="1">
      <c r="A52" s="716"/>
      <c r="B52" s="700"/>
      <c r="C52" s="688"/>
      <c r="D52" s="855"/>
      <c r="E52" s="861"/>
      <c r="F52" s="862"/>
      <c r="G52" s="708"/>
      <c r="H52" s="863"/>
      <c r="I52" s="864"/>
      <c r="J52" s="711"/>
      <c r="K52" s="722"/>
      <c r="L52" s="713"/>
      <c r="M52" s="759"/>
      <c r="O52" s="750"/>
      <c r="P52" s="750"/>
    </row>
    <row r="53" spans="1:17">
      <c r="A53" s="716"/>
      <c r="B53" s="700"/>
      <c r="C53" s="688"/>
      <c r="D53" s="855"/>
      <c r="E53" s="861"/>
      <c r="F53" s="862"/>
      <c r="G53" s="708"/>
      <c r="H53" s="863"/>
      <c r="I53" s="864"/>
      <c r="J53" s="711"/>
      <c r="K53" s="722"/>
      <c r="L53" s="760" t="s">
        <v>183</v>
      </c>
      <c r="M53" s="761">
        <f>AVERAGE(M12:M52)</f>
        <v>112.8</v>
      </c>
      <c r="O53" s="750"/>
      <c r="P53" s="750"/>
    </row>
    <row r="54" spans="1:17">
      <c r="A54" s="716"/>
      <c r="B54" s="700"/>
      <c r="C54" s="688"/>
      <c r="D54" s="855"/>
      <c r="E54" s="861"/>
      <c r="F54" s="862"/>
      <c r="G54" s="708"/>
      <c r="H54" s="863"/>
      <c r="I54" s="864"/>
      <c r="J54" s="711"/>
      <c r="K54" s="722"/>
      <c r="L54" s="586" t="s">
        <v>184</v>
      </c>
      <c r="M54" s="759">
        <f>STDEV(M12:M52)</f>
        <v>9.3648278147545252</v>
      </c>
      <c r="N54" s="762"/>
      <c r="P54" s="750"/>
    </row>
    <row r="55" spans="1:17">
      <c r="A55" s="763" t="s">
        <v>185</v>
      </c>
      <c r="B55" s="764"/>
      <c r="C55" s="765"/>
      <c r="D55" s="868"/>
      <c r="E55" s="869"/>
      <c r="F55" s="870"/>
      <c r="G55" s="770"/>
      <c r="H55" s="871"/>
      <c r="I55" s="872"/>
      <c r="J55" s="773"/>
      <c r="K55" s="774"/>
      <c r="L55" s="586" t="s">
        <v>186</v>
      </c>
      <c r="M55" s="759">
        <f>M54/SQRT(COUNT(M12:M51))</f>
        <v>4.1880783182743855</v>
      </c>
      <c r="N55" s="757"/>
      <c r="Q55" s="762"/>
    </row>
    <row r="56" spans="1:17">
      <c r="A56" s="775"/>
      <c r="B56" s="776"/>
      <c r="C56" s="777"/>
      <c r="D56" s="873"/>
      <c r="E56" s="874"/>
      <c r="F56" s="875"/>
      <c r="G56" s="876"/>
      <c r="H56" s="783"/>
      <c r="I56" s="877"/>
      <c r="J56" s="878"/>
      <c r="K56" s="786"/>
      <c r="L56" s="586" t="s">
        <v>187</v>
      </c>
      <c r="M56" s="759">
        <f>MAX(M12:M51)</f>
        <v>129</v>
      </c>
      <c r="N56" s="757"/>
      <c r="O56" s="750"/>
      <c r="P56" s="750"/>
    </row>
    <row r="57" spans="1:17" ht="12" thickBot="1">
      <c r="A57" s="787"/>
      <c r="B57" s="788"/>
      <c r="C57" s="789"/>
      <c r="D57" s="879"/>
      <c r="E57" s="880"/>
      <c r="F57" s="881"/>
      <c r="G57" s="882"/>
      <c r="H57" s="795"/>
      <c r="I57" s="883"/>
      <c r="J57" s="884"/>
      <c r="K57" s="798"/>
      <c r="L57" s="799" t="s">
        <v>188</v>
      </c>
      <c r="M57" s="800">
        <f>MIN(M12:M51)</f>
        <v>106</v>
      </c>
      <c r="N57" s="762"/>
      <c r="O57" s="750"/>
      <c r="P57" s="750"/>
    </row>
    <row r="58" spans="1:17">
      <c r="A58" s="801"/>
      <c r="B58" s="801"/>
      <c r="C58" s="802"/>
      <c r="D58" s="803"/>
      <c r="E58" s="803"/>
      <c r="F58" s="803"/>
      <c r="G58" s="804"/>
      <c r="H58" s="805"/>
      <c r="I58" s="806"/>
      <c r="J58" s="807"/>
      <c r="K58" s="808"/>
      <c r="L58" s="809"/>
      <c r="M58" s="762"/>
      <c r="O58" s="750"/>
      <c r="P58" s="750"/>
    </row>
    <row r="59" spans="1:17">
      <c r="A59" s="762"/>
      <c r="B59" s="762"/>
      <c r="C59" s="811"/>
      <c r="D59" s="811"/>
      <c r="E59" s="811"/>
      <c r="F59" s="811"/>
      <c r="G59" s="806"/>
      <c r="H59" s="805"/>
      <c r="I59" s="806"/>
      <c r="J59" s="807"/>
      <c r="K59" s="812"/>
      <c r="L59" s="809"/>
      <c r="M59" s="762"/>
      <c r="O59" s="750"/>
      <c r="P59" s="750"/>
    </row>
    <row r="60" spans="1:17">
      <c r="A60" s="813"/>
      <c r="B60" s="813"/>
      <c r="C60" s="813"/>
      <c r="D60" s="813"/>
      <c r="E60" s="807"/>
      <c r="F60" s="814"/>
      <c r="G60" s="762"/>
      <c r="H60" s="750"/>
      <c r="I60" s="762"/>
      <c r="J60" s="750"/>
      <c r="K60" s="750"/>
      <c r="L60" s="762"/>
      <c r="M60" s="762"/>
      <c r="O60" s="750"/>
      <c r="P60" s="750"/>
    </row>
    <row r="61" spans="1:17">
      <c r="A61" s="815"/>
      <c r="B61" s="815"/>
      <c r="C61" s="813"/>
      <c r="D61" s="813"/>
      <c r="E61" s="807"/>
      <c r="F61" s="814"/>
      <c r="G61" s="750"/>
      <c r="H61" s="750"/>
      <c r="I61" s="762"/>
      <c r="J61" s="750"/>
      <c r="K61" s="750"/>
      <c r="L61" s="762"/>
      <c r="M61" s="762"/>
      <c r="O61" s="750"/>
      <c r="P61" s="750"/>
    </row>
    <row r="62" spans="1:17">
      <c r="A62" s="659"/>
      <c r="B62" s="659"/>
      <c r="C62" s="813"/>
      <c r="D62" s="813"/>
      <c r="E62" s="807"/>
      <c r="F62" s="814"/>
      <c r="G62" s="750"/>
      <c r="H62" s="750"/>
      <c r="I62" s="762"/>
      <c r="J62" s="750"/>
      <c r="K62" s="750"/>
      <c r="L62" s="762"/>
      <c r="M62" s="762"/>
      <c r="O62" s="750"/>
      <c r="P62" s="750"/>
    </row>
    <row r="63" spans="1:17">
      <c r="A63" s="813"/>
      <c r="B63" s="813"/>
      <c r="C63" s="813"/>
      <c r="D63" s="813"/>
      <c r="E63" s="807"/>
      <c r="F63" s="814"/>
      <c r="G63" s="750"/>
      <c r="H63" s="750"/>
      <c r="I63" s="762"/>
      <c r="J63" s="750"/>
      <c r="K63" s="750"/>
      <c r="L63" s="762"/>
      <c r="M63" s="762"/>
      <c r="O63" s="750"/>
      <c r="P63" s="750"/>
    </row>
    <row r="64" spans="1:17">
      <c r="A64" s="813"/>
      <c r="B64" s="813"/>
      <c r="C64" s="813"/>
      <c r="D64" s="813"/>
      <c r="E64" s="807"/>
      <c r="F64" s="814"/>
      <c r="G64" s="750"/>
      <c r="H64" s="750"/>
      <c r="I64" s="762"/>
      <c r="J64" s="806"/>
      <c r="K64" s="750"/>
      <c r="L64" s="762"/>
      <c r="M64" s="762"/>
      <c r="O64" s="750"/>
      <c r="P64" s="750"/>
    </row>
    <row r="65" spans="1:16">
      <c r="A65" s="813"/>
      <c r="B65" s="813"/>
      <c r="C65" s="813"/>
      <c r="D65" s="813"/>
      <c r="E65" s="807"/>
      <c r="F65" s="814"/>
      <c r="G65" s="750"/>
      <c r="H65" s="750"/>
      <c r="I65" s="762"/>
      <c r="J65" s="806"/>
      <c r="K65" s="750"/>
      <c r="L65" s="762"/>
      <c r="M65" s="762"/>
      <c r="O65" s="750"/>
      <c r="P65" s="750"/>
    </row>
    <row r="66" spans="1:16">
      <c r="A66" s="813"/>
      <c r="B66" s="813"/>
      <c r="C66" s="813"/>
      <c r="D66" s="813"/>
      <c r="E66" s="807"/>
      <c r="F66" s="814"/>
      <c r="G66" s="750"/>
      <c r="H66" s="750"/>
      <c r="I66" s="762"/>
      <c r="J66" s="750"/>
      <c r="K66" s="750"/>
      <c r="L66" s="762"/>
      <c r="M66" s="762"/>
      <c r="O66" s="750"/>
      <c r="P66" s="750"/>
    </row>
    <row r="67" spans="1:16">
      <c r="A67" s="813"/>
      <c r="B67" s="813"/>
      <c r="C67" s="813"/>
      <c r="D67" s="813"/>
      <c r="E67" s="807"/>
      <c r="F67" s="814"/>
      <c r="G67" s="750"/>
      <c r="H67" s="750"/>
      <c r="I67" s="762"/>
      <c r="J67" s="750"/>
      <c r="K67" s="750"/>
      <c r="L67" s="762"/>
      <c r="M67" s="762"/>
      <c r="O67" s="750"/>
      <c r="P67" s="750"/>
    </row>
    <row r="68" spans="1:16">
      <c r="A68" s="813"/>
      <c r="B68" s="813"/>
      <c r="C68" s="813"/>
      <c r="D68" s="813"/>
      <c r="E68" s="807"/>
      <c r="F68" s="814"/>
      <c r="G68" s="750"/>
      <c r="H68" s="750"/>
      <c r="I68" s="762"/>
      <c r="J68" s="750"/>
      <c r="K68" s="750"/>
      <c r="L68" s="762"/>
      <c r="M68" s="762"/>
      <c r="O68" s="750"/>
      <c r="P68" s="750"/>
    </row>
    <row r="69" spans="1:16">
      <c r="A69" s="813"/>
      <c r="B69" s="813"/>
      <c r="C69" s="813"/>
      <c r="D69" s="813"/>
      <c r="E69" s="807"/>
      <c r="F69" s="814"/>
      <c r="G69" s="750"/>
      <c r="H69" s="750"/>
      <c r="I69" s="762"/>
      <c r="J69" s="750"/>
      <c r="K69" s="750"/>
      <c r="L69" s="762"/>
      <c r="M69" s="762"/>
      <c r="O69" s="750"/>
      <c r="P69" s="750"/>
    </row>
    <row r="70" spans="1:16">
      <c r="A70" s="813"/>
      <c r="B70" s="813"/>
      <c r="C70" s="813"/>
      <c r="D70" s="813"/>
      <c r="E70" s="807"/>
      <c r="F70" s="814"/>
      <c r="G70" s="750"/>
      <c r="H70" s="750"/>
      <c r="I70" s="762"/>
      <c r="J70" s="750"/>
      <c r="K70" s="750"/>
      <c r="L70" s="762"/>
      <c r="M70" s="762"/>
      <c r="O70" s="750"/>
      <c r="P70" s="750"/>
    </row>
    <row r="71" spans="1:16">
      <c r="A71" s="813"/>
      <c r="B71" s="813"/>
      <c r="C71" s="813"/>
      <c r="D71" s="813"/>
      <c r="E71" s="807"/>
      <c r="F71" s="814"/>
      <c r="G71" s="750"/>
      <c r="H71" s="750"/>
      <c r="I71" s="762"/>
      <c r="J71" s="750"/>
      <c r="K71" s="750"/>
      <c r="L71" s="762"/>
      <c r="O71" s="750"/>
      <c r="P71" s="750"/>
    </row>
    <row r="72" spans="1:16">
      <c r="A72" s="813"/>
      <c r="B72" s="813"/>
      <c r="C72" s="813"/>
      <c r="D72" s="813"/>
      <c r="E72" s="807"/>
      <c r="F72" s="814"/>
      <c r="G72" s="750"/>
      <c r="H72" s="750"/>
      <c r="I72" s="762"/>
      <c r="J72" s="750"/>
      <c r="K72" s="750"/>
      <c r="L72" s="762"/>
      <c r="O72" s="750"/>
      <c r="P72" s="750"/>
    </row>
    <row r="73" spans="1:16">
      <c r="A73" s="813"/>
      <c r="B73" s="813"/>
      <c r="C73" s="813"/>
      <c r="D73" s="813"/>
      <c r="E73" s="807"/>
      <c r="F73" s="814"/>
      <c r="G73" s="750"/>
      <c r="H73" s="750"/>
      <c r="I73" s="762"/>
      <c r="J73" s="750"/>
      <c r="K73" s="750"/>
      <c r="L73" s="750"/>
      <c r="O73" s="750"/>
      <c r="P73" s="750"/>
    </row>
    <row r="74" spans="1:16">
      <c r="A74" s="813"/>
      <c r="B74" s="813"/>
      <c r="C74" s="813"/>
      <c r="D74" s="813"/>
      <c r="E74" s="807"/>
      <c r="F74" s="814"/>
      <c r="G74" s="750"/>
      <c r="H74" s="750"/>
      <c r="I74" s="762"/>
      <c r="J74" s="750"/>
      <c r="K74" s="750"/>
      <c r="L74" s="750"/>
      <c r="O74" s="750"/>
      <c r="P74" s="750"/>
    </row>
    <row r="75" spans="1:16">
      <c r="A75" s="813"/>
      <c r="B75" s="813"/>
      <c r="C75" s="813"/>
      <c r="D75" s="813"/>
      <c r="E75" s="807"/>
      <c r="F75" s="814"/>
      <c r="G75" s="750"/>
      <c r="H75" s="750"/>
      <c r="I75" s="762"/>
      <c r="J75" s="750"/>
      <c r="K75" s="750"/>
      <c r="L75" s="750"/>
      <c r="O75" s="750"/>
      <c r="P75" s="750"/>
    </row>
    <row r="76" spans="1:16">
      <c r="A76" s="813"/>
      <c r="B76" s="813"/>
      <c r="C76" s="813"/>
      <c r="D76" s="813"/>
      <c r="E76" s="807"/>
      <c r="F76" s="814"/>
      <c r="G76" s="750"/>
      <c r="H76" s="750"/>
      <c r="I76" s="762"/>
      <c r="J76" s="750"/>
      <c r="K76" s="750"/>
      <c r="L76" s="750"/>
      <c r="O76" s="750"/>
      <c r="P76" s="750"/>
    </row>
    <row r="77" spans="1:16">
      <c r="A77" s="813"/>
      <c r="B77" s="813"/>
      <c r="C77" s="813"/>
      <c r="D77" s="813"/>
      <c r="E77" s="807"/>
      <c r="F77" s="814"/>
      <c r="G77" s="750"/>
      <c r="H77" s="750"/>
      <c r="I77" s="762"/>
      <c r="J77" s="750"/>
      <c r="K77" s="750"/>
      <c r="L77" s="750"/>
      <c r="O77" s="750"/>
      <c r="P77" s="750"/>
    </row>
    <row r="78" spans="1:16">
      <c r="A78" s="813"/>
      <c r="B78" s="813"/>
      <c r="C78" s="813"/>
      <c r="D78" s="813"/>
      <c r="E78" s="807"/>
      <c r="F78" s="814"/>
      <c r="G78" s="750"/>
      <c r="H78" s="750"/>
      <c r="I78" s="762"/>
      <c r="J78" s="750"/>
      <c r="K78" s="750"/>
      <c r="L78" s="750"/>
      <c r="O78" s="750"/>
      <c r="P78" s="750"/>
    </row>
    <row r="79" spans="1:16">
      <c r="A79" s="813"/>
      <c r="B79" s="813"/>
      <c r="C79" s="813"/>
      <c r="D79" s="813"/>
      <c r="E79" s="807"/>
      <c r="F79" s="814"/>
      <c r="G79" s="750"/>
      <c r="H79" s="750"/>
      <c r="I79" s="762"/>
      <c r="J79" s="750"/>
      <c r="K79" s="750"/>
      <c r="L79" s="750"/>
      <c r="O79" s="750"/>
      <c r="P79" s="750"/>
    </row>
    <row r="80" spans="1:16">
      <c r="A80" s="813"/>
      <c r="B80" s="813"/>
      <c r="C80" s="813"/>
      <c r="D80" s="813"/>
      <c r="E80" s="807"/>
      <c r="F80" s="814"/>
      <c r="G80" s="750"/>
      <c r="H80" s="750"/>
      <c r="I80" s="762"/>
      <c r="J80" s="750"/>
      <c r="K80" s="750"/>
      <c r="L80" s="750"/>
      <c r="O80" s="750"/>
      <c r="P80" s="750"/>
    </row>
    <row r="81" spans="1:17">
      <c r="A81" s="813"/>
      <c r="B81" s="813"/>
      <c r="C81" s="813"/>
      <c r="D81" s="813"/>
      <c r="E81" s="807"/>
      <c r="F81" s="814"/>
      <c r="G81" s="750"/>
      <c r="H81" s="750"/>
      <c r="I81" s="762"/>
      <c r="J81" s="750"/>
      <c r="K81" s="750"/>
      <c r="L81" s="750"/>
      <c r="O81" s="750"/>
      <c r="P81" s="750"/>
    </row>
    <row r="82" spans="1:17">
      <c r="A82" s="813"/>
      <c r="B82" s="813"/>
      <c r="C82" s="813"/>
      <c r="D82" s="813"/>
      <c r="E82" s="807"/>
      <c r="F82" s="814"/>
      <c r="G82" s="750"/>
      <c r="H82" s="750"/>
      <c r="I82" s="762"/>
      <c r="J82" s="750"/>
      <c r="K82" s="750"/>
      <c r="L82" s="750"/>
      <c r="O82" s="750"/>
      <c r="P82" s="750"/>
    </row>
    <row r="83" spans="1:17">
      <c r="A83" s="813"/>
      <c r="B83" s="813"/>
      <c r="C83" s="813"/>
      <c r="D83" s="813"/>
      <c r="E83" s="807"/>
      <c r="F83" s="814"/>
      <c r="G83" s="750"/>
      <c r="H83" s="750"/>
      <c r="I83" s="762"/>
      <c r="J83" s="750"/>
      <c r="K83" s="750"/>
      <c r="L83" s="750"/>
      <c r="O83" s="750"/>
      <c r="P83" s="750"/>
    </row>
    <row r="84" spans="1:17">
      <c r="A84" s="813"/>
      <c r="B84" s="813"/>
      <c r="C84" s="813"/>
      <c r="D84" s="813"/>
      <c r="E84" s="807"/>
      <c r="F84" s="814"/>
      <c r="G84" s="810"/>
      <c r="H84" s="750"/>
      <c r="I84" s="762"/>
      <c r="J84" s="750"/>
      <c r="K84" s="750"/>
      <c r="L84" s="750"/>
      <c r="O84" s="750"/>
      <c r="P84" s="750"/>
    </row>
    <row r="85" spans="1:17">
      <c r="A85" s="813"/>
      <c r="B85" s="813"/>
      <c r="C85" s="813"/>
      <c r="D85" s="813"/>
      <c r="E85" s="807"/>
      <c r="F85" s="814"/>
      <c r="G85" s="810"/>
      <c r="H85" s="750"/>
      <c r="I85" s="762"/>
      <c r="J85" s="750"/>
      <c r="K85" s="750"/>
      <c r="L85" s="750"/>
      <c r="O85" s="750"/>
      <c r="P85" s="750"/>
    </row>
    <row r="86" spans="1:17">
      <c r="A86" s="813"/>
      <c r="B86" s="813"/>
      <c r="C86" s="813"/>
      <c r="D86" s="813"/>
      <c r="E86" s="807"/>
      <c r="F86" s="814"/>
      <c r="G86" s="810"/>
      <c r="H86" s="750"/>
      <c r="I86" s="762"/>
      <c r="J86" s="750"/>
      <c r="K86" s="750"/>
      <c r="L86" s="750"/>
      <c r="O86" s="750"/>
      <c r="P86" s="750"/>
    </row>
    <row r="87" spans="1:17">
      <c r="A87" s="813"/>
      <c r="B87" s="813"/>
      <c r="C87" s="813"/>
      <c r="D87" s="813"/>
      <c r="E87" s="807"/>
      <c r="F87" s="814"/>
      <c r="G87" s="810"/>
      <c r="H87" s="750"/>
      <c r="I87" s="762"/>
      <c r="J87" s="750"/>
      <c r="K87" s="750"/>
      <c r="L87" s="750"/>
      <c r="O87" s="750"/>
      <c r="P87" s="750"/>
    </row>
    <row r="88" spans="1:17">
      <c r="A88" s="813"/>
      <c r="B88" s="813"/>
      <c r="C88" s="813"/>
      <c r="D88" s="813"/>
      <c r="E88" s="807"/>
      <c r="F88" s="814"/>
      <c r="G88" s="750"/>
      <c r="H88" s="750"/>
      <c r="I88" s="762"/>
      <c r="J88" s="750"/>
      <c r="K88" s="750"/>
      <c r="L88" s="750"/>
      <c r="O88" s="750"/>
      <c r="P88" s="750"/>
    </row>
    <row r="89" spans="1:17">
      <c r="A89" s="813"/>
      <c r="B89" s="813"/>
      <c r="C89" s="813"/>
      <c r="D89" s="813"/>
      <c r="E89" s="807"/>
      <c r="F89" s="814"/>
      <c r="G89" s="750"/>
      <c r="H89" s="750"/>
      <c r="I89" s="762"/>
      <c r="J89" s="750"/>
      <c r="K89" s="750"/>
      <c r="L89" s="750"/>
      <c r="O89" s="750"/>
      <c r="P89" s="750"/>
    </row>
    <row r="90" spans="1:17" s="813" customFormat="1">
      <c r="E90" s="807"/>
      <c r="F90" s="814"/>
      <c r="G90" s="750"/>
      <c r="H90" s="750"/>
      <c r="I90" s="762"/>
      <c r="J90" s="750"/>
      <c r="K90" s="750"/>
      <c r="L90" s="750"/>
      <c r="M90" s="750"/>
      <c r="N90" s="750"/>
      <c r="O90" s="750"/>
      <c r="P90" s="750"/>
      <c r="Q90" s="750"/>
    </row>
    <row r="91" spans="1:17" s="813" customFormat="1">
      <c r="E91" s="807"/>
      <c r="F91" s="814"/>
      <c r="G91" s="750"/>
      <c r="H91" s="750"/>
      <c r="I91" s="762"/>
      <c r="J91" s="750"/>
      <c r="K91" s="750"/>
      <c r="L91" s="750"/>
      <c r="M91" s="750"/>
      <c r="N91" s="750"/>
      <c r="O91" s="750"/>
      <c r="P91" s="750"/>
      <c r="Q91" s="750"/>
    </row>
    <row r="92" spans="1:17" s="813" customFormat="1">
      <c r="E92" s="807"/>
      <c r="F92" s="814"/>
      <c r="G92" s="750"/>
      <c r="H92" s="750"/>
      <c r="I92" s="762"/>
      <c r="J92" s="750"/>
      <c r="K92" s="750"/>
      <c r="L92" s="750"/>
      <c r="M92" s="750"/>
      <c r="N92" s="750"/>
      <c r="O92" s="750"/>
      <c r="P92" s="750"/>
      <c r="Q92" s="750"/>
    </row>
    <row r="93" spans="1:17" s="813" customFormat="1">
      <c r="E93" s="807"/>
      <c r="F93" s="814"/>
      <c r="G93" s="750"/>
      <c r="H93" s="750"/>
      <c r="I93" s="762"/>
      <c r="J93" s="750"/>
      <c r="K93" s="750"/>
      <c r="L93" s="750"/>
      <c r="M93" s="750"/>
      <c r="N93" s="750"/>
      <c r="O93" s="750"/>
      <c r="P93" s="750"/>
      <c r="Q93" s="750"/>
    </row>
    <row r="94" spans="1:17" s="813" customFormat="1">
      <c r="E94" s="807"/>
      <c r="F94" s="814"/>
      <c r="G94" s="750"/>
      <c r="H94" s="750"/>
      <c r="I94" s="762"/>
      <c r="J94" s="750"/>
      <c r="K94" s="750"/>
      <c r="L94" s="750"/>
      <c r="M94" s="750"/>
      <c r="N94" s="750"/>
      <c r="O94" s="750"/>
      <c r="P94" s="750"/>
      <c r="Q94" s="750"/>
    </row>
    <row r="95" spans="1:17" s="813" customFormat="1">
      <c r="E95" s="807"/>
      <c r="F95" s="814"/>
      <c r="G95" s="750"/>
      <c r="H95" s="750"/>
      <c r="I95" s="762"/>
      <c r="J95" s="750"/>
      <c r="K95" s="750"/>
      <c r="L95" s="750"/>
      <c r="M95" s="750"/>
    </row>
    <row r="96" spans="1:17" s="813" customFormat="1">
      <c r="E96" s="807"/>
      <c r="F96" s="814"/>
      <c r="G96" s="750"/>
      <c r="H96" s="750"/>
      <c r="I96" s="762"/>
      <c r="J96" s="750"/>
      <c r="K96" s="750"/>
      <c r="L96" s="750"/>
      <c r="M96" s="750"/>
    </row>
    <row r="97" spans="5:13" s="813" customFormat="1">
      <c r="E97" s="807"/>
      <c r="F97" s="814"/>
      <c r="G97" s="750"/>
      <c r="H97" s="750"/>
      <c r="I97" s="762"/>
      <c r="J97" s="750"/>
      <c r="K97" s="750"/>
      <c r="L97" s="750"/>
      <c r="M97" s="750"/>
    </row>
    <row r="98" spans="5:13" s="813" customFormat="1">
      <c r="E98" s="807"/>
      <c r="F98" s="814"/>
      <c r="G98" s="750"/>
      <c r="H98" s="750"/>
      <c r="I98" s="762"/>
      <c r="J98" s="750"/>
      <c r="K98" s="750"/>
      <c r="L98" s="750"/>
      <c r="M98" s="750"/>
    </row>
    <row r="99" spans="5:13" s="813" customFormat="1">
      <c r="E99" s="807"/>
      <c r="F99" s="814"/>
      <c r="G99" s="750"/>
      <c r="H99" s="750"/>
      <c r="I99" s="762"/>
      <c r="J99" s="750"/>
      <c r="K99" s="750"/>
      <c r="L99" s="750"/>
      <c r="M99" s="750"/>
    </row>
    <row r="100" spans="5:13" s="813" customFormat="1">
      <c r="E100" s="807"/>
      <c r="F100" s="814"/>
      <c r="G100" s="750"/>
      <c r="H100" s="750"/>
      <c r="I100" s="762"/>
      <c r="J100" s="750"/>
      <c r="K100" s="750"/>
      <c r="L100" s="750"/>
      <c r="M100" s="750"/>
    </row>
    <row r="101" spans="5:13" s="813" customFormat="1">
      <c r="E101" s="807"/>
      <c r="F101" s="814"/>
      <c r="G101" s="750"/>
      <c r="H101" s="750"/>
      <c r="I101" s="762"/>
      <c r="J101" s="750"/>
      <c r="K101" s="750"/>
      <c r="L101" s="750"/>
      <c r="M101" s="750"/>
    </row>
    <row r="102" spans="5:13" s="813" customFormat="1">
      <c r="E102" s="807"/>
      <c r="F102" s="814"/>
      <c r="G102" s="750"/>
      <c r="H102" s="750"/>
      <c r="I102" s="762"/>
      <c r="J102" s="750"/>
      <c r="K102" s="750"/>
      <c r="L102" s="750"/>
      <c r="M102" s="750"/>
    </row>
    <row r="103" spans="5:13" s="813" customFormat="1">
      <c r="E103" s="807"/>
      <c r="F103" s="814"/>
      <c r="G103" s="750"/>
      <c r="H103" s="750"/>
      <c r="I103" s="762"/>
      <c r="J103" s="750"/>
      <c r="K103" s="750"/>
      <c r="L103" s="750"/>
      <c r="M103" s="750"/>
    </row>
    <row r="104" spans="5:13" s="813" customFormat="1">
      <c r="E104" s="807"/>
      <c r="F104" s="814"/>
      <c r="G104" s="750"/>
      <c r="H104" s="750"/>
      <c r="I104" s="762"/>
      <c r="J104" s="750"/>
      <c r="K104" s="750"/>
      <c r="L104" s="750"/>
      <c r="M104" s="750"/>
    </row>
    <row r="105" spans="5:13" s="813" customFormat="1">
      <c r="E105" s="807"/>
      <c r="F105" s="814"/>
      <c r="G105" s="750"/>
      <c r="H105" s="750"/>
      <c r="I105" s="762"/>
      <c r="J105" s="750"/>
      <c r="K105" s="750"/>
      <c r="L105" s="750"/>
      <c r="M105" s="750"/>
    </row>
    <row r="106" spans="5:13" s="813" customFormat="1">
      <c r="E106" s="807"/>
      <c r="F106" s="814"/>
      <c r="G106" s="750"/>
      <c r="H106" s="750"/>
      <c r="I106" s="762"/>
      <c r="J106" s="750"/>
      <c r="K106" s="750"/>
      <c r="L106" s="750"/>
      <c r="M106" s="750"/>
    </row>
    <row r="107" spans="5:13" s="813" customFormat="1">
      <c r="E107" s="807"/>
      <c r="F107" s="814"/>
      <c r="G107" s="750"/>
      <c r="H107" s="750"/>
      <c r="I107" s="762"/>
      <c r="J107" s="750"/>
      <c r="K107" s="750"/>
      <c r="L107" s="750"/>
      <c r="M107" s="750"/>
    </row>
    <row r="108" spans="5:13" s="813" customFormat="1">
      <c r="E108" s="807"/>
      <c r="F108" s="814"/>
      <c r="G108" s="750"/>
      <c r="H108" s="750"/>
      <c r="I108" s="762"/>
      <c r="J108" s="750"/>
      <c r="K108" s="750"/>
      <c r="L108" s="750"/>
      <c r="M108" s="750"/>
    </row>
    <row r="109" spans="5:13" s="813" customFormat="1">
      <c r="E109" s="807"/>
      <c r="F109" s="814"/>
      <c r="G109" s="750"/>
      <c r="H109" s="750"/>
      <c r="I109" s="762"/>
      <c r="J109" s="750"/>
      <c r="K109" s="750"/>
      <c r="L109" s="750"/>
      <c r="M109" s="750"/>
    </row>
    <row r="110" spans="5:13" s="813" customFormat="1">
      <c r="E110" s="807"/>
      <c r="F110" s="814"/>
      <c r="G110" s="750"/>
      <c r="H110" s="750"/>
      <c r="I110" s="762"/>
      <c r="J110" s="750"/>
      <c r="K110" s="750"/>
      <c r="L110" s="750"/>
    </row>
    <row r="111" spans="5:13" s="813" customFormat="1">
      <c r="E111" s="807"/>
      <c r="F111" s="814"/>
      <c r="G111" s="750"/>
      <c r="H111" s="750"/>
      <c r="I111" s="762"/>
      <c r="J111" s="750"/>
      <c r="K111" s="750"/>
      <c r="L111" s="750"/>
    </row>
    <row r="112" spans="5:13" s="813" customFormat="1">
      <c r="E112" s="807"/>
      <c r="F112" s="814"/>
      <c r="G112" s="750"/>
      <c r="H112" s="750"/>
      <c r="I112" s="762"/>
      <c r="J112" s="750"/>
      <c r="K112" s="750"/>
      <c r="L112" s="750"/>
    </row>
    <row r="113" spans="5:12" s="813" customFormat="1">
      <c r="E113" s="807"/>
      <c r="F113" s="814"/>
      <c r="G113" s="750"/>
      <c r="H113" s="750"/>
      <c r="I113" s="762"/>
      <c r="J113" s="750"/>
      <c r="K113" s="750"/>
      <c r="L113" s="750"/>
    </row>
    <row r="114" spans="5:12" s="813" customFormat="1">
      <c r="E114" s="807"/>
      <c r="F114" s="814"/>
      <c r="G114" s="750"/>
      <c r="H114" s="750"/>
      <c r="I114" s="762"/>
      <c r="J114" s="750"/>
      <c r="K114" s="750"/>
      <c r="L114" s="750"/>
    </row>
    <row r="115" spans="5:12" s="813" customFormat="1">
      <c r="E115" s="807"/>
      <c r="F115" s="814"/>
      <c r="G115" s="750"/>
      <c r="H115" s="750"/>
      <c r="I115" s="762"/>
      <c r="J115" s="750"/>
      <c r="K115" s="750"/>
      <c r="L115" s="750"/>
    </row>
    <row r="116" spans="5:12" s="813" customFormat="1">
      <c r="E116" s="807"/>
      <c r="F116" s="814"/>
      <c r="G116" s="750"/>
      <c r="H116" s="750"/>
      <c r="I116" s="762"/>
      <c r="J116" s="750"/>
      <c r="K116" s="750"/>
      <c r="L116" s="750"/>
    </row>
    <row r="117" spans="5:12" s="813" customFormat="1">
      <c r="E117" s="807"/>
      <c r="F117" s="814"/>
      <c r="G117" s="750"/>
      <c r="H117" s="750"/>
      <c r="I117" s="762"/>
      <c r="J117" s="750"/>
      <c r="K117" s="750"/>
      <c r="L117" s="750"/>
    </row>
    <row r="118" spans="5:12" s="813" customFormat="1">
      <c r="E118" s="807"/>
      <c r="F118" s="814"/>
      <c r="G118" s="750"/>
      <c r="H118" s="750"/>
      <c r="I118" s="762"/>
      <c r="J118" s="750"/>
      <c r="K118" s="750"/>
      <c r="L118" s="750"/>
    </row>
    <row r="119" spans="5:12" s="813" customFormat="1">
      <c r="E119" s="807"/>
      <c r="F119" s="814"/>
      <c r="G119" s="750"/>
      <c r="H119" s="750"/>
      <c r="I119" s="762"/>
      <c r="J119" s="750"/>
      <c r="K119" s="750"/>
      <c r="L119" s="750"/>
    </row>
    <row r="120" spans="5:12" s="813" customFormat="1">
      <c r="E120" s="807"/>
      <c r="F120" s="814"/>
      <c r="G120" s="750"/>
      <c r="H120" s="750"/>
      <c r="I120" s="762"/>
      <c r="J120" s="750"/>
      <c r="K120" s="750"/>
      <c r="L120" s="750"/>
    </row>
    <row r="121" spans="5:12" s="813" customFormat="1">
      <c r="E121" s="807"/>
      <c r="F121" s="814"/>
      <c r="G121" s="750"/>
      <c r="H121" s="750"/>
      <c r="I121" s="762"/>
      <c r="J121" s="750"/>
      <c r="K121" s="750"/>
      <c r="L121" s="750"/>
    </row>
    <row r="122" spans="5:12" s="813" customFormat="1">
      <c r="E122" s="807"/>
      <c r="F122" s="814"/>
      <c r="G122" s="750"/>
      <c r="H122" s="750"/>
      <c r="I122" s="762"/>
      <c r="J122" s="750"/>
      <c r="K122" s="750"/>
      <c r="L122" s="750"/>
    </row>
    <row r="123" spans="5:12" s="813" customFormat="1">
      <c r="E123" s="807"/>
      <c r="F123" s="814"/>
      <c r="G123" s="750"/>
      <c r="H123" s="750"/>
      <c r="I123" s="762"/>
      <c r="J123" s="750"/>
      <c r="K123" s="750"/>
      <c r="L123" s="750"/>
    </row>
    <row r="124" spans="5:12" s="813" customFormat="1">
      <c r="E124" s="807"/>
      <c r="F124" s="814"/>
      <c r="G124" s="750"/>
      <c r="H124" s="750"/>
      <c r="I124" s="762"/>
      <c r="J124" s="750"/>
      <c r="K124" s="750"/>
      <c r="L124" s="750"/>
    </row>
    <row r="125" spans="5:12" s="813" customFormat="1">
      <c r="E125" s="807"/>
      <c r="F125" s="814"/>
      <c r="G125" s="750"/>
      <c r="H125" s="750"/>
      <c r="I125" s="762"/>
      <c r="J125" s="750"/>
      <c r="K125" s="750"/>
      <c r="L125" s="750"/>
    </row>
    <row r="126" spans="5:12" s="813" customFormat="1">
      <c r="E126" s="807"/>
      <c r="F126" s="814"/>
      <c r="G126" s="750"/>
      <c r="H126" s="750"/>
      <c r="I126" s="762"/>
      <c r="J126" s="750"/>
      <c r="K126" s="750"/>
      <c r="L126" s="750"/>
    </row>
    <row r="127" spans="5:12" s="813" customFormat="1">
      <c r="E127" s="807"/>
      <c r="F127" s="814"/>
      <c r="G127" s="750"/>
      <c r="H127" s="750"/>
      <c r="I127" s="762"/>
      <c r="J127" s="750"/>
      <c r="K127" s="750"/>
      <c r="L127" s="750"/>
    </row>
    <row r="128" spans="5:12" s="813" customFormat="1">
      <c r="E128" s="807"/>
      <c r="F128" s="814"/>
      <c r="G128" s="750"/>
      <c r="H128" s="750"/>
      <c r="I128" s="762"/>
      <c r="J128" s="750"/>
      <c r="K128" s="750"/>
      <c r="L128" s="750"/>
    </row>
    <row r="129" spans="5:12" s="813" customFormat="1">
      <c r="E129" s="807"/>
      <c r="F129" s="814"/>
      <c r="G129" s="750"/>
      <c r="H129" s="750"/>
      <c r="I129" s="762"/>
      <c r="J129" s="750"/>
      <c r="K129" s="750"/>
      <c r="L129" s="750"/>
    </row>
    <row r="130" spans="5:12" s="813" customFormat="1">
      <c r="E130" s="807"/>
      <c r="F130" s="814"/>
      <c r="G130" s="750"/>
      <c r="H130" s="750"/>
      <c r="I130" s="762"/>
      <c r="J130" s="750"/>
      <c r="K130" s="750"/>
      <c r="L130" s="750"/>
    </row>
    <row r="131" spans="5:12" s="813" customFormat="1">
      <c r="E131" s="807"/>
      <c r="F131" s="814"/>
      <c r="G131" s="750"/>
      <c r="H131" s="750"/>
      <c r="I131" s="762"/>
      <c r="J131" s="750"/>
      <c r="K131" s="750"/>
      <c r="L131" s="750"/>
    </row>
    <row r="132" spans="5:12" s="813" customFormat="1">
      <c r="E132" s="807"/>
      <c r="F132" s="814"/>
      <c r="G132" s="750"/>
      <c r="H132" s="750"/>
      <c r="I132" s="762"/>
      <c r="J132" s="750"/>
      <c r="K132" s="750"/>
      <c r="L132" s="750"/>
    </row>
    <row r="133" spans="5:12" s="813" customFormat="1">
      <c r="E133" s="807"/>
      <c r="F133" s="814"/>
      <c r="G133" s="750"/>
      <c r="H133" s="750"/>
      <c r="I133" s="762"/>
      <c r="J133" s="750"/>
      <c r="K133" s="750"/>
      <c r="L133" s="750"/>
    </row>
    <row r="134" spans="5:12" s="813" customFormat="1">
      <c r="E134" s="807"/>
      <c r="F134" s="814"/>
      <c r="G134" s="750"/>
      <c r="H134" s="750"/>
      <c r="I134" s="762"/>
      <c r="J134" s="750"/>
      <c r="K134" s="750"/>
      <c r="L134" s="750"/>
    </row>
    <row r="135" spans="5:12" s="813" customFormat="1">
      <c r="E135" s="807"/>
      <c r="F135" s="814"/>
      <c r="G135" s="750"/>
      <c r="H135" s="750"/>
      <c r="I135" s="762"/>
      <c r="J135" s="750"/>
      <c r="K135" s="750"/>
      <c r="L135" s="750"/>
    </row>
    <row r="136" spans="5:12" s="813" customFormat="1">
      <c r="E136" s="807"/>
      <c r="F136" s="814"/>
      <c r="G136" s="750"/>
      <c r="H136" s="750"/>
      <c r="I136" s="762"/>
      <c r="J136" s="750"/>
      <c r="K136" s="750"/>
      <c r="L136" s="750"/>
    </row>
    <row r="137" spans="5:12" s="813" customFormat="1">
      <c r="E137" s="807"/>
      <c r="F137" s="814"/>
      <c r="G137" s="750"/>
      <c r="H137" s="750"/>
      <c r="I137" s="762"/>
      <c r="J137" s="750"/>
      <c r="K137" s="750"/>
      <c r="L137" s="750"/>
    </row>
    <row r="138" spans="5:12" s="813" customFormat="1">
      <c r="E138" s="807"/>
      <c r="F138" s="814"/>
      <c r="G138" s="750"/>
      <c r="H138" s="750"/>
      <c r="I138" s="762"/>
      <c r="J138" s="750"/>
      <c r="K138" s="750"/>
      <c r="L138" s="750"/>
    </row>
    <row r="139" spans="5:12" s="813" customFormat="1">
      <c r="E139" s="807"/>
      <c r="F139" s="814"/>
      <c r="G139" s="750"/>
      <c r="H139" s="750"/>
      <c r="I139" s="762"/>
      <c r="J139" s="750"/>
      <c r="K139" s="750"/>
      <c r="L139" s="750"/>
    </row>
    <row r="140" spans="5:12" s="813" customFormat="1">
      <c r="E140" s="807"/>
      <c r="F140" s="814"/>
      <c r="G140" s="750"/>
      <c r="H140" s="750"/>
      <c r="I140" s="762"/>
      <c r="J140" s="750"/>
      <c r="K140" s="750"/>
      <c r="L140" s="750"/>
    </row>
    <row r="141" spans="5:12" s="813" customFormat="1">
      <c r="E141" s="807"/>
      <c r="F141" s="814"/>
      <c r="G141" s="750"/>
      <c r="H141" s="750"/>
      <c r="I141" s="762"/>
      <c r="J141" s="750"/>
      <c r="K141" s="750"/>
      <c r="L141" s="750"/>
    </row>
    <row r="142" spans="5:12" s="813" customFormat="1">
      <c r="E142" s="807"/>
      <c r="F142" s="814"/>
      <c r="G142" s="750"/>
      <c r="H142" s="750"/>
      <c r="I142" s="762"/>
      <c r="J142" s="750"/>
      <c r="K142" s="750"/>
      <c r="L142" s="750"/>
    </row>
    <row r="143" spans="5:12" s="813" customFormat="1">
      <c r="E143" s="807"/>
      <c r="F143" s="814"/>
      <c r="G143" s="750"/>
      <c r="H143" s="750"/>
      <c r="I143" s="762"/>
      <c r="J143" s="750"/>
      <c r="K143" s="750"/>
      <c r="L143" s="750"/>
    </row>
    <row r="144" spans="5:12" s="813" customFormat="1">
      <c r="E144" s="807"/>
      <c r="F144" s="814"/>
      <c r="G144" s="750"/>
      <c r="H144" s="750"/>
      <c r="I144" s="762"/>
      <c r="J144" s="750"/>
      <c r="K144" s="750"/>
      <c r="L144" s="750"/>
    </row>
    <row r="145" spans="1:17" s="813" customFormat="1">
      <c r="E145" s="807"/>
      <c r="F145" s="814"/>
      <c r="G145" s="750"/>
      <c r="H145" s="750"/>
      <c r="I145" s="762"/>
      <c r="J145" s="750"/>
      <c r="K145" s="750"/>
      <c r="L145" s="750"/>
    </row>
    <row r="146" spans="1:17" s="813" customFormat="1">
      <c r="E146" s="807"/>
      <c r="F146" s="814"/>
      <c r="G146" s="750"/>
      <c r="H146" s="750"/>
      <c r="I146" s="762"/>
      <c r="J146" s="750"/>
      <c r="K146" s="750"/>
      <c r="L146" s="750"/>
    </row>
    <row r="147" spans="1:17">
      <c r="A147" s="813"/>
      <c r="B147" s="813"/>
      <c r="C147" s="813"/>
      <c r="D147" s="813"/>
      <c r="E147" s="807"/>
      <c r="F147" s="814"/>
      <c r="G147" s="750"/>
      <c r="H147" s="750"/>
      <c r="I147" s="762"/>
      <c r="J147" s="750"/>
      <c r="K147" s="750"/>
      <c r="L147" s="750"/>
      <c r="M147" s="813"/>
      <c r="N147" s="813"/>
      <c r="O147" s="813"/>
      <c r="P147" s="813"/>
      <c r="Q147" s="813"/>
    </row>
    <row r="148" spans="1:17">
      <c r="A148" s="813"/>
      <c r="B148" s="813"/>
      <c r="C148" s="813"/>
      <c r="D148" s="813"/>
      <c r="E148" s="807"/>
      <c r="F148" s="814"/>
      <c r="G148" s="750"/>
      <c r="H148" s="750"/>
      <c r="I148" s="762"/>
      <c r="J148" s="750"/>
      <c r="K148" s="750"/>
      <c r="L148" s="750"/>
      <c r="M148" s="813"/>
      <c r="N148" s="813"/>
      <c r="O148" s="813"/>
      <c r="P148" s="813"/>
      <c r="Q148" s="813"/>
    </row>
    <row r="149" spans="1:17">
      <c r="A149" s="813"/>
      <c r="B149" s="813"/>
      <c r="C149" s="813"/>
      <c r="D149" s="813"/>
      <c r="E149" s="807"/>
      <c r="F149" s="814"/>
      <c r="G149" s="750"/>
      <c r="H149" s="750"/>
      <c r="I149" s="762"/>
      <c r="J149" s="750"/>
      <c r="K149" s="750"/>
      <c r="L149" s="750"/>
      <c r="M149" s="813"/>
      <c r="N149" s="813"/>
      <c r="O149" s="813"/>
      <c r="P149" s="813"/>
      <c r="Q149" s="813"/>
    </row>
    <row r="150" spans="1:17">
      <c r="A150" s="813"/>
      <c r="B150" s="813"/>
      <c r="C150" s="813"/>
      <c r="D150" s="813"/>
      <c r="E150" s="807"/>
      <c r="F150" s="814"/>
      <c r="G150" s="750"/>
      <c r="H150" s="750"/>
      <c r="I150" s="762"/>
      <c r="J150" s="750"/>
      <c r="K150" s="750"/>
      <c r="L150" s="750"/>
      <c r="M150" s="813"/>
      <c r="N150" s="813"/>
      <c r="O150" s="813"/>
      <c r="P150" s="813"/>
      <c r="Q150" s="813"/>
    </row>
    <row r="151" spans="1:17">
      <c r="A151" s="813"/>
      <c r="B151" s="813"/>
      <c r="C151" s="813"/>
      <c r="D151" s="813"/>
      <c r="E151" s="807"/>
      <c r="F151" s="814"/>
      <c r="G151" s="750"/>
      <c r="H151" s="750"/>
      <c r="I151" s="762"/>
      <c r="J151" s="750"/>
      <c r="K151" s="750"/>
      <c r="L151" s="750"/>
      <c r="M151" s="813"/>
      <c r="N151" s="813"/>
      <c r="O151" s="813"/>
      <c r="P151" s="813"/>
      <c r="Q151" s="813"/>
    </row>
    <row r="152" spans="1:17">
      <c r="A152" s="813"/>
      <c r="B152" s="813"/>
      <c r="C152" s="813"/>
      <c r="D152" s="813"/>
      <c r="E152" s="807"/>
      <c r="F152" s="814"/>
      <c r="G152" s="750"/>
      <c r="H152" s="750"/>
      <c r="I152" s="762"/>
      <c r="J152" s="750"/>
      <c r="K152" s="750"/>
      <c r="L152" s="750"/>
      <c r="M152" s="813"/>
    </row>
    <row r="153" spans="1:17">
      <c r="A153" s="813"/>
      <c r="B153" s="813"/>
      <c r="C153" s="813"/>
      <c r="D153" s="813"/>
      <c r="E153" s="807"/>
      <c r="F153" s="814"/>
      <c r="G153" s="750"/>
      <c r="H153" s="750"/>
      <c r="I153" s="762"/>
      <c r="J153" s="750"/>
      <c r="K153" s="750"/>
      <c r="L153" s="750"/>
      <c r="M153" s="813"/>
    </row>
    <row r="154" spans="1:17">
      <c r="A154" s="813"/>
      <c r="B154" s="813"/>
      <c r="C154" s="813"/>
      <c r="D154" s="813"/>
      <c r="E154" s="807"/>
      <c r="F154" s="814"/>
      <c r="G154" s="750"/>
      <c r="H154" s="750"/>
      <c r="I154" s="762"/>
      <c r="J154" s="750"/>
      <c r="K154" s="750"/>
      <c r="L154" s="750"/>
      <c r="M154" s="813"/>
    </row>
    <row r="155" spans="1:17">
      <c r="A155" s="813"/>
      <c r="B155" s="813"/>
      <c r="C155" s="813"/>
      <c r="D155" s="813"/>
      <c r="E155" s="807"/>
      <c r="F155" s="814"/>
      <c r="G155" s="750"/>
      <c r="H155" s="750"/>
      <c r="I155" s="762"/>
      <c r="J155" s="750"/>
      <c r="K155" s="750"/>
      <c r="L155" s="750"/>
      <c r="M155" s="813"/>
    </row>
    <row r="156" spans="1:17">
      <c r="J156" s="750"/>
      <c r="K156" s="750"/>
      <c r="L156" s="750"/>
      <c r="M156" s="813"/>
    </row>
    <row r="157" spans="1:17">
      <c r="J157" s="750"/>
      <c r="K157" s="750"/>
      <c r="L157" s="750"/>
      <c r="M157" s="813"/>
    </row>
    <row r="158" spans="1:17">
      <c r="J158" s="750"/>
      <c r="K158" s="750"/>
      <c r="L158" s="750"/>
      <c r="M158" s="813"/>
    </row>
    <row r="159" spans="1:17">
      <c r="J159" s="750"/>
      <c r="K159" s="750"/>
      <c r="L159" s="750"/>
      <c r="M159" s="813"/>
    </row>
    <row r="160" spans="1:17">
      <c r="J160" s="750"/>
      <c r="K160" s="750"/>
      <c r="L160" s="750"/>
      <c r="M160" s="813"/>
    </row>
    <row r="161" spans="10:13">
      <c r="J161" s="750"/>
      <c r="K161" s="750"/>
      <c r="L161" s="750"/>
      <c r="M161" s="813"/>
    </row>
    <row r="162" spans="10:13">
      <c r="K162" s="750"/>
      <c r="L162" s="750"/>
      <c r="M162" s="813"/>
    </row>
    <row r="163" spans="10:13">
      <c r="K163" s="750"/>
      <c r="L163" s="750"/>
      <c r="M163" s="813"/>
    </row>
    <row r="164" spans="10:13">
      <c r="K164" s="750"/>
      <c r="L164" s="750"/>
      <c r="M164" s="813"/>
    </row>
    <row r="165" spans="10:13">
      <c r="L165" s="750"/>
      <c r="M165" s="813"/>
    </row>
    <row r="166" spans="10:13">
      <c r="L166" s="750"/>
      <c r="M166" s="813"/>
    </row>
    <row r="167" spans="10:13">
      <c r="L167" s="750"/>
    </row>
    <row r="168" spans="10:13">
      <c r="L168" s="750"/>
    </row>
    <row r="169" spans="10:13">
      <c r="L169" s="750"/>
    </row>
  </sheetData>
  <mergeCells count="1">
    <mergeCell ref="L7:M7"/>
  </mergeCells>
  <dataValidations count="1">
    <dataValidation type="list" allowBlank="1" showInputMessage="1" showErrorMessage="1" sqref="B5" xr:uid="{C2AB6596-4FAE-4D6A-AB1F-2B5A617D28D2}">
      <formula1>$AB$5:$AB$8</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1"/>
  <sheetViews>
    <sheetView topLeftCell="A24" zoomScale="90" zoomScaleNormal="90" workbookViewId="0">
      <selection activeCell="C51" sqref="C51"/>
    </sheetView>
  </sheetViews>
  <sheetFormatPr defaultColWidth="17.42578125" defaultRowHeight="15.75" customHeight="1"/>
  <cols>
    <col min="1" max="1" width="12.42578125" style="137" customWidth="1"/>
    <col min="2" max="2" width="27.42578125" style="137" customWidth="1"/>
    <col min="3" max="3" width="11.42578125" style="137" bestFit="1" customWidth="1"/>
    <col min="4" max="4" width="20" style="137" bestFit="1" customWidth="1"/>
    <col min="5" max="5" width="10.5703125" style="269" bestFit="1" customWidth="1"/>
    <col min="6" max="7" width="13.5703125" style="137" bestFit="1" customWidth="1"/>
    <col min="8" max="8" width="14.42578125" style="137" bestFit="1" customWidth="1"/>
    <col min="9" max="9" width="17.42578125" style="137" bestFit="1" customWidth="1"/>
    <col min="10" max="10" width="19.5703125" style="137" bestFit="1" customWidth="1"/>
    <col min="11" max="11" width="16.42578125" style="137" bestFit="1" customWidth="1"/>
    <col min="12" max="12" width="18" style="137" customWidth="1"/>
    <col min="13" max="13" width="22.140625" style="137" customWidth="1"/>
    <col min="14" max="14" width="11.5703125" style="137" bestFit="1" customWidth="1"/>
    <col min="15" max="15" width="11.42578125" style="137" bestFit="1" customWidth="1"/>
    <col min="16" max="16" width="10.42578125" style="137" bestFit="1" customWidth="1"/>
    <col min="17" max="17" width="7.85546875" style="269" bestFit="1" customWidth="1"/>
    <col min="18" max="18" width="14.5703125" style="137" bestFit="1" customWidth="1"/>
    <col min="19" max="19" width="20.5703125" style="137" bestFit="1" customWidth="1"/>
    <col min="20" max="20" width="21" style="137" bestFit="1" customWidth="1"/>
    <col min="21" max="21" width="15.28515625" style="137" customWidth="1"/>
    <col min="22" max="16384" width="17.42578125" style="137"/>
  </cols>
  <sheetData>
    <row r="1" spans="1:23" ht="15">
      <c r="A1" s="5"/>
      <c r="B1" s="6"/>
      <c r="C1" s="7"/>
      <c r="D1" s="8"/>
      <c r="E1" s="178"/>
      <c r="F1" s="10"/>
      <c r="G1" s="11"/>
      <c r="H1" s="12"/>
      <c r="I1" s="11"/>
      <c r="J1" s="13"/>
      <c r="K1" s="10"/>
      <c r="L1" s="136"/>
      <c r="M1" s="15"/>
      <c r="N1" s="11"/>
      <c r="O1" s="16"/>
      <c r="P1" s="17"/>
      <c r="Q1" s="917"/>
      <c r="R1" s="17"/>
      <c r="S1" s="18"/>
      <c r="T1" s="947" t="s">
        <v>9</v>
      </c>
      <c r="U1" s="948"/>
      <c r="V1" s="949"/>
      <c r="W1" s="19"/>
    </row>
    <row r="2" spans="1:23" ht="15">
      <c r="A2" s="20"/>
      <c r="B2" s="21"/>
      <c r="C2" s="22"/>
      <c r="D2" s="23"/>
      <c r="E2" s="179"/>
      <c r="F2" s="160"/>
      <c r="G2" s="24"/>
      <c r="H2" s="25"/>
      <c r="I2" s="24"/>
      <c r="J2" s="26"/>
      <c r="K2" s="27"/>
      <c r="L2" s="28"/>
      <c r="M2" s="29"/>
      <c r="N2" s="26"/>
      <c r="O2" s="138"/>
      <c r="S2" s="139"/>
      <c r="T2" s="950" t="s">
        <v>10</v>
      </c>
      <c r="U2" s="951"/>
      <c r="V2" s="161"/>
      <c r="W2" s="30"/>
    </row>
    <row r="3" spans="1:23" ht="15">
      <c r="A3" s="20"/>
      <c r="B3" s="21"/>
      <c r="C3" s="22"/>
      <c r="D3" s="31"/>
      <c r="E3" s="936" t="s">
        <v>11</v>
      </c>
      <c r="F3" s="937"/>
      <c r="G3" s="938"/>
      <c r="H3" s="32"/>
      <c r="I3" s="160"/>
      <c r="J3" s="26"/>
      <c r="K3" s="160"/>
      <c r="L3" s="33"/>
      <c r="M3" s="34"/>
      <c r="N3" s="26"/>
      <c r="O3" s="35"/>
      <c r="P3" s="26"/>
      <c r="Q3" s="128"/>
      <c r="R3" s="36"/>
      <c r="S3" s="37"/>
      <c r="T3" s="939" t="s">
        <v>12</v>
      </c>
      <c r="U3" s="940"/>
      <c r="V3" s="161"/>
      <c r="W3" s="38"/>
    </row>
    <row r="4" spans="1:23" s="140" customFormat="1" ht="38.25">
      <c r="A4" s="39" t="s">
        <v>13</v>
      </c>
      <c r="B4" s="40" t="s">
        <v>14</v>
      </c>
      <c r="C4" s="41" t="s">
        <v>15</v>
      </c>
      <c r="D4" s="42" t="s">
        <v>16</v>
      </c>
      <c r="E4" s="180" t="s">
        <v>17</v>
      </c>
      <c r="F4" s="40" t="s">
        <v>18</v>
      </c>
      <c r="G4" s="44" t="s">
        <v>19</v>
      </c>
      <c r="H4" s="45" t="s">
        <v>20</v>
      </c>
      <c r="I4" s="44" t="s">
        <v>21</v>
      </c>
      <c r="J4" s="44" t="s">
        <v>22</v>
      </c>
      <c r="K4" s="40" t="s">
        <v>23</v>
      </c>
      <c r="L4" s="46" t="s">
        <v>24</v>
      </c>
      <c r="M4" s="46" t="s">
        <v>25</v>
      </c>
      <c r="N4" s="44" t="s">
        <v>26</v>
      </c>
      <c r="O4" s="47" t="s">
        <v>27</v>
      </c>
      <c r="P4" s="44" t="s">
        <v>28</v>
      </c>
      <c r="Q4" s="129" t="s">
        <v>29</v>
      </c>
      <c r="R4" s="48" t="s">
        <v>7</v>
      </c>
      <c r="S4" s="49" t="s">
        <v>8</v>
      </c>
      <c r="T4" s="50" t="s">
        <v>30</v>
      </c>
      <c r="U4" s="50" t="s">
        <v>31</v>
      </c>
      <c r="V4" s="51" t="s">
        <v>2</v>
      </c>
      <c r="W4" s="41" t="s">
        <v>32</v>
      </c>
    </row>
    <row r="5" spans="1:23" thickBot="1">
      <c r="A5" s="53" t="s">
        <v>33</v>
      </c>
      <c r="B5" s="54"/>
      <c r="C5" s="55"/>
      <c r="D5" s="56"/>
      <c r="E5" s="65" t="s">
        <v>34</v>
      </c>
      <c r="F5" s="57" t="s">
        <v>34</v>
      </c>
      <c r="G5" s="57" t="s">
        <v>34</v>
      </c>
      <c r="H5" s="57" t="s">
        <v>34</v>
      </c>
      <c r="I5" s="57" t="s">
        <v>34</v>
      </c>
      <c r="J5" s="57" t="s">
        <v>34</v>
      </c>
      <c r="K5" s="58" t="s">
        <v>35</v>
      </c>
      <c r="L5" s="59" t="s">
        <v>34</v>
      </c>
      <c r="M5" s="60" t="s">
        <v>34</v>
      </c>
      <c r="N5" s="60" t="s">
        <v>35</v>
      </c>
      <c r="O5" s="61" t="s">
        <v>36</v>
      </c>
      <c r="P5" s="62" t="s">
        <v>36</v>
      </c>
      <c r="Q5" s="918" t="s">
        <v>36</v>
      </c>
      <c r="R5" s="63" t="s">
        <v>36</v>
      </c>
      <c r="S5" s="64" t="s">
        <v>36</v>
      </c>
      <c r="T5" s="65" t="s">
        <v>34</v>
      </c>
      <c r="U5" s="65" t="s">
        <v>34</v>
      </c>
      <c r="V5" s="66" t="s">
        <v>34</v>
      </c>
      <c r="W5" s="67"/>
    </row>
    <row r="6" spans="1:23" ht="15">
      <c r="A6" s="71">
        <v>43221</v>
      </c>
      <c r="B6" s="72" t="s">
        <v>54</v>
      </c>
      <c r="C6" s="73" t="s">
        <v>56</v>
      </c>
      <c r="D6" s="74" t="s">
        <v>52</v>
      </c>
      <c r="E6" s="181">
        <v>12.2</v>
      </c>
      <c r="F6" s="76">
        <v>0.21</v>
      </c>
      <c r="G6" s="76">
        <v>11.989999999999998</v>
      </c>
      <c r="H6" s="77"/>
      <c r="I6" s="76">
        <v>2.8849999999999998</v>
      </c>
      <c r="J6" s="76">
        <v>2.8912499999999999</v>
      </c>
      <c r="K6" s="76">
        <v>0.44666191494416724</v>
      </c>
      <c r="L6" s="78">
        <v>9.1049999999999986</v>
      </c>
      <c r="M6" s="76"/>
      <c r="N6" s="76"/>
      <c r="O6" s="79"/>
      <c r="P6" s="76">
        <v>1.2914112615823234</v>
      </c>
      <c r="Q6" s="130"/>
      <c r="R6" s="76"/>
      <c r="S6" s="72"/>
      <c r="T6" s="79"/>
      <c r="U6" s="76"/>
      <c r="V6" s="144"/>
      <c r="W6" s="82"/>
    </row>
    <row r="7" spans="1:23" ht="15">
      <c r="A7" s="71">
        <v>43350</v>
      </c>
      <c r="B7" s="72" t="s">
        <v>54</v>
      </c>
      <c r="C7" s="73" t="s">
        <v>56</v>
      </c>
      <c r="D7" s="74" t="s">
        <v>53</v>
      </c>
      <c r="E7" s="181">
        <v>9.15</v>
      </c>
      <c r="F7" s="76">
        <v>2.44</v>
      </c>
      <c r="G7" s="76">
        <v>6.7100000000000009</v>
      </c>
      <c r="H7" s="77">
        <v>-5.2799999999999976</v>
      </c>
      <c r="I7" s="76"/>
      <c r="J7" s="76"/>
      <c r="K7" s="76"/>
      <c r="L7" s="78"/>
      <c r="M7" s="76"/>
      <c r="N7" s="76"/>
      <c r="O7" s="79">
        <v>-3.4469112615823216</v>
      </c>
      <c r="P7" s="76"/>
      <c r="Q7" s="130">
        <v>-2.1554999999999982</v>
      </c>
      <c r="R7" s="76"/>
      <c r="S7" s="72">
        <v>0</v>
      </c>
      <c r="T7" s="79"/>
      <c r="U7" s="76"/>
      <c r="V7" s="144"/>
      <c r="W7" s="82"/>
    </row>
    <row r="8" spans="1:23" ht="15">
      <c r="A8" s="71">
        <v>43606</v>
      </c>
      <c r="B8" s="72" t="s">
        <v>65</v>
      </c>
      <c r="C8" s="73" t="s">
        <v>56</v>
      </c>
      <c r="D8" s="74" t="s">
        <v>52</v>
      </c>
      <c r="E8" s="181">
        <v>9.15</v>
      </c>
      <c r="F8" s="76">
        <v>0.12</v>
      </c>
      <c r="G8" s="76">
        <v>9.0300000000000011</v>
      </c>
      <c r="H8" s="77">
        <v>-6.7100000000000009</v>
      </c>
      <c r="I8" s="76">
        <v>3.0125000000000002</v>
      </c>
      <c r="J8" s="76">
        <v>3.0125000000000002</v>
      </c>
      <c r="K8" s="76">
        <v>0.44423582459388034</v>
      </c>
      <c r="L8" s="78">
        <v>6.017500000000001</v>
      </c>
      <c r="M8" s="76"/>
      <c r="N8" s="76"/>
      <c r="O8" s="79"/>
      <c r="P8" s="76">
        <v>1.3382604215890646</v>
      </c>
      <c r="Q8" s="130"/>
      <c r="R8" s="76">
        <v>-0.62324999999999997</v>
      </c>
      <c r="S8" s="72"/>
      <c r="T8" s="79"/>
      <c r="U8" s="76"/>
      <c r="V8" s="144"/>
      <c r="W8" s="82"/>
    </row>
    <row r="9" spans="1:23" ht="15">
      <c r="A9" s="71">
        <v>43715</v>
      </c>
      <c r="B9" s="72" t="s">
        <v>69</v>
      </c>
      <c r="C9" s="73" t="s">
        <v>56</v>
      </c>
      <c r="D9" s="74" t="s">
        <v>53</v>
      </c>
      <c r="E9" s="181">
        <v>9.15</v>
      </c>
      <c r="F9" s="76">
        <v>6.46</v>
      </c>
      <c r="G9" s="76">
        <v>2.6900000000000004</v>
      </c>
      <c r="H9" s="77">
        <v>-6.3400000000000007</v>
      </c>
      <c r="I9" s="76">
        <v>0</v>
      </c>
      <c r="J9" s="76">
        <v>0</v>
      </c>
      <c r="K9" s="76">
        <v>0</v>
      </c>
      <c r="L9" s="78"/>
      <c r="M9" s="76"/>
      <c r="N9" s="76"/>
      <c r="O9" s="79">
        <v>-4.3330104215890657</v>
      </c>
      <c r="P9" s="76"/>
      <c r="Q9" s="130">
        <v>-2.9947500000000007</v>
      </c>
      <c r="R9" s="76"/>
      <c r="S9" s="72">
        <v>0</v>
      </c>
      <c r="T9" s="79"/>
      <c r="U9" s="76"/>
      <c r="V9" s="144"/>
      <c r="W9" s="82"/>
    </row>
    <row r="10" spans="1:23" ht="15">
      <c r="A10" s="71">
        <v>43715</v>
      </c>
      <c r="B10" s="72" t="s">
        <v>69</v>
      </c>
      <c r="C10" s="73" t="s">
        <v>56</v>
      </c>
      <c r="D10" s="74" t="s">
        <v>53</v>
      </c>
      <c r="E10" s="181">
        <v>6.6</v>
      </c>
      <c r="F10" s="76">
        <v>3.9099999999999993</v>
      </c>
      <c r="G10" s="76">
        <v>2.6900000000000004</v>
      </c>
      <c r="H10" s="77">
        <v>0</v>
      </c>
      <c r="I10" s="76"/>
      <c r="J10" s="76"/>
      <c r="K10" s="76"/>
      <c r="L10" s="78"/>
      <c r="M10" s="76"/>
      <c r="N10" s="76"/>
      <c r="O10" s="79"/>
      <c r="P10" s="76"/>
      <c r="Q10" s="130"/>
      <c r="R10" s="76"/>
      <c r="S10" s="72"/>
      <c r="T10" s="79"/>
      <c r="U10" s="76"/>
      <c r="V10" s="144"/>
      <c r="W10" s="82"/>
    </row>
    <row r="11" spans="1:23" ht="15">
      <c r="A11" s="83">
        <v>43842</v>
      </c>
      <c r="B11" s="84" t="s">
        <v>71</v>
      </c>
      <c r="C11" s="85" t="s">
        <v>56</v>
      </c>
      <c r="D11" s="86" t="s">
        <v>52</v>
      </c>
      <c r="E11" s="87">
        <v>6.1</v>
      </c>
      <c r="F11" s="88">
        <v>1.52</v>
      </c>
      <c r="G11" s="88">
        <v>4.58</v>
      </c>
      <c r="H11" s="77">
        <v>1.8899999999999997</v>
      </c>
      <c r="I11" s="76"/>
      <c r="J11" s="76"/>
      <c r="K11" s="76"/>
      <c r="L11" s="78"/>
      <c r="M11" s="76"/>
      <c r="N11" s="76"/>
      <c r="O11" s="79"/>
      <c r="P11" s="76"/>
      <c r="Q11" s="130"/>
      <c r="R11" s="76"/>
      <c r="S11" s="72"/>
      <c r="T11" s="79"/>
      <c r="U11" s="76"/>
      <c r="V11" s="144"/>
      <c r="W11" s="82"/>
    </row>
    <row r="12" spans="1:23" ht="15">
      <c r="A12" s="83">
        <v>43960</v>
      </c>
      <c r="B12" s="84" t="s">
        <v>71</v>
      </c>
      <c r="C12" s="85" t="s">
        <v>56</v>
      </c>
      <c r="D12" s="86" t="s">
        <v>52</v>
      </c>
      <c r="E12" s="87">
        <v>6.1</v>
      </c>
      <c r="F12" s="88">
        <v>1.25</v>
      </c>
      <c r="G12" s="88">
        <f>E12-F12</f>
        <v>4.8499999999999996</v>
      </c>
      <c r="H12" s="77"/>
      <c r="I12" s="76">
        <v>2.42</v>
      </c>
      <c r="J12" s="76">
        <v>2.35</v>
      </c>
      <c r="K12" s="76">
        <v>0.54</v>
      </c>
      <c r="L12" s="78">
        <f>G12-I12</f>
        <v>2.4299999999999997</v>
      </c>
      <c r="M12" s="76"/>
      <c r="N12" s="76"/>
      <c r="O12" s="79"/>
      <c r="P12" s="76">
        <f>I12*K12</f>
        <v>1.3068</v>
      </c>
      <c r="Q12" s="130"/>
      <c r="R12" s="76">
        <f>(L12-G10)*0.9</f>
        <v>-0.23400000000000062</v>
      </c>
      <c r="S12" s="72"/>
      <c r="T12" s="79"/>
      <c r="U12" s="76"/>
      <c r="V12" s="144"/>
      <c r="W12" s="82"/>
    </row>
    <row r="13" spans="1:23" ht="12.6" customHeight="1">
      <c r="A13" s="83"/>
      <c r="B13" s="84"/>
      <c r="C13" s="85"/>
      <c r="D13" s="86"/>
      <c r="E13" s="87"/>
      <c r="F13" s="88"/>
      <c r="G13" s="88"/>
      <c r="H13" s="77"/>
      <c r="I13" s="76"/>
      <c r="J13" s="76"/>
      <c r="K13" s="76"/>
      <c r="L13" s="78"/>
      <c r="M13" s="76"/>
      <c r="N13" s="76"/>
      <c r="O13" s="79"/>
      <c r="P13" s="76"/>
      <c r="Q13" s="130"/>
      <c r="R13" s="76"/>
      <c r="S13" s="72"/>
      <c r="T13" s="79"/>
      <c r="U13" s="76"/>
      <c r="V13" s="144"/>
      <c r="W13" s="82"/>
    </row>
    <row r="14" spans="1:23" s="143" customFormat="1" ht="12.6" customHeight="1">
      <c r="A14" s="89"/>
      <c r="B14" s="90"/>
      <c r="C14" s="91"/>
      <c r="D14" s="92"/>
      <c r="E14" s="182"/>
      <c r="F14" s="94"/>
      <c r="G14" s="94"/>
      <c r="H14" s="95"/>
      <c r="I14" s="94"/>
      <c r="J14" s="94"/>
      <c r="K14" s="94"/>
      <c r="L14" s="96"/>
      <c r="M14" s="94"/>
      <c r="N14" s="94"/>
      <c r="O14" s="97"/>
      <c r="P14" s="94"/>
      <c r="Q14" s="131"/>
      <c r="R14" s="94"/>
      <c r="S14" s="90"/>
      <c r="T14" s="97"/>
      <c r="U14" s="94"/>
      <c r="V14" s="142"/>
      <c r="W14" s="99"/>
    </row>
    <row r="15" spans="1:23" s="143" customFormat="1" ht="12.6" customHeight="1">
      <c r="A15" s="305">
        <v>43960</v>
      </c>
      <c r="B15" s="306" t="s">
        <v>72</v>
      </c>
      <c r="C15" s="401" t="s">
        <v>77</v>
      </c>
      <c r="D15" s="403" t="s">
        <v>52</v>
      </c>
      <c r="E15" s="919">
        <v>12.2</v>
      </c>
      <c r="F15" s="307">
        <v>0.04</v>
      </c>
      <c r="G15" s="394">
        <f>E15-F15</f>
        <v>12.16</v>
      </c>
      <c r="H15" s="397"/>
      <c r="I15" s="307">
        <v>2.35</v>
      </c>
      <c r="J15" s="307">
        <v>2.35</v>
      </c>
      <c r="K15" s="405">
        <v>0.54</v>
      </c>
      <c r="L15" s="307">
        <f>G15-I15</f>
        <v>9.81</v>
      </c>
      <c r="M15" s="307"/>
      <c r="N15" s="394"/>
      <c r="O15" s="307"/>
      <c r="P15" s="307">
        <f>I15*K15</f>
        <v>1.2690000000000001</v>
      </c>
      <c r="Q15" s="919"/>
      <c r="R15" s="307"/>
      <c r="S15" s="391"/>
      <c r="T15" s="307"/>
      <c r="U15" s="307"/>
      <c r="V15" s="399"/>
      <c r="W15" s="307"/>
    </row>
    <row r="16" spans="1:23" s="143" customFormat="1" ht="12.6" customHeight="1">
      <c r="A16" s="305">
        <v>44084</v>
      </c>
      <c r="B16" s="306" t="s">
        <v>72</v>
      </c>
      <c r="C16" s="401" t="s">
        <v>77</v>
      </c>
      <c r="D16" s="403" t="s">
        <v>53</v>
      </c>
      <c r="E16" s="919">
        <v>9.15</v>
      </c>
      <c r="F16" s="307">
        <f>E16-G16</f>
        <v>2.37</v>
      </c>
      <c r="G16" s="394">
        <v>6.78</v>
      </c>
      <c r="H16" s="397"/>
      <c r="I16" s="307"/>
      <c r="J16" s="307"/>
      <c r="K16" s="405"/>
      <c r="L16" s="307"/>
      <c r="M16" s="307"/>
      <c r="N16" s="394"/>
      <c r="O16" s="307">
        <f>Q16-P15</f>
        <v>-3.9960000000000004</v>
      </c>
      <c r="P16" s="307"/>
      <c r="Q16" s="919">
        <f>(G16-L15)*0.9</f>
        <v>-2.7270000000000003</v>
      </c>
      <c r="R16" s="307"/>
      <c r="S16" s="391"/>
      <c r="T16" s="307"/>
      <c r="U16" s="307"/>
      <c r="V16" s="399"/>
      <c r="W16" s="307"/>
    </row>
    <row r="17" spans="1:23" s="143" customFormat="1" ht="12.6" customHeight="1">
      <c r="A17" s="305">
        <v>44084</v>
      </c>
      <c r="B17" s="306" t="s">
        <v>72</v>
      </c>
      <c r="C17" s="401" t="s">
        <v>77</v>
      </c>
      <c r="D17" s="403" t="s">
        <v>53</v>
      </c>
      <c r="E17" s="919">
        <v>10.7</v>
      </c>
      <c r="F17" s="307">
        <f>E17-G17</f>
        <v>3.919999999999999</v>
      </c>
      <c r="G17" s="394">
        <v>6.78</v>
      </c>
      <c r="H17" s="397"/>
      <c r="I17" s="307"/>
      <c r="J17" s="307"/>
      <c r="K17" s="405"/>
      <c r="L17" s="307"/>
      <c r="M17" s="307"/>
      <c r="N17" s="394"/>
      <c r="O17" s="307"/>
      <c r="P17" s="307"/>
      <c r="Q17" s="919"/>
      <c r="R17" s="307"/>
      <c r="S17" s="391"/>
      <c r="T17" s="307"/>
      <c r="U17" s="307"/>
      <c r="V17" s="399"/>
      <c r="W17" s="307"/>
    </row>
    <row r="18" spans="1:23" s="143" customFormat="1" ht="12.6" customHeight="1">
      <c r="A18" s="305">
        <v>44307</v>
      </c>
      <c r="B18" s="306" t="s">
        <v>93</v>
      </c>
      <c r="C18" s="401" t="s">
        <v>77</v>
      </c>
      <c r="D18" s="403" t="s">
        <v>52</v>
      </c>
      <c r="E18" s="919">
        <v>10.7</v>
      </c>
      <c r="F18" s="307">
        <v>1.44</v>
      </c>
      <c r="G18" s="394">
        <f>E18-F18</f>
        <v>9.26</v>
      </c>
      <c r="H18" s="397">
        <f>G18-G16</f>
        <v>2.4799999999999995</v>
      </c>
      <c r="I18" s="307">
        <v>2.73</v>
      </c>
      <c r="J18" s="307"/>
      <c r="K18" s="405">
        <v>0.46</v>
      </c>
      <c r="L18" s="307">
        <f>G18-I18</f>
        <v>6.5299999999999994</v>
      </c>
      <c r="M18" s="307"/>
      <c r="N18" s="394"/>
      <c r="O18" s="307"/>
      <c r="P18" s="307">
        <f>K18*I18</f>
        <v>1.2558</v>
      </c>
      <c r="Q18" s="919"/>
      <c r="R18" s="307">
        <f>(L18-G16)*0.9</f>
        <v>-0.22500000000000081</v>
      </c>
      <c r="S18" s="391"/>
      <c r="T18" s="307">
        <v>394806.93699999998</v>
      </c>
      <c r="U18" s="307">
        <v>6697097.9299999997</v>
      </c>
      <c r="V18" s="399">
        <v>999.77800000000002</v>
      </c>
      <c r="W18" s="307"/>
    </row>
    <row r="19" spans="1:23" s="143" customFormat="1" ht="12.6" customHeight="1">
      <c r="A19" s="305">
        <v>44435</v>
      </c>
      <c r="B19" s="306" t="s">
        <v>104</v>
      </c>
      <c r="C19" s="401" t="s">
        <v>77</v>
      </c>
      <c r="D19" s="403" t="s">
        <v>53</v>
      </c>
      <c r="E19" s="919">
        <v>9.15</v>
      </c>
      <c r="F19" s="307">
        <v>5.0599999999999996</v>
      </c>
      <c r="G19" s="394">
        <f>E19-F19</f>
        <v>4.0900000000000007</v>
      </c>
      <c r="H19" s="397"/>
      <c r="I19" s="307">
        <v>0</v>
      </c>
      <c r="J19" s="307">
        <v>0</v>
      </c>
      <c r="K19" s="405"/>
      <c r="L19" s="307"/>
      <c r="M19" s="307"/>
      <c r="N19" s="394"/>
      <c r="O19" s="307">
        <f>Q19-P18</f>
        <v>-3.4517999999999986</v>
      </c>
      <c r="P19" s="307"/>
      <c r="Q19" s="919">
        <f>0.9*(G19-L18)</f>
        <v>-2.1959999999999988</v>
      </c>
      <c r="R19" s="307"/>
      <c r="S19" s="391"/>
      <c r="T19" s="307">
        <v>394802.17</v>
      </c>
      <c r="U19" s="307">
        <v>6697083.7240000004</v>
      </c>
      <c r="V19" s="399">
        <v>994.46900000000005</v>
      </c>
      <c r="W19" s="307"/>
    </row>
    <row r="20" spans="1:23" s="143" customFormat="1" ht="12.6" customHeight="1">
      <c r="A20" s="305"/>
      <c r="B20" s="306"/>
      <c r="C20" s="401"/>
      <c r="D20" s="403"/>
      <c r="E20" s="919"/>
      <c r="F20" s="307"/>
      <c r="G20" s="394"/>
      <c r="H20" s="397"/>
      <c r="I20" s="307"/>
      <c r="J20" s="307"/>
      <c r="K20" s="405"/>
      <c r="L20" s="307"/>
      <c r="M20" s="307"/>
      <c r="N20" s="394"/>
      <c r="O20" s="307"/>
      <c r="P20" s="307"/>
      <c r="Q20" s="919"/>
      <c r="R20" s="307"/>
      <c r="S20" s="391"/>
      <c r="T20" s="307"/>
      <c r="U20" s="307"/>
      <c r="V20" s="399"/>
      <c r="W20" s="307"/>
    </row>
    <row r="21" spans="1:23" s="143" customFormat="1" ht="12.6" customHeight="1">
      <c r="A21" s="386"/>
      <c r="B21" s="90"/>
      <c r="C21" s="91"/>
      <c r="D21" s="92"/>
      <c r="E21" s="131"/>
      <c r="F21" s="94"/>
      <c r="G21" s="395"/>
      <c r="H21" s="95"/>
      <c r="I21" s="94"/>
      <c r="J21" s="94"/>
      <c r="K21" s="99"/>
      <c r="L21" s="94"/>
      <c r="M21" s="94"/>
      <c r="N21" s="395"/>
      <c r="O21" s="94"/>
      <c r="P21" s="94"/>
      <c r="Q21" s="131"/>
      <c r="R21" s="94"/>
      <c r="S21" s="392"/>
      <c r="T21" s="94"/>
      <c r="U21" s="94"/>
      <c r="V21" s="142"/>
      <c r="W21" s="94"/>
    </row>
    <row r="22" spans="1:23" s="390" customFormat="1" ht="12.6" customHeight="1">
      <c r="A22" s="387">
        <v>44307</v>
      </c>
      <c r="B22" s="388" t="s">
        <v>93</v>
      </c>
      <c r="C22" s="402" t="s">
        <v>99</v>
      </c>
      <c r="D22" s="404" t="s">
        <v>52</v>
      </c>
      <c r="E22" s="491">
        <v>9.15</v>
      </c>
      <c r="F22" s="389">
        <v>-3.05</v>
      </c>
      <c r="G22" s="396">
        <f>E22-F22</f>
        <v>12.2</v>
      </c>
      <c r="H22" s="398"/>
      <c r="I22" s="389">
        <v>2.74</v>
      </c>
      <c r="J22" s="389">
        <v>2.74</v>
      </c>
      <c r="K22" s="406">
        <v>0.46</v>
      </c>
      <c r="L22" s="389">
        <f>G22-I22</f>
        <v>9.4599999999999991</v>
      </c>
      <c r="M22" s="389"/>
      <c r="N22" s="396"/>
      <c r="O22" s="389"/>
      <c r="P22" s="389">
        <f>J22*K22</f>
        <v>1.2604000000000002</v>
      </c>
      <c r="Q22" s="491"/>
      <c r="R22" s="389"/>
      <c r="S22" s="393"/>
      <c r="T22" s="389">
        <v>394835.62599999999</v>
      </c>
      <c r="U22" s="389">
        <v>6697117.5080000004</v>
      </c>
      <c r="V22" s="400">
        <v>1000.629</v>
      </c>
      <c r="W22" s="389"/>
    </row>
    <row r="23" spans="1:23" s="390" customFormat="1" ht="12.6" customHeight="1">
      <c r="A23" s="387">
        <v>44435</v>
      </c>
      <c r="B23" s="388" t="s">
        <v>104</v>
      </c>
      <c r="C23" s="402" t="s">
        <v>99</v>
      </c>
      <c r="D23" s="404" t="s">
        <v>53</v>
      </c>
      <c r="E23" s="491">
        <v>12.2</v>
      </c>
      <c r="F23" s="389">
        <v>4.8</v>
      </c>
      <c r="G23" s="396">
        <f>E23-F23</f>
        <v>7.3999999999999995</v>
      </c>
      <c r="H23" s="398">
        <f>G23-G22</f>
        <v>-4.8</v>
      </c>
      <c r="I23" s="389">
        <v>0</v>
      </c>
      <c r="J23" s="389">
        <v>0</v>
      </c>
      <c r="K23" s="406"/>
      <c r="L23" s="389"/>
      <c r="M23" s="389"/>
      <c r="N23" s="396"/>
      <c r="O23" s="389">
        <f>Q23-P22</f>
        <v>-3.1143999999999998</v>
      </c>
      <c r="P23" s="389"/>
      <c r="Q23" s="491">
        <f>0.9*(G23-L22)</f>
        <v>-1.8539999999999996</v>
      </c>
      <c r="R23" s="389"/>
      <c r="S23" s="393">
        <v>0</v>
      </c>
      <c r="T23" s="389">
        <v>394829.995</v>
      </c>
      <c r="U23" s="389">
        <v>6697102.7879999997</v>
      </c>
      <c r="V23" s="400">
        <v>995.60799999999995</v>
      </c>
      <c r="W23" s="389"/>
    </row>
    <row r="24" spans="1:23" s="390" customFormat="1" ht="12.6" customHeight="1">
      <c r="A24" s="387">
        <v>44435</v>
      </c>
      <c r="B24" s="388" t="s">
        <v>104</v>
      </c>
      <c r="C24" s="402" t="s">
        <v>99</v>
      </c>
      <c r="D24" s="404" t="s">
        <v>53</v>
      </c>
      <c r="E24" s="491">
        <v>10.6</v>
      </c>
      <c r="F24" s="389">
        <f>E24-G24</f>
        <v>3.2</v>
      </c>
      <c r="G24" s="396">
        <f>G23</f>
        <v>7.3999999999999995</v>
      </c>
      <c r="H24" s="398"/>
      <c r="I24" s="389"/>
      <c r="J24" s="389"/>
      <c r="K24" s="406"/>
      <c r="L24" s="389"/>
      <c r="M24" s="389"/>
      <c r="N24" s="396"/>
      <c r="O24" s="491"/>
      <c r="P24" s="491"/>
      <c r="Q24" s="491"/>
      <c r="R24" s="491"/>
      <c r="S24" s="492"/>
      <c r="T24" s="389"/>
      <c r="U24" s="389"/>
      <c r="V24" s="400"/>
      <c r="W24" s="389"/>
    </row>
    <row r="25" spans="1:23" s="390" customFormat="1" ht="12.6" customHeight="1">
      <c r="A25" s="387">
        <v>44679</v>
      </c>
      <c r="B25" s="388" t="s">
        <v>109</v>
      </c>
      <c r="C25" s="388" t="s">
        <v>99</v>
      </c>
      <c r="D25" s="388" t="s">
        <v>52</v>
      </c>
      <c r="E25" s="491">
        <v>10.6</v>
      </c>
      <c r="F25" s="389">
        <v>0.16</v>
      </c>
      <c r="G25" s="389">
        <f>E25-F25</f>
        <v>10.44</v>
      </c>
      <c r="H25" s="389"/>
      <c r="I25" s="389">
        <v>3.55</v>
      </c>
      <c r="J25" s="389"/>
      <c r="K25" s="389">
        <v>0.46</v>
      </c>
      <c r="L25" s="389">
        <f>G25-I25</f>
        <v>6.89</v>
      </c>
      <c r="M25" s="389"/>
      <c r="N25" s="389"/>
      <c r="O25" s="491"/>
      <c r="P25" s="491">
        <f>I25*K25</f>
        <v>1.633</v>
      </c>
      <c r="Q25" s="491"/>
      <c r="R25" s="491">
        <f>(L25-G24)*0.9</f>
        <v>-0.4589999999999998</v>
      </c>
      <c r="S25" s="491"/>
      <c r="T25" s="389"/>
      <c r="U25" s="389"/>
      <c r="V25" s="482"/>
      <c r="W25" s="389"/>
    </row>
    <row r="26" spans="1:23" s="390" customFormat="1" ht="12.6" customHeight="1">
      <c r="A26" s="387">
        <v>44821</v>
      </c>
      <c r="B26" s="388" t="s">
        <v>109</v>
      </c>
      <c r="C26" s="388" t="s">
        <v>99</v>
      </c>
      <c r="D26" s="388" t="s">
        <v>53</v>
      </c>
      <c r="E26" s="491">
        <v>6.1</v>
      </c>
      <c r="F26" s="389">
        <v>1.72</v>
      </c>
      <c r="G26" s="389">
        <f>E26-F26</f>
        <v>4.38</v>
      </c>
      <c r="H26" s="389"/>
      <c r="I26" s="389"/>
      <c r="J26" s="389"/>
      <c r="K26" s="389"/>
      <c r="L26" s="389"/>
      <c r="M26" s="389"/>
      <c r="N26" s="389"/>
      <c r="O26" s="491">
        <f>Q26-P25</f>
        <v>-3.8919999999999999</v>
      </c>
      <c r="P26" s="491"/>
      <c r="Q26" s="491">
        <f>(G27-L25)*0.9</f>
        <v>-2.2589999999999999</v>
      </c>
      <c r="R26" s="491"/>
      <c r="S26" s="491">
        <v>0</v>
      </c>
      <c r="T26" s="389"/>
      <c r="U26" s="389"/>
      <c r="V26" s="482"/>
      <c r="W26" s="389"/>
    </row>
    <row r="27" spans="1:23" s="390" customFormat="1" ht="12.6" customHeight="1">
      <c r="A27" s="387">
        <v>44821</v>
      </c>
      <c r="B27" s="388" t="s">
        <v>109</v>
      </c>
      <c r="C27" s="388" t="s">
        <v>99</v>
      </c>
      <c r="D27" s="388" t="s">
        <v>53</v>
      </c>
      <c r="E27" s="491">
        <v>7.55</v>
      </c>
      <c r="F27" s="389">
        <f>E27-G27</f>
        <v>3.17</v>
      </c>
      <c r="G27" s="389">
        <v>4.38</v>
      </c>
      <c r="H27" s="389"/>
      <c r="I27" s="389"/>
      <c r="J27" s="389"/>
      <c r="K27" s="389"/>
      <c r="L27" s="389"/>
      <c r="M27" s="389"/>
      <c r="N27" s="389"/>
      <c r="O27" s="491"/>
      <c r="P27" s="491"/>
      <c r="Q27" s="491"/>
      <c r="R27" s="491"/>
      <c r="S27" s="491"/>
      <c r="T27" s="389"/>
      <c r="U27" s="389"/>
      <c r="V27" s="482"/>
      <c r="W27" s="389"/>
    </row>
    <row r="28" spans="1:23" s="390" customFormat="1" ht="12.6" customHeight="1">
      <c r="A28" s="387">
        <v>45052</v>
      </c>
      <c r="B28" s="388" t="s">
        <v>127</v>
      </c>
      <c r="C28" s="388" t="s">
        <v>99</v>
      </c>
      <c r="D28" s="388" t="s">
        <v>52</v>
      </c>
      <c r="E28" s="491">
        <v>7.55</v>
      </c>
      <c r="F28" s="389">
        <v>1.23</v>
      </c>
      <c r="G28" s="389">
        <f>E28-F28</f>
        <v>6.32</v>
      </c>
      <c r="H28" s="389"/>
      <c r="I28" s="389"/>
      <c r="J28" s="389">
        <f>AVERAGE(2.23,2.38,2.37,2.4)</f>
        <v>2.3449999999999998</v>
      </c>
      <c r="K28" s="389">
        <f>'20230506_PitCoreB'!I4</f>
        <v>0.43116748958812579</v>
      </c>
      <c r="L28" s="389">
        <f>G28-J28</f>
        <v>3.9750000000000005</v>
      </c>
      <c r="M28" s="389"/>
      <c r="N28" s="389"/>
      <c r="O28" s="491"/>
      <c r="P28" s="491">
        <f>J28*K28</f>
        <v>1.0110877630841548</v>
      </c>
      <c r="Q28" s="491"/>
      <c r="R28" s="491">
        <f>(L28-G26)*0.9</f>
        <v>-0.36449999999999944</v>
      </c>
      <c r="S28" s="491"/>
      <c r="T28" s="389">
        <v>394803.734</v>
      </c>
      <c r="U28" s="389">
        <v>6697037.2740000002</v>
      </c>
      <c r="V28" s="482">
        <v>994.4</v>
      </c>
      <c r="W28" s="389"/>
    </row>
    <row r="29" spans="1:23" s="390" customFormat="1" ht="12.6" customHeight="1">
      <c r="A29" s="387">
        <v>45176</v>
      </c>
      <c r="B29" s="388" t="s">
        <v>127</v>
      </c>
      <c r="C29" s="388" t="s">
        <v>99</v>
      </c>
      <c r="D29" s="388" t="s">
        <v>53</v>
      </c>
      <c r="E29" s="491">
        <v>3.05</v>
      </c>
      <c r="F29" s="389">
        <v>1.85</v>
      </c>
      <c r="G29" s="389">
        <f>E29-F29</f>
        <v>1.1999999999999997</v>
      </c>
      <c r="H29" s="389">
        <f>G29-G27</f>
        <v>-3.18</v>
      </c>
      <c r="I29" s="389"/>
      <c r="J29" s="389"/>
      <c r="K29" s="389"/>
      <c r="L29" s="389"/>
      <c r="M29" s="389"/>
      <c r="N29" s="389"/>
      <c r="O29" s="491">
        <f>Q29-P28</f>
        <v>-3.5085877630841558</v>
      </c>
      <c r="P29" s="491"/>
      <c r="Q29" s="491">
        <f>(G29-L28)*0.9</f>
        <v>-2.4975000000000009</v>
      </c>
      <c r="R29" s="491"/>
      <c r="S29" s="491">
        <v>0</v>
      </c>
      <c r="T29" s="389"/>
      <c r="U29" s="389"/>
      <c r="V29" s="482"/>
      <c r="W29" s="389"/>
    </row>
    <row r="30" spans="1:23" s="390" customFormat="1" ht="12.6" customHeight="1">
      <c r="A30" s="387">
        <v>45176</v>
      </c>
      <c r="B30" s="388" t="s">
        <v>127</v>
      </c>
      <c r="C30" s="388" t="s">
        <v>99</v>
      </c>
      <c r="D30" s="388" t="s">
        <v>53</v>
      </c>
      <c r="E30" s="491">
        <v>3.05</v>
      </c>
      <c r="F30" s="389">
        <v>1.85</v>
      </c>
      <c r="G30" s="389">
        <f>E30-F30</f>
        <v>1.1999999999999997</v>
      </c>
      <c r="H30" s="389"/>
      <c r="I30" s="389"/>
      <c r="J30" s="389"/>
      <c r="K30" s="389"/>
      <c r="L30" s="389"/>
      <c r="M30" s="389"/>
      <c r="N30" s="389"/>
      <c r="O30" s="491"/>
      <c r="P30" s="491"/>
      <c r="Q30" s="491"/>
      <c r="R30" s="491"/>
      <c r="S30" s="491"/>
      <c r="T30" s="389"/>
      <c r="U30" s="389"/>
      <c r="V30" s="482"/>
      <c r="W30" s="389"/>
    </row>
    <row r="31" spans="1:23" ht="15">
      <c r="A31" s="100"/>
      <c r="B31" s="100"/>
      <c r="C31" s="100"/>
      <c r="D31" s="100"/>
      <c r="E31" s="101"/>
      <c r="F31" s="101"/>
      <c r="G31" s="100"/>
      <c r="H31" s="100"/>
      <c r="I31" s="100"/>
      <c r="J31" s="100"/>
      <c r="L31" s="100"/>
      <c r="M31" s="100"/>
      <c r="N31" s="100"/>
      <c r="O31" s="101"/>
      <c r="P31" s="101"/>
      <c r="Q31" s="101"/>
      <c r="R31" s="101"/>
      <c r="S31" s="101"/>
      <c r="T31" s="100"/>
      <c r="U31" s="100"/>
    </row>
    <row r="32" spans="1:23" ht="15">
      <c r="A32" s="483">
        <v>44679</v>
      </c>
      <c r="B32" s="479" t="s">
        <v>111</v>
      </c>
      <c r="C32" s="479" t="s">
        <v>110</v>
      </c>
      <c r="D32" s="479" t="s">
        <v>52</v>
      </c>
      <c r="E32" s="480">
        <v>9.15</v>
      </c>
      <c r="F32" s="480">
        <v>-2.82</v>
      </c>
      <c r="G32" s="480">
        <f>E32-F32</f>
        <v>11.97</v>
      </c>
      <c r="H32" s="479"/>
      <c r="I32" s="480">
        <v>3.55</v>
      </c>
      <c r="J32" s="479"/>
      <c r="K32" s="490">
        <v>0.46</v>
      </c>
      <c r="L32" s="480">
        <f>G32-I32</f>
        <v>8.4200000000000017</v>
      </c>
      <c r="M32" s="479"/>
      <c r="N32" s="479"/>
      <c r="O32" s="480"/>
      <c r="P32" s="480">
        <f>I32*K32</f>
        <v>1.633</v>
      </c>
      <c r="Q32" s="480"/>
      <c r="R32" s="480"/>
      <c r="S32" s="480"/>
      <c r="T32" s="479"/>
      <c r="U32" s="479"/>
      <c r="V32" s="481"/>
      <c r="W32" s="481"/>
    </row>
    <row r="33" spans="1:23" ht="15">
      <c r="A33" s="483">
        <v>44821</v>
      </c>
      <c r="B33" s="479" t="s">
        <v>109</v>
      </c>
      <c r="C33" s="479" t="s">
        <v>110</v>
      </c>
      <c r="D33" s="479" t="s">
        <v>53</v>
      </c>
      <c r="E33" s="480">
        <v>6.1</v>
      </c>
      <c r="F33" s="480">
        <v>0</v>
      </c>
      <c r="G33" s="480">
        <f>E33-F33</f>
        <v>6.1</v>
      </c>
      <c r="H33" s="479"/>
      <c r="I33" s="479"/>
      <c r="J33" s="479"/>
      <c r="K33" s="481"/>
      <c r="L33" s="479"/>
      <c r="M33" s="479"/>
      <c r="N33" s="479"/>
      <c r="O33" s="480">
        <f>Q33-P32</f>
        <v>-3.7210000000000019</v>
      </c>
      <c r="P33" s="480"/>
      <c r="Q33" s="480">
        <f>(G33-L32)*0.9</f>
        <v>-2.0880000000000019</v>
      </c>
      <c r="R33" s="480"/>
      <c r="S33" s="480">
        <v>0</v>
      </c>
      <c r="T33" s="479"/>
      <c r="U33" s="479"/>
      <c r="V33" s="481"/>
      <c r="W33" s="481"/>
    </row>
    <row r="34" spans="1:23" ht="15">
      <c r="A34" s="483">
        <v>44821</v>
      </c>
      <c r="B34" s="479" t="s">
        <v>109</v>
      </c>
      <c r="C34" s="479" t="s">
        <v>110</v>
      </c>
      <c r="D34" s="479" t="s">
        <v>53</v>
      </c>
      <c r="E34" s="480">
        <v>10.199999999999999</v>
      </c>
      <c r="F34" s="480">
        <f>E34-G34</f>
        <v>4.0999999999999996</v>
      </c>
      <c r="G34" s="479">
        <v>6.1</v>
      </c>
      <c r="H34" s="479"/>
      <c r="I34" s="479"/>
      <c r="J34" s="479"/>
      <c r="K34" s="481"/>
      <c r="L34" s="479"/>
      <c r="M34" s="479"/>
      <c r="N34" s="479"/>
      <c r="O34" s="480"/>
      <c r="P34" s="480"/>
      <c r="Q34" s="480"/>
      <c r="R34" s="480"/>
      <c r="S34" s="480"/>
      <c r="T34" s="479"/>
      <c r="U34" s="479"/>
      <c r="V34" s="481"/>
      <c r="W34" s="481"/>
    </row>
    <row r="35" spans="1:23" ht="15">
      <c r="A35" s="483">
        <v>45052</v>
      </c>
      <c r="B35" s="479" t="s">
        <v>127</v>
      </c>
      <c r="C35" s="479" t="s">
        <v>110</v>
      </c>
      <c r="D35" s="479" t="s">
        <v>52</v>
      </c>
      <c r="E35" s="480">
        <v>9.15</v>
      </c>
      <c r="F35" s="480">
        <v>1.1200000000000001</v>
      </c>
      <c r="G35" s="480">
        <f>E35-F35</f>
        <v>8.0300000000000011</v>
      </c>
      <c r="H35" s="479"/>
      <c r="I35" s="479"/>
      <c r="J35" s="479">
        <f>AVERAGE(2.42,2.35,2.32,2.35)</f>
        <v>2.36</v>
      </c>
      <c r="K35" s="490">
        <f>'20230506_PitCoreB'!I4</f>
        <v>0.43116748958812579</v>
      </c>
      <c r="L35" s="480">
        <f>G35-J35</f>
        <v>5.6700000000000017</v>
      </c>
      <c r="M35" s="479"/>
      <c r="N35" s="479"/>
      <c r="O35" s="480"/>
      <c r="P35" s="480">
        <f>J35*K35</f>
        <v>1.0175552754279769</v>
      </c>
      <c r="Q35" s="480"/>
      <c r="R35" s="480">
        <f>(L35-G34)*0.9</f>
        <v>-0.38699999999999818</v>
      </c>
      <c r="S35" s="480"/>
      <c r="T35" s="479">
        <v>394815.68400000001</v>
      </c>
      <c r="U35" s="479">
        <v>6697062.0690000001</v>
      </c>
      <c r="V35" s="481">
        <v>995.52300000000002</v>
      </c>
      <c r="W35" s="481"/>
    </row>
    <row r="36" spans="1:23" ht="15">
      <c r="A36" s="483">
        <v>45176</v>
      </c>
      <c r="B36" s="479" t="s">
        <v>127</v>
      </c>
      <c r="C36" s="479" t="s">
        <v>110</v>
      </c>
      <c r="D36" s="479" t="s">
        <v>53</v>
      </c>
      <c r="E36" s="480">
        <v>3.05</v>
      </c>
      <c r="F36" s="480">
        <v>0.03</v>
      </c>
      <c r="G36" s="480">
        <f>E36-F36</f>
        <v>3.02</v>
      </c>
      <c r="H36" s="479"/>
      <c r="I36" s="479"/>
      <c r="J36" s="479"/>
      <c r="K36" s="481"/>
      <c r="L36" s="479"/>
      <c r="M36" s="479"/>
      <c r="N36" s="479"/>
      <c r="O36" s="480">
        <f>Q36-P35</f>
        <v>-3.4025552754279786</v>
      </c>
      <c r="P36" s="480"/>
      <c r="Q36" s="480">
        <f>(G36-L35)*0.9</f>
        <v>-2.3850000000000016</v>
      </c>
      <c r="R36" s="480"/>
      <c r="S36" s="480">
        <v>0</v>
      </c>
      <c r="T36" s="479"/>
      <c r="U36" s="479"/>
      <c r="V36" s="481"/>
      <c r="W36" s="481"/>
    </row>
    <row r="37" spans="1:23" ht="15">
      <c r="A37" s="483">
        <v>45176</v>
      </c>
      <c r="B37" s="479" t="s">
        <v>127</v>
      </c>
      <c r="C37" s="479" t="s">
        <v>110</v>
      </c>
      <c r="D37" s="479" t="s">
        <v>53</v>
      </c>
      <c r="E37" s="480">
        <v>7.55</v>
      </c>
      <c r="F37" s="480">
        <f>E37-G37</f>
        <v>4.5299999999999994</v>
      </c>
      <c r="G37" s="479">
        <v>3.02</v>
      </c>
      <c r="H37" s="479"/>
      <c r="I37" s="479"/>
      <c r="J37" s="479"/>
      <c r="K37" s="481"/>
      <c r="L37" s="479"/>
      <c r="M37" s="479"/>
      <c r="N37" s="479"/>
      <c r="O37" s="480"/>
      <c r="P37" s="480"/>
      <c r="Q37" s="480"/>
      <c r="R37" s="480"/>
      <c r="S37" s="480"/>
      <c r="T37" s="479"/>
      <c r="U37" s="479"/>
      <c r="V37" s="481"/>
      <c r="W37" s="481"/>
    </row>
    <row r="38" spans="1:23" ht="15">
      <c r="A38" s="100"/>
      <c r="B38" s="100"/>
      <c r="C38" s="100"/>
      <c r="D38" s="100"/>
      <c r="E38" s="101"/>
      <c r="F38" s="101"/>
      <c r="G38" s="100"/>
      <c r="H38" s="100"/>
      <c r="I38" s="100"/>
      <c r="J38" s="100"/>
      <c r="L38" s="100"/>
      <c r="M38" s="100"/>
      <c r="N38" s="100"/>
      <c r="O38" s="100"/>
      <c r="P38" s="100"/>
      <c r="Q38" s="101"/>
      <c r="R38" s="100"/>
      <c r="S38" s="100"/>
      <c r="T38" s="100"/>
      <c r="U38" s="100"/>
    </row>
    <row r="39" spans="1:23" s="428" customFormat="1" ht="15">
      <c r="A39" s="576">
        <v>45052</v>
      </c>
      <c r="B39" s="573" t="s">
        <v>127</v>
      </c>
      <c r="C39" s="573" t="s">
        <v>132</v>
      </c>
      <c r="D39" s="573" t="s">
        <v>52</v>
      </c>
      <c r="E39" s="574">
        <v>12.2</v>
      </c>
      <c r="F39" s="574">
        <v>0.57999999999999996</v>
      </c>
      <c r="G39" s="574">
        <f>E39-F39</f>
        <v>11.62</v>
      </c>
      <c r="H39" s="573"/>
      <c r="I39" s="573"/>
      <c r="J39" s="573">
        <f>AVERAGE(2.4,2.46,2.42,2.4)</f>
        <v>2.42</v>
      </c>
      <c r="K39" s="441">
        <f>'20230506_PitCoreB'!I4</f>
        <v>0.43116748958812579</v>
      </c>
      <c r="L39" s="574">
        <f>G39-J39</f>
        <v>9.1999999999999993</v>
      </c>
      <c r="M39" s="573"/>
      <c r="N39" s="573"/>
      <c r="O39" s="573"/>
      <c r="P39" s="574">
        <f>J39*K39</f>
        <v>1.0434253248032643</v>
      </c>
      <c r="Q39" s="574"/>
      <c r="R39" s="573"/>
      <c r="S39" s="573"/>
      <c r="T39" s="573">
        <v>394833.36099999998</v>
      </c>
      <c r="U39" s="573">
        <v>6697096.5710000005</v>
      </c>
      <c r="V39" s="428">
        <v>996.995</v>
      </c>
    </row>
    <row r="40" spans="1:23" s="428" customFormat="1" ht="15">
      <c r="A40" s="576">
        <v>45176</v>
      </c>
      <c r="B40" s="573" t="s">
        <v>127</v>
      </c>
      <c r="C40" s="573" t="s">
        <v>132</v>
      </c>
      <c r="D40" s="573" t="s">
        <v>53</v>
      </c>
      <c r="E40" s="574">
        <v>6.1</v>
      </c>
      <c r="F40" s="574">
        <v>-0.37</v>
      </c>
      <c r="G40" s="574">
        <f>E40-F40</f>
        <v>6.47</v>
      </c>
      <c r="H40" s="573"/>
      <c r="I40" s="573"/>
      <c r="J40" s="573"/>
      <c r="K40" s="441"/>
      <c r="L40" s="573"/>
      <c r="M40" s="573"/>
      <c r="N40" s="573"/>
      <c r="O40" s="574">
        <f>Q40-P39</f>
        <v>-3.5004253248032642</v>
      </c>
      <c r="P40" s="574"/>
      <c r="Q40" s="574">
        <f>(G40-L39)*0.9</f>
        <v>-2.4569999999999999</v>
      </c>
      <c r="R40" s="573"/>
      <c r="S40" s="573">
        <v>0</v>
      </c>
      <c r="T40" s="573"/>
      <c r="U40" s="573"/>
    </row>
    <row r="41" spans="1:23" s="428" customFormat="1" ht="15">
      <c r="A41" s="576">
        <v>45176</v>
      </c>
      <c r="B41" s="573" t="s">
        <v>127</v>
      </c>
      <c r="C41" s="573" t="s">
        <v>132</v>
      </c>
      <c r="D41" s="573" t="s">
        <v>53</v>
      </c>
      <c r="E41" s="574">
        <v>10.77</v>
      </c>
      <c r="F41" s="574">
        <f>E41-G41</f>
        <v>4.3</v>
      </c>
      <c r="G41" s="574">
        <v>6.47</v>
      </c>
      <c r="H41" s="573"/>
      <c r="I41" s="573"/>
      <c r="J41" s="573"/>
      <c r="K41" s="441"/>
      <c r="L41" s="573"/>
      <c r="M41" s="573"/>
      <c r="N41" s="573"/>
      <c r="O41" s="573"/>
      <c r="P41" s="574"/>
      <c r="Q41" s="574"/>
      <c r="R41" s="573"/>
      <c r="S41" s="573"/>
      <c r="T41" s="573"/>
      <c r="U41" s="573"/>
    </row>
    <row r="42" spans="1:23" thickBot="1">
      <c r="A42" s="100"/>
      <c r="B42" s="100"/>
      <c r="C42" s="100"/>
      <c r="D42" s="100"/>
      <c r="E42" s="101"/>
      <c r="F42" s="101"/>
      <c r="G42" s="100"/>
      <c r="H42" s="100"/>
      <c r="I42" s="100"/>
      <c r="J42" s="100"/>
      <c r="L42" s="100"/>
      <c r="M42" s="100"/>
      <c r="N42" s="100"/>
      <c r="O42" s="100"/>
      <c r="P42" s="100"/>
      <c r="Q42" s="101"/>
      <c r="R42" s="100"/>
      <c r="S42" s="100"/>
      <c r="T42" s="100"/>
      <c r="U42" s="100"/>
    </row>
    <row r="43" spans="1:23" ht="14.45" customHeight="1">
      <c r="A43" s="941" t="s">
        <v>37</v>
      </c>
      <c r="B43" s="942"/>
      <c r="C43" s="945" t="s">
        <v>38</v>
      </c>
      <c r="D43" s="946"/>
      <c r="E43" s="184" t="s">
        <v>39</v>
      </c>
      <c r="F43" s="145"/>
      <c r="G43" s="103" t="s">
        <v>40</v>
      </c>
      <c r="H43" s="145"/>
      <c r="I43" s="105" t="s">
        <v>41</v>
      </c>
      <c r="Q43" s="408"/>
      <c r="R43" s="141"/>
      <c r="S43" s="141"/>
      <c r="T43" s="141"/>
      <c r="U43" s="100"/>
    </row>
    <row r="44" spans="1:23" ht="14.45" customHeight="1">
      <c r="A44" s="943"/>
      <c r="B44" s="944"/>
      <c r="C44" s="108" t="s">
        <v>42</v>
      </c>
      <c r="D44" s="108" t="s">
        <v>43</v>
      </c>
      <c r="E44" s="924">
        <f>A34</f>
        <v>44821</v>
      </c>
      <c r="F44" s="108"/>
      <c r="G44" s="146">
        <f>A39</f>
        <v>45052</v>
      </c>
      <c r="H44" s="108"/>
      <c r="I44" s="147">
        <f>A40</f>
        <v>45176</v>
      </c>
      <c r="Q44" s="408"/>
      <c r="R44" s="148"/>
      <c r="S44" s="148"/>
      <c r="T44" s="141"/>
      <c r="U44" s="100"/>
    </row>
    <row r="45" spans="1:23" ht="15">
      <c r="A45" s="149"/>
      <c r="B45" s="113" t="s">
        <v>45</v>
      </c>
      <c r="C45" s="150">
        <f>AVERAGE(P35,P39)</f>
        <v>1.0304903001156207</v>
      </c>
      <c r="D45" s="150"/>
      <c r="E45" s="150"/>
      <c r="F45" s="151"/>
      <c r="G45" s="152"/>
      <c r="H45" s="150"/>
      <c r="I45" s="153"/>
      <c r="Q45" s="408"/>
      <c r="R45" s="148"/>
      <c r="S45" s="148"/>
      <c r="T45" s="141"/>
      <c r="U45" s="100"/>
    </row>
    <row r="46" spans="1:23" ht="15">
      <c r="A46" s="149"/>
      <c r="B46" s="113" t="s">
        <v>46</v>
      </c>
      <c r="C46" s="150">
        <f>C47-C45</f>
        <v>-3.4769903001156215</v>
      </c>
      <c r="D46" s="150"/>
      <c r="E46" s="150"/>
      <c r="F46" s="151"/>
      <c r="G46" s="152"/>
      <c r="H46" s="150"/>
      <c r="I46" s="153"/>
      <c r="Q46" s="408"/>
      <c r="R46" s="148"/>
      <c r="S46" s="148"/>
      <c r="T46" s="141"/>
      <c r="U46" s="100"/>
    </row>
    <row r="47" spans="1:23" ht="15">
      <c r="A47" s="149"/>
      <c r="B47" s="113" t="s">
        <v>47</v>
      </c>
      <c r="C47" s="150">
        <f>AVERAGE(Q40,Q36,Q29)</f>
        <v>-2.4465000000000008</v>
      </c>
      <c r="D47" s="150"/>
      <c r="E47" s="150"/>
      <c r="F47" s="151"/>
      <c r="G47" s="152"/>
      <c r="H47" s="150"/>
      <c r="I47" s="153"/>
      <c r="Q47" s="408"/>
      <c r="R47" s="148"/>
      <c r="S47" s="148"/>
      <c r="T47" s="141"/>
      <c r="U47" s="100"/>
    </row>
    <row r="48" spans="1:23" ht="15">
      <c r="A48" s="149"/>
      <c r="B48" s="118" t="s">
        <v>48</v>
      </c>
      <c r="C48" s="150">
        <f>S36</f>
        <v>0</v>
      </c>
      <c r="D48" s="150"/>
      <c r="E48" s="150"/>
      <c r="F48" s="151"/>
      <c r="G48" s="150"/>
      <c r="H48" s="150"/>
      <c r="I48" s="153"/>
      <c r="Q48" s="408"/>
      <c r="R48" s="148"/>
      <c r="S48" s="148"/>
      <c r="T48" s="141"/>
      <c r="U48" s="100"/>
    </row>
    <row r="49" spans="1:21" ht="15">
      <c r="A49" s="149"/>
      <c r="B49" s="119" t="s">
        <v>49</v>
      </c>
      <c r="C49" s="150">
        <f>AVERAGE(R35,R28)</f>
        <v>-0.37574999999999881</v>
      </c>
      <c r="D49" s="150"/>
      <c r="E49" s="150"/>
      <c r="F49" s="151"/>
      <c r="G49" s="150"/>
      <c r="H49" s="150"/>
      <c r="I49" s="153"/>
      <c r="Q49" s="408"/>
      <c r="R49" s="148"/>
      <c r="S49" s="148"/>
      <c r="T49" s="141"/>
      <c r="U49" s="100"/>
    </row>
    <row r="50" spans="1:21" thickBot="1">
      <c r="A50" s="154"/>
      <c r="B50" s="121" t="s">
        <v>50</v>
      </c>
      <c r="C50" s="155">
        <f>S40</f>
        <v>0</v>
      </c>
      <c r="D50" s="155"/>
      <c r="E50" s="155"/>
      <c r="F50" s="156"/>
      <c r="G50" s="157"/>
      <c r="H50" s="157"/>
      <c r="I50" s="158"/>
      <c r="Q50" s="408"/>
      <c r="R50" s="148"/>
      <c r="S50" s="148"/>
      <c r="T50" s="141"/>
      <c r="U50" s="100"/>
    </row>
    <row r="51" spans="1:21" ht="15">
      <c r="A51" s="100"/>
      <c r="B51" s="100"/>
      <c r="C51" s="100"/>
      <c r="D51" s="100"/>
      <c r="E51" s="101"/>
      <c r="F51" s="100"/>
      <c r="G51" s="100"/>
      <c r="H51" s="100"/>
      <c r="I51" s="100"/>
      <c r="J51" s="100"/>
      <c r="K51" s="100"/>
      <c r="L51" s="100"/>
      <c r="M51" s="100"/>
      <c r="N51" s="100"/>
      <c r="O51" s="100"/>
      <c r="P51" s="100"/>
      <c r="Q51" s="920"/>
      <c r="R51" s="141"/>
      <c r="S51" s="141"/>
      <c r="T51" s="141"/>
      <c r="U51" s="100"/>
    </row>
  </sheetData>
  <mergeCells count="6">
    <mergeCell ref="T1:V1"/>
    <mergeCell ref="T2:U2"/>
    <mergeCell ref="E3:G3"/>
    <mergeCell ref="T3:U3"/>
    <mergeCell ref="A43:B44"/>
    <mergeCell ref="C43:D43"/>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70"/>
  <sheetViews>
    <sheetView topLeftCell="A40" zoomScale="80" zoomScaleNormal="80" workbookViewId="0">
      <selection activeCell="J64" sqref="J64"/>
    </sheetView>
  </sheetViews>
  <sheetFormatPr defaultColWidth="17.42578125" defaultRowHeight="15.75" customHeight="1"/>
  <cols>
    <col min="1" max="1" width="12.42578125" style="2" customWidth="1"/>
    <col min="2" max="2" width="27.5703125" style="2" bestFit="1" customWidth="1"/>
    <col min="3" max="3" width="14" style="2" bestFit="1" customWidth="1"/>
    <col min="4" max="4" width="20" style="2" bestFit="1" customWidth="1"/>
    <col min="5" max="5" width="10.5703125" style="3" bestFit="1" customWidth="1"/>
    <col min="6" max="7" width="13.5703125" style="2" bestFit="1" customWidth="1"/>
    <col min="8" max="8" width="14.42578125" style="2" bestFit="1" customWidth="1"/>
    <col min="9" max="9" width="17.42578125" style="3" bestFit="1" customWidth="1"/>
    <col min="10" max="10" width="19.5703125" style="2" bestFit="1" customWidth="1"/>
    <col min="11" max="11" width="16.42578125" style="2" bestFit="1" customWidth="1"/>
    <col min="12" max="12" width="18" style="2" customWidth="1"/>
    <col min="13" max="13" width="22.140625" style="2" customWidth="1"/>
    <col min="14" max="14" width="11.5703125" style="2" bestFit="1" customWidth="1"/>
    <col min="15" max="15" width="11.42578125" style="2" bestFit="1" customWidth="1"/>
    <col min="16" max="16" width="7.85546875" style="2" bestFit="1" customWidth="1"/>
    <col min="17" max="17" width="7.85546875" style="3" bestFit="1" customWidth="1"/>
    <col min="18" max="18" width="14.5703125" style="2" bestFit="1" customWidth="1"/>
    <col min="19" max="19" width="20.5703125" style="2" bestFit="1" customWidth="1"/>
    <col min="20" max="20" width="21" style="2" bestFit="1" customWidth="1"/>
    <col min="21" max="21" width="8.5703125" style="2" bestFit="1" customWidth="1"/>
    <col min="22" max="16384" width="17.42578125" style="2"/>
  </cols>
  <sheetData>
    <row r="1" spans="1:23" ht="15">
      <c r="A1" s="5"/>
      <c r="B1" s="6"/>
      <c r="C1" s="7"/>
      <c r="D1" s="8"/>
      <c r="E1" s="178"/>
      <c r="F1" s="10"/>
      <c r="G1" s="11"/>
      <c r="H1" s="12"/>
      <c r="I1" s="126"/>
      <c r="J1" s="13"/>
      <c r="K1" s="10"/>
      <c r="L1" s="14"/>
      <c r="M1" s="15"/>
      <c r="N1" s="11"/>
      <c r="O1" s="16"/>
      <c r="P1" s="17"/>
      <c r="Q1" s="917"/>
      <c r="R1" s="17"/>
      <c r="S1" s="18"/>
      <c r="T1" s="947" t="s">
        <v>9</v>
      </c>
      <c r="U1" s="948"/>
      <c r="V1" s="949"/>
      <c r="W1" s="19"/>
    </row>
    <row r="2" spans="1:23" ht="15">
      <c r="A2" s="20"/>
      <c r="B2" s="21"/>
      <c r="C2" s="22"/>
      <c r="D2" s="23"/>
      <c r="E2" s="179"/>
      <c r="F2" s="160"/>
      <c r="G2" s="24"/>
      <c r="H2" s="25"/>
      <c r="I2" s="127"/>
      <c r="J2" s="26"/>
      <c r="K2" s="27"/>
      <c r="L2" s="28"/>
      <c r="M2" s="29"/>
      <c r="N2" s="26"/>
      <c r="O2" s="1"/>
      <c r="S2" s="4"/>
      <c r="T2" s="950" t="s">
        <v>10</v>
      </c>
      <c r="U2" s="951"/>
      <c r="V2" s="161"/>
      <c r="W2" s="30"/>
    </row>
    <row r="3" spans="1:23" ht="15">
      <c r="A3" s="20"/>
      <c r="B3" s="21"/>
      <c r="C3" s="22"/>
      <c r="D3" s="31"/>
      <c r="E3" s="936" t="s">
        <v>11</v>
      </c>
      <c r="F3" s="937"/>
      <c r="G3" s="938"/>
      <c r="H3" s="32"/>
      <c r="I3" s="128"/>
      <c r="J3" s="26"/>
      <c r="K3" s="160"/>
      <c r="L3" s="33"/>
      <c r="M3" s="34"/>
      <c r="N3" s="26"/>
      <c r="O3" s="35"/>
      <c r="P3" s="26"/>
      <c r="Q3" s="128"/>
      <c r="R3" s="36"/>
      <c r="S3" s="37"/>
      <c r="T3" s="939" t="s">
        <v>12</v>
      </c>
      <c r="U3" s="940"/>
      <c r="V3" s="161"/>
      <c r="W3" s="38"/>
    </row>
    <row r="4" spans="1:23" s="52" customFormat="1" ht="38.25">
      <c r="A4" s="39" t="s">
        <v>13</v>
      </c>
      <c r="B4" s="40" t="s">
        <v>14</v>
      </c>
      <c r="C4" s="41" t="s">
        <v>15</v>
      </c>
      <c r="D4" s="42" t="s">
        <v>16</v>
      </c>
      <c r="E4" s="180" t="s">
        <v>17</v>
      </c>
      <c r="F4" s="40" t="s">
        <v>18</v>
      </c>
      <c r="G4" s="44" t="s">
        <v>19</v>
      </c>
      <c r="H4" s="45" t="s">
        <v>20</v>
      </c>
      <c r="I4" s="129" t="s">
        <v>21</v>
      </c>
      <c r="J4" s="44" t="s">
        <v>22</v>
      </c>
      <c r="K4" s="40" t="s">
        <v>23</v>
      </c>
      <c r="L4" s="46" t="s">
        <v>24</v>
      </c>
      <c r="M4" s="46" t="s">
        <v>25</v>
      </c>
      <c r="N4" s="44" t="s">
        <v>26</v>
      </c>
      <c r="O4" s="47" t="s">
        <v>27</v>
      </c>
      <c r="P4" s="44" t="s">
        <v>28</v>
      </c>
      <c r="Q4" s="129" t="s">
        <v>29</v>
      </c>
      <c r="R4" s="48" t="s">
        <v>7</v>
      </c>
      <c r="S4" s="49" t="s">
        <v>8</v>
      </c>
      <c r="T4" s="50" t="s">
        <v>30</v>
      </c>
      <c r="U4" s="50" t="s">
        <v>31</v>
      </c>
      <c r="V4" s="51" t="s">
        <v>2</v>
      </c>
      <c r="W4" s="41" t="s">
        <v>32</v>
      </c>
    </row>
    <row r="5" spans="1:23" thickBot="1">
      <c r="A5" s="53" t="s">
        <v>33</v>
      </c>
      <c r="B5" s="54"/>
      <c r="C5" s="55"/>
      <c r="D5" s="56"/>
      <c r="E5" s="65" t="s">
        <v>34</v>
      </c>
      <c r="F5" s="57" t="s">
        <v>34</v>
      </c>
      <c r="G5" s="57" t="s">
        <v>34</v>
      </c>
      <c r="H5" s="213" t="s">
        <v>34</v>
      </c>
      <c r="I5" s="217" t="s">
        <v>34</v>
      </c>
      <c r="J5" s="57" t="s">
        <v>34</v>
      </c>
      <c r="K5" s="58" t="s">
        <v>35</v>
      </c>
      <c r="L5" s="59" t="s">
        <v>34</v>
      </c>
      <c r="M5" s="60" t="s">
        <v>34</v>
      </c>
      <c r="N5" s="60" t="s">
        <v>35</v>
      </c>
      <c r="O5" s="61" t="s">
        <v>36</v>
      </c>
      <c r="P5" s="62" t="s">
        <v>36</v>
      </c>
      <c r="Q5" s="918" t="s">
        <v>36</v>
      </c>
      <c r="R5" s="63" t="s">
        <v>36</v>
      </c>
      <c r="S5" s="64" t="s">
        <v>36</v>
      </c>
      <c r="T5" s="65" t="s">
        <v>34</v>
      </c>
      <c r="U5" s="65" t="s">
        <v>34</v>
      </c>
      <c r="V5" s="66" t="s">
        <v>34</v>
      </c>
      <c r="W5" s="67"/>
    </row>
    <row r="6" spans="1:23" ht="15">
      <c r="A6" s="71">
        <v>43221</v>
      </c>
      <c r="B6" s="72" t="s">
        <v>54</v>
      </c>
      <c r="C6" s="73" t="s">
        <v>61</v>
      </c>
      <c r="D6" s="74" t="s">
        <v>52</v>
      </c>
      <c r="E6" s="181">
        <v>12.2</v>
      </c>
      <c r="F6" s="76">
        <v>0.48</v>
      </c>
      <c r="G6" s="76">
        <v>11.719999999999999</v>
      </c>
      <c r="H6" s="77"/>
      <c r="I6" s="130">
        <v>3.2875000000000001</v>
      </c>
      <c r="J6" s="76">
        <v>3.2749999999999999</v>
      </c>
      <c r="K6" s="76">
        <v>0.44666191494416724</v>
      </c>
      <c r="L6" s="78">
        <v>8.4324999999999992</v>
      </c>
      <c r="M6" s="76"/>
      <c r="N6" s="76"/>
      <c r="O6" s="79"/>
      <c r="P6" s="76">
        <v>1.4628177714421478</v>
      </c>
      <c r="Q6" s="130"/>
      <c r="R6" s="76"/>
      <c r="S6" s="80"/>
      <c r="T6" s="79"/>
      <c r="U6" s="76"/>
      <c r="V6" s="81"/>
      <c r="W6" s="82"/>
    </row>
    <row r="7" spans="1:23" ht="15">
      <c r="A7" s="71">
        <v>43350</v>
      </c>
      <c r="B7" s="72" t="s">
        <v>54</v>
      </c>
      <c r="C7" s="73" t="s">
        <v>61</v>
      </c>
      <c r="D7" s="74" t="s">
        <v>53</v>
      </c>
      <c r="E7" s="181">
        <v>11.15</v>
      </c>
      <c r="F7" s="76">
        <v>4.37</v>
      </c>
      <c r="G7" s="76">
        <v>6.78</v>
      </c>
      <c r="H7" s="77">
        <v>-4.9399999999999986</v>
      </c>
      <c r="I7" s="130"/>
      <c r="J7" s="76"/>
      <c r="K7" s="76"/>
      <c r="L7" s="78"/>
      <c r="M7" s="76"/>
      <c r="N7" s="76"/>
      <c r="O7" s="79">
        <v>-2.9500677714421468</v>
      </c>
      <c r="P7" s="76"/>
      <c r="Q7" s="130">
        <v>-1.4872499999999991</v>
      </c>
      <c r="R7" s="76"/>
      <c r="S7" s="80">
        <v>0</v>
      </c>
      <c r="T7" s="79"/>
      <c r="U7" s="76"/>
      <c r="V7" s="81"/>
      <c r="W7" s="82"/>
    </row>
    <row r="8" spans="1:23" ht="15">
      <c r="A8" s="71">
        <v>43606</v>
      </c>
      <c r="B8" s="72" t="s">
        <v>65</v>
      </c>
      <c r="C8" s="73" t="s">
        <v>61</v>
      </c>
      <c r="D8" s="74" t="s">
        <v>52</v>
      </c>
      <c r="E8" s="181">
        <v>12.2</v>
      </c>
      <c r="F8" s="76">
        <v>2.5099999999999998</v>
      </c>
      <c r="G8" s="76">
        <v>9.69</v>
      </c>
      <c r="H8" s="77">
        <v>-6.78</v>
      </c>
      <c r="I8" s="130">
        <v>3.6349999999999998</v>
      </c>
      <c r="J8" s="76">
        <v>3.6877777777777778</v>
      </c>
      <c r="K8" s="76">
        <v>0.44423582459388034</v>
      </c>
      <c r="L8" s="78">
        <v>6.0549999999999997</v>
      </c>
      <c r="M8" s="76"/>
      <c r="N8" s="76"/>
      <c r="O8" s="79"/>
      <c r="P8" s="76">
        <v>1.614797222398755</v>
      </c>
      <c r="Q8" s="130"/>
      <c r="R8" s="76">
        <v>-0.65250000000000052</v>
      </c>
      <c r="S8" s="80"/>
      <c r="T8" s="79"/>
      <c r="U8" s="76"/>
      <c r="V8" s="81"/>
      <c r="W8" s="82"/>
    </row>
    <row r="9" spans="1:23" ht="15">
      <c r="A9" s="71">
        <v>43715</v>
      </c>
      <c r="B9" s="72" t="s">
        <v>69</v>
      </c>
      <c r="C9" s="73" t="s">
        <v>61</v>
      </c>
      <c r="D9" s="74" t="s">
        <v>53</v>
      </c>
      <c r="E9" s="181">
        <v>9.15</v>
      </c>
      <c r="F9" s="76">
        <v>5.6300000000000008</v>
      </c>
      <c r="G9" s="76">
        <v>3.52</v>
      </c>
      <c r="H9" s="77"/>
      <c r="I9" s="130"/>
      <c r="J9" s="76"/>
      <c r="K9" s="76"/>
      <c r="L9" s="78"/>
      <c r="M9" s="76"/>
      <c r="N9" s="76"/>
      <c r="O9" s="281">
        <v>-3.8962972223987551</v>
      </c>
      <c r="P9" s="130"/>
      <c r="Q9" s="130">
        <v>-2.2814999999999999</v>
      </c>
      <c r="R9" s="130"/>
      <c r="S9" s="80">
        <v>0</v>
      </c>
      <c r="T9" s="79"/>
      <c r="U9" s="76"/>
      <c r="V9" s="81"/>
      <c r="W9" s="82"/>
    </row>
    <row r="10" spans="1:23" ht="15">
      <c r="A10" s="71">
        <v>43715</v>
      </c>
      <c r="B10" s="72" t="s">
        <v>69</v>
      </c>
      <c r="C10" s="73" t="s">
        <v>61</v>
      </c>
      <c r="D10" s="74" t="s">
        <v>53</v>
      </c>
      <c r="E10" s="181">
        <v>7.5</v>
      </c>
      <c r="F10" s="76">
        <v>3.98</v>
      </c>
      <c r="G10" s="76">
        <v>3.52</v>
      </c>
      <c r="H10" s="77"/>
      <c r="I10" s="130"/>
      <c r="J10" s="76"/>
      <c r="K10" s="76"/>
      <c r="L10" s="78"/>
      <c r="M10" s="76"/>
      <c r="N10" s="76"/>
      <c r="O10" s="281"/>
      <c r="P10" s="130"/>
      <c r="Q10" s="130"/>
      <c r="R10" s="130"/>
      <c r="S10" s="80"/>
      <c r="T10" s="79"/>
      <c r="U10" s="76"/>
      <c r="V10" s="81"/>
      <c r="W10" s="82"/>
    </row>
    <row r="11" spans="1:23" ht="15">
      <c r="A11" s="71">
        <v>43842</v>
      </c>
      <c r="B11" s="72" t="s">
        <v>71</v>
      </c>
      <c r="C11" s="73" t="s">
        <v>61</v>
      </c>
      <c r="D11" s="74" t="s">
        <v>52</v>
      </c>
      <c r="E11" s="181">
        <v>6.1</v>
      </c>
      <c r="F11" s="76">
        <v>0.78</v>
      </c>
      <c r="G11" s="76">
        <v>5.3199999999999994</v>
      </c>
      <c r="H11" s="77">
        <v>1.7999999999999994</v>
      </c>
      <c r="I11" s="130"/>
      <c r="J11" s="76"/>
      <c r="K11" s="76"/>
      <c r="L11" s="78"/>
      <c r="M11" s="76"/>
      <c r="N11" s="76"/>
      <c r="O11" s="281"/>
      <c r="P11" s="130"/>
      <c r="Q11" s="130"/>
      <c r="R11" s="130"/>
      <c r="S11" s="80"/>
      <c r="T11" s="79"/>
      <c r="U11" s="76"/>
      <c r="V11" s="81"/>
      <c r="W11" s="82"/>
    </row>
    <row r="12" spans="1:23" ht="15">
      <c r="A12" s="83">
        <v>43960</v>
      </c>
      <c r="B12" s="84" t="s">
        <v>71</v>
      </c>
      <c r="C12" s="85" t="s">
        <v>61</v>
      </c>
      <c r="D12" s="86" t="s">
        <v>52</v>
      </c>
      <c r="E12" s="87">
        <v>6.1</v>
      </c>
      <c r="F12" s="88">
        <v>0.32</v>
      </c>
      <c r="G12" s="88">
        <f>E12-F12</f>
        <v>5.7799999999999994</v>
      </c>
      <c r="H12" s="77">
        <v>0</v>
      </c>
      <c r="I12" s="130">
        <v>2.81</v>
      </c>
      <c r="J12" s="76">
        <v>2.74</v>
      </c>
      <c r="K12" s="76">
        <v>0.54</v>
      </c>
      <c r="L12" s="78">
        <f>G12-I12</f>
        <v>2.9699999999999993</v>
      </c>
      <c r="M12" s="76"/>
      <c r="N12" s="76"/>
      <c r="O12" s="281"/>
      <c r="P12" s="130">
        <f>I12*K12</f>
        <v>1.5174000000000001</v>
      </c>
      <c r="Q12" s="130"/>
      <c r="R12" s="130">
        <f>(L12-G10)*0.9</f>
        <v>-0.49500000000000066</v>
      </c>
      <c r="S12" s="80"/>
      <c r="T12" s="79"/>
      <c r="U12" s="76"/>
      <c r="V12" s="81"/>
      <c r="W12" s="82"/>
    </row>
    <row r="13" spans="1:23" s="70" customFormat="1" ht="15">
      <c r="A13" s="89"/>
      <c r="B13" s="90"/>
      <c r="C13" s="91"/>
      <c r="D13" s="92"/>
      <c r="E13" s="182"/>
      <c r="F13" s="94"/>
      <c r="G13" s="94"/>
      <c r="H13" s="95"/>
      <c r="I13" s="131"/>
      <c r="J13" s="94"/>
      <c r="K13" s="94"/>
      <c r="L13" s="96"/>
      <c r="M13" s="94"/>
      <c r="N13" s="94"/>
      <c r="O13" s="282"/>
      <c r="P13" s="131"/>
      <c r="Q13" s="131"/>
      <c r="R13" s="131"/>
      <c r="S13" s="98"/>
      <c r="T13" s="97"/>
      <c r="U13" s="94"/>
      <c r="V13" s="69"/>
      <c r="W13" s="99"/>
    </row>
    <row r="14" spans="1:23" s="70" customFormat="1" ht="15">
      <c r="A14" s="162">
        <v>43606</v>
      </c>
      <c r="B14" s="163" t="s">
        <v>65</v>
      </c>
      <c r="C14" s="164" t="s">
        <v>66</v>
      </c>
      <c r="D14" s="165" t="s">
        <v>52</v>
      </c>
      <c r="E14" s="183">
        <v>12.2</v>
      </c>
      <c r="F14" s="166">
        <v>0.18</v>
      </c>
      <c r="G14" s="166">
        <v>12.02</v>
      </c>
      <c r="H14" s="167"/>
      <c r="I14" s="168">
        <v>3.7425000000000002</v>
      </c>
      <c r="J14" s="166">
        <v>3.6877777777777778</v>
      </c>
      <c r="K14" s="166">
        <v>0.44423582459388034</v>
      </c>
      <c r="L14" s="169">
        <v>8.2774999999999999</v>
      </c>
      <c r="M14" s="166"/>
      <c r="N14" s="166"/>
      <c r="O14" s="283"/>
      <c r="P14" s="168">
        <v>1.6625525735425972</v>
      </c>
      <c r="Q14" s="168"/>
      <c r="R14" s="168"/>
      <c r="S14" s="171"/>
      <c r="T14" s="170"/>
      <c r="U14" s="166"/>
      <c r="V14" s="172"/>
      <c r="W14" s="173"/>
    </row>
    <row r="15" spans="1:23" s="70" customFormat="1" ht="15">
      <c r="A15" s="162">
        <v>43715</v>
      </c>
      <c r="B15" s="163" t="s">
        <v>69</v>
      </c>
      <c r="C15" s="164" t="s">
        <v>66</v>
      </c>
      <c r="D15" s="165" t="s">
        <v>53</v>
      </c>
      <c r="E15" s="183">
        <v>12.2</v>
      </c>
      <c r="F15" s="166">
        <v>6.47</v>
      </c>
      <c r="G15" s="166">
        <v>5.7299999999999995</v>
      </c>
      <c r="H15" s="167"/>
      <c r="I15" s="168"/>
      <c r="J15" s="166"/>
      <c r="K15" s="166"/>
      <c r="L15" s="169"/>
      <c r="M15" s="166"/>
      <c r="N15" s="166"/>
      <c r="O15" s="283">
        <v>-3.9553025735425975</v>
      </c>
      <c r="P15" s="168"/>
      <c r="Q15" s="168">
        <v>-2.2927500000000003</v>
      </c>
      <c r="R15" s="168"/>
      <c r="S15" s="171"/>
      <c r="T15" s="170"/>
      <c r="U15" s="166"/>
      <c r="V15" s="172"/>
      <c r="W15" s="173"/>
    </row>
    <row r="16" spans="1:23" s="70" customFormat="1" ht="15">
      <c r="A16" s="162">
        <v>43715</v>
      </c>
      <c r="B16" s="163" t="s">
        <v>69</v>
      </c>
      <c r="C16" s="164" t="s">
        <v>66</v>
      </c>
      <c r="D16" s="165" t="s">
        <v>53</v>
      </c>
      <c r="E16" s="183">
        <v>10</v>
      </c>
      <c r="F16" s="166">
        <v>4.2700000000000005</v>
      </c>
      <c r="G16" s="166">
        <v>5.7299999999999995</v>
      </c>
      <c r="H16" s="167"/>
      <c r="I16" s="168"/>
      <c r="J16" s="166"/>
      <c r="K16" s="166"/>
      <c r="L16" s="169"/>
      <c r="M16" s="166"/>
      <c r="N16" s="166"/>
      <c r="O16" s="283"/>
      <c r="P16" s="168"/>
      <c r="Q16" s="168"/>
      <c r="R16" s="168"/>
      <c r="S16" s="171"/>
      <c r="T16" s="170"/>
      <c r="U16" s="166"/>
      <c r="V16" s="172"/>
      <c r="W16" s="173"/>
    </row>
    <row r="17" spans="1:23" ht="15">
      <c r="A17" s="203">
        <v>43727</v>
      </c>
      <c r="B17" s="198" t="s">
        <v>69</v>
      </c>
      <c r="C17" s="204" t="s">
        <v>66</v>
      </c>
      <c r="D17" s="205" t="s">
        <v>53</v>
      </c>
      <c r="E17" s="206">
        <v>10</v>
      </c>
      <c r="F17" s="199">
        <v>4.67</v>
      </c>
      <c r="G17" s="199">
        <v>5.33</v>
      </c>
      <c r="H17" s="207">
        <v>-0.39999999999999947</v>
      </c>
      <c r="I17" s="200"/>
      <c r="J17" s="200"/>
      <c r="K17" s="200"/>
      <c r="L17" s="208"/>
      <c r="M17" s="200"/>
      <c r="N17" s="201"/>
      <c r="O17" s="284">
        <v>-4.3153025735425974</v>
      </c>
      <c r="P17" s="200"/>
      <c r="Q17" s="200">
        <v>-2.6527499999999997</v>
      </c>
      <c r="R17" s="200"/>
      <c r="S17" s="201">
        <v>0</v>
      </c>
      <c r="T17" s="209"/>
      <c r="U17" s="202"/>
      <c r="V17" s="210"/>
      <c r="W17" s="211"/>
    </row>
    <row r="18" spans="1:23" ht="15">
      <c r="A18" s="197">
        <v>43842</v>
      </c>
      <c r="B18" s="198" t="s">
        <v>71</v>
      </c>
      <c r="C18" s="204" t="s">
        <v>66</v>
      </c>
      <c r="D18" s="205" t="s">
        <v>52</v>
      </c>
      <c r="E18" s="199">
        <v>11.51</v>
      </c>
      <c r="F18" s="199">
        <v>3.9999999999999991</v>
      </c>
      <c r="G18" s="214">
        <v>7.5100000000000007</v>
      </c>
      <c r="H18" s="207">
        <v>2.1800000000000006</v>
      </c>
      <c r="I18" s="200"/>
      <c r="J18" s="200"/>
      <c r="K18" s="212"/>
      <c r="L18" s="200"/>
      <c r="M18" s="200"/>
      <c r="N18" s="216"/>
      <c r="O18" s="200"/>
      <c r="P18" s="200"/>
      <c r="Q18" s="200"/>
      <c r="R18" s="200"/>
      <c r="S18" s="216"/>
      <c r="T18" s="202"/>
      <c r="U18" s="202"/>
      <c r="V18" s="210"/>
      <c r="W18" s="202"/>
    </row>
    <row r="19" spans="1:23" ht="15">
      <c r="A19" s="197">
        <v>43960</v>
      </c>
      <c r="B19" s="198" t="s">
        <v>71</v>
      </c>
      <c r="C19" s="204" t="s">
        <v>66</v>
      </c>
      <c r="D19" s="205" t="s">
        <v>52</v>
      </c>
      <c r="E19" s="199">
        <v>9.15</v>
      </c>
      <c r="F19" s="199">
        <v>1.37</v>
      </c>
      <c r="G19" s="214">
        <f>E19-F19</f>
        <v>7.78</v>
      </c>
      <c r="H19" s="207"/>
      <c r="I19" s="200">
        <v>2.5299999999999998</v>
      </c>
      <c r="J19" s="200">
        <v>2.74</v>
      </c>
      <c r="K19" s="212">
        <v>0.54</v>
      </c>
      <c r="L19" s="200">
        <f>G19-I19</f>
        <v>5.25</v>
      </c>
      <c r="M19" s="200"/>
      <c r="N19" s="216"/>
      <c r="O19" s="200"/>
      <c r="P19" s="200">
        <f>I19*K19</f>
        <v>1.3662000000000001</v>
      </c>
      <c r="Q19" s="200"/>
      <c r="R19" s="200">
        <f>(L19-G17)*0.9</f>
        <v>-7.2000000000000064E-2</v>
      </c>
      <c r="S19" s="216"/>
      <c r="T19" s="202"/>
      <c r="U19" s="202"/>
      <c r="V19" s="210"/>
      <c r="W19" s="202"/>
    </row>
    <row r="20" spans="1:23" ht="15">
      <c r="A20" s="197">
        <v>44084</v>
      </c>
      <c r="B20" s="198" t="s">
        <v>72</v>
      </c>
      <c r="C20" s="204" t="s">
        <v>66</v>
      </c>
      <c r="D20" s="205" t="s">
        <v>53</v>
      </c>
      <c r="E20" s="199">
        <v>6.1</v>
      </c>
      <c r="F20" s="199">
        <f>E20-G20</f>
        <v>3.53</v>
      </c>
      <c r="G20" s="214">
        <v>2.57</v>
      </c>
      <c r="H20" s="207"/>
      <c r="I20" s="200"/>
      <c r="J20" s="200"/>
      <c r="K20" s="212"/>
      <c r="L20" s="200"/>
      <c r="M20" s="200"/>
      <c r="N20" s="216"/>
      <c r="O20" s="200">
        <f>Q20-P19</f>
        <v>-3.7782000000000004</v>
      </c>
      <c r="P20" s="200"/>
      <c r="Q20" s="200">
        <f>(G20-L19)*0.9</f>
        <v>-2.4120000000000004</v>
      </c>
      <c r="R20" s="200"/>
      <c r="S20" s="216"/>
      <c r="T20" s="202"/>
      <c r="U20" s="202"/>
      <c r="V20" s="210"/>
      <c r="W20" s="202" t="s">
        <v>88</v>
      </c>
    </row>
    <row r="21" spans="1:23" ht="15">
      <c r="A21" s="197">
        <v>44307</v>
      </c>
      <c r="B21" s="198" t="s">
        <v>93</v>
      </c>
      <c r="C21" s="204" t="s">
        <v>66</v>
      </c>
      <c r="D21" s="205" t="s">
        <v>52</v>
      </c>
      <c r="E21" s="199">
        <v>6.1</v>
      </c>
      <c r="F21" s="199">
        <v>0.88</v>
      </c>
      <c r="G21" s="214">
        <f>E21-F21</f>
        <v>5.22</v>
      </c>
      <c r="H21" s="207">
        <f>G21-G20</f>
        <v>2.65</v>
      </c>
      <c r="I21" s="200"/>
      <c r="J21" s="200"/>
      <c r="K21" s="212"/>
      <c r="L21" s="200"/>
      <c r="M21" s="200"/>
      <c r="N21" s="216"/>
      <c r="O21" s="200"/>
      <c r="P21" s="200"/>
      <c r="Q21" s="200"/>
      <c r="R21" s="200"/>
      <c r="S21" s="216"/>
      <c r="T21" s="202"/>
      <c r="U21" s="202"/>
      <c r="V21" s="210"/>
      <c r="W21" s="202"/>
    </row>
    <row r="22" spans="1:23" ht="15">
      <c r="A22" s="197">
        <v>44332</v>
      </c>
      <c r="B22" s="198" t="s">
        <v>93</v>
      </c>
      <c r="C22" s="204" t="s">
        <v>66</v>
      </c>
      <c r="D22" s="205" t="s">
        <v>52</v>
      </c>
      <c r="E22" s="199">
        <v>6.1</v>
      </c>
      <c r="F22" s="199">
        <v>1.1100000000000001</v>
      </c>
      <c r="G22" s="214">
        <f>E22-F22</f>
        <v>4.9899999999999993</v>
      </c>
      <c r="H22" s="207">
        <f>G22-G21</f>
        <v>-0.23000000000000043</v>
      </c>
      <c r="I22" s="200">
        <v>2.84</v>
      </c>
      <c r="J22" s="200">
        <f>AVERAGE(2.66,2.77,2.79,2.71)</f>
        <v>2.7324999999999999</v>
      </c>
      <c r="K22" s="212"/>
      <c r="L22" s="200">
        <f>G22-I22</f>
        <v>2.1499999999999995</v>
      </c>
      <c r="M22" s="200"/>
      <c r="N22" s="216"/>
      <c r="O22" s="200"/>
      <c r="P22" s="200"/>
      <c r="Q22" s="200"/>
      <c r="R22" s="200"/>
      <c r="S22" s="216"/>
      <c r="T22" s="202"/>
      <c r="U22" s="202"/>
      <c r="V22" s="210"/>
      <c r="W22" s="202"/>
    </row>
    <row r="23" spans="1:23" ht="15">
      <c r="A23" s="197"/>
      <c r="B23" s="198"/>
      <c r="C23" s="204"/>
      <c r="D23" s="205"/>
      <c r="E23" s="199"/>
      <c r="F23" s="199"/>
      <c r="G23" s="214"/>
      <c r="H23" s="207"/>
      <c r="I23" s="200"/>
      <c r="J23" s="200"/>
      <c r="K23" s="212"/>
      <c r="L23" s="200"/>
      <c r="M23" s="200"/>
      <c r="N23" s="216"/>
      <c r="O23" s="200"/>
      <c r="P23" s="200"/>
      <c r="Q23" s="200"/>
      <c r="R23" s="200"/>
      <c r="S23" s="216"/>
      <c r="T23" s="202"/>
      <c r="U23" s="202"/>
      <c r="V23" s="210"/>
      <c r="W23" s="202"/>
    </row>
    <row r="24" spans="1:23" ht="15">
      <c r="C24" s="176"/>
      <c r="D24" s="177"/>
      <c r="G24" s="4"/>
      <c r="H24" s="215"/>
      <c r="K24" s="176"/>
      <c r="N24" s="4"/>
      <c r="O24" s="3"/>
      <c r="P24" s="3"/>
      <c r="R24" s="3"/>
      <c r="S24" s="4"/>
      <c r="V24" s="4"/>
    </row>
    <row r="25" spans="1:23" ht="12.6" customHeight="1">
      <c r="A25" s="271">
        <v>43960</v>
      </c>
      <c r="B25" s="272" t="s">
        <v>71</v>
      </c>
      <c r="C25" s="274" t="s">
        <v>73</v>
      </c>
      <c r="D25" s="275" t="s">
        <v>52</v>
      </c>
      <c r="E25" s="273">
        <v>12.2</v>
      </c>
      <c r="F25" s="272">
        <v>0.22</v>
      </c>
      <c r="G25" s="277">
        <f>E25-F25</f>
        <v>11.979999999999999</v>
      </c>
      <c r="H25" s="280"/>
      <c r="I25" s="273">
        <v>2.93</v>
      </c>
      <c r="J25" s="273">
        <v>2.74</v>
      </c>
      <c r="K25" s="276">
        <v>0.54</v>
      </c>
      <c r="L25" s="273">
        <f>G25-I25</f>
        <v>9.0499999999999989</v>
      </c>
      <c r="M25" s="272"/>
      <c r="N25" s="278"/>
      <c r="O25" s="273"/>
      <c r="P25" s="273">
        <f>I25*K25</f>
        <v>1.5822000000000003</v>
      </c>
      <c r="Q25" s="273"/>
      <c r="R25" s="273"/>
      <c r="S25" s="278"/>
      <c r="T25" s="270"/>
      <c r="U25" s="270"/>
      <c r="V25" s="279"/>
      <c r="W25" s="270"/>
    </row>
    <row r="26" spans="1:23" ht="15">
      <c r="A26" s="271">
        <v>44084</v>
      </c>
      <c r="B26" s="272" t="s">
        <v>72</v>
      </c>
      <c r="C26" s="274" t="s">
        <v>73</v>
      </c>
      <c r="D26" s="275" t="s">
        <v>53</v>
      </c>
      <c r="E26" s="273">
        <v>9.15</v>
      </c>
      <c r="F26" s="273">
        <f>E26-G26</f>
        <v>2.6800000000000006</v>
      </c>
      <c r="G26" s="278">
        <v>6.47</v>
      </c>
      <c r="H26" s="280"/>
      <c r="I26" s="273"/>
      <c r="J26" s="272"/>
      <c r="K26" s="274"/>
      <c r="L26" s="272"/>
      <c r="M26" s="272"/>
      <c r="N26" s="278"/>
      <c r="O26" s="273">
        <f>Q26-P25</f>
        <v>-3.9041999999999994</v>
      </c>
      <c r="P26" s="273"/>
      <c r="Q26" s="273">
        <f>(G26-L25)*0.9</f>
        <v>-2.3219999999999992</v>
      </c>
      <c r="R26" s="273"/>
      <c r="S26" s="278"/>
      <c r="T26" s="270"/>
      <c r="U26" s="270"/>
      <c r="V26" s="279"/>
      <c r="W26" s="270" t="s">
        <v>85</v>
      </c>
    </row>
    <row r="27" spans="1:23" ht="15">
      <c r="A27" s="271">
        <v>44084</v>
      </c>
      <c r="B27" s="272" t="s">
        <v>72</v>
      </c>
      <c r="C27" s="274" t="s">
        <v>73</v>
      </c>
      <c r="D27" s="275" t="s">
        <v>53</v>
      </c>
      <c r="E27" s="273">
        <v>10.5</v>
      </c>
      <c r="F27" s="273">
        <f>E27-G27</f>
        <v>4.03</v>
      </c>
      <c r="G27" s="278">
        <v>6.47</v>
      </c>
      <c r="H27" s="280"/>
      <c r="I27" s="273"/>
      <c r="J27" s="272"/>
      <c r="K27" s="274"/>
      <c r="L27" s="272"/>
      <c r="M27" s="272"/>
      <c r="N27" s="278"/>
      <c r="O27" s="272"/>
      <c r="P27" s="272"/>
      <c r="Q27" s="273"/>
      <c r="R27" s="272"/>
      <c r="S27" s="278"/>
      <c r="T27" s="270"/>
      <c r="U27" s="270"/>
      <c r="V27" s="279"/>
      <c r="W27" s="270" t="s">
        <v>86</v>
      </c>
    </row>
    <row r="28" spans="1:23" s="137" customFormat="1" ht="15">
      <c r="A28" s="271">
        <v>44185</v>
      </c>
      <c r="B28" s="272" t="s">
        <v>71</v>
      </c>
      <c r="C28" s="274" t="s">
        <v>73</v>
      </c>
      <c r="D28" s="275" t="s">
        <v>52</v>
      </c>
      <c r="E28" s="273">
        <v>9.15</v>
      </c>
      <c r="F28" s="272">
        <v>1.38</v>
      </c>
      <c r="G28" s="277">
        <f>E28-F28</f>
        <v>7.7700000000000005</v>
      </c>
      <c r="H28" s="280"/>
      <c r="I28" s="273"/>
      <c r="J28" s="272">
        <f>G28-G27</f>
        <v>1.3000000000000007</v>
      </c>
      <c r="K28" s="274"/>
      <c r="L28" s="272"/>
      <c r="M28" s="272"/>
      <c r="N28" s="278"/>
      <c r="O28" s="272"/>
      <c r="P28" s="272"/>
      <c r="Q28" s="273"/>
      <c r="R28" s="272"/>
      <c r="S28" s="278"/>
      <c r="T28" s="272"/>
      <c r="U28" s="272"/>
      <c r="V28" s="278"/>
      <c r="W28" s="272"/>
    </row>
    <row r="29" spans="1:23" s="137" customFormat="1" ht="15">
      <c r="A29" s="271">
        <v>44185</v>
      </c>
      <c r="B29" s="272" t="s">
        <v>71</v>
      </c>
      <c r="C29" s="272" t="s">
        <v>73</v>
      </c>
      <c r="D29" s="275" t="s">
        <v>52</v>
      </c>
      <c r="E29" s="273">
        <v>12.2</v>
      </c>
      <c r="F29" s="272">
        <f>E29-G29</f>
        <v>4.4299999999999988</v>
      </c>
      <c r="G29" s="277">
        <f>G28</f>
        <v>7.7700000000000005</v>
      </c>
      <c r="H29" s="280"/>
      <c r="I29" s="273"/>
      <c r="J29" s="272"/>
      <c r="K29" s="274"/>
      <c r="L29" s="272"/>
      <c r="M29" s="272"/>
      <c r="N29" s="278"/>
      <c r="O29" s="272"/>
      <c r="P29" s="272"/>
      <c r="Q29" s="273"/>
      <c r="R29" s="272"/>
      <c r="S29" s="278"/>
      <c r="T29" s="272"/>
      <c r="U29" s="272"/>
      <c r="V29" s="278"/>
      <c r="W29" s="272"/>
    </row>
    <row r="30" spans="1:23" s="137" customFormat="1" ht="15">
      <c r="A30" s="271">
        <v>44221</v>
      </c>
      <c r="B30" s="272" t="s">
        <v>89</v>
      </c>
      <c r="C30" s="272" t="s">
        <v>73</v>
      </c>
      <c r="D30" s="275" t="s">
        <v>52</v>
      </c>
      <c r="E30" s="273">
        <v>12.2</v>
      </c>
      <c r="F30" s="272">
        <v>2.94</v>
      </c>
      <c r="G30" s="277">
        <f t="shared" ref="G30:G35" si="0">E30-F30</f>
        <v>9.26</v>
      </c>
      <c r="H30" s="280"/>
      <c r="I30" s="273"/>
      <c r="J30" s="272"/>
      <c r="K30" s="274"/>
      <c r="L30" s="272"/>
      <c r="M30" s="272"/>
      <c r="N30" s="278"/>
      <c r="O30" s="272"/>
      <c r="P30" s="272"/>
      <c r="Q30" s="273"/>
      <c r="R30" s="272"/>
      <c r="S30" s="278"/>
      <c r="T30" s="272"/>
      <c r="U30" s="272"/>
      <c r="V30" s="278"/>
      <c r="W30" s="272"/>
    </row>
    <row r="31" spans="1:23" s="137" customFormat="1" ht="15">
      <c r="A31" s="271">
        <v>44307</v>
      </c>
      <c r="B31" s="272" t="s">
        <v>93</v>
      </c>
      <c r="C31" s="274" t="s">
        <v>73</v>
      </c>
      <c r="D31" s="274" t="s">
        <v>52</v>
      </c>
      <c r="E31" s="273">
        <v>12.2</v>
      </c>
      <c r="F31" s="272">
        <v>3.05</v>
      </c>
      <c r="G31" s="277">
        <f t="shared" si="0"/>
        <v>9.1499999999999986</v>
      </c>
      <c r="H31" s="280"/>
      <c r="I31" s="273"/>
      <c r="J31" s="272"/>
      <c r="K31" s="274"/>
      <c r="L31" s="272"/>
      <c r="M31" s="272"/>
      <c r="N31" s="278"/>
      <c r="O31" s="272"/>
      <c r="P31" s="272"/>
      <c r="Q31" s="273"/>
      <c r="R31" s="272"/>
      <c r="S31" s="278"/>
      <c r="T31" s="272"/>
      <c r="U31" s="272"/>
      <c r="V31" s="278"/>
      <c r="W31" s="272"/>
    </row>
    <row r="32" spans="1:23" s="137" customFormat="1" ht="15">
      <c r="A32" s="271">
        <v>44307</v>
      </c>
      <c r="B32" s="272" t="s">
        <v>93</v>
      </c>
      <c r="C32" s="274" t="s">
        <v>73</v>
      </c>
      <c r="D32" s="274" t="s">
        <v>52</v>
      </c>
      <c r="E32" s="273">
        <v>9.15</v>
      </c>
      <c r="F32" s="272">
        <v>0</v>
      </c>
      <c r="G32" s="277">
        <f t="shared" si="0"/>
        <v>9.15</v>
      </c>
      <c r="H32" s="385">
        <f>G32-G27</f>
        <v>2.6800000000000006</v>
      </c>
      <c r="I32" s="273">
        <f>G32-L33</f>
        <v>3.01</v>
      </c>
      <c r="J32" s="272">
        <v>2.79</v>
      </c>
      <c r="K32" s="274">
        <v>0.47</v>
      </c>
      <c r="L32" s="273">
        <f>L33</f>
        <v>6.1400000000000006</v>
      </c>
      <c r="M32" s="272"/>
      <c r="N32" s="278"/>
      <c r="O32" s="272"/>
      <c r="P32" s="272">
        <f>(J32)*K32</f>
        <v>1.3112999999999999</v>
      </c>
      <c r="Q32" s="273"/>
      <c r="R32" s="272">
        <f>(H32-I32)*0.9</f>
        <v>-0.29699999999999926</v>
      </c>
      <c r="S32" s="278"/>
      <c r="T32" s="272">
        <v>394978.57199999999</v>
      </c>
      <c r="U32" s="272">
        <v>6697927.8849999998</v>
      </c>
      <c r="V32" s="278">
        <v>1057.921</v>
      </c>
      <c r="W32" s="272"/>
    </row>
    <row r="33" spans="1:23" s="137" customFormat="1" ht="15">
      <c r="A33" s="271">
        <v>44309</v>
      </c>
      <c r="B33" s="272" t="s">
        <v>93</v>
      </c>
      <c r="C33" s="274" t="s">
        <v>73</v>
      </c>
      <c r="D33" s="274" t="s">
        <v>52</v>
      </c>
      <c r="E33" s="273">
        <v>9.15</v>
      </c>
      <c r="F33" s="272">
        <v>0.03</v>
      </c>
      <c r="G33" s="277">
        <f t="shared" si="0"/>
        <v>9.120000000000001</v>
      </c>
      <c r="H33" s="385">
        <f>G33-G32</f>
        <v>-2.9999999999999361E-2</v>
      </c>
      <c r="I33" s="273">
        <f>G33-L33</f>
        <v>2.9800000000000004</v>
      </c>
      <c r="J33" s="273">
        <f>J32+H33</f>
        <v>2.7600000000000007</v>
      </c>
      <c r="K33" s="276">
        <f>J32*K32/J33</f>
        <v>0.47510869565217378</v>
      </c>
      <c r="L33" s="273">
        <f>L34</f>
        <v>6.1400000000000006</v>
      </c>
      <c r="M33" s="272"/>
      <c r="N33" s="278"/>
      <c r="O33" s="272">
        <f>Q33-P32</f>
        <v>-2.8862999999999999</v>
      </c>
      <c r="P33" s="272"/>
      <c r="Q33" s="273">
        <f>0.9*(G35-L34)</f>
        <v>-1.575</v>
      </c>
      <c r="R33" s="272"/>
      <c r="S33" s="278"/>
      <c r="T33" s="272">
        <v>394986.15500000003</v>
      </c>
      <c r="U33" s="272">
        <v>6697910.142</v>
      </c>
      <c r="V33" s="278">
        <v>1052.2460000000001</v>
      </c>
      <c r="W33" s="272"/>
    </row>
    <row r="34" spans="1:23" s="137" customFormat="1" ht="15">
      <c r="A34" s="271">
        <v>44332</v>
      </c>
      <c r="B34" s="272" t="s">
        <v>93</v>
      </c>
      <c r="C34" s="274" t="s">
        <v>73</v>
      </c>
      <c r="D34" s="274" t="s">
        <v>52</v>
      </c>
      <c r="E34" s="273">
        <v>9.15</v>
      </c>
      <c r="F34" s="272">
        <v>0.19</v>
      </c>
      <c r="G34" s="277">
        <f t="shared" si="0"/>
        <v>8.9600000000000009</v>
      </c>
      <c r="H34" s="385">
        <f>G34-G33</f>
        <v>-0.16000000000000014</v>
      </c>
      <c r="I34" s="273">
        <f>AVERAGE(2.9,2.94,2.78,2.66)</f>
        <v>2.82</v>
      </c>
      <c r="J34" s="273">
        <f>J33+H34</f>
        <v>2.6000000000000005</v>
      </c>
      <c r="K34" s="276"/>
      <c r="L34" s="273">
        <f>G34-I34</f>
        <v>6.1400000000000006</v>
      </c>
      <c r="M34" s="272"/>
      <c r="N34" s="278"/>
      <c r="O34" s="272"/>
      <c r="P34" s="272"/>
      <c r="Q34" s="273"/>
      <c r="R34" s="272"/>
      <c r="S34" s="278"/>
      <c r="T34" s="272"/>
      <c r="U34" s="272"/>
      <c r="V34" s="278"/>
      <c r="W34" s="272"/>
    </row>
    <row r="35" spans="1:23" s="137" customFormat="1" ht="15">
      <c r="A35" s="271">
        <v>44435</v>
      </c>
      <c r="B35" s="272" t="s">
        <v>104</v>
      </c>
      <c r="C35" s="274" t="s">
        <v>73</v>
      </c>
      <c r="D35" s="274" t="s">
        <v>53</v>
      </c>
      <c r="E35" s="273">
        <v>9.15</v>
      </c>
      <c r="F35" s="272">
        <v>4.76</v>
      </c>
      <c r="G35" s="277">
        <f t="shared" si="0"/>
        <v>4.3900000000000006</v>
      </c>
      <c r="H35" s="385">
        <f>G35-G34</f>
        <v>-4.57</v>
      </c>
      <c r="I35" s="273"/>
      <c r="J35" s="273"/>
      <c r="K35" s="276"/>
      <c r="L35" s="273"/>
      <c r="M35" s="272"/>
      <c r="N35" s="278"/>
      <c r="O35" s="272"/>
      <c r="P35" s="272"/>
      <c r="Q35" s="273"/>
      <c r="R35" s="272"/>
      <c r="S35" s="278"/>
      <c r="T35" s="272"/>
      <c r="U35" s="272"/>
      <c r="V35" s="278"/>
      <c r="W35" s="272"/>
    </row>
    <row r="36" spans="1:23" s="137" customFormat="1" ht="15">
      <c r="A36" s="271">
        <v>44509</v>
      </c>
      <c r="B36" s="272" t="s">
        <v>93</v>
      </c>
      <c r="C36" s="274" t="s">
        <v>73</v>
      </c>
      <c r="D36" s="274" t="s">
        <v>52</v>
      </c>
      <c r="E36" s="273">
        <v>9.15</v>
      </c>
      <c r="F36" s="272">
        <v>3.15</v>
      </c>
      <c r="G36" s="277">
        <f>E36-F36</f>
        <v>6</v>
      </c>
      <c r="H36" s="385">
        <f>G36-G35</f>
        <v>1.6099999999999994</v>
      </c>
      <c r="I36" s="273">
        <f>AVERAGE(2.11,2.45,2.15,2.05)</f>
        <v>2.1900000000000004</v>
      </c>
      <c r="J36" s="273"/>
      <c r="K36" s="276"/>
      <c r="L36" s="273">
        <f>G36-I36</f>
        <v>3.8099999999999996</v>
      </c>
      <c r="M36" s="272"/>
      <c r="N36" s="278"/>
      <c r="O36" s="272"/>
      <c r="P36" s="272"/>
      <c r="Q36" s="273"/>
      <c r="R36" s="272">
        <f>0.9*(L36-G35)</f>
        <v>-0.52200000000000091</v>
      </c>
      <c r="S36" s="278"/>
      <c r="T36" s="272"/>
      <c r="U36" s="272"/>
      <c r="V36" s="278"/>
      <c r="W36" s="272"/>
    </row>
    <row r="37" spans="1:23" s="137" customFormat="1" ht="15">
      <c r="A37" s="271">
        <v>44821</v>
      </c>
      <c r="B37" s="272" t="s">
        <v>109</v>
      </c>
      <c r="C37" s="274" t="s">
        <v>73</v>
      </c>
      <c r="D37" s="274" t="s">
        <v>53</v>
      </c>
      <c r="E37" s="273">
        <v>3.05</v>
      </c>
      <c r="F37" s="272">
        <v>0.84</v>
      </c>
      <c r="G37" s="277">
        <f>E37-F37</f>
        <v>2.21</v>
      </c>
      <c r="H37" s="385"/>
      <c r="I37" s="273"/>
      <c r="J37" s="273"/>
      <c r="K37" s="276"/>
      <c r="L37" s="273"/>
      <c r="M37" s="272"/>
      <c r="N37" s="278"/>
      <c r="O37" s="272"/>
      <c r="P37" s="272"/>
      <c r="Q37" s="273">
        <f>(G37-L36)*0.9</f>
        <v>-1.4399999999999997</v>
      </c>
      <c r="R37" s="272"/>
      <c r="S37" s="278"/>
      <c r="T37" s="272"/>
      <c r="U37" s="272"/>
      <c r="V37" s="278"/>
      <c r="W37" s="272"/>
    </row>
    <row r="38" spans="1:23" s="137" customFormat="1" ht="15">
      <c r="A38" s="271">
        <v>44821</v>
      </c>
      <c r="B38" s="272" t="s">
        <v>109</v>
      </c>
      <c r="C38" s="274" t="s">
        <v>73</v>
      </c>
      <c r="D38" s="274" t="s">
        <v>53</v>
      </c>
      <c r="E38" s="273">
        <v>3.05</v>
      </c>
      <c r="F38" s="272">
        <v>0.84</v>
      </c>
      <c r="G38" s="277">
        <f>E38-F38</f>
        <v>2.21</v>
      </c>
      <c r="H38" s="385"/>
      <c r="I38" s="273"/>
      <c r="J38" s="273"/>
      <c r="K38" s="276"/>
      <c r="L38" s="273"/>
      <c r="M38" s="272"/>
      <c r="N38" s="278"/>
      <c r="O38" s="272"/>
      <c r="P38" s="272"/>
      <c r="Q38" s="273"/>
      <c r="R38" s="272"/>
      <c r="S38" s="278"/>
      <c r="T38" s="272"/>
      <c r="U38" s="272"/>
      <c r="V38" s="278"/>
      <c r="W38" s="272"/>
    </row>
    <row r="39" spans="1:23" s="137" customFormat="1" ht="15">
      <c r="A39" s="271">
        <v>45053</v>
      </c>
      <c r="B39" s="272" t="s">
        <v>122</v>
      </c>
      <c r="C39" s="274" t="s">
        <v>73</v>
      </c>
      <c r="D39" s="274" t="s">
        <v>121</v>
      </c>
      <c r="E39" s="273">
        <v>6.1</v>
      </c>
      <c r="F39" s="272">
        <v>1.37</v>
      </c>
      <c r="G39" s="277">
        <f>E39-F39</f>
        <v>4.7299999999999995</v>
      </c>
      <c r="H39" s="385">
        <f>G39-G38</f>
        <v>2.5199999999999996</v>
      </c>
      <c r="I39" s="273"/>
      <c r="J39" s="272">
        <f>AVERAGE(2.66,2.72,2.87,2.91)</f>
        <v>2.79</v>
      </c>
      <c r="K39" s="276">
        <f>'20230506_PitCoreB'!I4</f>
        <v>0.43116748958812579</v>
      </c>
      <c r="L39" s="273">
        <f>G39-J39</f>
        <v>1.9399999999999995</v>
      </c>
      <c r="M39" s="272"/>
      <c r="N39" s="278"/>
      <c r="O39" s="272"/>
      <c r="P39" s="273">
        <f>J39*K39</f>
        <v>1.202957295950871</v>
      </c>
      <c r="Q39" s="273"/>
      <c r="R39" s="273">
        <f>(L39-G38)*0.9</f>
        <v>-0.24300000000000041</v>
      </c>
      <c r="S39" s="278"/>
      <c r="T39" s="272">
        <v>394987.91899999999</v>
      </c>
      <c r="U39" s="272">
        <v>6697866.0089999996</v>
      </c>
      <c r="V39" s="278">
        <v>1051.473</v>
      </c>
      <c r="W39" s="272"/>
    </row>
    <row r="40" spans="1:23" s="143" customFormat="1" ht="15">
      <c r="A40" s="407"/>
      <c r="C40" s="413"/>
      <c r="D40" s="413"/>
      <c r="E40" s="408"/>
      <c r="G40" s="440"/>
      <c r="H40" s="421"/>
      <c r="I40" s="408"/>
      <c r="K40" s="413"/>
      <c r="N40" s="419"/>
      <c r="Q40" s="408"/>
      <c r="S40" s="419"/>
    </row>
    <row r="41" spans="1:23" s="445" customFormat="1" ht="15">
      <c r="A41" s="444">
        <v>44307</v>
      </c>
      <c r="B41" s="445" t="s">
        <v>102</v>
      </c>
      <c r="C41" s="446" t="s">
        <v>101</v>
      </c>
      <c r="D41" s="446" t="s">
        <v>52</v>
      </c>
      <c r="E41" s="447">
        <v>9.15</v>
      </c>
      <c r="F41" s="445">
        <v>-3.05</v>
      </c>
      <c r="G41" s="448">
        <f>E41-F41</f>
        <v>12.2</v>
      </c>
      <c r="H41" s="449"/>
      <c r="I41" s="447"/>
      <c r="K41" s="446">
        <v>0.47</v>
      </c>
      <c r="L41" s="447">
        <f>G41-J41</f>
        <v>12.2</v>
      </c>
      <c r="N41" s="450"/>
      <c r="O41" s="447"/>
      <c r="P41" s="447"/>
      <c r="Q41" s="447"/>
      <c r="R41" s="447"/>
      <c r="S41" s="448"/>
      <c r="T41" s="445">
        <v>394946.29599999997</v>
      </c>
      <c r="U41" s="445">
        <v>6697968.8150000004</v>
      </c>
      <c r="V41" s="445">
        <v>1060.9559999999999</v>
      </c>
    </row>
    <row r="42" spans="1:23" s="445" customFormat="1" ht="15">
      <c r="A42" s="444">
        <v>44435</v>
      </c>
      <c r="B42" s="445" t="s">
        <v>104</v>
      </c>
      <c r="C42" s="446" t="s">
        <v>101</v>
      </c>
      <c r="D42" s="446" t="s">
        <v>53</v>
      </c>
      <c r="E42" s="447">
        <v>9.15</v>
      </c>
      <c r="F42" s="445">
        <v>1.89</v>
      </c>
      <c r="G42" s="448">
        <f>E42-F42</f>
        <v>7.2600000000000007</v>
      </c>
      <c r="H42" s="456">
        <f>G42-G41</f>
        <v>-4.9399999999999986</v>
      </c>
      <c r="I42" s="447">
        <v>0</v>
      </c>
      <c r="J42" s="445">
        <v>0</v>
      </c>
      <c r="K42" s="446"/>
      <c r="N42" s="450"/>
      <c r="O42" s="447"/>
      <c r="P42" s="447"/>
      <c r="Q42" s="447"/>
      <c r="R42" s="447"/>
      <c r="S42" s="448"/>
      <c r="T42" s="445">
        <v>394954.51899999997</v>
      </c>
      <c r="U42" s="445">
        <v>6697950.1509999996</v>
      </c>
      <c r="V42" s="445">
        <v>1055.124</v>
      </c>
    </row>
    <row r="43" spans="1:23" s="445" customFormat="1" ht="15">
      <c r="A43" s="444">
        <v>44435</v>
      </c>
      <c r="B43" s="445" t="s">
        <v>104</v>
      </c>
      <c r="C43" s="446" t="s">
        <v>101</v>
      </c>
      <c r="D43" s="446" t="s">
        <v>53</v>
      </c>
      <c r="E43" s="447">
        <v>11.5</v>
      </c>
      <c r="F43" s="447">
        <f>E43-G43</f>
        <v>4.2399999999999993</v>
      </c>
      <c r="G43" s="448">
        <f>G42</f>
        <v>7.2600000000000007</v>
      </c>
      <c r="H43" s="449"/>
      <c r="I43" s="447"/>
      <c r="K43" s="446"/>
      <c r="N43" s="450"/>
      <c r="O43" s="447"/>
      <c r="P43" s="447"/>
      <c r="Q43" s="447"/>
      <c r="R43" s="447"/>
      <c r="S43" s="448">
        <v>0</v>
      </c>
    </row>
    <row r="44" spans="1:23" s="445" customFormat="1" ht="15">
      <c r="A44" s="444">
        <v>44509</v>
      </c>
      <c r="B44" s="445" t="s">
        <v>93</v>
      </c>
      <c r="C44" s="446" t="s">
        <v>101</v>
      </c>
      <c r="D44" s="446" t="s">
        <v>52</v>
      </c>
      <c r="E44" s="447">
        <v>11.5</v>
      </c>
      <c r="F44" s="447">
        <v>2.36</v>
      </c>
      <c r="G44" s="448">
        <f>E44-F44</f>
        <v>9.14</v>
      </c>
      <c r="H44" s="456">
        <f>G44-G43</f>
        <v>1.88</v>
      </c>
      <c r="I44" s="447">
        <f>AVERAGE(2.45,2.54,2.34,2.16)</f>
        <v>2.3725000000000001</v>
      </c>
      <c r="K44" s="446"/>
      <c r="L44" s="447">
        <f>G44-I44</f>
        <v>6.7675000000000001</v>
      </c>
      <c r="N44" s="450"/>
      <c r="O44" s="447"/>
      <c r="P44" s="447"/>
      <c r="Q44" s="447"/>
      <c r="R44" s="447">
        <f>(L44-G43)*0.9</f>
        <v>-0.44325000000000053</v>
      </c>
      <c r="S44" s="448"/>
    </row>
    <row r="45" spans="1:23" s="445" customFormat="1" ht="15">
      <c r="A45" s="444">
        <v>44679</v>
      </c>
      <c r="B45" s="445" t="s">
        <v>113</v>
      </c>
      <c r="C45" s="446" t="s">
        <v>101</v>
      </c>
      <c r="D45" s="446" t="s">
        <v>52</v>
      </c>
      <c r="E45" s="447">
        <v>11.5</v>
      </c>
      <c r="F45" s="445">
        <v>0.43</v>
      </c>
      <c r="G45" s="448">
        <f>E45-F45</f>
        <v>11.07</v>
      </c>
      <c r="H45" s="449"/>
      <c r="I45" s="447">
        <v>4.05</v>
      </c>
      <c r="J45" s="447">
        <v>3.95</v>
      </c>
      <c r="K45" s="488">
        <v>0.46</v>
      </c>
      <c r="L45" s="447">
        <f>G45-I45</f>
        <v>7.0200000000000005</v>
      </c>
      <c r="N45" s="450"/>
      <c r="O45" s="447"/>
      <c r="P45" s="447">
        <f>I45*K45</f>
        <v>1.863</v>
      </c>
      <c r="Q45" s="447"/>
      <c r="R45" s="447">
        <f>(L45-G43)*0.9</f>
        <v>-0.21600000000000019</v>
      </c>
      <c r="S45" s="448"/>
    </row>
    <row r="46" spans="1:23" s="445" customFormat="1" ht="15">
      <c r="A46" s="444">
        <v>44821</v>
      </c>
      <c r="B46" s="445" t="s">
        <v>109</v>
      </c>
      <c r="C46" s="445" t="s">
        <v>101</v>
      </c>
      <c r="D46" s="446" t="s">
        <v>53</v>
      </c>
      <c r="E46" s="447">
        <v>6.1</v>
      </c>
      <c r="F46" s="445">
        <v>0.9</v>
      </c>
      <c r="G46" s="447">
        <f>E46-F46</f>
        <v>5.1999999999999993</v>
      </c>
      <c r="I46" s="447"/>
      <c r="J46" s="447"/>
      <c r="K46" s="447"/>
      <c r="L46" s="447"/>
      <c r="O46" s="447">
        <f>Q46-P45</f>
        <v>-3.5010000000000012</v>
      </c>
      <c r="P46" s="447"/>
      <c r="Q46" s="447">
        <f>(G46-L45)*0.9</f>
        <v>-1.638000000000001</v>
      </c>
      <c r="R46" s="447"/>
      <c r="S46" s="447">
        <v>0</v>
      </c>
    </row>
    <row r="47" spans="1:23" s="445" customFormat="1" ht="15">
      <c r="A47" s="444">
        <v>44821</v>
      </c>
      <c r="B47" s="445" t="s">
        <v>109</v>
      </c>
      <c r="C47" s="445" t="s">
        <v>101</v>
      </c>
      <c r="D47" s="446" t="s">
        <v>53</v>
      </c>
      <c r="E47" s="447">
        <v>9.15</v>
      </c>
      <c r="F47" s="447">
        <f>E47-G47</f>
        <v>3.95</v>
      </c>
      <c r="G47" s="447">
        <v>5.2</v>
      </c>
      <c r="I47" s="447"/>
      <c r="J47" s="447"/>
      <c r="K47" s="447"/>
      <c r="L47" s="447"/>
      <c r="O47" s="447"/>
      <c r="P47" s="447"/>
      <c r="Q47" s="447"/>
      <c r="R47" s="447"/>
      <c r="S47" s="447"/>
    </row>
    <row r="48" spans="1:23" s="445" customFormat="1" ht="15">
      <c r="A48" s="444">
        <v>45176</v>
      </c>
      <c r="B48" s="445" t="s">
        <v>127</v>
      </c>
      <c r="C48" s="445" t="s">
        <v>101</v>
      </c>
      <c r="D48" s="446" t="s">
        <v>53</v>
      </c>
      <c r="E48" s="447">
        <v>3.05</v>
      </c>
      <c r="F48" s="447">
        <v>0.37</v>
      </c>
      <c r="G48" s="447">
        <f>E48-F48</f>
        <v>2.6799999999999997</v>
      </c>
      <c r="H48" s="447">
        <f>G48-G47</f>
        <v>-2.5200000000000005</v>
      </c>
      <c r="I48" s="447"/>
      <c r="J48" s="447"/>
      <c r="K48" s="447"/>
      <c r="L48" s="447"/>
      <c r="O48" s="447"/>
      <c r="P48" s="447"/>
      <c r="Q48" s="447"/>
      <c r="R48" s="447">
        <f>(H48-H56)*0.9</f>
        <v>-0.17549999999999985</v>
      </c>
      <c r="S48" s="447">
        <v>0</v>
      </c>
    </row>
    <row r="49" spans="1:23" s="445" customFormat="1" ht="15">
      <c r="A49" s="444">
        <v>45176</v>
      </c>
      <c r="B49" s="445" t="s">
        <v>127</v>
      </c>
      <c r="C49" s="445" t="s">
        <v>101</v>
      </c>
      <c r="D49" s="446" t="s">
        <v>53</v>
      </c>
      <c r="E49" s="447">
        <v>3.05</v>
      </c>
      <c r="F49" s="447">
        <v>0.37</v>
      </c>
      <c r="G49" s="447">
        <f>E49-F49</f>
        <v>2.6799999999999997</v>
      </c>
      <c r="I49" s="447"/>
      <c r="J49" s="447"/>
      <c r="K49" s="447"/>
      <c r="L49" s="447"/>
      <c r="O49" s="447"/>
      <c r="P49" s="447"/>
      <c r="Q49" s="447"/>
      <c r="R49" s="447"/>
      <c r="S49" s="447"/>
    </row>
    <row r="50" spans="1:23" thickBot="1">
      <c r="A50" s="100"/>
      <c r="B50" s="100"/>
      <c r="C50" s="100"/>
      <c r="D50" s="384"/>
      <c r="E50" s="101"/>
      <c r="F50" s="101"/>
      <c r="G50" s="100"/>
      <c r="H50" s="100"/>
      <c r="I50" s="101"/>
      <c r="J50" s="100"/>
      <c r="K50" s="100"/>
      <c r="L50" s="100"/>
      <c r="M50" s="100"/>
      <c r="N50" s="100"/>
      <c r="O50" s="101"/>
      <c r="P50" s="101"/>
      <c r="Q50" s="101"/>
      <c r="R50" s="135"/>
      <c r="S50" s="135"/>
      <c r="T50" s="102"/>
      <c r="U50" s="102"/>
    </row>
    <row r="51" spans="1:23" ht="15">
      <c r="A51" s="487">
        <v>44679</v>
      </c>
      <c r="B51" s="484" t="s">
        <v>109</v>
      </c>
      <c r="C51" s="484" t="s">
        <v>112</v>
      </c>
      <c r="D51" s="484" t="s">
        <v>52</v>
      </c>
      <c r="E51" s="485">
        <v>12.2</v>
      </c>
      <c r="F51" s="485">
        <v>0.24</v>
      </c>
      <c r="G51" s="485">
        <f>E51-F51</f>
        <v>11.959999999999999</v>
      </c>
      <c r="H51" s="484"/>
      <c r="I51" s="485">
        <v>3.85</v>
      </c>
      <c r="J51" s="485">
        <v>3.95</v>
      </c>
      <c r="K51" s="485">
        <v>0.46</v>
      </c>
      <c r="L51" s="485">
        <f>G51-I51</f>
        <v>8.11</v>
      </c>
      <c r="M51" s="484"/>
      <c r="N51" s="484"/>
      <c r="O51" s="485"/>
      <c r="P51" s="485">
        <f>I51*K51</f>
        <v>1.7710000000000001</v>
      </c>
      <c r="Q51" s="485"/>
      <c r="R51" s="489"/>
      <c r="S51" s="489"/>
      <c r="T51" s="486"/>
      <c r="U51" s="486"/>
      <c r="V51" s="351"/>
      <c r="W51" s="351"/>
    </row>
    <row r="52" spans="1:23" ht="15">
      <c r="A52" s="487">
        <v>44821</v>
      </c>
      <c r="B52" s="484" t="s">
        <v>109</v>
      </c>
      <c r="C52" s="484" t="s">
        <v>112</v>
      </c>
      <c r="D52" s="484" t="s">
        <v>53</v>
      </c>
      <c r="E52" s="485">
        <v>6.1</v>
      </c>
      <c r="F52" s="485">
        <v>-0.06</v>
      </c>
      <c r="G52" s="485">
        <f>E52-F52</f>
        <v>6.1599999999999993</v>
      </c>
      <c r="H52" s="484"/>
      <c r="I52" s="485"/>
      <c r="J52" s="484"/>
      <c r="K52" s="484"/>
      <c r="L52" s="484"/>
      <c r="M52" s="484"/>
      <c r="N52" s="484"/>
      <c r="O52" s="485">
        <f>Q52-P51</f>
        <v>-3.5260000000000002</v>
      </c>
      <c r="P52" s="485"/>
      <c r="Q52" s="485">
        <f>(G52-L51)*0.9</f>
        <v>-1.7550000000000001</v>
      </c>
      <c r="R52" s="489"/>
      <c r="S52" s="489">
        <v>0</v>
      </c>
      <c r="T52" s="486"/>
      <c r="U52" s="486"/>
      <c r="V52" s="351"/>
      <c r="W52" s="351"/>
    </row>
    <row r="53" spans="1:23" ht="15">
      <c r="A53" s="487">
        <v>44821</v>
      </c>
      <c r="B53" s="484" t="s">
        <v>109</v>
      </c>
      <c r="C53" s="484" t="s">
        <v>112</v>
      </c>
      <c r="D53" s="484" t="s">
        <v>53</v>
      </c>
      <c r="E53" s="485">
        <v>10.45</v>
      </c>
      <c r="F53" s="485">
        <f>E53-G53</f>
        <v>4.2899999999999991</v>
      </c>
      <c r="G53" s="484">
        <v>6.16</v>
      </c>
      <c r="H53" s="484"/>
      <c r="I53" s="485"/>
      <c r="J53" s="484"/>
      <c r="K53" s="484"/>
      <c r="L53" s="484"/>
      <c r="M53" s="484"/>
      <c r="N53" s="484"/>
      <c r="O53" s="485"/>
      <c r="P53" s="485"/>
      <c r="Q53" s="485"/>
      <c r="R53" s="489"/>
      <c r="S53" s="489"/>
      <c r="T53" s="486"/>
      <c r="U53" s="486"/>
      <c r="V53" s="351"/>
      <c r="W53" s="351"/>
    </row>
    <row r="54" spans="1:23" ht="15">
      <c r="A54" s="487">
        <v>45052</v>
      </c>
      <c r="B54" s="484" t="s">
        <v>272</v>
      </c>
      <c r="C54" s="484" t="s">
        <v>112</v>
      </c>
      <c r="D54" s="484" t="s">
        <v>52</v>
      </c>
      <c r="E54" s="485">
        <v>12.2</v>
      </c>
      <c r="F54" s="485">
        <f>E54-G54</f>
        <v>3.4699999999999989</v>
      </c>
      <c r="G54" s="484">
        <v>8.73</v>
      </c>
      <c r="H54" s="484"/>
      <c r="I54" s="485"/>
      <c r="J54" s="485">
        <f>AVERAGE(2.65,2.68,2.67,2.38)</f>
        <v>2.5949999999999998</v>
      </c>
      <c r="K54" s="485">
        <f>K39</f>
        <v>0.43116748958812579</v>
      </c>
      <c r="L54" s="485">
        <f>G54-J54</f>
        <v>6.1350000000000007</v>
      </c>
      <c r="M54" s="484"/>
      <c r="N54" s="484"/>
      <c r="O54" s="485"/>
      <c r="P54" s="485">
        <f>J54*K54</f>
        <v>1.1188796354811863</v>
      </c>
      <c r="Q54" s="485"/>
      <c r="R54" s="489">
        <f>(L54-G53)*0.9</f>
        <v>-2.249999999999952E-2</v>
      </c>
      <c r="S54" s="489"/>
      <c r="T54" s="486">
        <v>394976.75599999999</v>
      </c>
      <c r="U54" s="486">
        <v>6697915.6560000004</v>
      </c>
      <c r="V54" s="351">
        <v>1054.7239999999999</v>
      </c>
      <c r="W54" s="351"/>
    </row>
    <row r="55" spans="1:23" ht="15">
      <c r="A55" s="487">
        <v>45176</v>
      </c>
      <c r="B55" s="484" t="s">
        <v>127</v>
      </c>
      <c r="C55" s="484" t="s">
        <v>112</v>
      </c>
      <c r="D55" s="484" t="s">
        <v>53</v>
      </c>
      <c r="E55" s="485">
        <v>6.1</v>
      </c>
      <c r="F55" s="485">
        <v>2.29</v>
      </c>
      <c r="G55" s="485">
        <f>E55-F55</f>
        <v>3.8099999999999996</v>
      </c>
      <c r="H55" s="484"/>
      <c r="I55" s="485"/>
      <c r="J55" s="485"/>
      <c r="K55" s="485"/>
      <c r="L55" s="485"/>
      <c r="M55" s="484"/>
      <c r="N55" s="484"/>
      <c r="O55" s="485">
        <f>P55-P54</f>
        <v>-1.1188796354811863</v>
      </c>
      <c r="P55" s="485"/>
      <c r="Q55" s="485">
        <f>(G55-L54)*0.9</f>
        <v>-2.0925000000000011</v>
      </c>
      <c r="R55" s="489"/>
      <c r="S55" s="489">
        <v>0</v>
      </c>
      <c r="T55" s="486"/>
      <c r="U55" s="486"/>
      <c r="V55" s="351"/>
      <c r="W55" s="351"/>
    </row>
    <row r="56" spans="1:23" ht="15">
      <c r="A56" s="487">
        <v>45176</v>
      </c>
      <c r="B56" s="484" t="s">
        <v>127</v>
      </c>
      <c r="C56" s="484" t="s">
        <v>112</v>
      </c>
      <c r="D56" s="484" t="s">
        <v>53</v>
      </c>
      <c r="E56" s="485">
        <v>8.1</v>
      </c>
      <c r="F56" s="485">
        <f>E56-G56</f>
        <v>4.2899999999999991</v>
      </c>
      <c r="G56" s="484">
        <v>3.81</v>
      </c>
      <c r="H56" s="485">
        <f>G56-L54</f>
        <v>-2.3250000000000006</v>
      </c>
      <c r="I56" s="485"/>
      <c r="J56" s="485"/>
      <c r="K56" s="485"/>
      <c r="L56" s="485"/>
      <c r="M56" s="484"/>
      <c r="N56" s="484"/>
      <c r="O56" s="485"/>
      <c r="P56" s="485"/>
      <c r="Q56" s="485"/>
      <c r="R56" s="489"/>
      <c r="S56" s="489"/>
      <c r="T56" s="486"/>
      <c r="U56" s="486"/>
      <c r="V56" s="351"/>
      <c r="W56" s="351"/>
    </row>
    <row r="57" spans="1:23" ht="15">
      <c r="A57" s="100"/>
      <c r="B57" s="100"/>
      <c r="C57" s="100"/>
      <c r="D57" s="100"/>
      <c r="E57" s="101"/>
      <c r="F57" s="101"/>
      <c r="G57" s="100"/>
      <c r="H57" s="100"/>
      <c r="I57" s="101"/>
      <c r="J57" s="100"/>
      <c r="K57" s="100"/>
      <c r="L57" s="100"/>
      <c r="M57" s="100"/>
      <c r="N57" s="100"/>
      <c r="O57" s="100"/>
      <c r="P57" s="100"/>
      <c r="Q57" s="101"/>
      <c r="R57" s="102"/>
      <c r="S57" s="102"/>
      <c r="T57" s="102"/>
      <c r="U57" s="102"/>
    </row>
    <row r="58" spans="1:23" s="429" customFormat="1" ht="15">
      <c r="A58" s="576">
        <v>45052</v>
      </c>
      <c r="B58" s="573" t="s">
        <v>127</v>
      </c>
      <c r="C58" s="573" t="s">
        <v>131</v>
      </c>
      <c r="D58" s="573" t="s">
        <v>52</v>
      </c>
      <c r="E58" s="574">
        <v>12.2</v>
      </c>
      <c r="F58" s="574">
        <v>0.62</v>
      </c>
      <c r="G58" s="574">
        <f>E58-F58</f>
        <v>11.58</v>
      </c>
      <c r="H58" s="573"/>
      <c r="I58" s="574"/>
      <c r="J58" s="574">
        <f>AVERAGE(2.76,2.69,2.79,2.79)</f>
        <v>2.7574999999999994</v>
      </c>
      <c r="K58" s="574">
        <f>K39</f>
        <v>0.43116748958812579</v>
      </c>
      <c r="L58" s="574">
        <f>G58-J58</f>
        <v>8.8225000000000016</v>
      </c>
      <c r="M58" s="573"/>
      <c r="N58" s="573"/>
      <c r="O58" s="573"/>
      <c r="P58" s="574">
        <f>J58*K58</f>
        <v>1.1889443525392567</v>
      </c>
      <c r="Q58" s="574"/>
      <c r="R58" s="575"/>
      <c r="S58" s="575"/>
      <c r="T58" s="575">
        <v>394957.91700000002</v>
      </c>
      <c r="U58" s="575">
        <v>6697980.21</v>
      </c>
      <c r="V58" s="429">
        <v>1058.954</v>
      </c>
    </row>
    <row r="59" spans="1:23" s="429" customFormat="1" ht="15">
      <c r="A59" s="576">
        <v>45176</v>
      </c>
      <c r="B59" s="573" t="s">
        <v>127</v>
      </c>
      <c r="C59" s="573" t="s">
        <v>131</v>
      </c>
      <c r="D59" s="573" t="s">
        <v>53</v>
      </c>
      <c r="E59" s="574">
        <v>9.15</v>
      </c>
      <c r="F59" s="574">
        <v>2.4500000000000002</v>
      </c>
      <c r="G59" s="574">
        <f>E59-F59</f>
        <v>6.7</v>
      </c>
      <c r="H59" s="573"/>
      <c r="I59" s="574"/>
      <c r="J59" s="574"/>
      <c r="K59" s="574"/>
      <c r="L59" s="573"/>
      <c r="M59" s="573"/>
      <c r="N59" s="573"/>
      <c r="O59" s="574">
        <f>Q59-P58</f>
        <v>-3.099194352539258</v>
      </c>
      <c r="P59" s="574"/>
      <c r="Q59" s="574">
        <f>(G59-L58)*0.9</f>
        <v>-1.9102500000000013</v>
      </c>
      <c r="R59" s="575"/>
      <c r="S59" s="575">
        <v>0</v>
      </c>
      <c r="T59" s="575"/>
      <c r="U59" s="575"/>
    </row>
    <row r="60" spans="1:23" s="429" customFormat="1" ht="15">
      <c r="A60" s="576">
        <v>45176</v>
      </c>
      <c r="B60" s="573" t="s">
        <v>127</v>
      </c>
      <c r="C60" s="573" t="s">
        <v>131</v>
      </c>
      <c r="D60" s="573" t="s">
        <v>53</v>
      </c>
      <c r="E60" s="574">
        <v>11.15</v>
      </c>
      <c r="F60" s="574">
        <f>E60-G60</f>
        <v>4.45</v>
      </c>
      <c r="G60" s="574">
        <v>6.7</v>
      </c>
      <c r="H60" s="573"/>
      <c r="I60" s="574"/>
      <c r="J60" s="574"/>
      <c r="K60" s="574"/>
      <c r="L60" s="573"/>
      <c r="M60" s="573"/>
      <c r="N60" s="573"/>
      <c r="O60" s="573"/>
      <c r="P60" s="574"/>
      <c r="Q60" s="574"/>
      <c r="R60" s="575"/>
      <c r="S60" s="575"/>
      <c r="T60" s="575"/>
      <c r="U60" s="575"/>
    </row>
    <row r="61" spans="1:23" thickBot="1">
      <c r="A61" s="100"/>
      <c r="B61" s="100"/>
      <c r="C61" s="100"/>
      <c r="D61" s="100"/>
      <c r="E61" s="101"/>
      <c r="F61" s="101"/>
      <c r="G61" s="100"/>
      <c r="H61" s="100"/>
      <c r="I61" s="101"/>
      <c r="J61" s="100"/>
      <c r="K61" s="100"/>
      <c r="L61" s="100"/>
      <c r="M61" s="100"/>
      <c r="N61" s="100"/>
      <c r="O61" s="100"/>
      <c r="P61" s="100"/>
      <c r="Q61" s="101"/>
      <c r="R61" s="102"/>
      <c r="S61" s="102"/>
      <c r="T61" s="102"/>
      <c r="U61" s="102"/>
    </row>
    <row r="62" spans="1:23" ht="14.45" customHeight="1">
      <c r="A62" s="941" t="s">
        <v>37</v>
      </c>
      <c r="B62" s="942"/>
      <c r="C62" s="945" t="s">
        <v>38</v>
      </c>
      <c r="D62" s="946"/>
      <c r="E62" s="184" t="s">
        <v>39</v>
      </c>
      <c r="F62" s="104"/>
      <c r="G62" s="103" t="s">
        <v>40</v>
      </c>
      <c r="H62" s="104"/>
      <c r="I62" s="132" t="s">
        <v>41</v>
      </c>
      <c r="Q62" s="925"/>
      <c r="R62" s="68"/>
      <c r="S62" s="68"/>
      <c r="T62" s="68"/>
      <c r="U62" s="102"/>
    </row>
    <row r="63" spans="1:23" ht="14.45" customHeight="1">
      <c r="A63" s="943"/>
      <c r="B63" s="944"/>
      <c r="C63" s="106" t="s">
        <v>42</v>
      </c>
      <c r="D63" s="106" t="s">
        <v>43</v>
      </c>
      <c r="E63" s="185">
        <f>A53</f>
        <v>44821</v>
      </c>
      <c r="F63" s="108" t="s">
        <v>44</v>
      </c>
      <c r="G63" s="109">
        <f>A58</f>
        <v>45052</v>
      </c>
      <c r="H63" s="108" t="s">
        <v>44</v>
      </c>
      <c r="I63" s="110">
        <f>A60</f>
        <v>45176</v>
      </c>
      <c r="Q63" s="925"/>
      <c r="R63" s="111"/>
      <c r="S63" s="111"/>
      <c r="T63" s="68"/>
      <c r="U63" s="102"/>
    </row>
    <row r="64" spans="1:23" ht="15">
      <c r="A64" s="112"/>
      <c r="B64" s="113" t="s">
        <v>45</v>
      </c>
      <c r="C64" s="114">
        <f>AVERAGE(P39,P54,P58)</f>
        <v>1.1702604279904378</v>
      </c>
      <c r="D64" s="114"/>
      <c r="E64" s="114"/>
      <c r="F64" s="115"/>
      <c r="G64" s="116"/>
      <c r="H64" s="114"/>
      <c r="I64" s="133"/>
      <c r="Q64" s="925"/>
      <c r="R64" s="111"/>
      <c r="S64" s="111"/>
      <c r="T64" s="68"/>
      <c r="U64" s="102"/>
    </row>
    <row r="65" spans="1:21" ht="15">
      <c r="A65" s="112"/>
      <c r="B65" s="113" t="s">
        <v>46</v>
      </c>
      <c r="C65" s="114">
        <f>C66-C64</f>
        <v>-3.1716354279904388</v>
      </c>
      <c r="D65" s="114"/>
      <c r="E65" s="114"/>
      <c r="F65" s="115"/>
      <c r="G65" s="116"/>
      <c r="H65" s="114"/>
      <c r="I65" s="133"/>
      <c r="Q65" s="925"/>
      <c r="R65" s="111"/>
      <c r="S65" s="111"/>
      <c r="T65" s="68"/>
      <c r="U65" s="102"/>
    </row>
    <row r="66" spans="1:21" ht="15">
      <c r="A66" s="112"/>
      <c r="B66" s="113" t="s">
        <v>47</v>
      </c>
      <c r="C66" s="114">
        <f>AVERAGE(Q59,Q55)</f>
        <v>-2.0013750000000012</v>
      </c>
      <c r="D66" s="114"/>
      <c r="E66" s="114"/>
      <c r="F66" s="115"/>
      <c r="G66" s="116"/>
      <c r="H66" s="114"/>
      <c r="I66" s="133"/>
      <c r="Q66" s="925"/>
      <c r="R66" s="111"/>
      <c r="S66" s="111"/>
      <c r="T66" s="68"/>
      <c r="U66" s="102"/>
    </row>
    <row r="67" spans="1:21" ht="15">
      <c r="A67" s="112"/>
      <c r="B67" s="118" t="s">
        <v>48</v>
      </c>
      <c r="C67" s="114">
        <f>0</f>
        <v>0</v>
      </c>
      <c r="D67" s="114"/>
      <c r="E67" s="114"/>
      <c r="F67" s="115"/>
      <c r="G67" s="114"/>
      <c r="H67" s="114"/>
      <c r="I67" s="133"/>
      <c r="Q67" s="925"/>
      <c r="R67" s="111"/>
      <c r="S67" s="111"/>
      <c r="T67" s="68"/>
      <c r="U67" s="102"/>
    </row>
    <row r="68" spans="1:21" ht="15">
      <c r="A68" s="112"/>
      <c r="B68" s="119" t="s">
        <v>49</v>
      </c>
      <c r="C68" s="114">
        <f>AVERAGE(R54,R48)</f>
        <v>-9.8999999999999685E-2</v>
      </c>
      <c r="D68" s="114"/>
      <c r="E68" s="114"/>
      <c r="F68" s="115"/>
      <c r="G68" s="114"/>
      <c r="H68" s="114"/>
      <c r="I68" s="133"/>
      <c r="Q68" s="925"/>
      <c r="R68" s="111"/>
      <c r="S68" s="111"/>
      <c r="T68" s="68"/>
      <c r="U68" s="102"/>
    </row>
    <row r="69" spans="1:21" thickBot="1">
      <c r="A69" s="120"/>
      <c r="B69" s="121" t="s">
        <v>50</v>
      </c>
      <c r="C69" s="122">
        <f>S59</f>
        <v>0</v>
      </c>
      <c r="D69" s="122"/>
      <c r="E69" s="122"/>
      <c r="F69" s="123"/>
      <c r="G69" s="124"/>
      <c r="H69" s="124"/>
      <c r="I69" s="134"/>
      <c r="Q69" s="925"/>
      <c r="R69" s="111"/>
      <c r="S69" s="111"/>
      <c r="T69" s="68"/>
      <c r="U69" s="102"/>
    </row>
    <row r="70" spans="1:21" ht="15">
      <c r="A70" s="102"/>
      <c r="B70" s="102"/>
      <c r="C70" s="102"/>
      <c r="D70" s="102"/>
      <c r="E70" s="135"/>
      <c r="F70" s="102"/>
      <c r="G70" s="102"/>
      <c r="H70" s="102"/>
      <c r="I70" s="135"/>
      <c r="J70" s="102"/>
      <c r="K70" s="102"/>
      <c r="L70" s="102"/>
      <c r="M70" s="102"/>
      <c r="N70" s="102"/>
      <c r="O70" s="102"/>
      <c r="P70" s="102"/>
      <c r="Q70" s="926"/>
      <c r="R70" s="68"/>
      <c r="S70" s="68"/>
      <c r="T70" s="68"/>
      <c r="U70" s="102"/>
    </row>
  </sheetData>
  <mergeCells count="6">
    <mergeCell ref="T1:V1"/>
    <mergeCell ref="T2:U2"/>
    <mergeCell ref="E3:G3"/>
    <mergeCell ref="T3:U3"/>
    <mergeCell ref="A62:B63"/>
    <mergeCell ref="C62:D62"/>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9"/>
  <sheetViews>
    <sheetView topLeftCell="J22" zoomScale="80" zoomScaleNormal="80" workbookViewId="0">
      <selection activeCell="C56" sqref="C56"/>
    </sheetView>
  </sheetViews>
  <sheetFormatPr defaultColWidth="17.42578125" defaultRowHeight="15.75" customHeight="1"/>
  <cols>
    <col min="1" max="1" width="12.42578125" style="2" customWidth="1"/>
    <col min="2" max="2" width="27.42578125" style="2" customWidth="1"/>
    <col min="3" max="3" width="11.42578125" style="2" bestFit="1" customWidth="1"/>
    <col min="4" max="4" width="20" style="2" bestFit="1" customWidth="1"/>
    <col min="5" max="5" width="10.5703125" style="2" bestFit="1" customWidth="1"/>
    <col min="6" max="7" width="13.5703125" style="2" bestFit="1" customWidth="1"/>
    <col min="8" max="8" width="14.42578125" style="2" bestFit="1" customWidth="1"/>
    <col min="9" max="9" width="17.42578125" style="2" bestFit="1" customWidth="1"/>
    <col min="10" max="10" width="19.5703125" style="2" bestFit="1" customWidth="1"/>
    <col min="11" max="11" width="16.42578125" style="2" bestFit="1" customWidth="1"/>
    <col min="12" max="12" width="18" style="2" customWidth="1"/>
    <col min="13" max="13" width="22.140625" style="2" customWidth="1"/>
    <col min="14" max="14" width="11.5703125" style="2" bestFit="1" customWidth="1"/>
    <col min="15" max="15" width="11.42578125" style="2" bestFit="1" customWidth="1"/>
    <col min="16" max="16" width="7.85546875" style="2" bestFit="1" customWidth="1"/>
    <col min="17" max="17" width="7.85546875" style="3" bestFit="1" customWidth="1"/>
    <col min="18" max="18" width="14.5703125" style="2" bestFit="1" customWidth="1"/>
    <col min="19" max="19" width="20.5703125" style="2" bestFit="1" customWidth="1"/>
    <col min="20" max="20" width="21" style="2" bestFit="1" customWidth="1"/>
    <col min="21" max="21" width="13.42578125" style="2" bestFit="1" customWidth="1"/>
    <col min="22" max="16384" width="17.42578125" style="2"/>
  </cols>
  <sheetData>
    <row r="1" spans="1:26" ht="15">
      <c r="A1" s="5"/>
      <c r="B1" s="6"/>
      <c r="C1" s="7"/>
      <c r="D1" s="8"/>
      <c r="E1" s="9"/>
      <c r="F1" s="10"/>
      <c r="G1" s="11"/>
      <c r="H1" s="12"/>
      <c r="I1" s="11"/>
      <c r="J1" s="13"/>
      <c r="K1" s="10"/>
      <c r="L1" s="14"/>
      <c r="M1" s="15"/>
      <c r="N1" s="11"/>
      <c r="O1" s="16"/>
      <c r="P1" s="17"/>
      <c r="Q1" s="917"/>
      <c r="R1" s="17"/>
      <c r="S1" s="18"/>
      <c r="T1" s="947" t="s">
        <v>9</v>
      </c>
      <c r="U1" s="948"/>
      <c r="V1" s="949"/>
      <c r="W1" s="19"/>
    </row>
    <row r="2" spans="1:26" ht="15">
      <c r="A2" s="20"/>
      <c r="B2" s="21"/>
      <c r="C2" s="22"/>
      <c r="D2" s="23"/>
      <c r="E2" s="159"/>
      <c r="F2" s="160"/>
      <c r="G2" s="24"/>
      <c r="H2" s="25"/>
      <c r="I2" s="24"/>
      <c r="J2" s="26"/>
      <c r="K2" s="27"/>
      <c r="L2" s="28"/>
      <c r="M2" s="29"/>
      <c r="N2" s="26"/>
      <c r="O2" s="1"/>
      <c r="S2" s="4"/>
      <c r="T2" s="950" t="s">
        <v>10</v>
      </c>
      <c r="U2" s="951"/>
      <c r="V2" s="161"/>
      <c r="W2" s="30"/>
    </row>
    <row r="3" spans="1:26" ht="15">
      <c r="A3" s="20"/>
      <c r="B3" s="21"/>
      <c r="C3" s="22"/>
      <c r="D3" s="31"/>
      <c r="E3" s="936" t="s">
        <v>11</v>
      </c>
      <c r="F3" s="937"/>
      <c r="G3" s="938"/>
      <c r="H3" s="32"/>
      <c r="I3" s="160"/>
      <c r="J3" s="26"/>
      <c r="K3" s="160"/>
      <c r="L3" s="33"/>
      <c r="M3" s="34"/>
      <c r="N3" s="26"/>
      <c r="O3" s="35"/>
      <c r="P3" s="26"/>
      <c r="Q3" s="128"/>
      <c r="R3" s="36"/>
      <c r="S3" s="37"/>
      <c r="T3" s="939" t="s">
        <v>12</v>
      </c>
      <c r="U3" s="940"/>
      <c r="V3" s="161"/>
      <c r="W3" s="38"/>
    </row>
    <row r="4" spans="1:26" s="52" customFormat="1" ht="38.25">
      <c r="A4" s="39" t="s">
        <v>13</v>
      </c>
      <c r="B4" s="40" t="s">
        <v>14</v>
      </c>
      <c r="C4" s="41" t="s">
        <v>15</v>
      </c>
      <c r="D4" s="42" t="s">
        <v>16</v>
      </c>
      <c r="E4" s="43" t="s">
        <v>17</v>
      </c>
      <c r="F4" s="40" t="s">
        <v>18</v>
      </c>
      <c r="G4" s="44" t="s">
        <v>19</v>
      </c>
      <c r="H4" s="45" t="s">
        <v>20</v>
      </c>
      <c r="I4" s="44" t="s">
        <v>21</v>
      </c>
      <c r="J4" s="44" t="s">
        <v>22</v>
      </c>
      <c r="K4" s="40" t="s">
        <v>23</v>
      </c>
      <c r="L4" s="46" t="s">
        <v>24</v>
      </c>
      <c r="M4" s="46" t="s">
        <v>25</v>
      </c>
      <c r="N4" s="44" t="s">
        <v>26</v>
      </c>
      <c r="O4" s="47" t="s">
        <v>27</v>
      </c>
      <c r="P4" s="44" t="s">
        <v>28</v>
      </c>
      <c r="Q4" s="129" t="s">
        <v>29</v>
      </c>
      <c r="R4" s="48" t="s">
        <v>7</v>
      </c>
      <c r="S4" s="49" t="s">
        <v>8</v>
      </c>
      <c r="T4" s="50" t="s">
        <v>30</v>
      </c>
      <c r="U4" s="50" t="s">
        <v>31</v>
      </c>
      <c r="V4" s="51" t="s">
        <v>2</v>
      </c>
      <c r="W4" s="41" t="s">
        <v>32</v>
      </c>
    </row>
    <row r="5" spans="1:26" thickBot="1">
      <c r="A5" s="53" t="s">
        <v>33</v>
      </c>
      <c r="B5" s="54"/>
      <c r="C5" s="55"/>
      <c r="D5" s="56"/>
      <c r="E5" s="57" t="s">
        <v>34</v>
      </c>
      <c r="F5" s="57" t="s">
        <v>34</v>
      </c>
      <c r="G5" s="226" t="s">
        <v>34</v>
      </c>
      <c r="H5" s="227" t="s">
        <v>34</v>
      </c>
      <c r="I5" s="57" t="s">
        <v>34</v>
      </c>
      <c r="J5" s="57" t="s">
        <v>34</v>
      </c>
      <c r="K5" s="58" t="s">
        <v>35</v>
      </c>
      <c r="L5" s="59" t="s">
        <v>34</v>
      </c>
      <c r="M5" s="60" t="s">
        <v>34</v>
      </c>
      <c r="N5" s="60" t="s">
        <v>35</v>
      </c>
      <c r="O5" s="61" t="s">
        <v>36</v>
      </c>
      <c r="P5" s="62" t="s">
        <v>36</v>
      </c>
      <c r="Q5" s="918" t="s">
        <v>36</v>
      </c>
      <c r="R5" s="63" t="s">
        <v>36</v>
      </c>
      <c r="S5" s="64" t="s">
        <v>36</v>
      </c>
      <c r="T5" s="65" t="s">
        <v>34</v>
      </c>
      <c r="U5" s="65" t="s">
        <v>34</v>
      </c>
      <c r="V5" s="66" t="s">
        <v>34</v>
      </c>
      <c r="W5" s="67"/>
    </row>
    <row r="6" spans="1:26" s="137" customFormat="1" ht="15">
      <c r="A6" s="186">
        <v>43606</v>
      </c>
      <c r="B6" s="187" t="s">
        <v>65</v>
      </c>
      <c r="C6" s="218" t="s">
        <v>68</v>
      </c>
      <c r="D6" s="220" t="s">
        <v>52</v>
      </c>
      <c r="E6" s="187">
        <v>12.2</v>
      </c>
      <c r="F6" s="187">
        <v>2.2799999999999998</v>
      </c>
      <c r="G6" s="224">
        <v>9.92</v>
      </c>
      <c r="H6" s="222"/>
      <c r="I6" s="187"/>
      <c r="J6" s="187">
        <v>7.08</v>
      </c>
      <c r="K6" s="221">
        <v>0.49036584412034973</v>
      </c>
      <c r="L6" s="187">
        <v>2.84</v>
      </c>
      <c r="M6" s="187"/>
      <c r="N6" s="224"/>
      <c r="O6" s="313"/>
      <c r="P6" s="313">
        <v>3.471790176372076</v>
      </c>
      <c r="Q6" s="313"/>
      <c r="R6" s="221" t="s">
        <v>55</v>
      </c>
      <c r="S6" s="224"/>
      <c r="T6" s="228"/>
      <c r="U6" s="187"/>
      <c r="V6" s="224"/>
      <c r="W6" s="187"/>
      <c r="X6" s="187"/>
      <c r="Y6" s="187"/>
      <c r="Z6" s="187"/>
    </row>
    <row r="7" spans="1:26" s="137" customFormat="1" ht="15">
      <c r="A7" s="186">
        <v>43715</v>
      </c>
      <c r="B7" s="187" t="s">
        <v>69</v>
      </c>
      <c r="C7" s="218" t="s">
        <v>68</v>
      </c>
      <c r="D7" s="220" t="s">
        <v>53</v>
      </c>
      <c r="E7" s="187">
        <v>12.2</v>
      </c>
      <c r="F7" s="187">
        <v>9.56</v>
      </c>
      <c r="G7" s="224">
        <v>2.6399999999999988</v>
      </c>
      <c r="H7" s="222"/>
      <c r="I7" s="187"/>
      <c r="J7" s="187"/>
      <c r="K7" s="221"/>
      <c r="L7" s="187"/>
      <c r="M7" s="187"/>
      <c r="N7" s="224"/>
      <c r="O7" s="313"/>
      <c r="P7" s="313"/>
      <c r="Q7" s="313"/>
      <c r="R7" s="221"/>
      <c r="S7" s="224"/>
      <c r="T7" s="228"/>
      <c r="U7" s="187"/>
      <c r="V7" s="224"/>
      <c r="W7" s="187"/>
      <c r="X7" s="187"/>
      <c r="Y7" s="187"/>
      <c r="Z7" s="187"/>
    </row>
    <row r="8" spans="1:26" s="137" customFormat="1" ht="15">
      <c r="A8" s="186">
        <v>43715</v>
      </c>
      <c r="B8" s="187" t="s">
        <v>69</v>
      </c>
      <c r="C8" s="218" t="s">
        <v>68</v>
      </c>
      <c r="D8" s="220" t="s">
        <v>53</v>
      </c>
      <c r="E8" s="187">
        <v>6.6</v>
      </c>
      <c r="F8" s="187">
        <v>3.9600000000000009</v>
      </c>
      <c r="G8" s="224">
        <v>2.6399999999999988</v>
      </c>
      <c r="H8" s="222"/>
      <c r="I8" s="187"/>
      <c r="J8" s="187"/>
      <c r="K8" s="221"/>
      <c r="L8" s="187"/>
      <c r="M8" s="187"/>
      <c r="N8" s="224"/>
      <c r="O8" s="313"/>
      <c r="P8" s="313"/>
      <c r="Q8" s="313">
        <v>-0.1720000000000009</v>
      </c>
      <c r="R8" s="221"/>
      <c r="S8" s="224">
        <v>0</v>
      </c>
      <c r="T8" s="228"/>
      <c r="U8" s="187"/>
      <c r="V8" s="224"/>
      <c r="W8" s="187"/>
      <c r="X8" s="187"/>
      <c r="Y8" s="187"/>
      <c r="Z8" s="187"/>
    </row>
    <row r="9" spans="1:26" ht="15">
      <c r="A9" s="186">
        <v>43963</v>
      </c>
      <c r="B9" s="187" t="s">
        <v>71</v>
      </c>
      <c r="C9" s="218" t="s">
        <v>68</v>
      </c>
      <c r="D9" s="220" t="s">
        <v>82</v>
      </c>
      <c r="E9" s="187" t="s">
        <v>75</v>
      </c>
      <c r="F9" s="187"/>
      <c r="G9" s="224"/>
      <c r="H9" s="223"/>
      <c r="I9" s="174"/>
      <c r="J9" s="174"/>
      <c r="K9" s="219"/>
      <c r="L9" s="174"/>
      <c r="M9" s="174"/>
      <c r="N9" s="225"/>
      <c r="O9" s="314"/>
      <c r="P9" s="314"/>
      <c r="Q9" s="314"/>
      <c r="R9" s="315"/>
      <c r="S9" s="225"/>
      <c r="T9" s="229"/>
      <c r="U9" s="174"/>
      <c r="V9" s="225"/>
      <c r="W9" s="174"/>
      <c r="X9" s="174"/>
      <c r="Y9" s="174"/>
      <c r="Z9" s="174"/>
    </row>
    <row r="10" spans="1:26" ht="15">
      <c r="A10" s="186">
        <v>44084</v>
      </c>
      <c r="B10" s="187" t="s">
        <v>72</v>
      </c>
      <c r="C10" s="218" t="s">
        <v>68</v>
      </c>
      <c r="D10" s="220" t="s">
        <v>53</v>
      </c>
      <c r="E10" s="187" t="s">
        <v>67</v>
      </c>
      <c r="F10" s="187"/>
      <c r="G10" s="224"/>
      <c r="H10" s="222"/>
      <c r="I10" s="187"/>
      <c r="J10" s="187"/>
      <c r="K10" s="218"/>
      <c r="L10" s="187"/>
      <c r="M10" s="187"/>
      <c r="N10" s="224"/>
      <c r="O10" s="313"/>
      <c r="P10" s="313"/>
      <c r="Q10" s="313"/>
      <c r="R10" s="221"/>
      <c r="S10" s="224"/>
      <c r="T10" s="228"/>
      <c r="U10" s="187"/>
      <c r="V10" s="224"/>
      <c r="W10" s="187"/>
      <c r="X10" s="187"/>
      <c r="Y10" s="187"/>
      <c r="Z10" s="187"/>
    </row>
    <row r="11" spans="1:26" ht="15">
      <c r="A11" s="186">
        <v>44446</v>
      </c>
      <c r="B11" s="187" t="s">
        <v>72</v>
      </c>
      <c r="C11" s="218" t="s">
        <v>68</v>
      </c>
      <c r="D11" s="220" t="s">
        <v>53</v>
      </c>
      <c r="E11" s="187">
        <v>6.1</v>
      </c>
      <c r="F11" s="187">
        <f>1.99+3.05</f>
        <v>5.04</v>
      </c>
      <c r="G11" s="224">
        <f>E11-F11</f>
        <v>1.0599999999999996</v>
      </c>
      <c r="H11" s="222"/>
      <c r="I11" s="187"/>
      <c r="J11" s="187"/>
      <c r="K11" s="218"/>
      <c r="L11" s="187"/>
      <c r="M11" s="187"/>
      <c r="N11" s="224"/>
      <c r="O11" s="313"/>
      <c r="P11" s="313"/>
      <c r="Q11" s="313"/>
      <c r="R11" s="221"/>
      <c r="S11" s="224"/>
      <c r="T11" s="228"/>
      <c r="U11" s="187"/>
      <c r="V11" s="224"/>
      <c r="W11" s="187"/>
      <c r="X11" s="187"/>
      <c r="Y11" s="187"/>
      <c r="Z11" s="187"/>
    </row>
    <row r="12" spans="1:26" ht="15">
      <c r="A12" s="137"/>
      <c r="B12" s="137"/>
      <c r="C12" s="264"/>
      <c r="D12" s="266"/>
      <c r="E12" s="137"/>
      <c r="F12" s="137"/>
      <c r="G12" s="139"/>
      <c r="H12" s="262"/>
      <c r="I12" s="137"/>
      <c r="J12" s="137"/>
      <c r="K12" s="264"/>
      <c r="L12" s="137"/>
      <c r="M12" s="137"/>
      <c r="N12" s="139"/>
      <c r="O12" s="269"/>
      <c r="P12" s="269"/>
      <c r="Q12" s="269"/>
      <c r="R12" s="323"/>
      <c r="S12" s="423"/>
      <c r="T12" s="264"/>
      <c r="U12" s="137"/>
      <c r="V12" s="139"/>
      <c r="W12" s="137"/>
      <c r="X12" s="137"/>
      <c r="Y12" s="137"/>
      <c r="Z12" s="137"/>
    </row>
    <row r="13" spans="1:26" ht="15">
      <c r="A13" s="188">
        <v>43963</v>
      </c>
      <c r="B13" s="189" t="s">
        <v>71</v>
      </c>
      <c r="C13" s="265" t="s">
        <v>83</v>
      </c>
      <c r="D13" s="267" t="s">
        <v>82</v>
      </c>
      <c r="E13" s="189">
        <v>12.2</v>
      </c>
      <c r="F13" s="189">
        <v>0.14000000000000001</v>
      </c>
      <c r="G13" s="261">
        <f>E13-F13</f>
        <v>12.059999999999999</v>
      </c>
      <c r="H13" s="263"/>
      <c r="I13" s="189">
        <v>4.3499999999999996</v>
      </c>
      <c r="J13" s="189">
        <v>4.3499999999999996</v>
      </c>
      <c r="K13" s="268">
        <v>0.43</v>
      </c>
      <c r="L13" s="189">
        <f>G13-I13</f>
        <v>7.7099999999999991</v>
      </c>
      <c r="M13" s="189"/>
      <c r="N13" s="261"/>
      <c r="O13" s="190"/>
      <c r="P13" s="190">
        <f>I13*K13</f>
        <v>1.8704999999999998</v>
      </c>
      <c r="Q13" s="190"/>
      <c r="R13" s="268" t="s">
        <v>55</v>
      </c>
      <c r="S13" s="424"/>
      <c r="T13" s="265"/>
      <c r="U13" s="189"/>
      <c r="V13" s="261"/>
      <c r="W13" s="189"/>
      <c r="X13" s="189"/>
      <c r="Y13" s="189"/>
      <c r="Z13" s="189"/>
    </row>
    <row r="14" spans="1:26" ht="15">
      <c r="A14" s="188">
        <v>44084</v>
      </c>
      <c r="B14" s="189" t="s">
        <v>72</v>
      </c>
      <c r="C14" s="265" t="s">
        <v>83</v>
      </c>
      <c r="D14" s="267" t="s">
        <v>53</v>
      </c>
      <c r="E14" s="189">
        <v>9.15</v>
      </c>
      <c r="F14" s="189">
        <f>E14-G14</f>
        <v>2.67</v>
      </c>
      <c r="G14" s="261">
        <v>6.48</v>
      </c>
      <c r="H14" s="263"/>
      <c r="I14" s="189"/>
      <c r="J14" s="189"/>
      <c r="K14" s="265"/>
      <c r="L14" s="189"/>
      <c r="M14" s="189"/>
      <c r="N14" s="261"/>
      <c r="O14" s="190">
        <f>Q14-P13</f>
        <v>-2.9774999999999987</v>
      </c>
      <c r="P14" s="190"/>
      <c r="Q14" s="190">
        <f>(G14-L13)*0.9</f>
        <v>-1.1069999999999989</v>
      </c>
      <c r="R14" s="268"/>
      <c r="S14" s="424"/>
      <c r="T14" s="265"/>
      <c r="U14" s="189"/>
      <c r="V14" s="261"/>
      <c r="W14" s="189"/>
      <c r="X14" s="189"/>
      <c r="Y14" s="189"/>
      <c r="Z14" s="189"/>
    </row>
    <row r="15" spans="1:26" ht="15">
      <c r="A15" s="188">
        <v>44084</v>
      </c>
      <c r="B15" s="189" t="s">
        <v>72</v>
      </c>
      <c r="C15" s="265" t="s">
        <v>83</v>
      </c>
      <c r="D15" s="267" t="s">
        <v>53</v>
      </c>
      <c r="E15" s="189">
        <v>10</v>
      </c>
      <c r="F15" s="189">
        <f>E15-G15</f>
        <v>3.5199999999999996</v>
      </c>
      <c r="G15" s="261">
        <v>6.48</v>
      </c>
      <c r="H15" s="263"/>
      <c r="I15" s="189"/>
      <c r="J15" s="189"/>
      <c r="K15" s="265"/>
      <c r="L15" s="189"/>
      <c r="M15" s="189"/>
      <c r="N15" s="261"/>
      <c r="O15" s="190"/>
      <c r="P15" s="190"/>
      <c r="Q15" s="190"/>
      <c r="R15" s="268"/>
      <c r="S15" s="424"/>
      <c r="T15" s="265"/>
      <c r="U15" s="189"/>
      <c r="V15" s="261"/>
      <c r="W15" s="189" t="s">
        <v>86</v>
      </c>
      <c r="X15" s="189"/>
      <c r="Y15" s="189"/>
      <c r="Z15" s="189"/>
    </row>
    <row r="16" spans="1:26" ht="15">
      <c r="A16" s="188">
        <v>44185</v>
      </c>
      <c r="B16" s="189" t="s">
        <v>71</v>
      </c>
      <c r="C16" s="265" t="s">
        <v>83</v>
      </c>
      <c r="D16" s="267" t="s">
        <v>52</v>
      </c>
      <c r="E16" s="189">
        <v>10</v>
      </c>
      <c r="F16" s="189">
        <v>0.93</v>
      </c>
      <c r="G16" s="261">
        <f>E16-F16</f>
        <v>9.07</v>
      </c>
      <c r="H16" s="263"/>
      <c r="I16" s="189"/>
      <c r="J16" s="189">
        <f>G16-G15</f>
        <v>2.59</v>
      </c>
      <c r="K16" s="265"/>
      <c r="L16" s="189"/>
      <c r="M16" s="189"/>
      <c r="N16" s="261"/>
      <c r="O16" s="190"/>
      <c r="P16" s="190"/>
      <c r="Q16" s="190"/>
      <c r="R16" s="268"/>
      <c r="S16" s="424"/>
      <c r="T16" s="265"/>
      <c r="U16" s="189"/>
      <c r="V16" s="261"/>
      <c r="W16" s="189"/>
      <c r="X16" s="189"/>
      <c r="Y16" s="189"/>
      <c r="Z16" s="189"/>
    </row>
    <row r="17" spans="1:26" ht="15">
      <c r="A17" s="188">
        <v>44185</v>
      </c>
      <c r="B17" s="189" t="s">
        <v>71</v>
      </c>
      <c r="C17" s="265" t="s">
        <v>83</v>
      </c>
      <c r="D17" s="267" t="s">
        <v>52</v>
      </c>
      <c r="E17" s="189">
        <v>13.05</v>
      </c>
      <c r="F17" s="189">
        <f>E17-G17</f>
        <v>3.9800000000000004</v>
      </c>
      <c r="G17" s="261">
        <f>G16</f>
        <v>9.07</v>
      </c>
      <c r="H17" s="263"/>
      <c r="I17" s="189"/>
      <c r="J17" s="189"/>
      <c r="K17" s="265"/>
      <c r="L17" s="189"/>
      <c r="M17" s="189"/>
      <c r="N17" s="261"/>
      <c r="O17" s="190"/>
      <c r="P17" s="190"/>
      <c r="Q17" s="190"/>
      <c r="R17" s="268"/>
      <c r="S17" s="424"/>
      <c r="T17" s="265"/>
      <c r="U17" s="189"/>
      <c r="V17" s="261"/>
      <c r="W17" s="189"/>
      <c r="X17" s="189"/>
      <c r="Y17" s="189"/>
      <c r="Z17" s="189"/>
    </row>
    <row r="18" spans="1:26" ht="15">
      <c r="A18" s="188">
        <v>44221</v>
      </c>
      <c r="B18" s="189" t="s">
        <v>89</v>
      </c>
      <c r="C18" s="265" t="s">
        <v>83</v>
      </c>
      <c r="D18" s="267" t="s">
        <v>52</v>
      </c>
      <c r="E18" s="189" t="s">
        <v>67</v>
      </c>
      <c r="F18" s="189"/>
      <c r="G18" s="261"/>
      <c r="H18" s="263"/>
      <c r="I18" s="189"/>
      <c r="J18" s="189"/>
      <c r="K18" s="265"/>
      <c r="L18" s="189"/>
      <c r="M18" s="189"/>
      <c r="N18" s="261"/>
      <c r="O18" s="190"/>
      <c r="P18" s="190"/>
      <c r="Q18" s="190"/>
      <c r="R18" s="268"/>
      <c r="S18" s="424"/>
      <c r="T18" s="265"/>
      <c r="U18" s="189"/>
      <c r="V18" s="261"/>
      <c r="W18" s="189"/>
      <c r="X18" s="189"/>
      <c r="Y18" s="189"/>
      <c r="Z18" s="189"/>
    </row>
    <row r="19" spans="1:26" ht="15">
      <c r="A19" s="188">
        <v>44446</v>
      </c>
      <c r="B19" s="189" t="s">
        <v>72</v>
      </c>
      <c r="C19" s="265" t="s">
        <v>83</v>
      </c>
      <c r="D19" s="267" t="s">
        <v>87</v>
      </c>
      <c r="E19" s="189">
        <v>13.05</v>
      </c>
      <c r="F19" s="189">
        <f>E19-G19</f>
        <v>6.7300000000000013</v>
      </c>
      <c r="G19" s="261">
        <f>6.1+0.22</f>
        <v>6.3199999999999994</v>
      </c>
      <c r="H19" s="263">
        <f>G19-G15</f>
        <v>-0.16000000000000103</v>
      </c>
      <c r="I19" s="189">
        <v>0</v>
      </c>
      <c r="J19" s="189">
        <v>0</v>
      </c>
      <c r="K19" s="265">
        <v>0.8</v>
      </c>
      <c r="L19" s="189"/>
      <c r="M19" s="189"/>
      <c r="N19" s="261"/>
      <c r="O19" s="190"/>
      <c r="P19" s="190"/>
      <c r="Q19" s="190">
        <f>K19*H19</f>
        <v>-0.12800000000000084</v>
      </c>
      <c r="R19" s="268" t="s">
        <v>55</v>
      </c>
      <c r="S19" s="424">
        <v>0</v>
      </c>
      <c r="T19" s="265"/>
      <c r="U19" s="189"/>
      <c r="V19" s="261"/>
      <c r="W19" s="189"/>
      <c r="X19" s="189"/>
      <c r="Y19" s="189"/>
      <c r="Z19" s="189"/>
    </row>
    <row r="20" spans="1:26" ht="15">
      <c r="A20" s="188">
        <v>44446</v>
      </c>
      <c r="B20" s="189" t="s">
        <v>72</v>
      </c>
      <c r="C20" s="265" t="s">
        <v>83</v>
      </c>
      <c r="D20" s="267" t="s">
        <v>87</v>
      </c>
      <c r="E20" s="189">
        <v>10</v>
      </c>
      <c r="F20" s="189">
        <f>E20-G20</f>
        <v>3.6800000000000006</v>
      </c>
      <c r="G20" s="261">
        <f>G19</f>
        <v>6.3199999999999994</v>
      </c>
      <c r="H20" s="263"/>
      <c r="I20" s="189"/>
      <c r="J20" s="189"/>
      <c r="K20" s="265"/>
      <c r="L20" s="189"/>
      <c r="M20" s="189"/>
      <c r="N20" s="261"/>
      <c r="O20" s="190"/>
      <c r="P20" s="190"/>
      <c r="Q20" s="190"/>
      <c r="R20" s="268"/>
      <c r="S20" s="424"/>
      <c r="T20" s="265"/>
      <c r="U20" s="189"/>
      <c r="V20" s="261"/>
      <c r="W20" s="189"/>
      <c r="X20" s="189"/>
      <c r="Y20" s="189"/>
      <c r="Z20" s="189"/>
    </row>
    <row r="21" spans="1:26" ht="15">
      <c r="A21" s="188">
        <v>44678</v>
      </c>
      <c r="B21" s="189" t="s">
        <v>109</v>
      </c>
      <c r="C21" s="265" t="s">
        <v>83</v>
      </c>
      <c r="D21" s="267" t="s">
        <v>82</v>
      </c>
      <c r="E21" s="189" t="s">
        <v>75</v>
      </c>
      <c r="F21" s="189"/>
      <c r="G21" s="261"/>
      <c r="H21" s="263"/>
      <c r="I21" s="189"/>
      <c r="J21" s="189"/>
      <c r="K21" s="265"/>
      <c r="L21" s="189"/>
      <c r="M21" s="189"/>
      <c r="N21" s="261"/>
      <c r="O21" s="190"/>
      <c r="P21" s="190"/>
      <c r="Q21" s="190"/>
      <c r="R21" s="268"/>
      <c r="S21" s="424"/>
      <c r="T21" s="265"/>
      <c r="U21" s="189"/>
      <c r="V21" s="261"/>
      <c r="W21" s="189"/>
      <c r="X21" s="189"/>
      <c r="Y21" s="189"/>
      <c r="Z21" s="189"/>
    </row>
    <row r="22" spans="1:26" ht="15">
      <c r="A22" s="188">
        <v>44821</v>
      </c>
      <c r="B22" s="189" t="s">
        <v>109</v>
      </c>
      <c r="C22" s="265" t="s">
        <v>83</v>
      </c>
      <c r="D22" s="267" t="s">
        <v>53</v>
      </c>
      <c r="E22" s="190">
        <v>6.1</v>
      </c>
      <c r="F22" s="190">
        <v>0.06</v>
      </c>
      <c r="G22" s="520">
        <f>E22-F22</f>
        <v>6.04</v>
      </c>
      <c r="H22" s="263"/>
      <c r="I22" s="189"/>
      <c r="J22" s="189"/>
      <c r="K22" s="265"/>
      <c r="L22" s="189"/>
      <c r="M22" s="189"/>
      <c r="N22" s="261"/>
      <c r="O22" s="190"/>
      <c r="P22" s="190"/>
      <c r="Q22" s="190"/>
      <c r="R22" s="268"/>
      <c r="S22" s="424">
        <v>0</v>
      </c>
      <c r="T22" s="265"/>
      <c r="U22" s="189"/>
      <c r="V22" s="261"/>
      <c r="W22" s="189"/>
      <c r="X22" s="189"/>
      <c r="Y22" s="189"/>
      <c r="Z22" s="189"/>
    </row>
    <row r="23" spans="1:26" ht="15">
      <c r="A23" s="188">
        <v>44821</v>
      </c>
      <c r="B23" s="189" t="s">
        <v>109</v>
      </c>
      <c r="C23" s="265" t="s">
        <v>83</v>
      </c>
      <c r="D23" s="267" t="s">
        <v>53</v>
      </c>
      <c r="E23" s="190">
        <v>10</v>
      </c>
      <c r="F23" s="190">
        <f>E23-G23</f>
        <v>3.96</v>
      </c>
      <c r="G23" s="520">
        <v>6.04</v>
      </c>
      <c r="H23" s="521">
        <f>G23-G20</f>
        <v>-0.27999999999999936</v>
      </c>
      <c r="I23" s="189"/>
      <c r="J23" s="189"/>
      <c r="K23" s="265"/>
      <c r="L23" s="189"/>
      <c r="M23" s="189"/>
      <c r="N23" s="261"/>
      <c r="O23" s="190"/>
      <c r="P23" s="190"/>
      <c r="Q23" s="190"/>
      <c r="R23" s="268"/>
      <c r="S23" s="424"/>
      <c r="T23" s="265"/>
      <c r="U23" s="189"/>
      <c r="V23" s="261"/>
      <c r="W23" s="189"/>
      <c r="X23" s="189"/>
      <c r="Y23" s="189"/>
      <c r="Z23" s="189"/>
    </row>
    <row r="24" spans="1:26" ht="15">
      <c r="A24" s="188">
        <v>44911</v>
      </c>
      <c r="B24" s="189" t="s">
        <v>122</v>
      </c>
      <c r="C24" s="265" t="s">
        <v>83</v>
      </c>
      <c r="D24" s="267" t="s">
        <v>121</v>
      </c>
      <c r="E24" s="190">
        <v>10</v>
      </c>
      <c r="F24" s="190">
        <v>1.49</v>
      </c>
      <c r="G24" s="520">
        <f>E24-F24</f>
        <v>8.51</v>
      </c>
      <c r="H24" s="521">
        <f>G24-G23</f>
        <v>2.4699999999999998</v>
      </c>
      <c r="I24" s="189"/>
      <c r="J24" s="189"/>
      <c r="K24" s="265"/>
      <c r="L24" s="189"/>
      <c r="M24" s="189"/>
      <c r="N24" s="261"/>
      <c r="O24" s="190"/>
      <c r="P24" s="190"/>
      <c r="Q24" s="190"/>
      <c r="R24" s="268"/>
      <c r="S24" s="424"/>
      <c r="T24" s="265"/>
      <c r="U24" s="189"/>
      <c r="V24" s="261"/>
      <c r="W24" s="189"/>
      <c r="X24" s="189"/>
      <c r="Y24" s="189"/>
      <c r="Z24" s="189"/>
    </row>
    <row r="25" spans="1:26" ht="15">
      <c r="A25" s="188">
        <v>45176</v>
      </c>
      <c r="B25" s="189" t="s">
        <v>127</v>
      </c>
      <c r="C25" s="265" t="s">
        <v>83</v>
      </c>
      <c r="D25" s="267" t="s">
        <v>53</v>
      </c>
      <c r="E25" s="190">
        <v>6.1</v>
      </c>
      <c r="F25" s="190">
        <v>0.24</v>
      </c>
      <c r="G25" s="520">
        <f>E25-F25</f>
        <v>5.8599999999999994</v>
      </c>
      <c r="H25" s="521">
        <f>G25-G23</f>
        <v>-0.1800000000000006</v>
      </c>
      <c r="I25" s="189"/>
      <c r="J25" s="189"/>
      <c r="K25" s="265"/>
      <c r="L25" s="189"/>
      <c r="M25" s="189"/>
      <c r="N25" s="261"/>
      <c r="O25" s="190"/>
      <c r="P25" s="190"/>
      <c r="Q25" s="190">
        <f>(G25-G23)*0.9</f>
        <v>-0.16200000000000056</v>
      </c>
      <c r="R25" s="268"/>
      <c r="S25" s="424"/>
      <c r="T25" s="265"/>
      <c r="U25" s="189"/>
      <c r="V25" s="261"/>
      <c r="W25" s="189"/>
      <c r="X25" s="189"/>
      <c r="Y25" s="189"/>
      <c r="Z25" s="189"/>
    </row>
    <row r="26" spans="1:26" ht="15">
      <c r="A26" s="188">
        <v>45176</v>
      </c>
      <c r="B26" s="189" t="s">
        <v>127</v>
      </c>
      <c r="C26" s="265" t="s">
        <v>83</v>
      </c>
      <c r="D26" s="267" t="s">
        <v>53</v>
      </c>
      <c r="E26" s="190">
        <v>10</v>
      </c>
      <c r="F26" s="190">
        <f>E26-G26</f>
        <v>4.1399999999999997</v>
      </c>
      <c r="G26" s="520">
        <v>5.86</v>
      </c>
      <c r="H26" s="521"/>
      <c r="I26" s="189"/>
      <c r="J26" s="189"/>
      <c r="K26" s="265"/>
      <c r="L26" s="189"/>
      <c r="M26" s="189"/>
      <c r="N26" s="261"/>
      <c r="O26" s="190"/>
      <c r="P26" s="190"/>
      <c r="Q26" s="190"/>
      <c r="R26" s="268"/>
      <c r="S26" s="424"/>
      <c r="T26" s="265"/>
      <c r="U26" s="189"/>
      <c r="V26" s="261"/>
      <c r="W26" s="189"/>
      <c r="X26" s="189"/>
      <c r="Y26" s="189"/>
      <c r="Z26" s="189"/>
    </row>
    <row r="27" spans="1:26" s="70" customFormat="1" ht="15">
      <c r="A27" s="407"/>
      <c r="B27" s="143"/>
      <c r="C27" s="413"/>
      <c r="D27" s="415"/>
      <c r="E27" s="143"/>
      <c r="F27" s="143"/>
      <c r="G27" s="419"/>
      <c r="H27" s="421"/>
      <c r="I27" s="143"/>
      <c r="J27" s="143"/>
      <c r="K27" s="413"/>
      <c r="L27" s="143"/>
      <c r="M27" s="143"/>
      <c r="N27" s="419"/>
      <c r="O27" s="408"/>
      <c r="P27" s="408"/>
      <c r="Q27" s="408"/>
      <c r="R27" s="417"/>
      <c r="S27" s="425"/>
      <c r="T27" s="413"/>
      <c r="U27" s="143"/>
      <c r="V27" s="419"/>
      <c r="W27" s="143"/>
      <c r="X27" s="143"/>
      <c r="Y27" s="143"/>
      <c r="Z27" s="143"/>
    </row>
    <row r="28" spans="1:26" s="412" customFormat="1" ht="15">
      <c r="A28" s="409">
        <v>44307</v>
      </c>
      <c r="B28" s="410" t="s">
        <v>93</v>
      </c>
      <c r="C28" s="414" t="s">
        <v>100</v>
      </c>
      <c r="D28" s="416" t="s">
        <v>52</v>
      </c>
      <c r="E28" s="410">
        <v>9.15</v>
      </c>
      <c r="F28" s="410">
        <v>0.22</v>
      </c>
      <c r="G28" s="420">
        <f>E28-F28</f>
        <v>8.93</v>
      </c>
      <c r="H28" s="422"/>
      <c r="I28" s="410"/>
      <c r="J28" s="410">
        <v>5.17</v>
      </c>
      <c r="K28" s="414">
        <v>0.48</v>
      </c>
      <c r="L28" s="410"/>
      <c r="M28" s="410"/>
      <c r="N28" s="420"/>
      <c r="O28" s="411"/>
      <c r="P28" s="411">
        <f>J28*K28</f>
        <v>2.4815999999999998</v>
      </c>
      <c r="Q28" s="411"/>
      <c r="R28" s="418"/>
      <c r="S28" s="426"/>
      <c r="T28" s="414">
        <v>396645.049</v>
      </c>
      <c r="U28" s="410">
        <v>6698101.1629999997</v>
      </c>
      <c r="V28" s="420">
        <v>1225.96</v>
      </c>
      <c r="W28" s="410"/>
      <c r="X28" s="410"/>
      <c r="Y28" s="410"/>
      <c r="Z28" s="410"/>
    </row>
    <row r="29" spans="1:26" s="412" customFormat="1" ht="15">
      <c r="A29" s="409">
        <v>44309</v>
      </c>
      <c r="B29" s="410" t="s">
        <v>93</v>
      </c>
      <c r="C29" s="414" t="s">
        <v>100</v>
      </c>
      <c r="D29" s="416" t="s">
        <v>52</v>
      </c>
      <c r="E29" s="410">
        <v>9.15</v>
      </c>
      <c r="F29" s="410">
        <v>0.27</v>
      </c>
      <c r="G29" s="420">
        <f>E29-F29</f>
        <v>8.8800000000000008</v>
      </c>
      <c r="H29" s="422">
        <f>G29-G28</f>
        <v>-4.9999999999998934E-2</v>
      </c>
      <c r="I29" s="410"/>
      <c r="J29" s="410">
        <f>J28+H29</f>
        <v>5.120000000000001</v>
      </c>
      <c r="K29" s="418">
        <f>J28*K28/J29</f>
        <v>0.48468749999999988</v>
      </c>
      <c r="L29" s="410">
        <f>G29-J29</f>
        <v>3.76</v>
      </c>
      <c r="M29" s="410"/>
      <c r="N29" s="420"/>
      <c r="O29" s="411"/>
      <c r="P29" s="411"/>
      <c r="Q29" s="411"/>
      <c r="R29" s="418"/>
      <c r="S29" s="426"/>
      <c r="T29" s="414"/>
      <c r="U29" s="410"/>
      <c r="V29" s="420"/>
      <c r="W29" s="410"/>
      <c r="X29" s="410"/>
      <c r="Y29" s="410"/>
      <c r="Z29" s="410"/>
    </row>
    <row r="30" spans="1:26" s="412" customFormat="1" ht="15">
      <c r="A30" s="409">
        <v>44446</v>
      </c>
      <c r="B30" s="410" t="s">
        <v>93</v>
      </c>
      <c r="C30" s="414" t="s">
        <v>100</v>
      </c>
      <c r="D30" s="416" t="s">
        <v>52</v>
      </c>
      <c r="E30" s="410">
        <v>9.15</v>
      </c>
      <c r="F30" s="410">
        <f>E30-G30</f>
        <v>5.4500000000000011</v>
      </c>
      <c r="G30" s="420">
        <f>6.1-2.4</f>
        <v>3.6999999999999997</v>
      </c>
      <c r="H30" s="422">
        <f>G30-G29</f>
        <v>-5.1800000000000015</v>
      </c>
      <c r="I30" s="410">
        <v>0</v>
      </c>
      <c r="J30" s="410">
        <v>0</v>
      </c>
      <c r="K30" s="414">
        <v>0.8</v>
      </c>
      <c r="L30" s="410"/>
      <c r="M30" s="410"/>
      <c r="N30" s="420"/>
      <c r="O30" s="411"/>
      <c r="P30" s="411"/>
      <c r="Q30" s="411">
        <f>(G30-L29)*K30</f>
        <v>-4.8000000000000043E-2</v>
      </c>
      <c r="R30" s="418" t="s">
        <v>55</v>
      </c>
      <c r="S30" s="426">
        <v>0</v>
      </c>
      <c r="T30" s="414"/>
      <c r="U30" s="410"/>
      <c r="V30" s="420"/>
      <c r="W30" s="410"/>
      <c r="X30" s="410"/>
      <c r="Y30" s="410"/>
      <c r="Z30" s="410"/>
    </row>
    <row r="31" spans="1:26" s="412" customFormat="1" ht="15">
      <c r="A31" s="409">
        <v>44678</v>
      </c>
      <c r="B31" s="410" t="s">
        <v>109</v>
      </c>
      <c r="C31" s="414" t="s">
        <v>100</v>
      </c>
      <c r="D31" s="416" t="s">
        <v>52</v>
      </c>
      <c r="E31" s="410" t="s">
        <v>75</v>
      </c>
      <c r="F31" s="410"/>
      <c r="G31" s="420"/>
      <c r="H31" s="422"/>
      <c r="I31" s="410"/>
      <c r="J31" s="410"/>
      <c r="K31" s="414"/>
      <c r="L31" s="410"/>
      <c r="M31" s="410"/>
      <c r="N31" s="420"/>
      <c r="O31" s="411"/>
      <c r="P31" s="411"/>
      <c r="Q31" s="411"/>
      <c r="R31" s="418" t="s">
        <v>55</v>
      </c>
      <c r="S31" s="426"/>
      <c r="T31" s="414"/>
      <c r="U31" s="410"/>
      <c r="V31" s="420"/>
      <c r="W31" s="410"/>
      <c r="X31" s="410"/>
      <c r="Y31" s="410"/>
      <c r="Z31" s="410"/>
    </row>
    <row r="32" spans="1:26" s="412" customFormat="1" ht="15">
      <c r="A32" s="409">
        <v>44821</v>
      </c>
      <c r="B32" s="410" t="s">
        <v>109</v>
      </c>
      <c r="C32" s="414" t="s">
        <v>100</v>
      </c>
      <c r="D32" s="414" t="s">
        <v>53</v>
      </c>
      <c r="E32" s="411">
        <v>8</v>
      </c>
      <c r="F32" s="411">
        <v>1.37</v>
      </c>
      <c r="G32" s="522">
        <f>E32-F32</f>
        <v>6.63</v>
      </c>
      <c r="H32" s="553">
        <f>G32-G30</f>
        <v>2.93</v>
      </c>
      <c r="I32" s="410"/>
      <c r="J32" s="410"/>
      <c r="K32" s="414"/>
      <c r="L32" s="410"/>
      <c r="M32" s="410"/>
      <c r="N32" s="420"/>
      <c r="O32" s="411"/>
      <c r="P32" s="411"/>
      <c r="Q32" s="411"/>
      <c r="R32" s="418"/>
      <c r="S32" s="426">
        <v>0</v>
      </c>
      <c r="T32" s="414"/>
      <c r="U32" s="410"/>
      <c r="V32" s="420"/>
      <c r="W32" s="410"/>
      <c r="X32" s="410"/>
      <c r="Y32" s="410"/>
      <c r="Z32" s="410"/>
    </row>
    <row r="33" spans="1:26" s="412" customFormat="1" ht="15">
      <c r="A33" s="409">
        <v>44821</v>
      </c>
      <c r="B33" s="410" t="s">
        <v>109</v>
      </c>
      <c r="C33" s="414" t="s">
        <v>100</v>
      </c>
      <c r="D33" s="414" t="s">
        <v>53</v>
      </c>
      <c r="E33" s="411">
        <v>11.05</v>
      </c>
      <c r="F33" s="411">
        <f>E33-G33</f>
        <v>4.4200000000000008</v>
      </c>
      <c r="G33" s="522">
        <v>6.63</v>
      </c>
      <c r="H33" s="422"/>
      <c r="I33" s="410"/>
      <c r="J33" s="410"/>
      <c r="K33" s="414"/>
      <c r="L33" s="410"/>
      <c r="M33" s="410"/>
      <c r="N33" s="420"/>
      <c r="O33" s="411"/>
      <c r="P33" s="411"/>
      <c r="Q33" s="411"/>
      <c r="R33" s="418"/>
      <c r="S33" s="426"/>
      <c r="T33" s="414"/>
      <c r="U33" s="410"/>
      <c r="V33" s="420"/>
      <c r="W33" s="410"/>
      <c r="X33" s="410"/>
      <c r="Y33" s="410"/>
      <c r="Z33" s="410"/>
    </row>
    <row r="34" spans="1:26" s="412" customFormat="1" ht="15">
      <c r="A34" s="409">
        <v>44911</v>
      </c>
      <c r="B34" s="410" t="s">
        <v>120</v>
      </c>
      <c r="C34" s="414" t="s">
        <v>100</v>
      </c>
      <c r="D34" s="414" t="s">
        <v>121</v>
      </c>
      <c r="E34" s="411">
        <v>11.05</v>
      </c>
      <c r="F34" s="411">
        <v>1.85</v>
      </c>
      <c r="G34" s="522">
        <f>E34-F34</f>
        <v>9.2000000000000011</v>
      </c>
      <c r="H34" s="553">
        <f>G34-G33</f>
        <v>2.5700000000000012</v>
      </c>
      <c r="I34" s="410"/>
      <c r="J34" s="410"/>
      <c r="K34" s="414"/>
      <c r="L34" s="410"/>
      <c r="M34" s="410"/>
      <c r="N34" s="420"/>
      <c r="O34" s="411"/>
      <c r="P34" s="411"/>
      <c r="Q34" s="411"/>
      <c r="R34" s="418"/>
      <c r="S34" s="426"/>
      <c r="T34" s="414"/>
      <c r="U34" s="410"/>
      <c r="V34" s="420"/>
      <c r="W34" s="410"/>
      <c r="X34" s="410"/>
      <c r="Y34" s="410"/>
      <c r="Z34" s="410"/>
    </row>
    <row r="35" spans="1:26" s="412" customFormat="1" ht="15">
      <c r="A35" s="409">
        <v>44911</v>
      </c>
      <c r="B35" s="410" t="s">
        <v>120</v>
      </c>
      <c r="C35" s="414" t="s">
        <v>100</v>
      </c>
      <c r="D35" s="414" t="s">
        <v>121</v>
      </c>
      <c r="E35" s="411">
        <v>13.75</v>
      </c>
      <c r="F35" s="411">
        <f>E35-G35</f>
        <v>4.5499999999999989</v>
      </c>
      <c r="G35" s="522">
        <f>G34</f>
        <v>9.2000000000000011</v>
      </c>
      <c r="H35" s="422"/>
      <c r="I35" s="410"/>
      <c r="J35" s="410"/>
      <c r="K35" s="414"/>
      <c r="L35" s="410"/>
      <c r="M35" s="410"/>
      <c r="N35" s="420"/>
      <c r="O35" s="411"/>
      <c r="P35" s="411"/>
      <c r="Q35" s="411"/>
      <c r="R35" s="418"/>
      <c r="S35" s="426"/>
      <c r="T35" s="414"/>
      <c r="U35" s="410"/>
      <c r="V35" s="420"/>
      <c r="W35" s="410"/>
      <c r="X35" s="410"/>
      <c r="Y35" s="410"/>
      <c r="Z35" s="410"/>
    </row>
    <row r="36" spans="1:26" s="412" customFormat="1" ht="15">
      <c r="A36" s="409">
        <v>45176</v>
      </c>
      <c r="B36" s="410" t="s">
        <v>127</v>
      </c>
      <c r="C36" s="414" t="s">
        <v>100</v>
      </c>
      <c r="D36" s="414" t="s">
        <v>53</v>
      </c>
      <c r="E36" s="411">
        <v>8</v>
      </c>
      <c r="F36" s="411">
        <v>1.59</v>
      </c>
      <c r="G36" s="522">
        <f>E36-F36</f>
        <v>6.41</v>
      </c>
      <c r="H36" s="553">
        <f>G36-G33</f>
        <v>-0.21999999999999975</v>
      </c>
      <c r="I36" s="410"/>
      <c r="J36" s="410"/>
      <c r="K36" s="414"/>
      <c r="L36" s="410"/>
      <c r="M36" s="410"/>
      <c r="N36" s="420"/>
      <c r="O36" s="411"/>
      <c r="P36" s="411"/>
      <c r="Q36" s="411">
        <f>(G36-G33)*0.9</f>
        <v>-0.19799999999999979</v>
      </c>
      <c r="R36" s="418" t="s">
        <v>284</v>
      </c>
      <c r="S36" s="426">
        <v>0</v>
      </c>
      <c r="T36" s="414"/>
      <c r="U36" s="410"/>
      <c r="V36" s="420"/>
      <c r="W36" s="410"/>
      <c r="X36" s="410"/>
      <c r="Y36" s="410"/>
      <c r="Z36" s="410"/>
    </row>
    <row r="37" spans="1:26" s="412" customFormat="1" ht="15">
      <c r="A37" s="409">
        <v>45176</v>
      </c>
      <c r="B37" s="410" t="s">
        <v>127</v>
      </c>
      <c r="C37" s="414" t="s">
        <v>100</v>
      </c>
      <c r="D37" s="414" t="s">
        <v>53</v>
      </c>
      <c r="E37" s="411">
        <v>8</v>
      </c>
      <c r="F37" s="411">
        <v>1.59</v>
      </c>
      <c r="G37" s="522">
        <f>E37-F37</f>
        <v>6.41</v>
      </c>
      <c r="H37" s="422"/>
      <c r="I37" s="410"/>
      <c r="J37" s="410"/>
      <c r="K37" s="414"/>
      <c r="L37" s="410"/>
      <c r="M37" s="410"/>
      <c r="N37" s="420"/>
      <c r="O37" s="411"/>
      <c r="P37" s="411"/>
      <c r="Q37" s="411"/>
      <c r="R37" s="418"/>
      <c r="S37" s="426"/>
      <c r="T37" s="414"/>
      <c r="U37" s="410"/>
      <c r="V37" s="420"/>
      <c r="W37" s="410"/>
      <c r="X37" s="410"/>
      <c r="Y37" s="410"/>
      <c r="Z37" s="410"/>
    </row>
    <row r="38" spans="1:26" ht="15">
      <c r="A38" s="100"/>
      <c r="B38" s="100"/>
      <c r="C38" s="360"/>
      <c r="D38" s="360"/>
      <c r="E38" s="101"/>
      <c r="F38" s="101"/>
      <c r="G38" s="352"/>
      <c r="H38" s="355"/>
      <c r="I38" s="100"/>
      <c r="J38" s="100"/>
      <c r="K38" s="360"/>
      <c r="L38" s="100"/>
      <c r="M38" s="100"/>
      <c r="N38" s="352"/>
      <c r="O38" s="101"/>
      <c r="P38" s="101"/>
      <c r="Q38" s="101"/>
      <c r="R38" s="549"/>
      <c r="S38" s="554"/>
      <c r="T38" s="551"/>
      <c r="U38" s="102"/>
      <c r="V38" s="4"/>
    </row>
    <row r="39" spans="1:26" ht="15">
      <c r="A39" s="487">
        <v>44678</v>
      </c>
      <c r="B39" s="484" t="s">
        <v>109</v>
      </c>
      <c r="C39" s="542" t="s">
        <v>114</v>
      </c>
      <c r="D39" s="542" t="s">
        <v>52</v>
      </c>
      <c r="E39" s="485">
        <v>12.2</v>
      </c>
      <c r="F39" s="485">
        <v>0.47</v>
      </c>
      <c r="G39" s="545">
        <f>E39-F39</f>
        <v>11.729999999999999</v>
      </c>
      <c r="H39" s="546"/>
      <c r="I39" s="485">
        <v>5.83</v>
      </c>
      <c r="J39" s="485">
        <v>5.83</v>
      </c>
      <c r="K39" s="541">
        <v>0.46</v>
      </c>
      <c r="L39" s="485">
        <f>G39-I39</f>
        <v>5.8999999999999986</v>
      </c>
      <c r="M39" s="484"/>
      <c r="N39" s="144"/>
      <c r="O39" s="485"/>
      <c r="P39" s="485">
        <f>J39*K39</f>
        <v>2.6818</v>
      </c>
      <c r="Q39" s="485"/>
      <c r="R39" s="550"/>
      <c r="S39" s="555"/>
      <c r="T39" s="552"/>
      <c r="U39" s="486"/>
      <c r="V39" s="548"/>
      <c r="W39" s="351"/>
      <c r="X39" s="351"/>
      <c r="Y39" s="351"/>
      <c r="Z39" s="351"/>
    </row>
    <row r="40" spans="1:26" ht="15">
      <c r="A40" s="487">
        <v>44821</v>
      </c>
      <c r="B40" s="484" t="s">
        <v>109</v>
      </c>
      <c r="C40" s="542" t="s">
        <v>114</v>
      </c>
      <c r="D40" s="542" t="s">
        <v>53</v>
      </c>
      <c r="E40" s="485">
        <v>6.1</v>
      </c>
      <c r="F40" s="485">
        <v>1.21</v>
      </c>
      <c r="G40" s="545">
        <f>E40-F40</f>
        <v>4.8899999999999997</v>
      </c>
      <c r="H40" s="546"/>
      <c r="I40" s="484"/>
      <c r="J40" s="484"/>
      <c r="K40" s="542"/>
      <c r="L40" s="484"/>
      <c r="M40" s="484"/>
      <c r="N40" s="144"/>
      <c r="O40" s="485">
        <f>Q40-P39</f>
        <v>-3.5907999999999989</v>
      </c>
      <c r="P40" s="485"/>
      <c r="Q40" s="485">
        <f>(G40-L39)*0.9</f>
        <v>-0.90899999999999903</v>
      </c>
      <c r="R40" s="550"/>
      <c r="S40" s="555">
        <v>0</v>
      </c>
      <c r="T40" s="552"/>
      <c r="U40" s="486"/>
      <c r="V40" s="548"/>
      <c r="W40" s="351"/>
      <c r="X40" s="351"/>
      <c r="Y40" s="351"/>
      <c r="Z40" s="351"/>
    </row>
    <row r="41" spans="1:26" ht="15">
      <c r="A41" s="487">
        <v>44821</v>
      </c>
      <c r="B41" s="484" t="s">
        <v>109</v>
      </c>
      <c r="C41" s="542" t="s">
        <v>114</v>
      </c>
      <c r="D41" s="542" t="s">
        <v>53</v>
      </c>
      <c r="E41" s="485">
        <v>9.15</v>
      </c>
      <c r="F41" s="485">
        <f>E41-G41</f>
        <v>4.2600000000000007</v>
      </c>
      <c r="G41" s="144">
        <v>4.8899999999999997</v>
      </c>
      <c r="H41" s="546"/>
      <c r="I41" s="484"/>
      <c r="J41" s="484"/>
      <c r="K41" s="542"/>
      <c r="L41" s="484"/>
      <c r="M41" s="484"/>
      <c r="N41" s="144"/>
      <c r="O41" s="485"/>
      <c r="P41" s="485"/>
      <c r="Q41" s="485"/>
      <c r="R41" s="550"/>
      <c r="S41" s="555"/>
      <c r="T41" s="552"/>
      <c r="U41" s="486"/>
      <c r="V41" s="548"/>
      <c r="W41" s="351"/>
      <c r="X41" s="351"/>
      <c r="Y41" s="351"/>
      <c r="Z41" s="351"/>
    </row>
    <row r="42" spans="1:26" ht="15">
      <c r="A42" s="487">
        <v>44911</v>
      </c>
      <c r="B42" s="484" t="s">
        <v>122</v>
      </c>
      <c r="C42" s="542" t="s">
        <v>114</v>
      </c>
      <c r="D42" s="542" t="s">
        <v>121</v>
      </c>
      <c r="E42" s="485">
        <v>9.15</v>
      </c>
      <c r="F42" s="485">
        <v>1.75</v>
      </c>
      <c r="G42" s="545">
        <f>E42-F42</f>
        <v>7.4</v>
      </c>
      <c r="H42" s="557">
        <f>G42-G41</f>
        <v>2.5100000000000007</v>
      </c>
      <c r="I42" s="484"/>
      <c r="J42" s="484"/>
      <c r="K42" s="542"/>
      <c r="L42" s="484"/>
      <c r="M42" s="484"/>
      <c r="N42" s="144"/>
      <c r="O42" s="485"/>
      <c r="P42" s="485"/>
      <c r="Q42" s="485"/>
      <c r="R42" s="550"/>
      <c r="S42" s="555"/>
      <c r="T42" s="552"/>
      <c r="U42" s="486"/>
      <c r="V42" s="548"/>
      <c r="W42" s="351"/>
      <c r="X42" s="351"/>
      <c r="Y42" s="351"/>
      <c r="Z42" s="351"/>
    </row>
    <row r="43" spans="1:26" ht="15">
      <c r="A43" s="487">
        <v>45176</v>
      </c>
      <c r="B43" s="484" t="s">
        <v>127</v>
      </c>
      <c r="C43" s="542" t="s">
        <v>114</v>
      </c>
      <c r="D43" s="542" t="s">
        <v>53</v>
      </c>
      <c r="E43" s="485">
        <v>6.1</v>
      </c>
      <c r="F43" s="485">
        <v>1.92</v>
      </c>
      <c r="G43" s="545">
        <f>E43-F43</f>
        <v>4.18</v>
      </c>
      <c r="H43" s="557">
        <f>G43-G41</f>
        <v>-0.71</v>
      </c>
      <c r="I43" s="484"/>
      <c r="J43" s="484"/>
      <c r="K43" s="542"/>
      <c r="L43" s="484"/>
      <c r="M43" s="484"/>
      <c r="N43" s="144"/>
      <c r="O43" s="485"/>
      <c r="P43" s="485"/>
      <c r="Q43" s="485">
        <f>(G43-G41)*0.9</f>
        <v>-0.63900000000000001</v>
      </c>
      <c r="R43" s="550" t="s">
        <v>284</v>
      </c>
      <c r="S43" s="555">
        <v>0</v>
      </c>
      <c r="T43" s="552"/>
      <c r="U43" s="486"/>
      <c r="V43" s="548"/>
      <c r="W43" s="351"/>
      <c r="X43" s="351"/>
      <c r="Y43" s="351"/>
      <c r="Z43" s="351"/>
    </row>
    <row r="44" spans="1:26" ht="15">
      <c r="A44" s="487">
        <v>45176</v>
      </c>
      <c r="B44" s="484" t="s">
        <v>127</v>
      </c>
      <c r="C44" s="542" t="s">
        <v>114</v>
      </c>
      <c r="D44" s="542" t="s">
        <v>53</v>
      </c>
      <c r="E44" s="485">
        <v>3.05</v>
      </c>
      <c r="F44" s="485">
        <f>E44-G44</f>
        <v>-1.1299999999999999</v>
      </c>
      <c r="G44" s="144">
        <v>4.18</v>
      </c>
      <c r="H44" s="546"/>
      <c r="I44" s="484"/>
      <c r="J44" s="484"/>
      <c r="K44" s="542"/>
      <c r="L44" s="484"/>
      <c r="M44" s="484"/>
      <c r="N44" s="144"/>
      <c r="O44" s="485"/>
      <c r="P44" s="485"/>
      <c r="Q44" s="485"/>
      <c r="R44" s="550"/>
      <c r="S44" s="555"/>
      <c r="T44" s="552"/>
      <c r="U44" s="486"/>
      <c r="V44" s="548"/>
      <c r="W44" s="351"/>
      <c r="X44" s="351"/>
      <c r="Y44" s="351"/>
      <c r="Z44" s="351"/>
    </row>
    <row r="45" spans="1:26" ht="15">
      <c r="A45" s="100"/>
      <c r="B45" s="100"/>
      <c r="C45" s="100"/>
      <c r="D45" s="100"/>
      <c r="E45" s="101"/>
      <c r="F45" s="101"/>
      <c r="G45" s="100"/>
      <c r="H45" s="100"/>
      <c r="I45" s="100"/>
      <c r="J45" s="100"/>
      <c r="K45" s="100"/>
      <c r="L45" s="100"/>
      <c r="M45" s="100"/>
      <c r="N45" s="100"/>
      <c r="O45" s="100"/>
      <c r="P45" s="100"/>
      <c r="Q45" s="101"/>
      <c r="R45" s="102"/>
      <c r="S45" s="102"/>
      <c r="T45" s="102"/>
      <c r="U45" s="102"/>
    </row>
    <row r="46" spans="1:26" s="429" customFormat="1" ht="15">
      <c r="A46" s="576">
        <v>45052</v>
      </c>
      <c r="B46" s="573" t="s">
        <v>109</v>
      </c>
      <c r="C46" s="573" t="s">
        <v>130</v>
      </c>
      <c r="D46" s="573" t="s">
        <v>52</v>
      </c>
      <c r="E46" s="574">
        <v>12.2</v>
      </c>
      <c r="F46" s="574">
        <v>0.73</v>
      </c>
      <c r="G46" s="574">
        <f>E46-F46</f>
        <v>11.469999999999999</v>
      </c>
      <c r="H46" s="573"/>
      <c r="I46" s="573"/>
      <c r="J46" s="574">
        <f>AVERAGE(4.76,4.78,4.77,4.78)</f>
        <v>4.7725</v>
      </c>
      <c r="K46" s="574">
        <f>'20230505_PitCoreTU'!I4</f>
        <v>0.40626275694089986</v>
      </c>
      <c r="L46" s="574">
        <f>G46-J46</f>
        <v>6.6974999999999989</v>
      </c>
      <c r="M46" s="573"/>
      <c r="N46" s="573"/>
      <c r="O46" s="573"/>
      <c r="P46" s="574">
        <f>J46*K46</f>
        <v>1.9388890075004446</v>
      </c>
      <c r="Q46" s="574"/>
      <c r="R46" s="575"/>
      <c r="S46" s="575"/>
      <c r="T46" s="575">
        <v>396638.63699999999</v>
      </c>
      <c r="U46" s="575">
        <v>6698075.5769999996</v>
      </c>
      <c r="V46" s="429">
        <v>1234.595</v>
      </c>
    </row>
    <row r="47" spans="1:26" s="429" customFormat="1" ht="15">
      <c r="A47" s="576">
        <v>45176</v>
      </c>
      <c r="B47" s="573" t="s">
        <v>127</v>
      </c>
      <c r="C47" s="573" t="s">
        <v>130</v>
      </c>
      <c r="D47" s="573" t="s">
        <v>53</v>
      </c>
      <c r="E47" s="574">
        <v>6.1</v>
      </c>
      <c r="F47" s="574">
        <v>0.28000000000000003</v>
      </c>
      <c r="G47" s="574">
        <f>E47-F47</f>
        <v>5.8199999999999994</v>
      </c>
      <c r="H47" s="573"/>
      <c r="I47" s="573"/>
      <c r="J47" s="574"/>
      <c r="K47" s="574"/>
      <c r="L47" s="573"/>
      <c r="M47" s="573"/>
      <c r="N47" s="573"/>
      <c r="O47" s="574">
        <f>Q47-P46</f>
        <v>-2.7286390075004441</v>
      </c>
      <c r="P47" s="574"/>
      <c r="Q47" s="574">
        <f>(G47-L46)*0.9</f>
        <v>-0.78974999999999962</v>
      </c>
      <c r="R47" s="575"/>
      <c r="S47" s="575">
        <v>0</v>
      </c>
      <c r="T47" s="575"/>
      <c r="U47" s="575"/>
    </row>
    <row r="48" spans="1:26" s="429" customFormat="1" ht="15">
      <c r="A48" s="576">
        <v>45176</v>
      </c>
      <c r="B48" s="573" t="s">
        <v>127</v>
      </c>
      <c r="C48" s="573" t="s">
        <v>130</v>
      </c>
      <c r="D48" s="573" t="s">
        <v>53</v>
      </c>
      <c r="E48" s="574">
        <v>10.15</v>
      </c>
      <c r="F48" s="574">
        <f>E48-G48</f>
        <v>4.330000000000001</v>
      </c>
      <c r="G48" s="574">
        <f>G47</f>
        <v>5.8199999999999994</v>
      </c>
      <c r="H48" s="573"/>
      <c r="I48" s="573"/>
      <c r="J48" s="574"/>
      <c r="K48" s="574"/>
      <c r="L48" s="573"/>
      <c r="M48" s="573"/>
      <c r="N48" s="573"/>
      <c r="O48" s="573"/>
      <c r="P48" s="574"/>
      <c r="Q48" s="574"/>
      <c r="R48" s="575"/>
      <c r="S48" s="575"/>
      <c r="T48" s="575"/>
      <c r="U48" s="575"/>
    </row>
    <row r="49" spans="1:21" ht="15">
      <c r="A49" s="100"/>
      <c r="B49" s="100"/>
      <c r="C49" s="100"/>
      <c r="D49" s="100"/>
      <c r="E49" s="101"/>
      <c r="F49" s="101"/>
      <c r="G49" s="100"/>
      <c r="H49" s="100"/>
      <c r="I49" s="100"/>
      <c r="J49" s="100"/>
      <c r="K49" s="100"/>
      <c r="L49" s="100"/>
      <c r="M49" s="100"/>
      <c r="N49" s="100"/>
      <c r="O49" s="100"/>
      <c r="P49" s="100"/>
      <c r="Q49" s="101"/>
      <c r="R49" s="102"/>
      <c r="S49" s="102"/>
      <c r="T49" s="102"/>
      <c r="U49" s="102"/>
    </row>
    <row r="50" spans="1:21" thickBot="1">
      <c r="A50" s="100"/>
      <c r="B50" s="100"/>
      <c r="C50" s="100"/>
      <c r="D50" s="100"/>
      <c r="E50" s="101"/>
      <c r="F50" s="101"/>
      <c r="G50" s="100"/>
      <c r="H50" s="100"/>
      <c r="I50" s="100"/>
      <c r="J50" s="100"/>
      <c r="K50" s="100"/>
      <c r="L50" s="100"/>
      <c r="M50" s="100"/>
      <c r="N50" s="100"/>
      <c r="O50" s="100"/>
      <c r="P50" s="100"/>
      <c r="Q50" s="101"/>
      <c r="R50" s="102"/>
      <c r="S50" s="102"/>
      <c r="T50" s="102"/>
      <c r="U50" s="102"/>
    </row>
    <row r="51" spans="1:21" ht="14.45" customHeight="1">
      <c r="A51" s="941" t="s">
        <v>37</v>
      </c>
      <c r="B51" s="942"/>
      <c r="C51" s="945" t="s">
        <v>38</v>
      </c>
      <c r="D51" s="946"/>
      <c r="E51" s="103" t="s">
        <v>39</v>
      </c>
      <c r="F51" s="104"/>
      <c r="G51" s="103" t="s">
        <v>40</v>
      </c>
      <c r="H51" s="104"/>
      <c r="I51" s="105" t="s">
        <v>41</v>
      </c>
      <c r="Q51" s="925"/>
      <c r="R51" s="68"/>
      <c r="S51" s="68"/>
      <c r="T51" s="68"/>
      <c r="U51" s="102"/>
    </row>
    <row r="52" spans="1:21" ht="14.45" customHeight="1">
      <c r="A52" s="943"/>
      <c r="B52" s="944"/>
      <c r="C52" s="106" t="s">
        <v>42</v>
      </c>
      <c r="D52" s="106" t="s">
        <v>43</v>
      </c>
      <c r="E52" s="107">
        <f>A41</f>
        <v>44821</v>
      </c>
      <c r="F52" s="108" t="s">
        <v>44</v>
      </c>
      <c r="G52" s="109">
        <f>A46</f>
        <v>45052</v>
      </c>
      <c r="H52" s="108" t="s">
        <v>44</v>
      </c>
      <c r="I52" s="110">
        <f>A48</f>
        <v>45176</v>
      </c>
      <c r="Q52" s="925"/>
      <c r="R52" s="111"/>
      <c r="S52" s="111"/>
      <c r="T52" s="68"/>
      <c r="U52" s="102"/>
    </row>
    <row r="53" spans="1:21" ht="15">
      <c r="A53" s="112"/>
      <c r="B53" s="113" t="s">
        <v>45</v>
      </c>
      <c r="C53" s="114">
        <f>P46</f>
        <v>1.9388890075004446</v>
      </c>
      <c r="D53" s="114"/>
      <c r="E53" s="115"/>
      <c r="F53" s="115"/>
      <c r="G53" s="116"/>
      <c r="H53" s="114"/>
      <c r="I53" s="117"/>
      <c r="Q53" s="925"/>
      <c r="R53" s="111"/>
      <c r="S53" s="111"/>
      <c r="T53" s="68"/>
      <c r="U53" s="102"/>
    </row>
    <row r="54" spans="1:21" ht="15">
      <c r="A54" s="112"/>
      <c r="B54" s="113" t="s">
        <v>46</v>
      </c>
      <c r="C54" s="114">
        <f>C55-C53</f>
        <v>-2.7286390075004441</v>
      </c>
      <c r="D54" s="114"/>
      <c r="E54" s="115"/>
      <c r="F54" s="115"/>
      <c r="G54" s="116"/>
      <c r="H54" s="114"/>
      <c r="I54" s="117"/>
      <c r="Q54" s="925"/>
      <c r="R54" s="111"/>
      <c r="S54" s="111"/>
      <c r="T54" s="68"/>
      <c r="U54" s="102"/>
    </row>
    <row r="55" spans="1:21" ht="15">
      <c r="A55" s="112"/>
      <c r="B55" s="113" t="s">
        <v>47</v>
      </c>
      <c r="C55" s="114">
        <f>AVERAGE(Q47)</f>
        <v>-0.78974999999999962</v>
      </c>
      <c r="D55" s="114"/>
      <c r="E55" s="115"/>
      <c r="F55" s="115"/>
      <c r="G55" s="116"/>
      <c r="H55" s="114"/>
      <c r="I55" s="117"/>
      <c r="Q55" s="925"/>
      <c r="R55" s="111"/>
      <c r="S55" s="111"/>
      <c r="T55" s="68"/>
      <c r="U55" s="102"/>
    </row>
    <row r="56" spans="1:21" ht="15">
      <c r="A56" s="112"/>
      <c r="B56" s="118" t="s">
        <v>48</v>
      </c>
      <c r="C56" s="114">
        <f>S40</f>
        <v>0</v>
      </c>
      <c r="D56" s="114"/>
      <c r="E56" s="115"/>
      <c r="F56" s="115"/>
      <c r="G56" s="114"/>
      <c r="H56" s="114"/>
      <c r="I56" s="117"/>
      <c r="Q56" s="925"/>
      <c r="R56" s="111"/>
      <c r="S56" s="111"/>
      <c r="T56" s="68"/>
      <c r="U56" s="102"/>
    </row>
    <row r="57" spans="1:21" ht="15">
      <c r="A57" s="112"/>
      <c r="B57" s="119" t="s">
        <v>49</v>
      </c>
      <c r="C57" s="114" t="s">
        <v>284</v>
      </c>
      <c r="D57" s="114"/>
      <c r="E57" s="115"/>
      <c r="F57" s="115"/>
      <c r="G57" s="114"/>
      <c r="H57" s="114"/>
      <c r="I57" s="117"/>
      <c r="Q57" s="925"/>
      <c r="R57" s="111"/>
      <c r="S57" s="111"/>
      <c r="T57" s="68"/>
      <c r="U57" s="102"/>
    </row>
    <row r="58" spans="1:21" thickBot="1">
      <c r="A58" s="120"/>
      <c r="B58" s="121" t="s">
        <v>50</v>
      </c>
      <c r="C58" s="122">
        <f>S47</f>
        <v>0</v>
      </c>
      <c r="D58" s="122"/>
      <c r="E58" s="123"/>
      <c r="F58" s="123"/>
      <c r="G58" s="124"/>
      <c r="H58" s="124"/>
      <c r="I58" s="125"/>
      <c r="Q58" s="925"/>
      <c r="R58" s="111"/>
      <c r="S58" s="111"/>
      <c r="T58" s="68"/>
      <c r="U58" s="102"/>
    </row>
    <row r="59" spans="1:21" ht="15">
      <c r="A59" s="102"/>
      <c r="B59" s="102"/>
      <c r="C59" s="102"/>
      <c r="D59" s="102"/>
      <c r="E59" s="102"/>
      <c r="F59" s="102"/>
      <c r="G59" s="102"/>
      <c r="H59" s="102"/>
      <c r="I59" s="102"/>
      <c r="J59" s="102"/>
      <c r="K59" s="102"/>
      <c r="L59" s="102"/>
      <c r="M59" s="102"/>
      <c r="N59" s="102"/>
      <c r="O59" s="102"/>
      <c r="P59" s="102"/>
      <c r="Q59" s="926"/>
      <c r="R59" s="68"/>
      <c r="S59" s="68"/>
      <c r="T59" s="68"/>
      <c r="U59" s="102"/>
    </row>
  </sheetData>
  <mergeCells count="6">
    <mergeCell ref="T1:V1"/>
    <mergeCell ref="T2:U2"/>
    <mergeCell ref="E3:G3"/>
    <mergeCell ref="T3:U3"/>
    <mergeCell ref="A51:B52"/>
    <mergeCell ref="C51:D5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8"/>
  <sheetViews>
    <sheetView topLeftCell="A4" zoomScale="70" zoomScaleNormal="80" workbookViewId="0">
      <pane ySplit="1" topLeftCell="A5" activePane="bottomLeft" state="frozen"/>
      <selection activeCell="A4" sqref="A4"/>
      <selection pane="bottomLeft" activeCell="J27" sqref="J27"/>
    </sheetView>
  </sheetViews>
  <sheetFormatPr defaultColWidth="17.42578125" defaultRowHeight="15.75" customHeight="1"/>
  <cols>
    <col min="1" max="1" width="12.42578125" style="2" customWidth="1"/>
    <col min="2" max="2" width="27.42578125" style="2" customWidth="1"/>
    <col min="3" max="3" width="11.42578125" style="2" bestFit="1" customWidth="1"/>
    <col min="4" max="4" width="20" style="2" bestFit="1" customWidth="1"/>
    <col min="5" max="5" width="10.5703125" style="2" bestFit="1" customWidth="1"/>
    <col min="6" max="7" width="13.5703125" style="2" bestFit="1" customWidth="1"/>
    <col min="8" max="8" width="14.42578125" style="2" bestFit="1" customWidth="1"/>
    <col min="9" max="9" width="17.42578125" style="2" bestFit="1" customWidth="1"/>
    <col min="10" max="10" width="19.5703125" style="3" bestFit="1" customWidth="1"/>
    <col min="11" max="11" width="16.42578125" style="2" bestFit="1" customWidth="1"/>
    <col min="12" max="12" width="18" style="2" customWidth="1"/>
    <col min="13" max="13" width="22.140625" style="2" customWidth="1"/>
    <col min="14" max="14" width="11.5703125" style="2" bestFit="1" customWidth="1"/>
    <col min="15" max="15" width="11.42578125" style="2" bestFit="1" customWidth="1"/>
    <col min="16" max="16" width="7.85546875" style="2" bestFit="1" customWidth="1"/>
    <col min="17" max="17" width="7.85546875" style="3" bestFit="1" customWidth="1"/>
    <col min="18" max="18" width="14.5703125" style="2" bestFit="1" customWidth="1"/>
    <col min="19" max="19" width="20.5703125" style="2" bestFit="1" customWidth="1"/>
    <col min="20" max="20" width="21" style="2" bestFit="1" customWidth="1"/>
    <col min="21" max="21" width="8.5703125" style="2" bestFit="1" customWidth="1"/>
    <col min="22" max="16384" width="17.42578125" style="2"/>
  </cols>
  <sheetData>
    <row r="1" spans="1:23" ht="15">
      <c r="A1" s="5"/>
      <c r="B1" s="6"/>
      <c r="C1" s="7"/>
      <c r="D1" s="8"/>
      <c r="E1" s="9"/>
      <c r="F1" s="10"/>
      <c r="G1" s="11"/>
      <c r="H1" s="12"/>
      <c r="I1" s="11"/>
      <c r="J1" s="927"/>
      <c r="K1" s="10"/>
      <c r="L1" s="14"/>
      <c r="M1" s="15"/>
      <c r="N1" s="11"/>
      <c r="O1" s="16"/>
      <c r="P1" s="17"/>
      <c r="Q1" s="917"/>
      <c r="R1" s="17"/>
      <c r="S1" s="18"/>
      <c r="T1" s="947" t="s">
        <v>9</v>
      </c>
      <c r="U1" s="948"/>
      <c r="V1" s="949"/>
      <c r="W1" s="19"/>
    </row>
    <row r="2" spans="1:23" ht="15">
      <c r="A2" s="20"/>
      <c r="B2" s="21"/>
      <c r="C2" s="22"/>
      <c r="D2" s="23"/>
      <c r="E2" s="159"/>
      <c r="F2" s="160"/>
      <c r="G2" s="24"/>
      <c r="H2" s="25"/>
      <c r="I2" s="24"/>
      <c r="J2" s="128"/>
      <c r="K2" s="27"/>
      <c r="L2" s="28"/>
      <c r="M2" s="29"/>
      <c r="N2" s="26"/>
      <c r="O2" s="1"/>
      <c r="S2" s="4"/>
      <c r="T2" s="950" t="s">
        <v>10</v>
      </c>
      <c r="U2" s="951"/>
      <c r="V2" s="161"/>
      <c r="W2" s="30"/>
    </row>
    <row r="3" spans="1:23" ht="15">
      <c r="A3" s="20"/>
      <c r="B3" s="21"/>
      <c r="C3" s="22"/>
      <c r="D3" s="31"/>
      <c r="E3" s="936" t="s">
        <v>11</v>
      </c>
      <c r="F3" s="937"/>
      <c r="G3" s="938"/>
      <c r="H3" s="32"/>
      <c r="I3" s="160"/>
      <c r="J3" s="128"/>
      <c r="K3" s="160"/>
      <c r="L3" s="33"/>
      <c r="M3" s="34"/>
      <c r="N3" s="26"/>
      <c r="O3" s="35"/>
      <c r="P3" s="26"/>
      <c r="Q3" s="128"/>
      <c r="R3" s="36"/>
      <c r="S3" s="37"/>
      <c r="T3" s="939" t="s">
        <v>12</v>
      </c>
      <c r="U3" s="940"/>
      <c r="V3" s="161"/>
      <c r="W3" s="38"/>
    </row>
    <row r="4" spans="1:23" s="52" customFormat="1" ht="38.25">
      <c r="A4" s="39" t="s">
        <v>13</v>
      </c>
      <c r="B4" s="40" t="s">
        <v>14</v>
      </c>
      <c r="C4" s="41" t="s">
        <v>15</v>
      </c>
      <c r="D4" s="42" t="s">
        <v>16</v>
      </c>
      <c r="E4" s="43" t="s">
        <v>17</v>
      </c>
      <c r="F4" s="40" t="s">
        <v>18</v>
      </c>
      <c r="G4" s="44" t="s">
        <v>19</v>
      </c>
      <c r="H4" s="45" t="s">
        <v>20</v>
      </c>
      <c r="I4" s="44" t="s">
        <v>21</v>
      </c>
      <c r="J4" s="129" t="s">
        <v>22</v>
      </c>
      <c r="K4" s="40" t="s">
        <v>23</v>
      </c>
      <c r="L4" s="46" t="s">
        <v>24</v>
      </c>
      <c r="M4" s="46" t="s">
        <v>25</v>
      </c>
      <c r="N4" s="44" t="s">
        <v>26</v>
      </c>
      <c r="O4" s="47" t="s">
        <v>27</v>
      </c>
      <c r="P4" s="44" t="s">
        <v>28</v>
      </c>
      <c r="Q4" s="129" t="s">
        <v>29</v>
      </c>
      <c r="R4" s="48" t="s">
        <v>7</v>
      </c>
      <c r="S4" s="49" t="s">
        <v>8</v>
      </c>
      <c r="T4" s="50" t="s">
        <v>30</v>
      </c>
      <c r="U4" s="50" t="s">
        <v>31</v>
      </c>
      <c r="V4" s="51" t="s">
        <v>2</v>
      </c>
      <c r="W4" s="41" t="s">
        <v>32</v>
      </c>
    </row>
    <row r="5" spans="1:23" thickBot="1">
      <c r="A5" s="53" t="s">
        <v>33</v>
      </c>
      <c r="B5" s="54"/>
      <c r="C5" s="55"/>
      <c r="D5" s="56"/>
      <c r="E5" s="57" t="s">
        <v>34</v>
      </c>
      <c r="F5" s="57" t="s">
        <v>34</v>
      </c>
      <c r="G5" s="226" t="s">
        <v>34</v>
      </c>
      <c r="H5" s="227" t="s">
        <v>34</v>
      </c>
      <c r="I5" s="57" t="s">
        <v>34</v>
      </c>
      <c r="J5" s="65" t="s">
        <v>34</v>
      </c>
      <c r="K5" s="58" t="s">
        <v>35</v>
      </c>
      <c r="L5" s="230" t="s">
        <v>34</v>
      </c>
      <c r="M5" s="60" t="s">
        <v>34</v>
      </c>
      <c r="N5" s="60" t="s">
        <v>35</v>
      </c>
      <c r="O5" s="61" t="s">
        <v>36</v>
      </c>
      <c r="P5" s="62" t="s">
        <v>36</v>
      </c>
      <c r="Q5" s="918" t="s">
        <v>36</v>
      </c>
      <c r="R5" s="63" t="s">
        <v>36</v>
      </c>
      <c r="S5" s="64" t="s">
        <v>36</v>
      </c>
      <c r="T5" s="65" t="s">
        <v>34</v>
      </c>
      <c r="U5" s="65" t="s">
        <v>34</v>
      </c>
      <c r="V5" s="66" t="s">
        <v>34</v>
      </c>
      <c r="W5" s="67"/>
    </row>
    <row r="6" spans="1:23" s="333" customFormat="1" ht="15">
      <c r="A6" s="329">
        <v>44304</v>
      </c>
      <c r="B6" s="330" t="s">
        <v>93</v>
      </c>
      <c r="C6" s="335" t="s">
        <v>94</v>
      </c>
      <c r="D6" s="334" t="s">
        <v>52</v>
      </c>
      <c r="E6" s="331">
        <v>12.2</v>
      </c>
      <c r="F6" s="331">
        <v>-0.66</v>
      </c>
      <c r="G6" s="336">
        <f>E6-F6</f>
        <v>12.86</v>
      </c>
      <c r="H6" s="337"/>
      <c r="I6" s="330"/>
      <c r="J6" s="331">
        <v>5.0599999999999996</v>
      </c>
      <c r="K6" s="335">
        <v>0.43</v>
      </c>
      <c r="L6" s="339">
        <f>G6-J6</f>
        <v>7.8</v>
      </c>
      <c r="M6" s="330"/>
      <c r="N6" s="338"/>
      <c r="O6" s="330"/>
      <c r="P6" s="331">
        <f>K6*J6</f>
        <v>2.1757999999999997</v>
      </c>
      <c r="Q6" s="331"/>
      <c r="R6" s="332"/>
      <c r="S6" s="340"/>
      <c r="T6" s="332"/>
      <c r="U6" s="332"/>
      <c r="V6" s="342"/>
    </row>
    <row r="7" spans="1:23" s="333" customFormat="1" ht="15">
      <c r="A7" s="329">
        <v>44438</v>
      </c>
      <c r="B7" s="330" t="s">
        <v>106</v>
      </c>
      <c r="C7" s="335" t="s">
        <v>94</v>
      </c>
      <c r="D7" s="334" t="s">
        <v>62</v>
      </c>
      <c r="E7" s="331">
        <v>13.2</v>
      </c>
      <c r="F7" s="331">
        <f>E7-G7</f>
        <v>4.18</v>
      </c>
      <c r="G7" s="336">
        <v>9.02</v>
      </c>
      <c r="H7" s="457">
        <f>G7-G6</f>
        <v>-3.84</v>
      </c>
      <c r="I7" s="331">
        <f>G7-L6</f>
        <v>1.2199999999999998</v>
      </c>
      <c r="J7" s="331">
        <v>1.405</v>
      </c>
      <c r="K7" s="335">
        <v>0.6</v>
      </c>
      <c r="L7" s="334"/>
      <c r="M7" s="330"/>
      <c r="N7" s="338"/>
      <c r="O7" s="331">
        <f>Q7-P6</f>
        <v>-1.3327999999999998</v>
      </c>
      <c r="P7" s="330"/>
      <c r="Q7" s="331">
        <f>J7*K7</f>
        <v>0.84299999999999997</v>
      </c>
      <c r="R7" s="332"/>
      <c r="S7" s="340"/>
      <c r="T7" s="332"/>
      <c r="U7" s="332"/>
      <c r="V7" s="342"/>
    </row>
    <row r="8" spans="1:23" s="333" customFormat="1" ht="15">
      <c r="A8" s="329">
        <v>44446</v>
      </c>
      <c r="B8" s="330" t="s">
        <v>93</v>
      </c>
      <c r="C8" s="335" t="s">
        <v>94</v>
      </c>
      <c r="D8" s="334" t="s">
        <v>62</v>
      </c>
      <c r="E8" s="331">
        <v>13.2</v>
      </c>
      <c r="F8" s="331">
        <f>E8-G8</f>
        <v>4.4699999999999989</v>
      </c>
      <c r="G8" s="336">
        <v>8.73</v>
      </c>
      <c r="H8" s="457">
        <f>G8-G7</f>
        <v>-0.28999999999999915</v>
      </c>
      <c r="I8" s="331"/>
      <c r="J8" s="331">
        <f>J7+H8</f>
        <v>1.1150000000000009</v>
      </c>
      <c r="K8" s="335">
        <v>0.6</v>
      </c>
      <c r="L8" s="334"/>
      <c r="M8" s="330"/>
      <c r="N8" s="338"/>
      <c r="O8" s="331">
        <f>Q8-P6</f>
        <v>-1.5067999999999993</v>
      </c>
      <c r="P8" s="330"/>
      <c r="Q8" s="331">
        <f>J8*K8</f>
        <v>0.66900000000000048</v>
      </c>
      <c r="R8" s="332"/>
      <c r="S8" s="340">
        <v>0</v>
      </c>
      <c r="T8" s="332"/>
      <c r="U8" s="332"/>
      <c r="V8" s="342"/>
    </row>
    <row r="9" spans="1:23" s="333" customFormat="1" ht="15">
      <c r="A9" s="329">
        <v>44509</v>
      </c>
      <c r="B9" s="330" t="s">
        <v>93</v>
      </c>
      <c r="C9" s="335" t="s">
        <v>94</v>
      </c>
      <c r="D9" s="334" t="s">
        <v>52</v>
      </c>
      <c r="E9" s="331">
        <f>E8+2.58</f>
        <v>15.78</v>
      </c>
      <c r="F9" s="331">
        <f>E9-G9</f>
        <v>3.5</v>
      </c>
      <c r="G9" s="336">
        <v>12.28</v>
      </c>
      <c r="H9" s="457">
        <f>G9-G8</f>
        <v>3.5499999999999989</v>
      </c>
      <c r="I9" s="331">
        <v>3.58</v>
      </c>
      <c r="J9" s="331"/>
      <c r="K9" s="335"/>
      <c r="L9" s="339">
        <f>G9-I9</f>
        <v>8.6999999999999993</v>
      </c>
      <c r="M9" s="330"/>
      <c r="N9" s="338"/>
      <c r="O9" s="331"/>
      <c r="P9" s="330"/>
      <c r="Q9" s="331"/>
      <c r="R9" s="332">
        <f>(H9-I9)*K8</f>
        <v>-1.8000000000000682E-2</v>
      </c>
      <c r="S9" s="340"/>
      <c r="T9" s="332"/>
      <c r="U9" s="332"/>
      <c r="V9" s="342"/>
    </row>
    <row r="10" spans="1:23" s="333" customFormat="1" ht="15">
      <c r="A10" s="329">
        <v>44592</v>
      </c>
      <c r="B10" s="330" t="s">
        <v>103</v>
      </c>
      <c r="C10" s="335" t="s">
        <v>94</v>
      </c>
      <c r="D10" s="334" t="s">
        <v>52</v>
      </c>
      <c r="E10" s="331">
        <v>15.78</v>
      </c>
      <c r="F10" s="331">
        <v>2.37</v>
      </c>
      <c r="G10" s="336">
        <f>E10-F10</f>
        <v>13.41</v>
      </c>
      <c r="H10" s="457"/>
      <c r="I10" s="331"/>
      <c r="J10" s="331"/>
      <c r="K10" s="335"/>
      <c r="L10" s="339"/>
      <c r="M10" s="330"/>
      <c r="N10" s="338"/>
      <c r="O10" s="331"/>
      <c r="P10" s="330"/>
      <c r="Q10" s="331"/>
      <c r="R10" s="332"/>
      <c r="S10" s="340"/>
      <c r="T10" s="332"/>
      <c r="U10" s="332"/>
      <c r="V10" s="342"/>
    </row>
    <row r="11" spans="1:23" s="333" customFormat="1" ht="15">
      <c r="A11" s="329">
        <v>44592</v>
      </c>
      <c r="B11" s="330" t="s">
        <v>103</v>
      </c>
      <c r="C11" s="335" t="s">
        <v>94</v>
      </c>
      <c r="D11" s="334" t="s">
        <v>52</v>
      </c>
      <c r="E11" s="331">
        <v>17.43</v>
      </c>
      <c r="F11" s="331">
        <f>E11-G10</f>
        <v>4.0199999999999996</v>
      </c>
      <c r="G11" s="336">
        <f>E11-F11</f>
        <v>13.41</v>
      </c>
      <c r="H11" s="457">
        <f>G11-G8</f>
        <v>4.68</v>
      </c>
      <c r="I11" s="331"/>
      <c r="J11" s="331"/>
      <c r="K11" s="335"/>
      <c r="L11" s="339"/>
      <c r="M11" s="330"/>
      <c r="N11" s="338"/>
      <c r="O11" s="331"/>
      <c r="P11" s="331"/>
      <c r="Q11" s="331"/>
      <c r="R11" s="494"/>
      <c r="S11" s="495"/>
      <c r="T11" s="332"/>
      <c r="U11" s="332"/>
      <c r="V11" s="342"/>
    </row>
    <row r="12" spans="1:23" s="333" customFormat="1" ht="15">
      <c r="A12" s="329">
        <v>44677</v>
      </c>
      <c r="B12" s="330" t="s">
        <v>109</v>
      </c>
      <c r="C12" s="335" t="s">
        <v>94</v>
      </c>
      <c r="D12" s="334" t="s">
        <v>52</v>
      </c>
      <c r="E12" s="331">
        <v>17.43</v>
      </c>
      <c r="F12" s="331">
        <v>1.52</v>
      </c>
      <c r="G12" s="336">
        <f>E12-F12</f>
        <v>15.91</v>
      </c>
      <c r="H12" s="457"/>
      <c r="I12" s="331"/>
      <c r="J12" s="331"/>
      <c r="K12" s="335"/>
      <c r="L12" s="339"/>
      <c r="M12" s="330"/>
      <c r="N12" s="338"/>
      <c r="O12" s="331"/>
      <c r="P12" s="331"/>
      <c r="Q12" s="331"/>
      <c r="R12" s="494"/>
      <c r="S12" s="495"/>
      <c r="T12" s="332"/>
      <c r="U12" s="332"/>
      <c r="V12" s="342"/>
    </row>
    <row r="13" spans="1:23" s="333" customFormat="1" ht="15">
      <c r="A13" s="329">
        <v>44678</v>
      </c>
      <c r="B13" s="330" t="s">
        <v>111</v>
      </c>
      <c r="C13" s="335" t="s">
        <v>94</v>
      </c>
      <c r="D13" s="334" t="s">
        <v>52</v>
      </c>
      <c r="E13" s="331">
        <v>16.25</v>
      </c>
      <c r="F13" s="331">
        <v>0.59</v>
      </c>
      <c r="G13" s="336">
        <f>E13-F13</f>
        <v>15.66</v>
      </c>
      <c r="H13" s="337"/>
      <c r="I13" s="330">
        <v>6.27</v>
      </c>
      <c r="J13" s="331">
        <v>6.27</v>
      </c>
      <c r="K13" s="493">
        <v>0.44</v>
      </c>
      <c r="L13" s="339">
        <f>G13-J13</f>
        <v>9.39</v>
      </c>
      <c r="M13" s="330"/>
      <c r="N13" s="338"/>
      <c r="O13" s="331"/>
      <c r="P13" s="331"/>
      <c r="Q13" s="331"/>
      <c r="R13" s="494">
        <f>(L13-G8)*K8</f>
        <v>0.39600000000000007</v>
      </c>
      <c r="S13" s="495"/>
      <c r="T13" s="332"/>
      <c r="U13" s="332"/>
      <c r="V13" s="342"/>
    </row>
    <row r="14" spans="1:23" s="333" customFormat="1" ht="15">
      <c r="A14" s="329">
        <v>44820</v>
      </c>
      <c r="B14" s="330" t="s">
        <v>120</v>
      </c>
      <c r="C14" s="335" t="s">
        <v>94</v>
      </c>
      <c r="D14" s="335" t="s">
        <v>52</v>
      </c>
      <c r="E14" s="331">
        <v>13.86</v>
      </c>
      <c r="F14" s="331">
        <v>3.95</v>
      </c>
      <c r="G14" s="336">
        <f>E14-F14</f>
        <v>9.91</v>
      </c>
      <c r="H14" s="457">
        <f>L14-G8</f>
        <v>0.45999999999999908</v>
      </c>
      <c r="I14" s="330"/>
      <c r="J14" s="331">
        <v>0.72</v>
      </c>
      <c r="K14" s="493">
        <v>0.53238686779059452</v>
      </c>
      <c r="L14" s="339">
        <f>G14-J14</f>
        <v>9.19</v>
      </c>
      <c r="M14" s="330"/>
      <c r="N14" s="338"/>
      <c r="O14" s="331"/>
      <c r="P14" s="331"/>
      <c r="Q14" s="331"/>
      <c r="R14" s="494"/>
      <c r="S14" s="495"/>
      <c r="T14" s="332"/>
      <c r="U14" s="332"/>
      <c r="V14" s="342"/>
    </row>
    <row r="15" spans="1:23" s="333" customFormat="1" ht="15">
      <c r="A15" s="329">
        <v>44911</v>
      </c>
      <c r="B15" s="330" t="s">
        <v>122</v>
      </c>
      <c r="C15" s="335" t="s">
        <v>94</v>
      </c>
      <c r="D15" s="335" t="s">
        <v>121</v>
      </c>
      <c r="E15" s="331">
        <v>13.86</v>
      </c>
      <c r="F15" s="331">
        <f>E15-G15</f>
        <v>2.6799999999999997</v>
      </c>
      <c r="G15" s="336">
        <f>12.2-1.02</f>
        <v>11.18</v>
      </c>
      <c r="H15" s="457">
        <f>G15-G14</f>
        <v>1.2699999999999996</v>
      </c>
      <c r="I15" s="330"/>
      <c r="J15" s="331"/>
      <c r="K15" s="493"/>
      <c r="L15" s="339"/>
      <c r="M15" s="330"/>
      <c r="N15" s="338"/>
      <c r="O15" s="331"/>
      <c r="P15" s="331"/>
      <c r="Q15" s="331"/>
      <c r="R15" s="494"/>
      <c r="S15" s="495"/>
      <c r="T15" s="332"/>
      <c r="U15" s="332"/>
      <c r="V15" s="342"/>
    </row>
    <row r="16" spans="1:23" s="333" customFormat="1" ht="15">
      <c r="A16" s="329">
        <v>44911</v>
      </c>
      <c r="B16" s="330" t="s">
        <v>120</v>
      </c>
      <c r="C16" s="335" t="s">
        <v>94</v>
      </c>
      <c r="D16" s="335" t="s">
        <v>121</v>
      </c>
      <c r="E16" s="331">
        <v>15.26</v>
      </c>
      <c r="F16" s="331">
        <f>E16-G16</f>
        <v>4.08</v>
      </c>
      <c r="G16" s="336">
        <v>11.18</v>
      </c>
      <c r="H16" s="457"/>
      <c r="I16" s="330"/>
      <c r="J16" s="331"/>
      <c r="K16" s="493"/>
      <c r="L16" s="339"/>
      <c r="M16" s="330"/>
      <c r="N16" s="338"/>
      <c r="O16" s="331"/>
      <c r="P16" s="331"/>
      <c r="Q16" s="331"/>
      <c r="R16" s="494"/>
      <c r="S16" s="495"/>
      <c r="T16" s="332"/>
      <c r="U16" s="332"/>
      <c r="V16" s="342"/>
    </row>
    <row r="17" spans="1:23" s="333" customFormat="1" ht="15">
      <c r="A17" s="329">
        <v>45051</v>
      </c>
      <c r="B17" s="330" t="s">
        <v>125</v>
      </c>
      <c r="C17" s="335" t="s">
        <v>94</v>
      </c>
      <c r="D17" s="335" t="s">
        <v>121</v>
      </c>
      <c r="E17" s="331">
        <v>15.26</v>
      </c>
      <c r="F17" s="331">
        <v>0.18</v>
      </c>
      <c r="G17" s="336">
        <f>E17-F17</f>
        <v>15.08</v>
      </c>
      <c r="H17" s="457">
        <f>G17-G14</f>
        <v>5.17</v>
      </c>
      <c r="I17" s="330">
        <v>4.55</v>
      </c>
      <c r="J17" s="331"/>
      <c r="K17" s="493">
        <f>'20230505_PitCoreC'!I4</f>
        <v>0.41472404923400275</v>
      </c>
      <c r="L17" s="339">
        <f>G17-I17</f>
        <v>10.530000000000001</v>
      </c>
      <c r="M17" s="330"/>
      <c r="N17" s="338"/>
      <c r="O17" s="331"/>
      <c r="P17" s="331">
        <f>I17*K17</f>
        <v>1.8869944240147125</v>
      </c>
      <c r="Q17" s="331"/>
      <c r="R17" s="494">
        <f>(L17-G14)*0.9</f>
        <v>0.55800000000000094</v>
      </c>
      <c r="S17" s="495"/>
      <c r="T17" s="332">
        <v>394252.69500000001</v>
      </c>
      <c r="U17" s="332">
        <v>6699703.5190000003</v>
      </c>
      <c r="V17" s="342">
        <v>1293.104</v>
      </c>
    </row>
    <row r="18" spans="1:23" s="333" customFormat="1" ht="15">
      <c r="A18" s="329">
        <v>45174</v>
      </c>
      <c r="B18" s="330" t="s">
        <v>195</v>
      </c>
      <c r="C18" s="335" t="s">
        <v>94</v>
      </c>
      <c r="D18" s="335" t="s">
        <v>62</v>
      </c>
      <c r="E18" s="331">
        <v>12.2</v>
      </c>
      <c r="F18" s="331">
        <v>2.09</v>
      </c>
      <c r="G18" s="336">
        <f>E18-F18</f>
        <v>10.11</v>
      </c>
      <c r="H18" s="457">
        <f>L18-G14</f>
        <v>-0.16999999999999993</v>
      </c>
      <c r="I18" s="330"/>
      <c r="J18" s="331">
        <f>'20230905_PitC'!I3</f>
        <v>0.37</v>
      </c>
      <c r="K18" s="493">
        <f>'20230905_PitC'!I4</f>
        <v>0.55900621118012417</v>
      </c>
      <c r="L18" s="339">
        <f>G18-J18</f>
        <v>9.74</v>
      </c>
      <c r="M18" s="330"/>
      <c r="N18" s="338"/>
      <c r="O18" s="331"/>
      <c r="P18" s="331"/>
      <c r="Q18" s="331"/>
      <c r="R18" s="494">
        <f>(L18-G14)*K14</f>
        <v>-9.0505767524401037E-2</v>
      </c>
      <c r="S18" s="495"/>
      <c r="T18" s="332"/>
      <c r="U18" s="332"/>
      <c r="V18" s="342"/>
    </row>
    <row r="19" spans="1:23" s="333" customFormat="1" ht="15">
      <c r="A19" s="329">
        <v>45174</v>
      </c>
      <c r="B19" s="330" t="s">
        <v>195</v>
      </c>
      <c r="C19" s="335" t="s">
        <v>94</v>
      </c>
      <c r="D19" s="335" t="s">
        <v>62</v>
      </c>
      <c r="E19" s="331">
        <v>13.86</v>
      </c>
      <c r="F19" s="331">
        <f>E19-G19</f>
        <v>3.75</v>
      </c>
      <c r="G19" s="336">
        <v>10.11</v>
      </c>
      <c r="H19" s="337"/>
      <c r="I19" s="330"/>
      <c r="J19" s="331"/>
      <c r="K19" s="493"/>
      <c r="L19" s="339"/>
      <c r="M19" s="330"/>
      <c r="N19" s="338"/>
      <c r="O19" s="331"/>
      <c r="P19" s="331"/>
      <c r="Q19" s="331"/>
      <c r="R19" s="494"/>
      <c r="S19" s="495"/>
      <c r="T19" s="332"/>
      <c r="U19" s="332"/>
      <c r="V19" s="342"/>
    </row>
    <row r="20" spans="1:23" ht="15">
      <c r="A20" s="100"/>
      <c r="B20" s="100"/>
      <c r="C20" s="360"/>
      <c r="D20" s="360"/>
      <c r="E20" s="101"/>
      <c r="F20" s="101"/>
      <c r="G20" s="352"/>
      <c r="H20" s="355"/>
      <c r="I20" s="100"/>
      <c r="J20" s="101"/>
      <c r="K20" s="360"/>
      <c r="L20" s="362"/>
      <c r="M20" s="100"/>
      <c r="N20" s="352"/>
      <c r="O20" s="101"/>
      <c r="P20" s="101"/>
      <c r="Q20" s="101"/>
      <c r="R20" s="135"/>
      <c r="S20" s="526"/>
      <c r="T20" s="102"/>
      <c r="U20" s="102"/>
      <c r="V20" s="4"/>
    </row>
    <row r="21" spans="1:23" ht="15">
      <c r="A21" s="487">
        <v>44678</v>
      </c>
      <c r="B21" s="484" t="s">
        <v>109</v>
      </c>
      <c r="C21" s="542" t="s">
        <v>115</v>
      </c>
      <c r="D21" s="542" t="s">
        <v>52</v>
      </c>
      <c r="E21" s="485">
        <v>12.2</v>
      </c>
      <c r="F21" s="485">
        <v>0.69</v>
      </c>
      <c r="G21" s="545">
        <f>E21-F21</f>
        <v>11.51</v>
      </c>
      <c r="H21" s="546"/>
      <c r="I21" s="484">
        <v>6.27</v>
      </c>
      <c r="J21" s="485">
        <v>6.27</v>
      </c>
      <c r="K21" s="541">
        <v>0.44</v>
      </c>
      <c r="L21" s="543">
        <f>G21-I21</f>
        <v>5.24</v>
      </c>
      <c r="M21" s="484"/>
      <c r="N21" s="144"/>
      <c r="O21" s="485"/>
      <c r="P21" s="485">
        <f>J21*K21</f>
        <v>2.7587999999999999</v>
      </c>
      <c r="Q21" s="485"/>
      <c r="R21" s="489"/>
      <c r="S21" s="547"/>
      <c r="T21" s="486"/>
      <c r="U21" s="486"/>
      <c r="V21" s="548"/>
      <c r="W21" s="351"/>
    </row>
    <row r="22" spans="1:23" ht="15">
      <c r="A22" s="487">
        <v>44820</v>
      </c>
      <c r="B22" s="484" t="s">
        <v>109</v>
      </c>
      <c r="C22" s="542" t="s">
        <v>115</v>
      </c>
      <c r="D22" s="542" t="s">
        <v>52</v>
      </c>
      <c r="E22" s="485">
        <v>9.15</v>
      </c>
      <c r="F22" s="485">
        <v>3.05</v>
      </c>
      <c r="G22" s="545">
        <v>6.1</v>
      </c>
      <c r="H22" s="546"/>
      <c r="I22" s="484"/>
      <c r="J22" s="485">
        <v>0.72</v>
      </c>
      <c r="K22" s="541">
        <v>0.53</v>
      </c>
      <c r="L22" s="543">
        <f>G22-J22</f>
        <v>5.38</v>
      </c>
      <c r="M22" s="484"/>
      <c r="N22" s="144"/>
      <c r="O22" s="485">
        <f>Q22-P21</f>
        <v>-2.3771999999999998</v>
      </c>
      <c r="P22" s="485"/>
      <c r="Q22" s="485">
        <f>J22*K22</f>
        <v>0.38159999999999999</v>
      </c>
      <c r="R22" s="489"/>
      <c r="S22" s="547">
        <v>0</v>
      </c>
      <c r="T22" s="486"/>
      <c r="U22" s="486"/>
      <c r="V22" s="548"/>
      <c r="W22" s="351"/>
    </row>
    <row r="23" spans="1:23" ht="15">
      <c r="A23" s="487">
        <v>44820</v>
      </c>
      <c r="B23" s="484" t="s">
        <v>109</v>
      </c>
      <c r="C23" s="542" t="s">
        <v>115</v>
      </c>
      <c r="D23" s="542" t="s">
        <v>52</v>
      </c>
      <c r="E23" s="485">
        <v>10.55</v>
      </c>
      <c r="F23" s="485">
        <f>E23-G23</f>
        <v>4.4500000000000011</v>
      </c>
      <c r="G23" s="545">
        <v>6.1</v>
      </c>
      <c r="H23" s="546"/>
      <c r="I23" s="484"/>
      <c r="J23" s="485"/>
      <c r="K23" s="542"/>
      <c r="L23" s="544"/>
      <c r="M23" s="484"/>
      <c r="N23" s="144"/>
      <c r="O23" s="485"/>
      <c r="P23" s="485"/>
      <c r="Q23" s="485"/>
      <c r="R23" s="489"/>
      <c r="S23" s="547"/>
      <c r="T23" s="486"/>
      <c r="U23" s="486"/>
      <c r="V23" s="548"/>
      <c r="W23" s="351"/>
    </row>
    <row r="24" spans="1:23" ht="15">
      <c r="A24" s="487">
        <v>44911</v>
      </c>
      <c r="B24" s="484" t="s">
        <v>120</v>
      </c>
      <c r="C24" s="542" t="s">
        <v>115</v>
      </c>
      <c r="D24" s="542" t="s">
        <v>121</v>
      </c>
      <c r="E24" s="485">
        <v>10.55</v>
      </c>
      <c r="F24" s="485">
        <v>3.07</v>
      </c>
      <c r="G24" s="545">
        <f>E24-F24</f>
        <v>7.48</v>
      </c>
      <c r="H24" s="557">
        <f>G24-G23</f>
        <v>1.3800000000000008</v>
      </c>
      <c r="I24" s="484"/>
      <c r="J24" s="485"/>
      <c r="K24" s="542"/>
      <c r="L24" s="544"/>
      <c r="M24" s="484"/>
      <c r="N24" s="144"/>
      <c r="O24" s="485"/>
      <c r="P24" s="485"/>
      <c r="Q24" s="485"/>
      <c r="R24" s="489"/>
      <c r="S24" s="547"/>
      <c r="T24" s="486"/>
      <c r="U24" s="486"/>
      <c r="V24" s="548"/>
      <c r="W24" s="351"/>
    </row>
    <row r="25" spans="1:23" ht="15">
      <c r="A25" s="487">
        <v>44911</v>
      </c>
      <c r="B25" s="484" t="s">
        <v>120</v>
      </c>
      <c r="C25" s="542" t="s">
        <v>115</v>
      </c>
      <c r="D25" s="542" t="s">
        <v>121</v>
      </c>
      <c r="E25" s="485">
        <v>12</v>
      </c>
      <c r="F25" s="485">
        <f>E25-G25</f>
        <v>4.5199999999999996</v>
      </c>
      <c r="G25" s="545">
        <f>G24</f>
        <v>7.48</v>
      </c>
      <c r="H25" s="546"/>
      <c r="I25" s="484"/>
      <c r="J25" s="485"/>
      <c r="K25" s="542"/>
      <c r="L25" s="544"/>
      <c r="M25" s="484"/>
      <c r="N25" s="144"/>
      <c r="O25" s="485"/>
      <c r="P25" s="485"/>
      <c r="Q25" s="485"/>
      <c r="R25" s="489"/>
      <c r="S25" s="547"/>
      <c r="T25" s="486"/>
      <c r="U25" s="486"/>
      <c r="V25" s="548"/>
      <c r="W25" s="351"/>
    </row>
    <row r="26" spans="1:23" ht="15">
      <c r="A26" s="487">
        <v>45051</v>
      </c>
      <c r="B26" s="484" t="s">
        <v>125</v>
      </c>
      <c r="C26" s="542" t="s">
        <v>115</v>
      </c>
      <c r="D26" s="542" t="s">
        <v>121</v>
      </c>
      <c r="E26" s="485">
        <v>12</v>
      </c>
      <c r="F26" s="485">
        <v>0.23</v>
      </c>
      <c r="G26" s="545">
        <f>E26-F26</f>
        <v>11.77</v>
      </c>
      <c r="H26" s="557">
        <f>G26-G23</f>
        <v>5.67</v>
      </c>
      <c r="I26" s="484">
        <v>4.46</v>
      </c>
      <c r="J26" s="485"/>
      <c r="K26" s="541">
        <f>'20230505_PitCoreC'!I4</f>
        <v>0.41472404923400275</v>
      </c>
      <c r="L26" s="543">
        <f>G26-I26</f>
        <v>7.31</v>
      </c>
      <c r="M26" s="484"/>
      <c r="N26" s="144"/>
      <c r="O26" s="485"/>
      <c r="P26" s="485">
        <f>I26*K26</f>
        <v>1.8496692595836521</v>
      </c>
      <c r="Q26" s="485"/>
      <c r="R26" s="489">
        <f>(L26-G23)*0.9</f>
        <v>1.089</v>
      </c>
      <c r="S26" s="547"/>
      <c r="T26" s="486">
        <v>394258.50300000003</v>
      </c>
      <c r="U26" s="486">
        <v>6699705.7419999996</v>
      </c>
      <c r="V26" s="548">
        <v>1293.4490000000001</v>
      </c>
      <c r="W26" s="351"/>
    </row>
    <row r="27" spans="1:23" ht="15">
      <c r="A27" s="487">
        <v>45174</v>
      </c>
      <c r="B27" s="484" t="s">
        <v>127</v>
      </c>
      <c r="C27" s="542" t="s">
        <v>115</v>
      </c>
      <c r="D27" s="542" t="s">
        <v>62</v>
      </c>
      <c r="E27" s="485">
        <v>9.15</v>
      </c>
      <c r="F27" s="485">
        <v>2.5299999999999998</v>
      </c>
      <c r="G27" s="545">
        <f>E27-F27</f>
        <v>6.620000000000001</v>
      </c>
      <c r="H27" s="557"/>
      <c r="I27" s="484"/>
      <c r="J27" s="485">
        <f>'20230905_PitC'!I3</f>
        <v>0.37</v>
      </c>
      <c r="K27" s="541">
        <f>'20230905_PitC'!I4</f>
        <v>0.55900621118012417</v>
      </c>
      <c r="L27" s="543">
        <f>G27-J27</f>
        <v>6.2500000000000009</v>
      </c>
      <c r="M27" s="484"/>
      <c r="N27" s="144"/>
      <c r="O27" s="485"/>
      <c r="P27" s="485"/>
      <c r="Q27" s="485"/>
      <c r="R27" s="489"/>
      <c r="S27" s="547"/>
      <c r="T27" s="486"/>
      <c r="U27" s="486"/>
      <c r="V27" s="548"/>
      <c r="W27" s="351"/>
    </row>
    <row r="28" spans="1:23" ht="15">
      <c r="A28" s="487">
        <v>45174</v>
      </c>
      <c r="B28" s="484" t="s">
        <v>127</v>
      </c>
      <c r="C28" s="542" t="s">
        <v>115</v>
      </c>
      <c r="D28" s="542" t="s">
        <v>62</v>
      </c>
      <c r="E28" s="485">
        <v>11.05</v>
      </c>
      <c r="F28" s="485">
        <f>E28-G28</f>
        <v>4.4300000000000006</v>
      </c>
      <c r="G28" s="545">
        <v>6.62</v>
      </c>
      <c r="H28" s="557"/>
      <c r="I28" s="484"/>
      <c r="J28" s="485"/>
      <c r="K28" s="541"/>
      <c r="L28" s="543"/>
      <c r="M28" s="484"/>
      <c r="N28" s="144"/>
      <c r="O28" s="485"/>
      <c r="P28" s="485"/>
      <c r="Q28" s="485"/>
      <c r="R28" s="489"/>
      <c r="S28" s="547"/>
      <c r="T28" s="486"/>
      <c r="U28" s="486"/>
      <c r="V28" s="548"/>
      <c r="W28" s="351"/>
    </row>
    <row r="29" spans="1:23" ht="15">
      <c r="A29" s="100"/>
      <c r="B29" s="100"/>
      <c r="C29" s="360"/>
      <c r="D29" s="360"/>
      <c r="E29" s="101"/>
      <c r="F29" s="101"/>
      <c r="G29" s="352"/>
      <c r="H29" s="355"/>
      <c r="I29" s="100"/>
      <c r="J29" s="101"/>
      <c r="K29" s="360"/>
      <c r="L29" s="362"/>
      <c r="M29" s="100"/>
      <c r="N29" s="352"/>
      <c r="O29" s="100"/>
      <c r="P29" s="100"/>
      <c r="Q29" s="101"/>
      <c r="R29" s="102"/>
      <c r="S29" s="357"/>
      <c r="T29" s="102"/>
      <c r="U29" s="102"/>
      <c r="V29" s="4"/>
    </row>
    <row r="30" spans="1:23" s="429" customFormat="1" ht="15">
      <c r="A30" s="576">
        <v>45051</v>
      </c>
      <c r="B30" s="573" t="s">
        <v>195</v>
      </c>
      <c r="C30" s="819" t="s">
        <v>196</v>
      </c>
      <c r="D30" s="819" t="s">
        <v>52</v>
      </c>
      <c r="E30" s="574">
        <v>12.2</v>
      </c>
      <c r="F30" s="574">
        <v>0.91</v>
      </c>
      <c r="G30" s="824">
        <f>E30-F30</f>
        <v>11.29</v>
      </c>
      <c r="H30" s="821"/>
      <c r="I30" s="573"/>
      <c r="J30" s="574">
        <f>'20230505_PitCoreC'!I3</f>
        <v>4.4666666666666668</v>
      </c>
      <c r="K30" s="907">
        <f>K26</f>
        <v>0.41472404923400275</v>
      </c>
      <c r="L30" s="928">
        <f>G30-J30</f>
        <v>6.8233333333333324</v>
      </c>
      <c r="M30" s="573"/>
      <c r="N30" s="820"/>
      <c r="O30" s="573"/>
      <c r="P30" s="574">
        <f>J30*K30</f>
        <v>1.8524340865785456</v>
      </c>
      <c r="Q30" s="574"/>
      <c r="R30" s="575"/>
      <c r="S30" s="823"/>
      <c r="T30" s="575">
        <v>394239.58799999999</v>
      </c>
      <c r="U30" s="575">
        <v>6699756.9869999997</v>
      </c>
      <c r="V30" s="434">
        <v>1294.9190000000001</v>
      </c>
    </row>
    <row r="31" spans="1:23" s="429" customFormat="1" ht="15">
      <c r="A31" s="576">
        <v>45174</v>
      </c>
      <c r="B31" s="573" t="s">
        <v>127</v>
      </c>
      <c r="C31" s="819" t="s">
        <v>196</v>
      </c>
      <c r="D31" s="819" t="s">
        <v>62</v>
      </c>
      <c r="E31" s="574">
        <v>9.15</v>
      </c>
      <c r="F31" s="574">
        <v>1.81</v>
      </c>
      <c r="G31" s="824">
        <f>E31-F31</f>
        <v>7.34</v>
      </c>
      <c r="H31" s="821"/>
      <c r="I31" s="573"/>
      <c r="J31" s="574">
        <f>'20230905_PitC'!I3</f>
        <v>0.37</v>
      </c>
      <c r="K31" s="907">
        <f>'20230905_PitC'!I4</f>
        <v>0.55900621118012417</v>
      </c>
      <c r="L31" s="928">
        <f>G31-J31</f>
        <v>6.97</v>
      </c>
      <c r="M31" s="573"/>
      <c r="N31" s="820"/>
      <c r="O31" s="574">
        <f>Q31-P30</f>
        <v>-1.6456017884418996</v>
      </c>
      <c r="P31" s="574"/>
      <c r="Q31" s="574">
        <f>J31*K31</f>
        <v>0.20683229813664594</v>
      </c>
      <c r="R31" s="575"/>
      <c r="S31" s="823">
        <v>0</v>
      </c>
      <c r="T31" s="575"/>
      <c r="U31" s="575"/>
      <c r="V31" s="434"/>
    </row>
    <row r="32" spans="1:23" s="429" customFormat="1" ht="15">
      <c r="A32" s="576">
        <v>45174</v>
      </c>
      <c r="B32" s="573" t="s">
        <v>127</v>
      </c>
      <c r="C32" s="819" t="s">
        <v>196</v>
      </c>
      <c r="D32" s="819" t="s">
        <v>62</v>
      </c>
      <c r="E32" s="574">
        <v>11.65</v>
      </c>
      <c r="F32" s="574">
        <f>E32-G32</f>
        <v>4.3100000000000005</v>
      </c>
      <c r="G32" s="824">
        <v>7.34</v>
      </c>
      <c r="H32" s="821"/>
      <c r="I32" s="573"/>
      <c r="J32" s="574"/>
      <c r="K32" s="907"/>
      <c r="L32" s="822"/>
      <c r="M32" s="573"/>
      <c r="N32" s="820"/>
      <c r="O32" s="573"/>
      <c r="P32" s="574"/>
      <c r="Q32" s="574"/>
      <c r="R32" s="575"/>
      <c r="S32" s="823"/>
      <c r="T32" s="575"/>
      <c r="U32" s="575"/>
      <c r="V32" s="434"/>
    </row>
    <row r="33" spans="1:22" ht="15">
      <c r="A33" s="100"/>
      <c r="B33" s="100"/>
      <c r="C33" s="360"/>
      <c r="D33" s="360"/>
      <c r="E33" s="101"/>
      <c r="F33" s="101"/>
      <c r="G33" s="352"/>
      <c r="H33" s="355"/>
      <c r="I33" s="100"/>
      <c r="J33" s="101"/>
      <c r="K33" s="360"/>
      <c r="L33" s="362"/>
      <c r="M33" s="100"/>
      <c r="N33" s="352"/>
      <c r="O33" s="100"/>
      <c r="P33" s="100"/>
      <c r="Q33" s="101"/>
      <c r="R33" s="102"/>
      <c r="S33" s="357"/>
      <c r="T33" s="102"/>
      <c r="U33" s="102"/>
      <c r="V33" s="4"/>
    </row>
    <row r="34" spans="1:22" ht="15">
      <c r="A34" s="100"/>
      <c r="B34" s="100"/>
      <c r="C34" s="360"/>
      <c r="D34" s="360"/>
      <c r="E34" s="101"/>
      <c r="F34" s="101"/>
      <c r="G34" s="352"/>
      <c r="H34" s="355"/>
      <c r="I34" s="100"/>
      <c r="J34" s="101"/>
      <c r="K34" s="360"/>
      <c r="L34" s="362"/>
      <c r="M34" s="100"/>
      <c r="N34" s="352"/>
      <c r="O34" s="100"/>
      <c r="P34" s="100"/>
      <c r="Q34" s="101"/>
      <c r="R34" s="102"/>
      <c r="S34" s="357"/>
      <c r="T34" s="102"/>
      <c r="U34" s="102"/>
      <c r="V34" s="4"/>
    </row>
    <row r="35" spans="1:22" ht="15">
      <c r="A35" s="100"/>
      <c r="B35" s="100"/>
      <c r="C35" s="360"/>
      <c r="D35" s="360"/>
      <c r="E35" s="101"/>
      <c r="F35" s="101"/>
      <c r="G35" s="352"/>
      <c r="H35" s="355"/>
      <c r="I35" s="100"/>
      <c r="J35" s="101"/>
      <c r="K35" s="360"/>
      <c r="L35" s="362"/>
      <c r="M35" s="100"/>
      <c r="N35" s="352"/>
      <c r="O35" s="100"/>
      <c r="P35" s="100"/>
      <c r="Q35" s="101"/>
      <c r="R35" s="102"/>
      <c r="S35" s="357"/>
      <c r="T35" s="102"/>
      <c r="U35" s="102"/>
      <c r="V35" s="4"/>
    </row>
    <row r="36" spans="1:22" ht="15">
      <c r="A36" s="100"/>
      <c r="B36" s="100"/>
      <c r="C36" s="360"/>
      <c r="D36" s="360"/>
      <c r="E36" s="101"/>
      <c r="F36" s="101"/>
      <c r="G36" s="352"/>
      <c r="H36" s="355"/>
      <c r="I36" s="100"/>
      <c r="J36" s="101"/>
      <c r="K36" s="360"/>
      <c r="L36" s="362"/>
      <c r="M36" s="100"/>
      <c r="N36" s="352"/>
      <c r="O36" s="100"/>
      <c r="P36" s="100"/>
      <c r="Q36" s="101"/>
      <c r="R36" s="102"/>
      <c r="S36" s="357"/>
      <c r="T36" s="102"/>
      <c r="U36" s="102"/>
      <c r="V36" s="4"/>
    </row>
    <row r="37" spans="1:22" ht="15">
      <c r="A37" s="100"/>
      <c r="B37" s="100"/>
      <c r="C37" s="360"/>
      <c r="D37" s="360"/>
      <c r="E37" s="101"/>
      <c r="F37" s="101"/>
      <c r="G37" s="352"/>
      <c r="H37" s="355"/>
      <c r="I37" s="100"/>
      <c r="J37" s="101"/>
      <c r="K37" s="360"/>
      <c r="L37" s="362"/>
      <c r="M37" s="100"/>
      <c r="N37" s="352"/>
      <c r="O37" s="100"/>
      <c r="P37" s="100"/>
      <c r="Q37" s="101"/>
      <c r="R37" s="102"/>
      <c r="S37" s="357"/>
      <c r="T37" s="102"/>
      <c r="U37" s="102"/>
      <c r="V37" s="4"/>
    </row>
    <row r="38" spans="1:22" ht="15">
      <c r="A38" s="100"/>
      <c r="B38" s="100"/>
      <c r="C38" s="360"/>
      <c r="D38" s="360"/>
      <c r="E38" s="101"/>
      <c r="F38" s="101"/>
      <c r="G38" s="352"/>
      <c r="H38" s="355"/>
      <c r="I38" s="100"/>
      <c r="J38" s="101"/>
      <c r="K38" s="360"/>
      <c r="L38" s="362"/>
      <c r="M38" s="100"/>
      <c r="N38" s="352"/>
      <c r="O38" s="100"/>
      <c r="P38" s="100"/>
      <c r="Q38" s="101"/>
      <c r="R38" s="102"/>
      <c r="S38" s="357"/>
      <c r="T38" s="102"/>
      <c r="U38" s="102"/>
      <c r="V38" s="4"/>
    </row>
    <row r="39" spans="1:22" thickBot="1">
      <c r="A39" s="100"/>
      <c r="B39" s="100"/>
      <c r="C39" s="100"/>
      <c r="D39" s="100"/>
      <c r="E39" s="101"/>
      <c r="F39" s="101"/>
      <c r="G39" s="100"/>
      <c r="H39" s="100"/>
      <c r="I39" s="100"/>
      <c r="J39" s="101"/>
      <c r="K39" s="100"/>
      <c r="L39" s="100"/>
      <c r="M39" s="100"/>
      <c r="N39" s="352"/>
      <c r="O39" s="100"/>
      <c r="P39" s="100"/>
      <c r="Q39" s="101"/>
      <c r="R39" s="102"/>
      <c r="S39" s="102"/>
      <c r="T39" s="102"/>
      <c r="U39" s="102"/>
    </row>
    <row r="40" spans="1:22" ht="14.45" customHeight="1">
      <c r="A40" s="941" t="s">
        <v>37</v>
      </c>
      <c r="B40" s="942"/>
      <c r="C40" s="945" t="s">
        <v>38</v>
      </c>
      <c r="D40" s="946"/>
      <c r="E40" s="103" t="s">
        <v>39</v>
      </c>
      <c r="F40" s="104"/>
      <c r="G40" s="103" t="s">
        <v>40</v>
      </c>
      <c r="H40" s="104"/>
      <c r="I40" s="105" t="s">
        <v>41</v>
      </c>
      <c r="Q40" s="925"/>
      <c r="R40" s="68"/>
      <c r="S40" s="68"/>
      <c r="T40" s="68"/>
      <c r="U40" s="102"/>
    </row>
    <row r="41" spans="1:22" ht="14.45" customHeight="1">
      <c r="A41" s="943"/>
      <c r="B41" s="944"/>
      <c r="C41" s="106" t="s">
        <v>42</v>
      </c>
      <c r="D41" s="106" t="s">
        <v>43</v>
      </c>
      <c r="E41" s="107">
        <f>A23</f>
        <v>44820</v>
      </c>
      <c r="F41" s="108" t="s">
        <v>44</v>
      </c>
      <c r="G41" s="109">
        <f>A30</f>
        <v>45051</v>
      </c>
      <c r="H41" s="108" t="s">
        <v>44</v>
      </c>
      <c r="I41" s="110">
        <f>A32</f>
        <v>45174</v>
      </c>
      <c r="Q41" s="925"/>
      <c r="R41" s="111"/>
      <c r="S41" s="111"/>
      <c r="T41" s="68"/>
      <c r="U41" s="102"/>
    </row>
    <row r="42" spans="1:22" ht="15">
      <c r="A42" s="112"/>
      <c r="B42" s="113" t="s">
        <v>45</v>
      </c>
      <c r="C42" s="114">
        <f>AVERAGE(P17,P26,P30)</f>
        <v>1.8630325900589702</v>
      </c>
      <c r="D42" s="114"/>
      <c r="E42" s="115"/>
      <c r="F42" s="115"/>
      <c r="G42" s="116"/>
      <c r="H42" s="114"/>
      <c r="I42" s="117"/>
      <c r="Q42" s="925"/>
      <c r="R42" s="111"/>
      <c r="S42" s="111"/>
      <c r="T42" s="68"/>
      <c r="U42" s="102"/>
    </row>
    <row r="43" spans="1:22" ht="15">
      <c r="A43" s="112"/>
      <c r="B43" s="113" t="s">
        <v>46</v>
      </c>
      <c r="C43" s="114">
        <f>O31</f>
        <v>-1.6456017884418996</v>
      </c>
      <c r="D43" s="114"/>
      <c r="E43" s="115"/>
      <c r="F43" s="115"/>
      <c r="G43" s="116"/>
      <c r="H43" s="114"/>
      <c r="I43" s="117"/>
      <c r="Q43" s="925"/>
      <c r="R43" s="111"/>
      <c r="S43" s="111"/>
      <c r="T43" s="68"/>
      <c r="U43" s="102"/>
    </row>
    <row r="44" spans="1:22" ht="15">
      <c r="A44" s="112"/>
      <c r="B44" s="113" t="s">
        <v>47</v>
      </c>
      <c r="C44" s="114">
        <f>Q31</f>
        <v>0.20683229813664594</v>
      </c>
      <c r="D44" s="114"/>
      <c r="E44" s="115"/>
      <c r="F44" s="115"/>
      <c r="G44" s="116"/>
      <c r="H44" s="114"/>
      <c r="I44" s="117"/>
      <c r="Q44" s="925"/>
      <c r="R44" s="111"/>
      <c r="S44" s="111"/>
      <c r="T44" s="68"/>
      <c r="U44" s="102"/>
    </row>
    <row r="45" spans="1:22" ht="15">
      <c r="A45" s="112"/>
      <c r="B45" s="118" t="s">
        <v>48</v>
      </c>
      <c r="C45" s="114">
        <f>S22</f>
        <v>0</v>
      </c>
      <c r="D45" s="114"/>
      <c r="E45" s="115"/>
      <c r="F45" s="115"/>
      <c r="G45" s="114"/>
      <c r="H45" s="114"/>
      <c r="I45" s="117"/>
      <c r="Q45" s="925"/>
      <c r="R45" s="111"/>
      <c r="S45" s="111"/>
      <c r="T45" s="68"/>
      <c r="U45" s="102"/>
    </row>
    <row r="46" spans="1:22" ht="15">
      <c r="A46" s="112"/>
      <c r="B46" s="119" t="s">
        <v>49</v>
      </c>
      <c r="C46" s="114">
        <f>R18</f>
        <v>-9.0505767524401037E-2</v>
      </c>
      <c r="D46" s="114"/>
      <c r="E46" s="115"/>
      <c r="F46" s="115"/>
      <c r="G46" s="114"/>
      <c r="H46" s="114"/>
      <c r="I46" s="117"/>
      <c r="Q46" s="925"/>
      <c r="R46" s="111"/>
      <c r="S46" s="111"/>
      <c r="T46" s="68"/>
      <c r="U46" s="102"/>
    </row>
    <row r="47" spans="1:22" thickBot="1">
      <c r="A47" s="120"/>
      <c r="B47" s="121" t="s">
        <v>50</v>
      </c>
      <c r="C47" s="122">
        <f>S31</f>
        <v>0</v>
      </c>
      <c r="D47" s="122"/>
      <c r="E47" s="123"/>
      <c r="F47" s="123"/>
      <c r="G47" s="124"/>
      <c r="H47" s="124"/>
      <c r="I47" s="125"/>
      <c r="Q47" s="925"/>
      <c r="R47" s="111"/>
      <c r="S47" s="111"/>
      <c r="T47" s="68"/>
      <c r="U47" s="102"/>
    </row>
    <row r="48" spans="1:22" ht="15">
      <c r="A48" s="102"/>
      <c r="B48" s="102"/>
      <c r="C48" s="102"/>
      <c r="D48" s="102"/>
      <c r="E48" s="102"/>
      <c r="F48" s="102"/>
      <c r="G48" s="102"/>
      <c r="H48" s="102"/>
      <c r="I48" s="102"/>
      <c r="J48" s="135"/>
      <c r="K48" s="102"/>
      <c r="L48" s="102"/>
      <c r="M48" s="102"/>
      <c r="N48" s="102"/>
      <c r="O48" s="102"/>
      <c r="P48" s="102"/>
      <c r="Q48" s="926"/>
      <c r="R48" s="68"/>
      <c r="S48" s="68"/>
      <c r="T48" s="68"/>
      <c r="U48" s="102"/>
    </row>
  </sheetData>
  <mergeCells count="6">
    <mergeCell ref="T1:V1"/>
    <mergeCell ref="T2:U2"/>
    <mergeCell ref="E3:G3"/>
    <mergeCell ref="T3:U3"/>
    <mergeCell ref="A40:B41"/>
    <mergeCell ref="C40:D40"/>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58"/>
  <sheetViews>
    <sheetView topLeftCell="A30" zoomScale="80" zoomScaleNormal="80" workbookViewId="0">
      <selection activeCell="C58" sqref="C58"/>
    </sheetView>
  </sheetViews>
  <sheetFormatPr defaultColWidth="17.42578125" defaultRowHeight="15.75" customHeight="1"/>
  <cols>
    <col min="1" max="1" width="12.42578125" style="2" customWidth="1"/>
    <col min="2" max="2" width="27.42578125" style="2" customWidth="1"/>
    <col min="3" max="3" width="11.42578125" style="2" bestFit="1" customWidth="1"/>
    <col min="4" max="4" width="20" style="2" bestFit="1" customWidth="1"/>
    <col min="5" max="5" width="11.28515625" style="2" bestFit="1" customWidth="1"/>
    <col min="6" max="7" width="13.5703125" style="2" bestFit="1" customWidth="1"/>
    <col min="8" max="8" width="14.42578125" style="2" bestFit="1" customWidth="1"/>
    <col min="9" max="9" width="17.42578125" style="2" bestFit="1" customWidth="1"/>
    <col min="10" max="10" width="19.5703125" style="2" bestFit="1" customWidth="1"/>
    <col min="11" max="11" width="16.42578125" style="2" bestFit="1" customWidth="1"/>
    <col min="12" max="12" width="18" style="2" customWidth="1"/>
    <col min="13" max="13" width="22.140625" style="2" customWidth="1"/>
    <col min="14" max="14" width="11.5703125" style="2" bestFit="1" customWidth="1"/>
    <col min="15" max="15" width="11.42578125" style="2" bestFit="1" customWidth="1"/>
    <col min="16" max="17" width="7.85546875" style="2" bestFit="1" customWidth="1"/>
    <col min="18" max="18" width="14.5703125" style="2" bestFit="1" customWidth="1"/>
    <col min="19" max="19" width="20.5703125" style="2" bestFit="1" customWidth="1"/>
    <col min="20" max="20" width="21" style="2" bestFit="1" customWidth="1"/>
    <col min="21" max="21" width="21.140625" style="2" customWidth="1"/>
    <col min="22" max="16384" width="17.42578125" style="2"/>
  </cols>
  <sheetData>
    <row r="1" spans="1:23" ht="15">
      <c r="A1" s="5"/>
      <c r="B1" s="6"/>
      <c r="C1" s="7"/>
      <c r="D1" s="8"/>
      <c r="E1" s="9"/>
      <c r="F1" s="10"/>
      <c r="G1" s="11"/>
      <c r="H1" s="12"/>
      <c r="I1" s="11"/>
      <c r="J1" s="13"/>
      <c r="K1" s="10"/>
      <c r="L1" s="14"/>
      <c r="M1" s="15"/>
      <c r="N1" s="11"/>
      <c r="O1" s="16"/>
      <c r="P1" s="17"/>
      <c r="Q1" s="17"/>
      <c r="R1" s="17"/>
      <c r="S1" s="18"/>
      <c r="T1" s="947" t="s">
        <v>9</v>
      </c>
      <c r="U1" s="948"/>
      <c r="V1" s="949"/>
      <c r="W1" s="19"/>
    </row>
    <row r="2" spans="1:23" ht="15">
      <c r="A2" s="20"/>
      <c r="B2" s="21"/>
      <c r="C2" s="22"/>
      <c r="D2" s="23"/>
      <c r="E2" s="159"/>
      <c r="F2" s="160"/>
      <c r="G2" s="24"/>
      <c r="H2" s="25"/>
      <c r="I2" s="24"/>
      <c r="J2" s="26"/>
      <c r="K2" s="27"/>
      <c r="L2" s="28"/>
      <c r="M2" s="29"/>
      <c r="N2" s="26"/>
      <c r="O2" s="1"/>
      <c r="S2" s="4"/>
      <c r="T2" s="950" t="s">
        <v>10</v>
      </c>
      <c r="U2" s="951"/>
      <c r="V2" s="161"/>
      <c r="W2" s="30"/>
    </row>
    <row r="3" spans="1:23" ht="15">
      <c r="A3" s="20"/>
      <c r="B3" s="21"/>
      <c r="C3" s="22"/>
      <c r="D3" s="31"/>
      <c r="E3" s="936" t="s">
        <v>11</v>
      </c>
      <c r="F3" s="937"/>
      <c r="G3" s="938"/>
      <c r="H3" s="32"/>
      <c r="I3" s="160"/>
      <c r="J3" s="26"/>
      <c r="K3" s="160"/>
      <c r="L3" s="33"/>
      <c r="M3" s="34"/>
      <c r="N3" s="26"/>
      <c r="O3" s="35"/>
      <c r="P3" s="26"/>
      <c r="Q3" s="26"/>
      <c r="R3" s="36"/>
      <c r="S3" s="37"/>
      <c r="T3" s="939" t="s">
        <v>12</v>
      </c>
      <c r="U3" s="940"/>
      <c r="V3" s="161"/>
      <c r="W3" s="38"/>
    </row>
    <row r="4" spans="1:23" s="52" customFormat="1" ht="38.25">
      <c r="A4" s="39" t="s">
        <v>13</v>
      </c>
      <c r="B4" s="40" t="s">
        <v>14</v>
      </c>
      <c r="C4" s="41" t="s">
        <v>15</v>
      </c>
      <c r="D4" s="42" t="s">
        <v>16</v>
      </c>
      <c r="E4" s="43" t="s">
        <v>17</v>
      </c>
      <c r="F4" s="40" t="s">
        <v>18</v>
      </c>
      <c r="G4" s="44" t="s">
        <v>19</v>
      </c>
      <c r="H4" s="45" t="s">
        <v>20</v>
      </c>
      <c r="I4" s="44" t="s">
        <v>21</v>
      </c>
      <c r="J4" s="44" t="s">
        <v>22</v>
      </c>
      <c r="K4" s="40" t="s">
        <v>23</v>
      </c>
      <c r="L4" s="46" t="s">
        <v>24</v>
      </c>
      <c r="M4" s="46" t="s">
        <v>25</v>
      </c>
      <c r="N4" s="44" t="s">
        <v>26</v>
      </c>
      <c r="O4" s="47" t="s">
        <v>27</v>
      </c>
      <c r="P4" s="44" t="s">
        <v>28</v>
      </c>
      <c r="Q4" s="44" t="s">
        <v>29</v>
      </c>
      <c r="R4" s="48" t="s">
        <v>7</v>
      </c>
      <c r="S4" s="49" t="s">
        <v>8</v>
      </c>
      <c r="T4" s="50" t="s">
        <v>30</v>
      </c>
      <c r="U4" s="50" t="s">
        <v>31</v>
      </c>
      <c r="V4" s="51" t="s">
        <v>2</v>
      </c>
      <c r="W4" s="41" t="s">
        <v>32</v>
      </c>
    </row>
    <row r="5" spans="1:23" s="140" customFormat="1" thickBot="1">
      <c r="A5" s="247" t="s">
        <v>33</v>
      </c>
      <c r="B5" s="248"/>
      <c r="C5" s="249"/>
      <c r="D5" s="250"/>
      <c r="E5" s="251" t="s">
        <v>34</v>
      </c>
      <c r="F5" s="251" t="s">
        <v>34</v>
      </c>
      <c r="G5" s="252" t="s">
        <v>34</v>
      </c>
      <c r="H5" s="253" t="s">
        <v>34</v>
      </c>
      <c r="I5" s="251" t="s">
        <v>34</v>
      </c>
      <c r="J5" s="251" t="s">
        <v>34</v>
      </c>
      <c r="K5" s="248" t="s">
        <v>35</v>
      </c>
      <c r="L5" s="254" t="s">
        <v>34</v>
      </c>
      <c r="M5" s="255" t="s">
        <v>34</v>
      </c>
      <c r="N5" s="255" t="s">
        <v>35</v>
      </c>
      <c r="O5" s="256" t="s">
        <v>36</v>
      </c>
      <c r="P5" s="255" t="s">
        <v>36</v>
      </c>
      <c r="Q5" s="255" t="s">
        <v>36</v>
      </c>
      <c r="R5" s="257" t="s">
        <v>36</v>
      </c>
      <c r="S5" s="258" t="s">
        <v>36</v>
      </c>
      <c r="T5" s="259" t="s">
        <v>34</v>
      </c>
      <c r="U5" s="259" t="s">
        <v>34</v>
      </c>
      <c r="V5" s="260" t="s">
        <v>34</v>
      </c>
      <c r="W5" s="249"/>
    </row>
    <row r="6" spans="1:23" s="294" customFormat="1" ht="15">
      <c r="A6" s="295">
        <v>43961</v>
      </c>
      <c r="B6" s="296" t="s">
        <v>72</v>
      </c>
      <c r="C6" s="297" t="s">
        <v>76</v>
      </c>
      <c r="D6" s="298" t="s">
        <v>52</v>
      </c>
      <c r="E6" s="299">
        <v>12.2</v>
      </c>
      <c r="F6" s="299">
        <v>0.52</v>
      </c>
      <c r="G6" s="300">
        <f>E6-F6</f>
        <v>11.68</v>
      </c>
      <c r="H6" s="301"/>
      <c r="I6" s="296">
        <v>4.09</v>
      </c>
      <c r="J6" s="299">
        <v>4.09</v>
      </c>
      <c r="K6" s="302">
        <v>0.47</v>
      </c>
      <c r="L6" s="303">
        <f>G6-I6</f>
        <v>7.59</v>
      </c>
      <c r="M6" s="296"/>
      <c r="N6" s="304"/>
      <c r="O6" s="299"/>
      <c r="P6" s="299">
        <f>I6*K6</f>
        <v>1.9222999999999999</v>
      </c>
      <c r="Q6" s="299"/>
      <c r="R6" s="296"/>
      <c r="S6" s="304"/>
      <c r="T6" s="296"/>
      <c r="U6" s="296"/>
      <c r="V6" s="238"/>
      <c r="W6" s="237"/>
    </row>
    <row r="7" spans="1:23" s="294" customFormat="1" ht="15">
      <c r="A7" s="295">
        <v>44079</v>
      </c>
      <c r="B7" s="296" t="s">
        <v>72</v>
      </c>
      <c r="C7" s="297" t="s">
        <v>76</v>
      </c>
      <c r="D7" s="298" t="s">
        <v>53</v>
      </c>
      <c r="E7" s="299">
        <v>9.15</v>
      </c>
      <c r="F7" s="299">
        <f>E7-G7</f>
        <v>1.5700000000000003</v>
      </c>
      <c r="G7" s="300">
        <v>7.58</v>
      </c>
      <c r="H7" s="301"/>
      <c r="I7" s="296"/>
      <c r="J7" s="299"/>
      <c r="K7" s="302"/>
      <c r="L7" s="303">
        <f>G7</f>
        <v>7.58</v>
      </c>
      <c r="M7" s="296"/>
      <c r="N7" s="304"/>
      <c r="O7" s="299">
        <f>-P6</f>
        <v>-1.9222999999999999</v>
      </c>
      <c r="P7" s="299"/>
      <c r="Q7" s="299"/>
      <c r="R7" s="296"/>
      <c r="S7" s="304"/>
      <c r="T7" s="296"/>
      <c r="U7" s="296"/>
      <c r="V7" s="238"/>
      <c r="W7" s="237"/>
    </row>
    <row r="8" spans="1:23" s="294" customFormat="1" ht="15">
      <c r="A8" s="295">
        <v>44079</v>
      </c>
      <c r="B8" s="296" t="s">
        <v>72</v>
      </c>
      <c r="C8" s="297" t="s">
        <v>76</v>
      </c>
      <c r="D8" s="298" t="s">
        <v>53</v>
      </c>
      <c r="E8" s="299">
        <v>12</v>
      </c>
      <c r="F8" s="299">
        <f>E8-G8</f>
        <v>4.42</v>
      </c>
      <c r="G8" s="300">
        <v>7.58</v>
      </c>
      <c r="H8" s="301"/>
      <c r="I8" s="296"/>
      <c r="J8" s="296"/>
      <c r="K8" s="297"/>
      <c r="L8" s="298"/>
      <c r="M8" s="296"/>
      <c r="N8" s="304"/>
      <c r="O8" s="299"/>
      <c r="P8" s="299"/>
      <c r="Q8" s="299"/>
      <c r="R8" s="296"/>
      <c r="S8" s="304"/>
      <c r="T8" s="296"/>
      <c r="U8" s="296"/>
      <c r="V8" s="238"/>
      <c r="W8" s="237"/>
    </row>
    <row r="9" spans="1:23" s="294" customFormat="1" ht="15">
      <c r="A9" s="295">
        <v>44185</v>
      </c>
      <c r="B9" s="296" t="s">
        <v>71</v>
      </c>
      <c r="C9" s="297" t="s">
        <v>76</v>
      </c>
      <c r="D9" s="298" t="s">
        <v>52</v>
      </c>
      <c r="E9" s="299">
        <v>12</v>
      </c>
      <c r="F9" s="299">
        <v>2.11</v>
      </c>
      <c r="G9" s="300">
        <f>E9-F9</f>
        <v>9.89</v>
      </c>
      <c r="H9" s="301"/>
      <c r="I9" s="296"/>
      <c r="J9" s="296">
        <f>G9-G8</f>
        <v>2.3100000000000005</v>
      </c>
      <c r="K9" s="297"/>
      <c r="L9" s="298"/>
      <c r="M9" s="296"/>
      <c r="N9" s="304"/>
      <c r="O9" s="299"/>
      <c r="P9" s="299"/>
      <c r="Q9" s="299"/>
      <c r="R9" s="296"/>
      <c r="S9" s="304"/>
      <c r="T9" s="296"/>
      <c r="U9" s="296"/>
      <c r="V9" s="238"/>
      <c r="W9" s="237"/>
    </row>
    <row r="10" spans="1:23" s="294" customFormat="1" ht="15">
      <c r="A10" s="295">
        <v>44185</v>
      </c>
      <c r="B10" s="296" t="s">
        <v>71</v>
      </c>
      <c r="C10" s="297" t="s">
        <v>76</v>
      </c>
      <c r="D10" s="298" t="s">
        <v>52</v>
      </c>
      <c r="E10" s="299">
        <v>14.39</v>
      </c>
      <c r="F10" s="299">
        <f>E10-G10</f>
        <v>4.5</v>
      </c>
      <c r="G10" s="300">
        <f>G9</f>
        <v>9.89</v>
      </c>
      <c r="H10" s="301"/>
      <c r="I10" s="296"/>
      <c r="J10" s="296"/>
      <c r="K10" s="297"/>
      <c r="L10" s="298"/>
      <c r="M10" s="296"/>
      <c r="N10" s="304"/>
      <c r="O10" s="299"/>
      <c r="P10" s="299"/>
      <c r="Q10" s="299"/>
      <c r="R10" s="296"/>
      <c r="S10" s="304"/>
      <c r="T10" s="296"/>
      <c r="U10" s="296"/>
      <c r="V10" s="238"/>
      <c r="W10" s="237"/>
    </row>
    <row r="11" spans="1:23" s="294" customFormat="1" ht="15">
      <c r="A11" s="295">
        <v>44221</v>
      </c>
      <c r="B11" s="296" t="s">
        <v>89</v>
      </c>
      <c r="C11" s="297" t="s">
        <v>76</v>
      </c>
      <c r="D11" s="298" t="s">
        <v>52</v>
      </c>
      <c r="E11" s="299">
        <v>14.39</v>
      </c>
      <c r="F11" s="299">
        <v>2.2999999999999998</v>
      </c>
      <c r="G11" s="300">
        <f>E11-F11</f>
        <v>12.09</v>
      </c>
      <c r="H11" s="301"/>
      <c r="I11" s="296"/>
      <c r="J11" s="296"/>
      <c r="K11" s="297"/>
      <c r="L11" s="298"/>
      <c r="M11" s="296"/>
      <c r="N11" s="304"/>
      <c r="O11" s="299"/>
      <c r="P11" s="299"/>
      <c r="Q11" s="299"/>
      <c r="R11" s="296"/>
      <c r="S11" s="304"/>
      <c r="T11" s="296"/>
      <c r="U11" s="296"/>
      <c r="V11" s="238"/>
      <c r="W11" s="237" t="s">
        <v>91</v>
      </c>
    </row>
    <row r="12" spans="1:23" s="294" customFormat="1" ht="15">
      <c r="A12" s="295">
        <v>44221</v>
      </c>
      <c r="B12" s="296" t="s">
        <v>89</v>
      </c>
      <c r="C12" s="297" t="s">
        <v>76</v>
      </c>
      <c r="D12" s="298" t="s">
        <v>52</v>
      </c>
      <c r="E12" s="299">
        <v>14.39</v>
      </c>
      <c r="F12" s="299">
        <f>E12-G12</f>
        <v>2.3900000000000006</v>
      </c>
      <c r="G12" s="300">
        <v>12</v>
      </c>
      <c r="H12" s="301"/>
      <c r="I12" s="296"/>
      <c r="J12" s="296"/>
      <c r="K12" s="297"/>
      <c r="L12" s="298"/>
      <c r="M12" s="296"/>
      <c r="N12" s="304"/>
      <c r="O12" s="299"/>
      <c r="P12" s="299"/>
      <c r="Q12" s="299"/>
      <c r="R12" s="296"/>
      <c r="S12" s="304"/>
      <c r="T12" s="296"/>
      <c r="U12" s="296"/>
      <c r="V12" s="238"/>
      <c r="W12" s="237"/>
    </row>
    <row r="13" spans="1:23" s="294" customFormat="1" ht="15">
      <c r="A13" s="295">
        <v>44221</v>
      </c>
      <c r="B13" s="296" t="s">
        <v>89</v>
      </c>
      <c r="C13" s="297" t="s">
        <v>76</v>
      </c>
      <c r="D13" s="298" t="s">
        <v>52</v>
      </c>
      <c r="E13" s="299">
        <v>16.5</v>
      </c>
      <c r="F13" s="299">
        <f>E13-G13</f>
        <v>4.5</v>
      </c>
      <c r="G13" s="300">
        <v>12</v>
      </c>
      <c r="H13" s="301"/>
      <c r="I13" s="296"/>
      <c r="J13" s="296"/>
      <c r="K13" s="297"/>
      <c r="L13" s="298"/>
      <c r="M13" s="296"/>
      <c r="N13" s="304"/>
      <c r="O13" s="299"/>
      <c r="P13" s="299"/>
      <c r="Q13" s="299"/>
      <c r="R13" s="296"/>
      <c r="S13" s="304"/>
      <c r="T13" s="296"/>
      <c r="U13" s="296"/>
      <c r="V13" s="238"/>
      <c r="W13" s="237"/>
    </row>
    <row r="14" spans="1:23" s="294" customFormat="1" ht="15">
      <c r="A14" s="295">
        <v>44307</v>
      </c>
      <c r="B14" s="296" t="s">
        <v>93</v>
      </c>
      <c r="C14" s="297" t="s">
        <v>76</v>
      </c>
      <c r="D14" s="298" t="s">
        <v>52</v>
      </c>
      <c r="E14" s="299">
        <v>16.5</v>
      </c>
      <c r="F14" s="299">
        <f>E14-G14</f>
        <v>4.5999999999999996</v>
      </c>
      <c r="G14" s="300">
        <f>G15</f>
        <v>11.9</v>
      </c>
      <c r="H14" s="383">
        <f>G14-G8</f>
        <v>4.32</v>
      </c>
      <c r="I14" s="299"/>
      <c r="J14" s="296"/>
      <c r="K14" s="297"/>
      <c r="L14" s="298"/>
      <c r="M14" s="296"/>
      <c r="N14" s="304"/>
      <c r="O14" s="299"/>
      <c r="P14" s="299"/>
      <c r="Q14" s="299"/>
      <c r="R14" s="296"/>
      <c r="S14" s="304"/>
      <c r="T14" s="296"/>
      <c r="U14" s="296"/>
      <c r="V14" s="238"/>
      <c r="W14" s="237"/>
    </row>
    <row r="15" spans="1:23" s="294" customFormat="1" ht="15">
      <c r="A15" s="295">
        <v>44307</v>
      </c>
      <c r="B15" s="296" t="s">
        <v>93</v>
      </c>
      <c r="C15" s="297" t="s">
        <v>76</v>
      </c>
      <c r="D15" s="298" t="s">
        <v>52</v>
      </c>
      <c r="E15" s="299">
        <v>12</v>
      </c>
      <c r="F15" s="299">
        <v>0.1</v>
      </c>
      <c r="G15" s="300">
        <f>E15-F15</f>
        <v>11.9</v>
      </c>
      <c r="H15" s="301"/>
      <c r="I15" s="296">
        <v>4.57</v>
      </c>
      <c r="J15" s="296">
        <f>4.57</f>
        <v>4.57</v>
      </c>
      <c r="K15" s="297">
        <v>0.47</v>
      </c>
      <c r="L15" s="303">
        <f>G15-J15</f>
        <v>7.33</v>
      </c>
      <c r="M15" s="296"/>
      <c r="N15" s="304"/>
      <c r="O15" s="299"/>
      <c r="P15" s="299">
        <f>J15*K15</f>
        <v>2.1478999999999999</v>
      </c>
      <c r="Q15" s="299"/>
      <c r="R15" s="296">
        <f>(H14-I15)*0.61</f>
        <v>-0.1525</v>
      </c>
      <c r="S15" s="304"/>
      <c r="T15" s="296"/>
      <c r="U15" s="296"/>
      <c r="V15" s="238"/>
      <c r="W15" s="237"/>
    </row>
    <row r="16" spans="1:23" s="294" customFormat="1" ht="15">
      <c r="A16" s="295">
        <v>44438</v>
      </c>
      <c r="B16" s="296" t="s">
        <v>93</v>
      </c>
      <c r="C16" s="297" t="s">
        <v>76</v>
      </c>
      <c r="D16" s="298" t="s">
        <v>52</v>
      </c>
      <c r="E16" s="299">
        <v>9.15</v>
      </c>
      <c r="F16" s="299">
        <v>0.79</v>
      </c>
      <c r="G16" s="300">
        <f>E16-F16</f>
        <v>8.36</v>
      </c>
      <c r="H16" s="301"/>
      <c r="I16" s="299">
        <f>G16-L15</f>
        <v>1.0299999999999994</v>
      </c>
      <c r="J16" s="296"/>
      <c r="K16" s="297">
        <f>0.6</f>
        <v>0.6</v>
      </c>
      <c r="L16" s="303"/>
      <c r="M16" s="296"/>
      <c r="N16" s="304"/>
      <c r="O16" s="299">
        <f>Q16-P15</f>
        <v>-1.5299000000000005</v>
      </c>
      <c r="P16" s="299"/>
      <c r="Q16" s="299">
        <f>I16*K16</f>
        <v>0.61799999999999955</v>
      </c>
      <c r="R16" s="296"/>
      <c r="S16" s="304"/>
      <c r="T16" s="296">
        <v>395954.00599999999</v>
      </c>
      <c r="U16" s="296">
        <v>6699620.6540000001</v>
      </c>
      <c r="V16" s="238">
        <v>1368.249</v>
      </c>
      <c r="W16" s="237"/>
    </row>
    <row r="17" spans="1:23" s="294" customFormat="1" ht="15">
      <c r="A17" s="295">
        <v>44822</v>
      </c>
      <c r="B17" s="296" t="s">
        <v>108</v>
      </c>
      <c r="C17" s="297" t="s">
        <v>76</v>
      </c>
      <c r="D17" s="298" t="s">
        <v>52</v>
      </c>
      <c r="E17" s="299">
        <v>12.2</v>
      </c>
      <c r="F17" s="299">
        <v>3.8</v>
      </c>
      <c r="G17" s="300">
        <f>E17-F17</f>
        <v>8.3999999999999986</v>
      </c>
      <c r="H17" s="301"/>
      <c r="I17" s="299"/>
      <c r="J17" s="296"/>
      <c r="K17" s="297"/>
      <c r="L17" s="303"/>
      <c r="M17" s="296"/>
      <c r="N17" s="304"/>
      <c r="O17" s="299"/>
      <c r="P17" s="299"/>
      <c r="Q17" s="299"/>
      <c r="R17" s="296"/>
      <c r="S17" s="304"/>
      <c r="T17" s="296"/>
      <c r="U17" s="296"/>
      <c r="V17" s="238"/>
      <c r="W17" s="237"/>
    </row>
    <row r="18" spans="1:23" s="294" customFormat="1" ht="15">
      <c r="A18" s="295">
        <v>44822</v>
      </c>
      <c r="B18" s="296" t="s">
        <v>108</v>
      </c>
      <c r="C18" s="297" t="s">
        <v>76</v>
      </c>
      <c r="D18" s="298" t="s">
        <v>52</v>
      </c>
      <c r="E18" s="299">
        <v>11.95</v>
      </c>
      <c r="F18" s="299">
        <f>E18-G18</f>
        <v>3.5499999999999989</v>
      </c>
      <c r="G18" s="300">
        <v>8.4</v>
      </c>
      <c r="H18" s="301"/>
      <c r="I18" s="296"/>
      <c r="J18" s="296">
        <v>0.27</v>
      </c>
      <c r="K18" s="297">
        <v>0.53</v>
      </c>
      <c r="L18" s="303">
        <f>G18-J18</f>
        <v>8.1300000000000008</v>
      </c>
      <c r="M18" s="296"/>
      <c r="N18" s="304"/>
      <c r="O18" s="299"/>
      <c r="P18" s="299"/>
      <c r="Q18" s="299"/>
      <c r="R18" s="296">
        <f>(L18-G16)*K16</f>
        <v>-0.13799999999999918</v>
      </c>
      <c r="S18" s="304"/>
      <c r="T18" s="296"/>
      <c r="U18" s="296"/>
      <c r="V18" s="238"/>
      <c r="W18" s="237"/>
    </row>
    <row r="19" spans="1:23" s="294" customFormat="1" ht="15">
      <c r="A19" s="295">
        <v>44911</v>
      </c>
      <c r="B19" s="296" t="s">
        <v>122</v>
      </c>
      <c r="C19" s="297" t="s">
        <v>76</v>
      </c>
      <c r="D19" s="298" t="s">
        <v>121</v>
      </c>
      <c r="E19" s="299">
        <v>11.95</v>
      </c>
      <c r="F19" s="299">
        <v>2.06</v>
      </c>
      <c r="G19" s="300">
        <f>E19-F19</f>
        <v>9.8899999999999988</v>
      </c>
      <c r="H19" s="383">
        <f>G19-G18</f>
        <v>1.4899999999999984</v>
      </c>
      <c r="I19" s="296"/>
      <c r="J19" s="296"/>
      <c r="K19" s="297"/>
      <c r="L19" s="303"/>
      <c r="M19" s="296"/>
      <c r="N19" s="304"/>
      <c r="O19" s="299"/>
      <c r="P19" s="299"/>
      <c r="Q19" s="299"/>
      <c r="R19" s="296"/>
      <c r="S19" s="304"/>
      <c r="T19" s="296"/>
      <c r="U19" s="296"/>
      <c r="V19" s="238"/>
      <c r="W19" s="237"/>
    </row>
    <row r="20" spans="1:23" s="294" customFormat="1" ht="15">
      <c r="A20" s="295">
        <v>45175</v>
      </c>
      <c r="B20" s="296" t="s">
        <v>195</v>
      </c>
      <c r="C20" s="297" t="s">
        <v>76</v>
      </c>
      <c r="D20" s="298" t="s">
        <v>62</v>
      </c>
      <c r="E20" s="299">
        <v>9.15</v>
      </c>
      <c r="F20" s="299">
        <v>0.78</v>
      </c>
      <c r="G20" s="300">
        <f>E20-F20</f>
        <v>8.370000000000001</v>
      </c>
      <c r="H20" s="383">
        <f>G20-G18</f>
        <v>-2.9999999999999361E-2</v>
      </c>
      <c r="I20" s="296"/>
      <c r="J20" s="296"/>
      <c r="K20" s="297"/>
      <c r="L20" s="303"/>
      <c r="M20" s="296"/>
      <c r="N20" s="304"/>
      <c r="O20" s="299"/>
      <c r="P20" s="299"/>
      <c r="Q20" s="299"/>
      <c r="R20" s="296"/>
      <c r="S20" s="304"/>
      <c r="T20" s="296"/>
      <c r="U20" s="296"/>
      <c r="V20" s="238"/>
      <c r="W20" s="237"/>
    </row>
    <row r="21" spans="1:23" s="294" customFormat="1" ht="15">
      <c r="A21" s="295">
        <v>45175</v>
      </c>
      <c r="B21" s="296" t="s">
        <v>195</v>
      </c>
      <c r="C21" s="297" t="s">
        <v>76</v>
      </c>
      <c r="D21" s="298" t="s">
        <v>62</v>
      </c>
      <c r="E21" s="299">
        <v>11.95</v>
      </c>
      <c r="F21" s="299">
        <f>E21-G21</f>
        <v>3.58</v>
      </c>
      <c r="G21" s="300">
        <v>8.3699999999999992</v>
      </c>
      <c r="H21" s="383"/>
      <c r="I21" s="296"/>
      <c r="J21" s="296"/>
      <c r="K21" s="297"/>
      <c r="L21" s="303"/>
      <c r="M21" s="296"/>
      <c r="N21" s="304"/>
      <c r="O21" s="299"/>
      <c r="P21" s="299"/>
      <c r="Q21" s="299"/>
      <c r="R21" s="296"/>
      <c r="S21" s="304"/>
      <c r="T21" s="296"/>
      <c r="U21" s="296"/>
      <c r="V21" s="238"/>
      <c r="W21" s="237"/>
    </row>
    <row r="22" spans="1:23" s="294" customFormat="1" ht="15">
      <c r="A22" s="285"/>
      <c r="B22" s="286"/>
      <c r="C22" s="287"/>
      <c r="D22" s="288"/>
      <c r="E22" s="289"/>
      <c r="F22" s="289"/>
      <c r="G22" s="290"/>
      <c r="H22" s="291"/>
      <c r="I22" s="286"/>
      <c r="J22" s="286"/>
      <c r="K22" s="287"/>
      <c r="L22" s="288"/>
      <c r="M22" s="286"/>
      <c r="N22" s="292"/>
      <c r="O22" s="289"/>
      <c r="P22" s="289"/>
      <c r="Q22" s="289"/>
      <c r="R22" s="286"/>
      <c r="S22" s="292"/>
      <c r="T22" s="286"/>
      <c r="U22" s="286"/>
      <c r="V22" s="293"/>
    </row>
    <row r="23" spans="1:23" s="382" customFormat="1" ht="15">
      <c r="A23" s="373">
        <v>44307</v>
      </c>
      <c r="B23" s="374" t="s">
        <v>93</v>
      </c>
      <c r="C23" s="375" t="s">
        <v>97</v>
      </c>
      <c r="D23" s="376" t="s">
        <v>52</v>
      </c>
      <c r="E23" s="377">
        <v>12.2</v>
      </c>
      <c r="F23" s="377">
        <v>0.94</v>
      </c>
      <c r="G23" s="378">
        <f>E23-F23</f>
        <v>11.26</v>
      </c>
      <c r="H23" s="379"/>
      <c r="I23" s="374">
        <v>4.57</v>
      </c>
      <c r="J23" s="374">
        <v>4.57</v>
      </c>
      <c r="K23" s="375">
        <v>0.47</v>
      </c>
      <c r="L23" s="376"/>
      <c r="M23" s="374"/>
      <c r="N23" s="380"/>
      <c r="O23" s="377"/>
      <c r="P23" s="377">
        <f>J23*K23</f>
        <v>2.1478999999999999</v>
      </c>
      <c r="Q23" s="377"/>
      <c r="R23" s="374"/>
      <c r="S23" s="380"/>
      <c r="T23" s="374">
        <v>395967.07500000001</v>
      </c>
      <c r="U23" s="374">
        <v>6699635.8380000005</v>
      </c>
      <c r="V23" s="381">
        <v>1372.231</v>
      </c>
    </row>
    <row r="24" spans="1:23" s="382" customFormat="1" ht="15">
      <c r="A24" s="373">
        <v>44309</v>
      </c>
      <c r="B24" s="374" t="s">
        <v>93</v>
      </c>
      <c r="C24" s="375" t="s">
        <v>97</v>
      </c>
      <c r="D24" s="376" t="s">
        <v>52</v>
      </c>
      <c r="E24" s="377">
        <v>12.2</v>
      </c>
      <c r="F24" s="377">
        <v>0.98</v>
      </c>
      <c r="G24" s="378">
        <f>E24-F24</f>
        <v>11.219999999999999</v>
      </c>
      <c r="H24" s="451">
        <f>G24-G23</f>
        <v>-4.0000000000000924E-2</v>
      </c>
      <c r="I24" s="374"/>
      <c r="J24" s="377">
        <f>J23+H24</f>
        <v>4.5299999999999994</v>
      </c>
      <c r="K24" s="452">
        <f>J23*K23/J24</f>
        <v>0.47415011037527599</v>
      </c>
      <c r="L24" s="455">
        <f>G24-J24</f>
        <v>6.6899999999999995</v>
      </c>
      <c r="M24" s="374"/>
      <c r="N24" s="380"/>
      <c r="O24" s="377"/>
      <c r="P24" s="377"/>
      <c r="Q24" s="377"/>
      <c r="R24" s="374"/>
      <c r="S24" s="380"/>
      <c r="T24" s="374"/>
      <c r="U24" s="374"/>
      <c r="V24" s="381"/>
    </row>
    <row r="25" spans="1:23" s="382" customFormat="1" ht="15">
      <c r="A25" s="373">
        <v>44438</v>
      </c>
      <c r="B25" s="374" t="s">
        <v>93</v>
      </c>
      <c r="C25" s="375" t="s">
        <v>97</v>
      </c>
      <c r="D25" s="376" t="s">
        <v>52</v>
      </c>
      <c r="E25" s="377">
        <v>12.2</v>
      </c>
      <c r="F25" s="377">
        <v>4.4400000000000004</v>
      </c>
      <c r="G25" s="378">
        <f>E25-F25</f>
        <v>7.7599999999999989</v>
      </c>
      <c r="H25" s="451"/>
      <c r="I25" s="377">
        <f>G25-L24</f>
        <v>1.0699999999999994</v>
      </c>
      <c r="J25" s="377">
        <f>AVERAGE(110,115,105,110,110,103,107)/100</f>
        <v>1.0857142857142856</v>
      </c>
      <c r="K25" s="452">
        <f>0.6</f>
        <v>0.6</v>
      </c>
      <c r="L25" s="455"/>
      <c r="M25" s="374"/>
      <c r="N25" s="380"/>
      <c r="O25" s="377">
        <f>Q25-P23</f>
        <v>-1.4964714285714287</v>
      </c>
      <c r="P25" s="377"/>
      <c r="Q25" s="377">
        <f>J25*K25</f>
        <v>0.65142857142857136</v>
      </c>
      <c r="R25" s="374"/>
      <c r="S25" s="380">
        <v>0</v>
      </c>
      <c r="T25" s="374">
        <v>395959.39799999999</v>
      </c>
      <c r="U25" s="374">
        <v>6699631.7240000004</v>
      </c>
      <c r="V25" s="381">
        <v>1368.2149999999999</v>
      </c>
    </row>
    <row r="26" spans="1:23" s="382" customFormat="1" ht="15">
      <c r="A26" s="373">
        <v>44509</v>
      </c>
      <c r="B26" s="374" t="s">
        <v>93</v>
      </c>
      <c r="C26" s="375" t="s">
        <v>97</v>
      </c>
      <c r="D26" s="376" t="s">
        <v>52</v>
      </c>
      <c r="E26" s="377">
        <f>E25+3.05</f>
        <v>15.25</v>
      </c>
      <c r="F26" s="377">
        <f>E26-G26</f>
        <v>4.3699999999999992</v>
      </c>
      <c r="G26" s="378">
        <v>10.88</v>
      </c>
      <c r="H26" s="451">
        <f>G26-G25</f>
        <v>3.1200000000000019</v>
      </c>
      <c r="I26" s="374"/>
      <c r="J26" s="377"/>
      <c r="K26" s="452"/>
      <c r="L26" s="455"/>
      <c r="M26" s="374"/>
      <c r="N26" s="380"/>
      <c r="O26" s="377"/>
      <c r="P26" s="377"/>
      <c r="Q26" s="377"/>
      <c r="R26" s="377"/>
      <c r="S26" s="378"/>
      <c r="T26" s="374"/>
      <c r="U26" s="374"/>
      <c r="V26" s="381"/>
    </row>
    <row r="27" spans="1:23" s="382" customFormat="1" ht="15">
      <c r="A27" s="373">
        <v>44592</v>
      </c>
      <c r="B27" s="374" t="s">
        <v>103</v>
      </c>
      <c r="C27" s="375" t="s">
        <v>97</v>
      </c>
      <c r="D27" s="376" t="s">
        <v>107</v>
      </c>
      <c r="E27" s="377"/>
      <c r="F27" s="377"/>
      <c r="G27" s="378"/>
      <c r="H27" s="379"/>
      <c r="I27" s="374"/>
      <c r="J27" s="374"/>
      <c r="K27" s="375"/>
      <c r="L27" s="376"/>
      <c r="M27" s="374"/>
      <c r="N27" s="380"/>
      <c r="O27" s="377"/>
      <c r="P27" s="377"/>
      <c r="Q27" s="377"/>
      <c r="R27" s="377"/>
      <c r="S27" s="378"/>
      <c r="T27" s="374"/>
      <c r="U27" s="374"/>
      <c r="V27" s="381"/>
    </row>
    <row r="28" spans="1:23" s="382" customFormat="1" ht="15">
      <c r="A28" s="373">
        <v>44678</v>
      </c>
      <c r="B28" s="374" t="s">
        <v>113</v>
      </c>
      <c r="C28" s="374" t="s">
        <v>97</v>
      </c>
      <c r="D28" s="376" t="s">
        <v>107</v>
      </c>
      <c r="E28" s="377"/>
      <c r="F28" s="377"/>
      <c r="G28" s="378"/>
      <c r="H28" s="379"/>
      <c r="I28" s="374"/>
      <c r="J28" s="374"/>
      <c r="K28" s="375"/>
      <c r="L28" s="376"/>
      <c r="M28" s="374"/>
      <c r="N28" s="380"/>
      <c r="O28" s="377"/>
      <c r="P28" s="377"/>
      <c r="Q28" s="377"/>
      <c r="R28" s="377"/>
      <c r="S28" s="378"/>
      <c r="T28" s="374"/>
      <c r="U28" s="374"/>
      <c r="V28" s="381"/>
    </row>
    <row r="29" spans="1:23" s="382" customFormat="1" ht="15">
      <c r="A29" s="373">
        <v>44822</v>
      </c>
      <c r="B29" s="374" t="s">
        <v>108</v>
      </c>
      <c r="C29" s="375" t="s">
        <v>97</v>
      </c>
      <c r="D29" s="376" t="s">
        <v>52</v>
      </c>
      <c r="E29" s="377">
        <v>15.25</v>
      </c>
      <c r="F29" s="377">
        <v>6.95</v>
      </c>
      <c r="G29" s="378">
        <f>E29-F29</f>
        <v>8.3000000000000007</v>
      </c>
      <c r="H29" s="379"/>
      <c r="I29" s="374"/>
      <c r="J29" s="374">
        <v>0.27</v>
      </c>
      <c r="K29" s="375"/>
      <c r="L29" s="455">
        <f>G29-J29</f>
        <v>8.0300000000000011</v>
      </c>
      <c r="M29" s="374"/>
      <c r="N29" s="380"/>
      <c r="O29" s="377"/>
      <c r="P29" s="377"/>
      <c r="Q29" s="377"/>
      <c r="R29" s="377"/>
      <c r="S29" s="378"/>
      <c r="T29" s="374"/>
      <c r="U29" s="374"/>
      <c r="V29" s="381"/>
    </row>
    <row r="30" spans="1:23" s="382" customFormat="1" ht="15">
      <c r="A30" s="373">
        <v>44822</v>
      </c>
      <c r="B30" s="374" t="s">
        <v>108</v>
      </c>
      <c r="C30" s="375" t="s">
        <v>97</v>
      </c>
      <c r="D30" s="376" t="s">
        <v>52</v>
      </c>
      <c r="E30" s="377">
        <v>13.29</v>
      </c>
      <c r="F30" s="377">
        <f>E30-G30</f>
        <v>4.9899999999999984</v>
      </c>
      <c r="G30" s="378">
        <v>8.3000000000000007</v>
      </c>
      <c r="H30" s="379"/>
      <c r="I30" s="374"/>
      <c r="J30" s="374"/>
      <c r="K30" s="375"/>
      <c r="L30" s="376"/>
      <c r="M30" s="374"/>
      <c r="N30" s="380"/>
      <c r="O30" s="377"/>
      <c r="P30" s="377"/>
      <c r="Q30" s="377"/>
      <c r="R30" s="377"/>
      <c r="S30" s="378"/>
      <c r="T30" s="374"/>
      <c r="U30" s="374"/>
      <c r="V30" s="381"/>
    </row>
    <row r="31" spans="1:23" s="382" customFormat="1" ht="15">
      <c r="A31" s="373">
        <v>44911</v>
      </c>
      <c r="B31" s="374" t="s">
        <v>122</v>
      </c>
      <c r="C31" s="375" t="s">
        <v>97</v>
      </c>
      <c r="D31" s="376" t="s">
        <v>121</v>
      </c>
      <c r="E31" s="377">
        <v>13.29</v>
      </c>
      <c r="F31" s="377">
        <f>2.36+1.09</f>
        <v>3.45</v>
      </c>
      <c r="G31" s="378">
        <f>E31-F31</f>
        <v>9.84</v>
      </c>
      <c r="H31" s="451">
        <f>G31-G30</f>
        <v>1.5399999999999991</v>
      </c>
      <c r="I31" s="374"/>
      <c r="J31" s="374"/>
      <c r="K31" s="375"/>
      <c r="L31" s="376"/>
      <c r="M31" s="374"/>
      <c r="N31" s="380"/>
      <c r="O31" s="377"/>
      <c r="P31" s="377"/>
      <c r="Q31" s="377"/>
      <c r="R31" s="377"/>
      <c r="S31" s="378"/>
      <c r="T31" s="374"/>
      <c r="U31" s="374"/>
      <c r="V31" s="381"/>
    </row>
    <row r="32" spans="1:23" s="382" customFormat="1" ht="15">
      <c r="A32" s="373">
        <v>44911</v>
      </c>
      <c r="B32" s="374" t="s">
        <v>122</v>
      </c>
      <c r="C32" s="375" t="s">
        <v>97</v>
      </c>
      <c r="D32" s="376" t="s">
        <v>124</v>
      </c>
      <c r="E32" s="377">
        <v>14.14</v>
      </c>
      <c r="F32" s="377">
        <f>E32-G32</f>
        <v>4.3000000000000007</v>
      </c>
      <c r="G32" s="378">
        <f>G31</f>
        <v>9.84</v>
      </c>
      <c r="H32" s="379"/>
      <c r="I32" s="374"/>
      <c r="J32" s="374"/>
      <c r="K32" s="375"/>
      <c r="L32" s="376"/>
      <c r="M32" s="374"/>
      <c r="N32" s="380"/>
      <c r="O32" s="377"/>
      <c r="P32" s="377"/>
      <c r="Q32" s="377"/>
      <c r="R32" s="377"/>
      <c r="S32" s="378"/>
      <c r="T32" s="374"/>
      <c r="U32" s="374"/>
      <c r="V32" s="381"/>
    </row>
    <row r="33" spans="1:22" s="382" customFormat="1" ht="15">
      <c r="A33" s="373">
        <v>45175</v>
      </c>
      <c r="B33" s="374" t="s">
        <v>195</v>
      </c>
      <c r="C33" s="375" t="s">
        <v>97</v>
      </c>
      <c r="D33" s="376" t="s">
        <v>62</v>
      </c>
      <c r="E33" s="377">
        <v>9.15</v>
      </c>
      <c r="F33" s="377">
        <v>0.88</v>
      </c>
      <c r="G33" s="378">
        <f>E33-F33</f>
        <v>8.27</v>
      </c>
      <c r="H33" s="451">
        <f>G33-G30</f>
        <v>-3.0000000000001137E-2</v>
      </c>
      <c r="I33" s="374"/>
      <c r="J33" s="374"/>
      <c r="K33" s="375"/>
      <c r="L33" s="376"/>
      <c r="M33" s="374"/>
      <c r="N33" s="380"/>
      <c r="O33" s="377"/>
      <c r="P33" s="377"/>
      <c r="Q33" s="377"/>
      <c r="R33" s="377"/>
      <c r="S33" s="378"/>
      <c r="T33" s="374"/>
      <c r="U33" s="374"/>
      <c r="V33" s="381"/>
    </row>
    <row r="34" spans="1:22" s="382" customFormat="1" ht="15">
      <c r="A34" s="373">
        <v>45175</v>
      </c>
      <c r="B34" s="374" t="s">
        <v>195</v>
      </c>
      <c r="C34" s="375" t="s">
        <v>97</v>
      </c>
      <c r="D34" s="376" t="s">
        <v>62</v>
      </c>
      <c r="E34" s="377">
        <v>12.2</v>
      </c>
      <c r="F34" s="377">
        <f>E34-G34</f>
        <v>3.9299999999999997</v>
      </c>
      <c r="G34" s="378">
        <v>8.27</v>
      </c>
      <c r="H34" s="379"/>
      <c r="I34" s="374"/>
      <c r="J34" s="374"/>
      <c r="K34" s="375"/>
      <c r="L34" s="376"/>
      <c r="M34" s="374"/>
      <c r="N34" s="380"/>
      <c r="O34" s="377"/>
      <c r="P34" s="377"/>
      <c r="Q34" s="377"/>
      <c r="R34" s="377"/>
      <c r="S34" s="378"/>
      <c r="T34" s="374"/>
      <c r="U34" s="374"/>
      <c r="V34" s="381"/>
    </row>
    <row r="35" spans="1:22" s="140" customFormat="1" ht="15">
      <c r="A35" s="231"/>
      <c r="B35" s="231"/>
      <c r="C35" s="232"/>
      <c r="D35" s="233"/>
      <c r="E35" s="234"/>
      <c r="F35" s="234"/>
      <c r="G35" s="235"/>
      <c r="H35" s="236"/>
      <c r="I35" s="231"/>
      <c r="J35" s="231"/>
      <c r="K35" s="232"/>
      <c r="L35" s="233"/>
      <c r="M35" s="231"/>
      <c r="N35" s="235"/>
      <c r="O35" s="234"/>
      <c r="P35" s="234"/>
      <c r="Q35" s="234"/>
      <c r="R35" s="234"/>
      <c r="S35" s="537"/>
      <c r="T35" s="231"/>
      <c r="U35" s="231"/>
      <c r="V35" s="239"/>
    </row>
    <row r="36" spans="1:22" s="140" customFormat="1" ht="15">
      <c r="A36" s="515">
        <v>44678</v>
      </c>
      <c r="B36" s="513" t="s">
        <v>109</v>
      </c>
      <c r="C36" s="532" t="s">
        <v>117</v>
      </c>
      <c r="D36" s="533" t="s">
        <v>52</v>
      </c>
      <c r="E36" s="514">
        <v>12.2</v>
      </c>
      <c r="F36" s="514">
        <v>-1.39</v>
      </c>
      <c r="G36" s="534">
        <f>E36-F36</f>
        <v>13.59</v>
      </c>
      <c r="H36" s="536"/>
      <c r="I36" s="513">
        <v>5.36</v>
      </c>
      <c r="J36" s="513">
        <v>5.36</v>
      </c>
      <c r="K36" s="539">
        <v>0.43</v>
      </c>
      <c r="L36" s="540">
        <f>G36-I36</f>
        <v>8.23</v>
      </c>
      <c r="M36" s="513"/>
      <c r="N36" s="535"/>
      <c r="O36" s="514"/>
      <c r="P36" s="514">
        <f>J36*K36</f>
        <v>2.3048000000000002</v>
      </c>
      <c r="Q36" s="514"/>
      <c r="R36" s="514"/>
      <c r="S36" s="534"/>
      <c r="T36" s="513"/>
      <c r="U36" s="513"/>
      <c r="V36" s="538"/>
    </row>
    <row r="37" spans="1:22" s="140" customFormat="1" ht="15">
      <c r="A37" s="515">
        <v>44822</v>
      </c>
      <c r="B37" s="513" t="s">
        <v>108</v>
      </c>
      <c r="C37" s="532" t="s">
        <v>117</v>
      </c>
      <c r="D37" s="533" t="s">
        <v>52</v>
      </c>
      <c r="E37" s="514">
        <v>12.2</v>
      </c>
      <c r="F37" s="514">
        <v>3.65</v>
      </c>
      <c r="G37" s="534">
        <f>E37-F37</f>
        <v>8.5499999999999989</v>
      </c>
      <c r="H37" s="536"/>
      <c r="I37" s="513"/>
      <c r="J37" s="513"/>
      <c r="K37" s="532"/>
      <c r="L37" s="533"/>
      <c r="M37" s="513"/>
      <c r="N37" s="535"/>
      <c r="O37" s="514"/>
      <c r="P37" s="514"/>
      <c r="Q37" s="514"/>
      <c r="R37" s="514"/>
      <c r="S37" s="534"/>
      <c r="T37" s="513"/>
      <c r="U37" s="513"/>
      <c r="V37" s="538"/>
    </row>
    <row r="38" spans="1:22" s="140" customFormat="1" ht="15">
      <c r="A38" s="515">
        <v>44822</v>
      </c>
      <c r="B38" s="513" t="s">
        <v>108</v>
      </c>
      <c r="C38" s="532" t="s">
        <v>117</v>
      </c>
      <c r="D38" s="533" t="s">
        <v>52</v>
      </c>
      <c r="E38" s="514">
        <v>13.05</v>
      </c>
      <c r="F38" s="514">
        <f>E38-G38</f>
        <v>4.5</v>
      </c>
      <c r="G38" s="535">
        <v>8.5500000000000007</v>
      </c>
      <c r="H38" s="536"/>
      <c r="I38" s="513"/>
      <c r="J38" s="513">
        <v>0.27</v>
      </c>
      <c r="K38" s="539">
        <v>0.53</v>
      </c>
      <c r="L38" s="533">
        <f>G38-J38</f>
        <v>8.2800000000000011</v>
      </c>
      <c r="M38" s="513"/>
      <c r="N38" s="535"/>
      <c r="O38" s="514">
        <f>Q38-P36</f>
        <v>-2.1617000000000002</v>
      </c>
      <c r="P38" s="514"/>
      <c r="Q38" s="514">
        <f>J38*K38</f>
        <v>0.1431</v>
      </c>
      <c r="R38" s="514"/>
      <c r="S38" s="534">
        <v>0</v>
      </c>
      <c r="T38" s="513"/>
      <c r="U38" s="513"/>
      <c r="V38" s="538"/>
    </row>
    <row r="39" spans="1:22" s="140" customFormat="1" ht="15">
      <c r="A39" s="515">
        <v>44911</v>
      </c>
      <c r="B39" s="513" t="s">
        <v>120</v>
      </c>
      <c r="C39" s="532" t="s">
        <v>117</v>
      </c>
      <c r="D39" s="533" t="s">
        <v>121</v>
      </c>
      <c r="E39" s="514">
        <v>13.05</v>
      </c>
      <c r="F39" s="514">
        <v>2.91</v>
      </c>
      <c r="G39" s="534">
        <f>E39-F39</f>
        <v>10.14</v>
      </c>
      <c r="H39" s="556">
        <f>G39-G38</f>
        <v>1.5899999999999999</v>
      </c>
      <c r="I39" s="513"/>
      <c r="J39" s="513"/>
      <c r="K39" s="539"/>
      <c r="L39" s="533"/>
      <c r="M39" s="513"/>
      <c r="N39" s="535"/>
      <c r="O39" s="514"/>
      <c r="P39" s="514"/>
      <c r="Q39" s="514"/>
      <c r="R39" s="514"/>
      <c r="S39" s="534"/>
      <c r="T39" s="513"/>
      <c r="U39" s="513"/>
      <c r="V39" s="538"/>
    </row>
    <row r="40" spans="1:22" s="140" customFormat="1" ht="15">
      <c r="A40" s="515">
        <v>44911</v>
      </c>
      <c r="B40" s="513" t="s">
        <v>120</v>
      </c>
      <c r="C40" s="532" t="s">
        <v>117</v>
      </c>
      <c r="D40" s="533" t="s">
        <v>121</v>
      </c>
      <c r="E40" s="514">
        <v>14.2</v>
      </c>
      <c r="F40" s="514">
        <f>E40-G40</f>
        <v>4.0599999999999987</v>
      </c>
      <c r="G40" s="534">
        <f>G39</f>
        <v>10.14</v>
      </c>
      <c r="H40" s="536"/>
      <c r="I40" s="513"/>
      <c r="J40" s="513"/>
      <c r="K40" s="539"/>
      <c r="L40" s="533"/>
      <c r="M40" s="513"/>
      <c r="N40" s="535"/>
      <c r="O40" s="514"/>
      <c r="P40" s="514"/>
      <c r="Q40" s="514"/>
      <c r="R40" s="514"/>
      <c r="S40" s="534"/>
      <c r="T40" s="513"/>
      <c r="U40" s="513"/>
      <c r="V40" s="538"/>
    </row>
    <row r="41" spans="1:22" s="140" customFormat="1" ht="15">
      <c r="A41" s="515">
        <v>45175</v>
      </c>
      <c r="B41" s="513" t="s">
        <v>195</v>
      </c>
      <c r="C41" s="532" t="s">
        <v>117</v>
      </c>
      <c r="D41" s="533" t="s">
        <v>62</v>
      </c>
      <c r="E41" s="514">
        <v>9.15</v>
      </c>
      <c r="F41" s="514">
        <v>0.36</v>
      </c>
      <c r="G41" s="534">
        <f>E41-F41</f>
        <v>8.7900000000000009</v>
      </c>
      <c r="H41" s="556">
        <f>G41-G38</f>
        <v>0.24000000000000021</v>
      </c>
      <c r="I41" s="513"/>
      <c r="J41" s="513"/>
      <c r="K41" s="539"/>
      <c r="L41" s="533"/>
      <c r="M41" s="513"/>
      <c r="N41" s="535"/>
      <c r="O41" s="514"/>
      <c r="P41" s="514"/>
      <c r="Q41" s="514"/>
      <c r="R41" s="514" t="s">
        <v>55</v>
      </c>
      <c r="S41" s="534"/>
      <c r="T41" s="513"/>
      <c r="U41" s="513"/>
      <c r="V41" s="538"/>
    </row>
    <row r="42" spans="1:22" s="140" customFormat="1" ht="15">
      <c r="A42" s="515">
        <v>45175</v>
      </c>
      <c r="B42" s="513" t="s">
        <v>195</v>
      </c>
      <c r="C42" s="532" t="s">
        <v>117</v>
      </c>
      <c r="D42" s="533" t="s">
        <v>62</v>
      </c>
      <c r="E42" s="514">
        <v>12.2</v>
      </c>
      <c r="F42" s="514">
        <f>E42-G42</f>
        <v>3.41</v>
      </c>
      <c r="G42" s="534">
        <v>8.7899999999999991</v>
      </c>
      <c r="H42" s="536"/>
      <c r="I42" s="513"/>
      <c r="J42" s="513"/>
      <c r="K42" s="539"/>
      <c r="L42" s="533"/>
      <c r="M42" s="513"/>
      <c r="N42" s="535"/>
      <c r="O42" s="514"/>
      <c r="P42" s="514"/>
      <c r="Q42" s="514"/>
      <c r="R42" s="514"/>
      <c r="S42" s="534"/>
      <c r="T42" s="513"/>
      <c r="U42" s="513"/>
      <c r="V42" s="538"/>
    </row>
    <row r="43" spans="1:22" s="294" customFormat="1" ht="15">
      <c r="A43" s="286"/>
      <c r="B43" s="286"/>
      <c r="C43" s="287"/>
      <c r="D43" s="288"/>
      <c r="E43" s="289"/>
      <c r="F43" s="289"/>
      <c r="G43" s="292"/>
      <c r="H43" s="291"/>
      <c r="I43" s="286"/>
      <c r="J43" s="286"/>
      <c r="K43" s="287"/>
      <c r="L43" s="288"/>
      <c r="M43" s="286"/>
      <c r="N43" s="292"/>
      <c r="O43" s="289"/>
      <c r="P43" s="289"/>
      <c r="Q43" s="289"/>
      <c r="R43" s="289"/>
      <c r="S43" s="290"/>
      <c r="T43" s="286"/>
      <c r="U43" s="286"/>
      <c r="V43" s="293"/>
    </row>
    <row r="44" spans="1:22" s="560" customFormat="1" ht="15">
      <c r="A44" s="908">
        <v>45051</v>
      </c>
      <c r="B44" s="558" t="s">
        <v>125</v>
      </c>
      <c r="C44" s="561" t="s">
        <v>126</v>
      </c>
      <c r="D44" s="562" t="s">
        <v>121</v>
      </c>
      <c r="E44" s="559">
        <v>12.2</v>
      </c>
      <c r="F44" s="559">
        <v>1.41</v>
      </c>
      <c r="G44" s="563">
        <f>E44-F44</f>
        <v>10.79</v>
      </c>
      <c r="H44" s="564"/>
      <c r="I44" s="558"/>
      <c r="J44" s="559">
        <f>'20230505_PitCoreTU'!I3</f>
        <v>4.17</v>
      </c>
      <c r="K44" s="909">
        <f>'20230505_PitCoreTU'!I4</f>
        <v>0.40626275694089986</v>
      </c>
      <c r="L44" s="916">
        <f>G44-J44</f>
        <v>6.6199999999999992</v>
      </c>
      <c r="M44" s="558"/>
      <c r="N44" s="563"/>
      <c r="O44" s="559"/>
      <c r="P44" s="559">
        <f>J44*K44</f>
        <v>1.6941156964435524</v>
      </c>
      <c r="Q44" s="559"/>
      <c r="R44" s="559"/>
      <c r="S44" s="565"/>
      <c r="T44" s="558">
        <v>395978.21</v>
      </c>
      <c r="U44" s="558">
        <v>6699654.9280000003</v>
      </c>
      <c r="V44" s="566">
        <v>1370.59</v>
      </c>
    </row>
    <row r="45" spans="1:22" s="560" customFormat="1" ht="15">
      <c r="A45" s="908">
        <v>45175</v>
      </c>
      <c r="B45" s="558" t="s">
        <v>195</v>
      </c>
      <c r="C45" s="561" t="s">
        <v>126</v>
      </c>
      <c r="D45" s="562" t="s">
        <v>62</v>
      </c>
      <c r="E45" s="559">
        <v>9.15</v>
      </c>
      <c r="F45" s="559">
        <v>2.64</v>
      </c>
      <c r="G45" s="565">
        <f>E45-F45</f>
        <v>6.51</v>
      </c>
      <c r="H45" s="564"/>
      <c r="I45" s="558"/>
      <c r="J45" s="559"/>
      <c r="K45" s="909"/>
      <c r="L45" s="916">
        <f>G45-J45</f>
        <v>6.51</v>
      </c>
      <c r="M45" s="558"/>
      <c r="N45" s="563"/>
      <c r="O45" s="559">
        <f>Q45-P44</f>
        <v>-1.7524156964435522</v>
      </c>
      <c r="P45" s="559"/>
      <c r="Q45" s="559">
        <f>(L45-L44)*K38</f>
        <v>-5.8299999999999699E-2</v>
      </c>
      <c r="R45" s="559"/>
      <c r="S45" s="565">
        <v>0</v>
      </c>
      <c r="T45" s="558"/>
      <c r="U45" s="558"/>
      <c r="V45" s="566"/>
    </row>
    <row r="46" spans="1:22" s="560" customFormat="1" ht="15">
      <c r="A46" s="908">
        <v>45175</v>
      </c>
      <c r="B46" s="558" t="s">
        <v>195</v>
      </c>
      <c r="C46" s="561" t="s">
        <v>126</v>
      </c>
      <c r="D46" s="562" t="s">
        <v>62</v>
      </c>
      <c r="E46" s="559">
        <v>11</v>
      </c>
      <c r="F46" s="559">
        <f>E46-G46</f>
        <v>4.49</v>
      </c>
      <c r="G46" s="563">
        <v>6.51</v>
      </c>
      <c r="H46" s="564"/>
      <c r="I46" s="558"/>
      <c r="J46" s="559"/>
      <c r="K46" s="909"/>
      <c r="L46" s="916"/>
      <c r="M46" s="558"/>
      <c r="N46" s="563"/>
      <c r="O46" s="559"/>
      <c r="P46" s="559"/>
      <c r="Q46" s="559"/>
      <c r="R46" s="559"/>
      <c r="S46" s="565"/>
      <c r="T46" s="558"/>
      <c r="U46" s="558"/>
      <c r="V46" s="566"/>
    </row>
    <row r="47" spans="1:22" s="294" customFormat="1" ht="15">
      <c r="A47" s="286"/>
      <c r="B47" s="286"/>
      <c r="C47" s="287"/>
      <c r="D47" s="288"/>
      <c r="E47" s="289"/>
      <c r="F47" s="289"/>
      <c r="G47" s="292"/>
      <c r="H47" s="291"/>
      <c r="I47" s="286"/>
      <c r="J47" s="286"/>
      <c r="K47" s="287"/>
      <c r="L47" s="288"/>
      <c r="M47" s="286"/>
      <c r="N47" s="292"/>
      <c r="O47" s="289"/>
      <c r="P47" s="289"/>
      <c r="Q47" s="289"/>
      <c r="R47" s="289"/>
      <c r="S47" s="290"/>
      <c r="T47" s="286"/>
      <c r="U47" s="286"/>
      <c r="V47" s="293"/>
    </row>
    <row r="48" spans="1:22" s="294" customFormat="1" ht="15">
      <c r="A48" s="286"/>
      <c r="B48" s="286"/>
      <c r="C48" s="286"/>
      <c r="D48" s="286"/>
      <c r="E48" s="289"/>
      <c r="F48" s="289"/>
      <c r="G48" s="286"/>
      <c r="H48" s="286"/>
      <c r="I48" s="286"/>
      <c r="J48" s="286"/>
      <c r="K48" s="286"/>
      <c r="L48" s="286"/>
      <c r="M48" s="286"/>
      <c r="N48" s="286"/>
      <c r="O48" s="289"/>
      <c r="P48" s="289"/>
      <c r="Q48" s="289"/>
      <c r="R48" s="289"/>
      <c r="S48" s="289"/>
      <c r="T48" s="286"/>
      <c r="U48" s="286"/>
    </row>
    <row r="49" spans="1:21" s="140" customFormat="1" thickBot="1">
      <c r="A49" s="231"/>
      <c r="B49" s="231"/>
      <c r="C49" s="231"/>
      <c r="D49" s="231"/>
      <c r="E49" s="234"/>
      <c r="F49" s="234"/>
      <c r="G49" s="231"/>
      <c r="H49" s="231"/>
      <c r="I49" s="231"/>
      <c r="J49" s="231"/>
      <c r="K49" s="231"/>
      <c r="L49" s="231"/>
      <c r="M49" s="231"/>
      <c r="N49" s="231"/>
      <c r="O49" s="231"/>
      <c r="P49" s="231"/>
      <c r="Q49" s="231"/>
      <c r="R49" s="231"/>
      <c r="S49" s="231"/>
      <c r="T49" s="231"/>
      <c r="U49" s="231"/>
    </row>
    <row r="50" spans="1:21" ht="14.45" customHeight="1">
      <c r="A50" s="941" t="s">
        <v>37</v>
      </c>
      <c r="B50" s="942"/>
      <c r="C50" s="945" t="s">
        <v>38</v>
      </c>
      <c r="D50" s="946"/>
      <c r="E50" s="103" t="s">
        <v>39</v>
      </c>
      <c r="F50" s="104"/>
      <c r="G50" s="103" t="s">
        <v>40</v>
      </c>
      <c r="H50" s="104"/>
      <c r="I50" s="105" t="s">
        <v>41</v>
      </c>
      <c r="Q50" s="70"/>
      <c r="R50" s="68"/>
      <c r="S50" s="68"/>
      <c r="T50" s="68"/>
      <c r="U50" s="102"/>
    </row>
    <row r="51" spans="1:21" ht="14.45" customHeight="1">
      <c r="A51" s="943"/>
      <c r="B51" s="944"/>
      <c r="C51" s="106" t="s">
        <v>42</v>
      </c>
      <c r="D51" s="106" t="s">
        <v>43</v>
      </c>
      <c r="E51" s="107">
        <f>A38</f>
        <v>44822</v>
      </c>
      <c r="F51" s="108" t="s">
        <v>44</v>
      </c>
      <c r="G51" s="109">
        <f>A44</f>
        <v>45051</v>
      </c>
      <c r="H51" s="108" t="s">
        <v>44</v>
      </c>
      <c r="I51" s="110">
        <f>A45</f>
        <v>45175</v>
      </c>
      <c r="Q51" s="70"/>
      <c r="R51" s="111"/>
      <c r="S51" s="111"/>
      <c r="T51" s="68"/>
      <c r="U51" s="102"/>
    </row>
    <row r="52" spans="1:21" ht="15">
      <c r="A52" s="112"/>
      <c r="B52" s="113" t="s">
        <v>45</v>
      </c>
      <c r="C52" s="114">
        <f>P44</f>
        <v>1.6941156964435524</v>
      </c>
      <c r="D52" s="114"/>
      <c r="E52" s="115"/>
      <c r="F52" s="115"/>
      <c r="G52" s="116"/>
      <c r="H52" s="114"/>
      <c r="I52" s="117"/>
      <c r="Q52" s="70"/>
      <c r="R52" s="111"/>
      <c r="S52" s="111"/>
      <c r="T52" s="68"/>
      <c r="U52" s="102"/>
    </row>
    <row r="53" spans="1:21" ht="15">
      <c r="A53" s="112"/>
      <c r="B53" s="113" t="s">
        <v>46</v>
      </c>
      <c r="C53" s="114">
        <f>O45</f>
        <v>-1.7524156964435522</v>
      </c>
      <c r="D53" s="114"/>
      <c r="E53" s="115"/>
      <c r="F53" s="115"/>
      <c r="G53" s="116"/>
      <c r="H53" s="114"/>
      <c r="I53" s="117"/>
      <c r="Q53" s="70"/>
      <c r="R53" s="111"/>
      <c r="S53" s="111"/>
      <c r="T53" s="68"/>
      <c r="U53" s="102"/>
    </row>
    <row r="54" spans="1:21" ht="15">
      <c r="A54" s="112"/>
      <c r="B54" s="113" t="s">
        <v>47</v>
      </c>
      <c r="C54" s="114">
        <f>Q45</f>
        <v>-5.8299999999999699E-2</v>
      </c>
      <c r="D54" s="114"/>
      <c r="E54" s="115"/>
      <c r="F54" s="115"/>
      <c r="G54" s="116"/>
      <c r="H54" s="114"/>
      <c r="I54" s="117"/>
      <c r="Q54" s="70"/>
      <c r="R54" s="111"/>
      <c r="S54" s="111"/>
      <c r="T54" s="68"/>
      <c r="U54" s="102"/>
    </row>
    <row r="55" spans="1:21" ht="15">
      <c r="A55" s="112"/>
      <c r="B55" s="118" t="s">
        <v>48</v>
      </c>
      <c r="C55" s="114">
        <f>S38</f>
        <v>0</v>
      </c>
      <c r="D55" s="114"/>
      <c r="E55" s="115"/>
      <c r="F55" s="115"/>
      <c r="G55" s="114"/>
      <c r="H55" s="114"/>
      <c r="I55" s="117"/>
      <c r="Q55" s="70"/>
      <c r="R55" s="111"/>
      <c r="S55" s="111"/>
      <c r="T55" s="68"/>
      <c r="U55" s="102"/>
    </row>
    <row r="56" spans="1:21" ht="15">
      <c r="A56" s="112"/>
      <c r="B56" s="119" t="s">
        <v>49</v>
      </c>
      <c r="C56" s="114" t="str">
        <f>R41</f>
        <v>NaN</v>
      </c>
      <c r="D56" s="114"/>
      <c r="E56" s="115"/>
      <c r="F56" s="115"/>
      <c r="G56" s="114"/>
      <c r="H56" s="114"/>
      <c r="I56" s="117"/>
      <c r="Q56" s="70"/>
      <c r="R56" s="111"/>
      <c r="S56" s="111"/>
      <c r="T56" s="68"/>
      <c r="U56" s="102"/>
    </row>
    <row r="57" spans="1:21" thickBot="1">
      <c r="A57" s="120"/>
      <c r="B57" s="121" t="s">
        <v>50</v>
      </c>
      <c r="C57" s="122">
        <f>S45</f>
        <v>0</v>
      </c>
      <c r="D57" s="122"/>
      <c r="E57" s="123"/>
      <c r="F57" s="123"/>
      <c r="G57" s="124"/>
      <c r="H57" s="124"/>
      <c r="I57" s="125"/>
      <c r="Q57" s="70"/>
      <c r="R57" s="111"/>
      <c r="S57" s="111"/>
      <c r="T57" s="68"/>
      <c r="U57" s="102"/>
    </row>
    <row r="58" spans="1:21" ht="15">
      <c r="A58" s="102"/>
      <c r="B58" s="102"/>
      <c r="C58" s="102"/>
      <c r="D58" s="102"/>
      <c r="E58" s="102"/>
      <c r="F58" s="102"/>
      <c r="G58" s="102"/>
      <c r="H58" s="102"/>
      <c r="I58" s="102"/>
      <c r="J58" s="102"/>
      <c r="K58" s="102"/>
      <c r="L58" s="102"/>
      <c r="M58" s="102"/>
      <c r="N58" s="102"/>
      <c r="O58" s="102"/>
      <c r="P58" s="102"/>
      <c r="Q58" s="68"/>
      <c r="R58" s="68"/>
      <c r="S58" s="68"/>
      <c r="T58" s="68"/>
      <c r="U58" s="102"/>
    </row>
  </sheetData>
  <mergeCells count="6">
    <mergeCell ref="T1:V1"/>
    <mergeCell ref="T2:U2"/>
    <mergeCell ref="E3:G3"/>
    <mergeCell ref="T3:U3"/>
    <mergeCell ref="A50:B51"/>
    <mergeCell ref="C50:D50"/>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62"/>
  <sheetViews>
    <sheetView topLeftCell="C30" zoomScale="80" zoomScaleNormal="80" workbookViewId="0">
      <selection activeCell="C62" sqref="C62"/>
    </sheetView>
  </sheetViews>
  <sheetFormatPr defaultColWidth="17.42578125" defaultRowHeight="15.75" customHeight="1"/>
  <cols>
    <col min="1" max="1" width="12.42578125" style="2" customWidth="1"/>
    <col min="2" max="2" width="27.42578125" style="2" customWidth="1"/>
    <col min="3" max="3" width="11.42578125" style="2" bestFit="1" customWidth="1"/>
    <col min="4" max="4" width="20" style="2" bestFit="1" customWidth="1"/>
    <col min="5" max="5" width="10.5703125" style="2" bestFit="1" customWidth="1"/>
    <col min="6" max="7" width="13.5703125" style="2" bestFit="1" customWidth="1"/>
    <col min="8" max="8" width="14.42578125" style="2" bestFit="1" customWidth="1"/>
    <col min="9" max="9" width="17.42578125" style="2" bestFit="1" customWidth="1"/>
    <col min="10" max="10" width="19.5703125" style="2" bestFit="1" customWidth="1"/>
    <col min="11" max="11" width="16.42578125" style="2" bestFit="1" customWidth="1"/>
    <col min="12" max="12" width="18" style="2" customWidth="1"/>
    <col min="13" max="13" width="22.140625" style="2" customWidth="1"/>
    <col min="14" max="14" width="11.5703125" style="2" bestFit="1" customWidth="1"/>
    <col min="15" max="15" width="11.42578125" style="2" bestFit="1" customWidth="1"/>
    <col min="16" max="16" width="7.85546875" style="2" bestFit="1" customWidth="1"/>
    <col min="17" max="17" width="7.85546875" style="3" bestFit="1" customWidth="1"/>
    <col min="18" max="18" width="14.5703125" style="2" bestFit="1" customWidth="1"/>
    <col min="19" max="19" width="20.5703125" style="2" bestFit="1" customWidth="1"/>
    <col min="20" max="20" width="21" style="2" bestFit="1" customWidth="1"/>
    <col min="21" max="21" width="8.5703125" style="2" bestFit="1" customWidth="1"/>
    <col min="22" max="16384" width="17.42578125" style="2"/>
  </cols>
  <sheetData>
    <row r="1" spans="1:23" ht="15">
      <c r="A1" s="5"/>
      <c r="B1" s="6"/>
      <c r="C1" s="7"/>
      <c r="D1" s="8"/>
      <c r="E1" s="9"/>
      <c r="F1" s="10"/>
      <c r="G1" s="11"/>
      <c r="H1" s="12"/>
      <c r="I1" s="11"/>
      <c r="J1" s="13"/>
      <c r="K1" s="10"/>
      <c r="L1" s="14"/>
      <c r="M1" s="15"/>
      <c r="N1" s="11"/>
      <c r="O1" s="16"/>
      <c r="P1" s="17"/>
      <c r="Q1" s="917"/>
      <c r="R1" s="17"/>
      <c r="S1" s="18"/>
      <c r="T1" s="947" t="s">
        <v>9</v>
      </c>
      <c r="U1" s="948"/>
      <c r="V1" s="949"/>
      <c r="W1" s="19"/>
    </row>
    <row r="2" spans="1:23" ht="15">
      <c r="A2" s="20"/>
      <c r="B2" s="21"/>
      <c r="C2" s="22"/>
      <c r="D2" s="23"/>
      <c r="E2" s="159"/>
      <c r="F2" s="160"/>
      <c r="G2" s="24"/>
      <c r="H2" s="25"/>
      <c r="I2" s="24"/>
      <c r="J2" s="26"/>
      <c r="K2" s="27"/>
      <c r="L2" s="28"/>
      <c r="M2" s="29"/>
      <c r="N2" s="26"/>
      <c r="O2" s="1"/>
      <c r="S2" s="4"/>
      <c r="T2" s="950" t="s">
        <v>10</v>
      </c>
      <c r="U2" s="951"/>
      <c r="V2" s="161"/>
      <c r="W2" s="30"/>
    </row>
    <row r="3" spans="1:23" ht="15">
      <c r="A3" s="20"/>
      <c r="B3" s="21"/>
      <c r="C3" s="22"/>
      <c r="D3" s="31"/>
      <c r="E3" s="936" t="s">
        <v>11</v>
      </c>
      <c r="F3" s="937"/>
      <c r="G3" s="938"/>
      <c r="H3" s="32"/>
      <c r="I3" s="160"/>
      <c r="J3" s="26"/>
      <c r="K3" s="160"/>
      <c r="L3" s="33"/>
      <c r="M3" s="34"/>
      <c r="N3" s="26"/>
      <c r="O3" s="35"/>
      <c r="P3" s="26"/>
      <c r="Q3" s="128"/>
      <c r="R3" s="36"/>
      <c r="S3" s="37"/>
      <c r="T3" s="939" t="s">
        <v>12</v>
      </c>
      <c r="U3" s="940"/>
      <c r="V3" s="161"/>
      <c r="W3" s="38"/>
    </row>
    <row r="4" spans="1:23" s="52" customFormat="1" ht="38.25">
      <c r="A4" s="39" t="s">
        <v>13</v>
      </c>
      <c r="B4" s="40" t="s">
        <v>14</v>
      </c>
      <c r="C4" s="41" t="s">
        <v>15</v>
      </c>
      <c r="D4" s="42" t="s">
        <v>16</v>
      </c>
      <c r="E4" s="43" t="s">
        <v>17</v>
      </c>
      <c r="F4" s="40" t="s">
        <v>18</v>
      </c>
      <c r="G4" s="44" t="s">
        <v>19</v>
      </c>
      <c r="H4" s="45" t="s">
        <v>20</v>
      </c>
      <c r="I4" s="44" t="s">
        <v>21</v>
      </c>
      <c r="J4" s="44" t="s">
        <v>22</v>
      </c>
      <c r="K4" s="40" t="s">
        <v>23</v>
      </c>
      <c r="L4" s="46" t="s">
        <v>24</v>
      </c>
      <c r="M4" s="46" t="s">
        <v>25</v>
      </c>
      <c r="N4" s="44" t="s">
        <v>26</v>
      </c>
      <c r="O4" s="47" t="s">
        <v>27</v>
      </c>
      <c r="P4" s="44" t="s">
        <v>28</v>
      </c>
      <c r="Q4" s="129" t="s">
        <v>29</v>
      </c>
      <c r="R4" s="48" t="s">
        <v>7</v>
      </c>
      <c r="S4" s="49" t="s">
        <v>8</v>
      </c>
      <c r="T4" s="50" t="s">
        <v>30</v>
      </c>
      <c r="U4" s="50" t="s">
        <v>31</v>
      </c>
      <c r="V4" s="51" t="s">
        <v>2</v>
      </c>
      <c r="W4" s="41" t="s">
        <v>32</v>
      </c>
    </row>
    <row r="5" spans="1:23" thickBot="1">
      <c r="A5" s="53" t="s">
        <v>33</v>
      </c>
      <c r="B5" s="54"/>
      <c r="C5" s="55"/>
      <c r="D5" s="56"/>
      <c r="E5" s="57" t="s">
        <v>34</v>
      </c>
      <c r="F5" s="57" t="s">
        <v>34</v>
      </c>
      <c r="G5" s="226" t="s">
        <v>34</v>
      </c>
      <c r="H5" s="227" t="s">
        <v>34</v>
      </c>
      <c r="I5" s="57" t="s">
        <v>34</v>
      </c>
      <c r="J5" s="57" t="s">
        <v>34</v>
      </c>
      <c r="K5" s="58" t="s">
        <v>35</v>
      </c>
      <c r="L5" s="59" t="s">
        <v>34</v>
      </c>
      <c r="M5" s="60" t="s">
        <v>34</v>
      </c>
      <c r="N5" s="60" t="s">
        <v>35</v>
      </c>
      <c r="O5" s="61" t="s">
        <v>36</v>
      </c>
      <c r="P5" s="62" t="s">
        <v>36</v>
      </c>
      <c r="Q5" s="918" t="s">
        <v>36</v>
      </c>
      <c r="R5" s="63" t="s">
        <v>36</v>
      </c>
      <c r="S5" s="64" t="s">
        <v>36</v>
      </c>
      <c r="T5" s="65" t="s">
        <v>34</v>
      </c>
      <c r="U5" s="65" t="s">
        <v>34</v>
      </c>
      <c r="V5" s="66" t="s">
        <v>34</v>
      </c>
      <c r="W5" s="67"/>
    </row>
    <row r="6" spans="1:23" ht="15">
      <c r="A6" s="312">
        <v>43961</v>
      </c>
      <c r="B6" s="308" t="s">
        <v>78</v>
      </c>
      <c r="C6" s="361" t="s">
        <v>79</v>
      </c>
      <c r="D6" s="363" t="s">
        <v>52</v>
      </c>
      <c r="E6" s="309">
        <v>12.2</v>
      </c>
      <c r="F6" s="309">
        <v>0.47</v>
      </c>
      <c r="G6" s="354">
        <f>E6-F6</f>
        <v>11.729999999999999</v>
      </c>
      <c r="H6" s="356"/>
      <c r="I6" s="308">
        <v>5.19</v>
      </c>
      <c r="J6" s="308" t="e">
        <f>#REF!</f>
        <v>#REF!</v>
      </c>
      <c r="K6" s="364">
        <v>0.47</v>
      </c>
      <c r="L6" s="309">
        <f>G6-I6</f>
        <v>6.5399999999999983</v>
      </c>
      <c r="M6" s="308"/>
      <c r="N6" s="353"/>
      <c r="O6" s="308"/>
      <c r="P6" s="309">
        <f>I6*K6</f>
        <v>2.4393000000000002</v>
      </c>
      <c r="Q6" s="309"/>
      <c r="R6" s="310"/>
      <c r="S6" s="358"/>
      <c r="T6" s="310"/>
      <c r="U6" s="310"/>
      <c r="V6" s="359"/>
      <c r="W6" s="311"/>
    </row>
    <row r="7" spans="1:23" ht="15">
      <c r="A7" s="312">
        <v>44079</v>
      </c>
      <c r="B7" s="308" t="s">
        <v>72</v>
      </c>
      <c r="C7" s="361" t="s">
        <v>79</v>
      </c>
      <c r="D7" s="363" t="s">
        <v>52</v>
      </c>
      <c r="E7" s="309">
        <v>12.2</v>
      </c>
      <c r="F7" s="309">
        <f>E7-G7</f>
        <v>4.6999999999999993</v>
      </c>
      <c r="G7" s="354">
        <v>7.5</v>
      </c>
      <c r="H7" s="356"/>
      <c r="I7" s="309" t="e">
        <f>#REF!</f>
        <v>#REF!</v>
      </c>
      <c r="J7" s="308"/>
      <c r="K7" s="364" t="e">
        <f>#REF!</f>
        <v>#REF!</v>
      </c>
      <c r="L7" s="309" t="e">
        <f>G7-I7</f>
        <v>#REF!</v>
      </c>
      <c r="M7" s="308"/>
      <c r="N7" s="353"/>
      <c r="O7" s="309" t="e">
        <f>Q7-P6</f>
        <v>#REF!</v>
      </c>
      <c r="P7" s="308"/>
      <c r="Q7" s="309" t="e">
        <f>I7*K7</f>
        <v>#REF!</v>
      </c>
      <c r="R7" s="310"/>
      <c r="S7" s="358"/>
      <c r="T7" s="310"/>
      <c r="U7" s="310"/>
      <c r="V7" s="359"/>
      <c r="W7" s="311"/>
    </row>
    <row r="8" spans="1:23" ht="15">
      <c r="A8" s="312">
        <v>44079</v>
      </c>
      <c r="B8" s="308" t="s">
        <v>72</v>
      </c>
      <c r="C8" s="361" t="s">
        <v>79</v>
      </c>
      <c r="D8" s="363" t="s">
        <v>52</v>
      </c>
      <c r="E8" s="309">
        <v>11.5</v>
      </c>
      <c r="F8" s="309">
        <f>E8-G8</f>
        <v>4</v>
      </c>
      <c r="G8" s="354">
        <v>7.5</v>
      </c>
      <c r="H8" s="356"/>
      <c r="I8" s="308"/>
      <c r="J8" s="308"/>
      <c r="K8" s="361"/>
      <c r="L8" s="308"/>
      <c r="M8" s="308"/>
      <c r="N8" s="353"/>
      <c r="O8" s="308"/>
      <c r="P8" s="308"/>
      <c r="Q8" s="309"/>
      <c r="R8" s="310"/>
      <c r="S8" s="358"/>
      <c r="T8" s="310"/>
      <c r="U8" s="310"/>
      <c r="V8" s="359"/>
      <c r="W8" s="311" t="s">
        <v>86</v>
      </c>
    </row>
    <row r="9" spans="1:23" ht="15">
      <c r="A9" s="312">
        <v>44185</v>
      </c>
      <c r="B9" s="308" t="s">
        <v>71</v>
      </c>
      <c r="C9" s="361" t="s">
        <v>79</v>
      </c>
      <c r="D9" s="363" t="s">
        <v>52</v>
      </c>
      <c r="E9" s="309">
        <v>11.5</v>
      </c>
      <c r="F9" s="309">
        <v>0.11</v>
      </c>
      <c r="G9" s="354">
        <f>E9-F9</f>
        <v>11.39</v>
      </c>
      <c r="H9" s="356"/>
      <c r="I9" s="308"/>
      <c r="J9" s="309">
        <f>G9-G8</f>
        <v>3.8900000000000006</v>
      </c>
      <c r="K9" s="361"/>
      <c r="L9" s="308"/>
      <c r="M9" s="308"/>
      <c r="N9" s="353"/>
      <c r="O9" s="308"/>
      <c r="P9" s="308"/>
      <c r="Q9" s="309"/>
      <c r="R9" s="310"/>
      <c r="S9" s="358"/>
      <c r="T9" s="310"/>
      <c r="U9" s="310"/>
      <c r="V9" s="359"/>
      <c r="W9" s="311"/>
    </row>
    <row r="10" spans="1:23" ht="15">
      <c r="A10" s="312">
        <v>44185</v>
      </c>
      <c r="B10" s="308" t="s">
        <v>71</v>
      </c>
      <c r="C10" s="361" t="s">
        <v>79</v>
      </c>
      <c r="D10" s="363" t="s">
        <v>52</v>
      </c>
      <c r="E10" s="309">
        <v>15.85</v>
      </c>
      <c r="F10" s="309">
        <f>E10-G10</f>
        <v>4.4599999999999991</v>
      </c>
      <c r="G10" s="354">
        <f>G9</f>
        <v>11.39</v>
      </c>
      <c r="H10" s="356"/>
      <c r="I10" s="308"/>
      <c r="J10" s="308"/>
      <c r="K10" s="361"/>
      <c r="L10" s="308"/>
      <c r="M10" s="308"/>
      <c r="N10" s="353"/>
      <c r="O10" s="308"/>
      <c r="P10" s="308"/>
      <c r="Q10" s="309"/>
      <c r="R10" s="310"/>
      <c r="S10" s="358"/>
      <c r="T10" s="310"/>
      <c r="U10" s="310"/>
      <c r="V10" s="359"/>
      <c r="W10" s="311"/>
    </row>
    <row r="11" spans="1:23" ht="15">
      <c r="A11" s="312">
        <v>44221</v>
      </c>
      <c r="B11" s="308" t="s">
        <v>89</v>
      </c>
      <c r="C11" s="361" t="s">
        <v>79</v>
      </c>
      <c r="D11" s="363" t="s">
        <v>52</v>
      </c>
      <c r="E11" s="309">
        <v>15.85</v>
      </c>
      <c r="F11" s="309">
        <v>1.45</v>
      </c>
      <c r="G11" s="354">
        <f>E11-F11</f>
        <v>14.4</v>
      </c>
      <c r="H11" s="356"/>
      <c r="I11" s="308"/>
      <c r="J11" s="308"/>
      <c r="K11" s="361"/>
      <c r="L11" s="308"/>
      <c r="M11" s="308"/>
      <c r="N11" s="353"/>
      <c r="O11" s="308"/>
      <c r="P11" s="308"/>
      <c r="Q11" s="309"/>
      <c r="R11" s="310"/>
      <c r="S11" s="358"/>
      <c r="T11" s="310"/>
      <c r="U11" s="310"/>
      <c r="V11" s="359"/>
      <c r="W11" s="311" t="s">
        <v>90</v>
      </c>
    </row>
    <row r="12" spans="1:23" ht="15">
      <c r="A12" s="312">
        <v>44221</v>
      </c>
      <c r="B12" s="308" t="s">
        <v>89</v>
      </c>
      <c r="C12" s="361" t="s">
        <v>79</v>
      </c>
      <c r="D12" s="363" t="s">
        <v>52</v>
      </c>
      <c r="E12" s="309">
        <f>14.55 +1.3</f>
        <v>15.850000000000001</v>
      </c>
      <c r="F12" s="309">
        <f>0.3 +1.3</f>
        <v>1.6</v>
      </c>
      <c r="G12" s="354">
        <f>E12-F12</f>
        <v>14.250000000000002</v>
      </c>
      <c r="H12" s="356"/>
      <c r="I12" s="308"/>
      <c r="J12" s="308"/>
      <c r="K12" s="361"/>
      <c r="L12" s="308"/>
      <c r="M12" s="308"/>
      <c r="N12" s="353"/>
      <c r="O12" s="308"/>
      <c r="P12" s="308"/>
      <c r="Q12" s="309"/>
      <c r="R12" s="310"/>
      <c r="S12" s="358"/>
      <c r="T12" s="458"/>
      <c r="U12" s="458"/>
      <c r="V12" s="461"/>
      <c r="W12" s="311"/>
    </row>
    <row r="13" spans="1:23" ht="15">
      <c r="A13" s="312">
        <v>44221</v>
      </c>
      <c r="B13" s="308" t="s">
        <v>89</v>
      </c>
      <c r="C13" s="361" t="s">
        <v>79</v>
      </c>
      <c r="D13" s="363" t="s">
        <v>52</v>
      </c>
      <c r="E13" s="309">
        <f>14.55+3.05+1.3</f>
        <v>18.900000000000002</v>
      </c>
      <c r="F13" s="309">
        <f>E13-G13</f>
        <v>4.6500000000000021</v>
      </c>
      <c r="G13" s="354">
        <f>14.55-0.3</f>
        <v>14.25</v>
      </c>
      <c r="H13" s="356"/>
      <c r="I13" s="308"/>
      <c r="J13" s="308"/>
      <c r="K13" s="361"/>
      <c r="L13" s="308"/>
      <c r="M13" s="308"/>
      <c r="N13" s="353"/>
      <c r="O13" s="308"/>
      <c r="P13" s="308"/>
      <c r="Q13" s="309"/>
      <c r="R13" s="310"/>
      <c r="S13" s="358"/>
      <c r="T13" s="458"/>
      <c r="U13" s="458"/>
      <c r="V13" s="461"/>
      <c r="W13" s="311"/>
    </row>
    <row r="14" spans="1:23" ht="15">
      <c r="A14" s="312">
        <v>44304</v>
      </c>
      <c r="B14" s="308" t="s">
        <v>93</v>
      </c>
      <c r="C14" s="361" t="s">
        <v>79</v>
      </c>
      <c r="D14" s="363" t="s">
        <v>52</v>
      </c>
      <c r="E14" s="309">
        <v>18.899999999999999</v>
      </c>
      <c r="F14" s="309">
        <f>E14-G14</f>
        <v>4.8399999999999981</v>
      </c>
      <c r="G14" s="354">
        <f>G15</f>
        <v>14.06</v>
      </c>
      <c r="H14" s="356"/>
      <c r="I14" s="309">
        <f>G14-G8</f>
        <v>6.5600000000000005</v>
      </c>
      <c r="J14" s="308">
        <v>5.82</v>
      </c>
      <c r="K14" s="361">
        <v>0.46</v>
      </c>
      <c r="L14" s="309">
        <f>G14-I14</f>
        <v>7.5</v>
      </c>
      <c r="M14" s="308"/>
      <c r="N14" s="353"/>
      <c r="O14" s="308"/>
      <c r="P14" s="309">
        <f>J14*K14</f>
        <v>2.6772000000000005</v>
      </c>
      <c r="Q14" s="309"/>
      <c r="R14" s="310"/>
      <c r="S14" s="358"/>
      <c r="T14" s="458"/>
      <c r="U14" s="458"/>
      <c r="V14" s="461"/>
      <c r="W14" s="311"/>
    </row>
    <row r="15" spans="1:23" ht="15">
      <c r="A15" s="312">
        <v>44304</v>
      </c>
      <c r="B15" s="308" t="s">
        <v>93</v>
      </c>
      <c r="C15" s="361" t="s">
        <v>79</v>
      </c>
      <c r="D15" s="363" t="s">
        <v>52</v>
      </c>
      <c r="E15" s="309">
        <v>14.55</v>
      </c>
      <c r="F15" s="309">
        <v>0.49</v>
      </c>
      <c r="G15" s="354">
        <f>E15-F15</f>
        <v>14.06</v>
      </c>
      <c r="H15" s="356"/>
      <c r="I15" s="308"/>
      <c r="J15" s="308"/>
      <c r="K15" s="361"/>
      <c r="L15" s="308"/>
      <c r="M15" s="308"/>
      <c r="N15" s="353"/>
      <c r="O15" s="308"/>
      <c r="P15" s="308"/>
      <c r="Q15" s="309"/>
      <c r="R15" s="310"/>
      <c r="S15" s="358"/>
      <c r="T15" s="458"/>
      <c r="U15" s="458"/>
      <c r="V15" s="461"/>
      <c r="W15" s="311"/>
    </row>
    <row r="16" spans="1:23" ht="15">
      <c r="A16" s="312">
        <v>44310</v>
      </c>
      <c r="B16" s="308" t="s">
        <v>93</v>
      </c>
      <c r="C16" s="361" t="s">
        <v>79</v>
      </c>
      <c r="D16" s="363" t="s">
        <v>52</v>
      </c>
      <c r="E16" s="309">
        <v>14.55</v>
      </c>
      <c r="F16" s="309">
        <v>0.67</v>
      </c>
      <c r="G16" s="354">
        <f>E16-F16</f>
        <v>13.88</v>
      </c>
      <c r="H16" s="354">
        <f>G16-G15</f>
        <v>-0.17999999999999972</v>
      </c>
      <c r="I16" s="308"/>
      <c r="J16" s="309">
        <f>J14+H16</f>
        <v>5.6400000000000006</v>
      </c>
      <c r="K16" s="364">
        <f>J14*K14/J16</f>
        <v>0.47468085106382985</v>
      </c>
      <c r="L16" s="308"/>
      <c r="M16" s="308"/>
      <c r="N16" s="353"/>
      <c r="O16" s="308"/>
      <c r="P16" s="308"/>
      <c r="Q16" s="309"/>
      <c r="R16" s="310"/>
      <c r="S16" s="358"/>
      <c r="T16" s="458">
        <v>393294.62900000002</v>
      </c>
      <c r="U16" s="458">
        <v>6700340.0930000003</v>
      </c>
      <c r="V16" s="461">
        <v>1367.4829999999999</v>
      </c>
      <c r="W16" s="311"/>
    </row>
    <row r="17" spans="1:23" ht="15">
      <c r="A17" s="312">
        <v>44438</v>
      </c>
      <c r="B17" s="308" t="s">
        <v>106</v>
      </c>
      <c r="C17" s="361" t="s">
        <v>79</v>
      </c>
      <c r="D17" s="363" t="s">
        <v>62</v>
      </c>
      <c r="E17" s="309">
        <v>14.55</v>
      </c>
      <c r="F17" s="309">
        <f>E17-G17</f>
        <v>4.08</v>
      </c>
      <c r="G17" s="354">
        <v>10.47</v>
      </c>
      <c r="H17" s="353"/>
      <c r="I17" s="309">
        <f>G17-L14</f>
        <v>2.9700000000000006</v>
      </c>
      <c r="J17" s="308"/>
      <c r="K17" s="361"/>
      <c r="L17" s="308"/>
      <c r="M17" s="308"/>
      <c r="N17" s="353"/>
      <c r="O17" s="308"/>
      <c r="P17" s="308"/>
      <c r="Q17" s="309"/>
      <c r="R17" s="310"/>
      <c r="S17" s="358"/>
      <c r="T17" s="462">
        <v>393290.57900000003</v>
      </c>
      <c r="U17" s="462">
        <v>6700344.5429999996</v>
      </c>
      <c r="V17" s="462">
        <v>1371.896</v>
      </c>
      <c r="W17" s="311"/>
    </row>
    <row r="18" spans="1:23" ht="15">
      <c r="A18" s="312">
        <v>44509</v>
      </c>
      <c r="B18" s="308" t="s">
        <v>93</v>
      </c>
      <c r="C18" s="361" t="s">
        <v>79</v>
      </c>
      <c r="D18" s="363" t="s">
        <v>52</v>
      </c>
      <c r="E18" s="309">
        <f>E17+3.05</f>
        <v>17.600000000000001</v>
      </c>
      <c r="F18" s="309">
        <f>E18-G18</f>
        <v>3.3500000000000014</v>
      </c>
      <c r="G18" s="354">
        <v>14.25</v>
      </c>
      <c r="H18" s="354">
        <f>G18-G17</f>
        <v>3.7799999999999994</v>
      </c>
      <c r="I18" s="309"/>
      <c r="J18" s="308"/>
      <c r="K18" s="361"/>
      <c r="L18" s="308"/>
      <c r="M18" s="308"/>
      <c r="N18" s="353"/>
      <c r="O18" s="308"/>
      <c r="P18" s="308"/>
      <c r="Q18" s="309"/>
      <c r="R18" s="310"/>
      <c r="S18" s="358"/>
      <c r="T18" s="462"/>
      <c r="U18" s="462"/>
      <c r="V18" s="462"/>
      <c r="W18" s="311"/>
    </row>
    <row r="19" spans="1:23" ht="15">
      <c r="A19" s="312">
        <v>44820</v>
      </c>
      <c r="B19" s="308" t="s">
        <v>109</v>
      </c>
      <c r="C19" s="361" t="s">
        <v>79</v>
      </c>
      <c r="D19" s="363" t="s">
        <v>52</v>
      </c>
      <c r="E19" s="309">
        <v>14.55</v>
      </c>
      <c r="F19" s="309">
        <v>1.17</v>
      </c>
      <c r="G19" s="354">
        <f t="shared" ref="G19:G24" si="0">E19-F19</f>
        <v>13.38</v>
      </c>
      <c r="H19" s="354"/>
      <c r="I19" s="309"/>
      <c r="J19" s="308">
        <v>0.05</v>
      </c>
      <c r="K19" s="361">
        <v>0.4</v>
      </c>
      <c r="L19" s="308"/>
      <c r="M19" s="308"/>
      <c r="N19" s="353"/>
      <c r="O19" s="308"/>
      <c r="P19" s="308"/>
      <c r="Q19" s="309"/>
      <c r="R19" s="310"/>
      <c r="S19" s="358"/>
      <c r="T19" s="462"/>
      <c r="U19" s="462"/>
      <c r="V19" s="462"/>
      <c r="W19" s="311"/>
    </row>
    <row r="20" spans="1:23" ht="15">
      <c r="A20" s="312">
        <v>44820</v>
      </c>
      <c r="B20" s="308" t="s">
        <v>109</v>
      </c>
      <c r="C20" s="361" t="s">
        <v>79</v>
      </c>
      <c r="D20" s="363" t="s">
        <v>52</v>
      </c>
      <c r="E20" s="309">
        <v>14.55</v>
      </c>
      <c r="F20" s="309">
        <v>1.22</v>
      </c>
      <c r="G20" s="354">
        <f t="shared" si="0"/>
        <v>13.33</v>
      </c>
      <c r="H20" s="354"/>
      <c r="I20" s="309"/>
      <c r="J20" s="308"/>
      <c r="K20" s="361"/>
      <c r="L20" s="308"/>
      <c r="M20" s="308"/>
      <c r="N20" s="353"/>
      <c r="O20" s="308"/>
      <c r="P20" s="308"/>
      <c r="Q20" s="309"/>
      <c r="R20" s="310"/>
      <c r="S20" s="358"/>
      <c r="T20" s="462"/>
      <c r="U20" s="462"/>
      <c r="V20" s="462"/>
      <c r="W20" s="311"/>
    </row>
    <row r="21" spans="1:23" ht="15">
      <c r="A21" s="312">
        <v>44911</v>
      </c>
      <c r="B21" s="308" t="s">
        <v>122</v>
      </c>
      <c r="C21" s="361" t="s">
        <v>79</v>
      </c>
      <c r="D21" s="363" t="s">
        <v>121</v>
      </c>
      <c r="E21" s="309">
        <v>17.600000000000001</v>
      </c>
      <c r="F21" s="309">
        <v>2.21</v>
      </c>
      <c r="G21" s="354">
        <f t="shared" si="0"/>
        <v>15.39</v>
      </c>
      <c r="H21" s="354">
        <f>G21-G20</f>
        <v>2.0600000000000005</v>
      </c>
      <c r="I21" s="309"/>
      <c r="J21" s="308"/>
      <c r="K21" s="361"/>
      <c r="L21" s="308"/>
      <c r="M21" s="308"/>
      <c r="N21" s="353"/>
      <c r="O21" s="308"/>
      <c r="P21" s="308"/>
      <c r="Q21" s="309"/>
      <c r="R21" s="310"/>
      <c r="S21" s="358"/>
      <c r="T21" s="462"/>
      <c r="U21" s="462"/>
      <c r="V21" s="462"/>
      <c r="W21" s="311"/>
    </row>
    <row r="22" spans="1:23" ht="15">
      <c r="A22" s="312">
        <v>44911</v>
      </c>
      <c r="B22" s="308" t="s">
        <v>122</v>
      </c>
      <c r="C22" s="361" t="s">
        <v>79</v>
      </c>
      <c r="D22" s="363" t="s">
        <v>121</v>
      </c>
      <c r="E22" s="309">
        <v>19.600000000000001</v>
      </c>
      <c r="F22" s="309">
        <v>4.21</v>
      </c>
      <c r="G22" s="354">
        <f t="shared" si="0"/>
        <v>15.39</v>
      </c>
      <c r="H22" s="354"/>
      <c r="I22" s="309"/>
      <c r="J22" s="308"/>
      <c r="K22" s="361"/>
      <c r="L22" s="308"/>
      <c r="M22" s="308"/>
      <c r="N22" s="353"/>
      <c r="O22" s="308"/>
      <c r="P22" s="308"/>
      <c r="Q22" s="309"/>
      <c r="R22" s="310"/>
      <c r="S22" s="358"/>
      <c r="T22" s="462"/>
      <c r="U22" s="462"/>
      <c r="V22" s="462"/>
      <c r="W22" s="311"/>
    </row>
    <row r="23" spans="1:23" ht="15">
      <c r="A23" s="312">
        <v>45174</v>
      </c>
      <c r="B23" s="308" t="s">
        <v>120</v>
      </c>
      <c r="C23" s="361" t="s">
        <v>79</v>
      </c>
      <c r="D23" s="363" t="s">
        <v>62</v>
      </c>
      <c r="E23" s="309">
        <v>17.600000000000001</v>
      </c>
      <c r="F23" s="309">
        <v>2.39</v>
      </c>
      <c r="G23" s="354">
        <f t="shared" si="0"/>
        <v>15.21</v>
      </c>
      <c r="H23" s="354"/>
      <c r="I23" s="309"/>
      <c r="J23" s="308">
        <f>'20230905_PitCoreY'!I3</f>
        <v>0.94</v>
      </c>
      <c r="K23" s="364">
        <f>'20230905_PitCoreY'!I4</f>
        <v>0.61147357107386857</v>
      </c>
      <c r="L23" s="308"/>
      <c r="M23" s="308"/>
      <c r="N23" s="353"/>
      <c r="O23" s="308"/>
      <c r="P23" s="308"/>
      <c r="Q23" s="309"/>
      <c r="R23" s="310"/>
      <c r="S23" s="358"/>
      <c r="T23" s="462"/>
      <c r="U23" s="462"/>
      <c r="V23" s="462"/>
      <c r="W23" s="311"/>
    </row>
    <row r="24" spans="1:23" ht="15">
      <c r="A24" s="312">
        <v>45174</v>
      </c>
      <c r="B24" s="308" t="s">
        <v>120</v>
      </c>
      <c r="C24" s="361" t="s">
        <v>79</v>
      </c>
      <c r="D24" s="363" t="s">
        <v>62</v>
      </c>
      <c r="E24" s="309">
        <v>17.600000000000001</v>
      </c>
      <c r="F24" s="309">
        <v>2.39</v>
      </c>
      <c r="G24" s="354">
        <f t="shared" si="0"/>
        <v>15.21</v>
      </c>
      <c r="H24" s="354"/>
      <c r="I24" s="309"/>
      <c r="J24" s="308"/>
      <c r="K24" s="361"/>
      <c r="L24" s="308"/>
      <c r="M24" s="308"/>
      <c r="N24" s="353"/>
      <c r="O24" s="308"/>
      <c r="P24" s="308"/>
      <c r="Q24" s="309"/>
      <c r="R24" s="310"/>
      <c r="S24" s="358"/>
      <c r="T24" s="462"/>
      <c r="U24" s="462"/>
      <c r="V24" s="462"/>
      <c r="W24" s="311"/>
    </row>
    <row r="25" spans="1:23" s="137" customFormat="1" ht="15">
      <c r="C25" s="264"/>
      <c r="D25" s="266"/>
      <c r="E25" s="269"/>
      <c r="F25" s="269"/>
      <c r="G25" s="929"/>
      <c r="H25" s="139"/>
      <c r="K25" s="264"/>
      <c r="N25" s="139"/>
      <c r="O25" s="269"/>
      <c r="P25" s="269"/>
      <c r="Q25" s="269"/>
      <c r="S25" s="139"/>
      <c r="T25" s="463"/>
      <c r="U25" s="463"/>
      <c r="V25" s="464"/>
    </row>
    <row r="26" spans="1:23" s="344" customFormat="1" ht="15">
      <c r="A26" s="343">
        <v>44304</v>
      </c>
      <c r="B26" s="344" t="s">
        <v>93</v>
      </c>
      <c r="C26" s="345" t="s">
        <v>95</v>
      </c>
      <c r="D26" s="346" t="s">
        <v>52</v>
      </c>
      <c r="E26" s="350">
        <v>12.2</v>
      </c>
      <c r="F26" s="350">
        <v>0.77</v>
      </c>
      <c r="G26" s="510">
        <f>E26-F26</f>
        <v>11.43</v>
      </c>
      <c r="H26" s="348"/>
      <c r="I26" s="344">
        <v>6.6</v>
      </c>
      <c r="J26" s="344">
        <v>5.82</v>
      </c>
      <c r="K26" s="349">
        <v>0.46</v>
      </c>
      <c r="L26" s="344">
        <f>G26-I26</f>
        <v>4.83</v>
      </c>
      <c r="N26" s="347"/>
      <c r="O26" s="350"/>
      <c r="P26" s="350">
        <f>J26*K26</f>
        <v>2.6772000000000005</v>
      </c>
      <c r="Q26" s="350"/>
      <c r="R26" s="344" t="s">
        <v>55</v>
      </c>
      <c r="S26" s="347"/>
      <c r="T26" s="465"/>
      <c r="U26" s="465"/>
      <c r="V26" s="466"/>
    </row>
    <row r="27" spans="1:23" s="344" customFormat="1" ht="15">
      <c r="A27" s="343">
        <v>44310</v>
      </c>
      <c r="B27" s="344" t="s">
        <v>93</v>
      </c>
      <c r="C27" s="345" t="s">
        <v>95</v>
      </c>
      <c r="D27" s="346" t="s">
        <v>52</v>
      </c>
      <c r="E27" s="350">
        <v>12.2</v>
      </c>
      <c r="F27" s="350">
        <v>0.94</v>
      </c>
      <c r="G27" s="510">
        <f>E27-F27</f>
        <v>11.26</v>
      </c>
      <c r="H27" s="348">
        <f>G27-G26</f>
        <v>-0.16999999999999993</v>
      </c>
      <c r="J27" s="350">
        <f>J26+H16</f>
        <v>5.6400000000000006</v>
      </c>
      <c r="K27" s="349">
        <f>J26*K26/J27</f>
        <v>0.47468085106382985</v>
      </c>
      <c r="N27" s="347"/>
      <c r="O27" s="350"/>
      <c r="P27" s="350"/>
      <c r="Q27" s="350"/>
      <c r="S27" s="347"/>
      <c r="T27" s="465"/>
      <c r="U27" s="465"/>
      <c r="V27" s="466"/>
    </row>
    <row r="28" spans="1:23" s="344" customFormat="1" ht="13.35" customHeight="1">
      <c r="A28" s="343">
        <v>44438</v>
      </c>
      <c r="B28" s="344" t="s">
        <v>93</v>
      </c>
      <c r="C28" s="345" t="s">
        <v>95</v>
      </c>
      <c r="D28" s="346" t="s">
        <v>62</v>
      </c>
      <c r="E28" s="350">
        <v>12.2</v>
      </c>
      <c r="F28" s="350">
        <f>E28-G28</f>
        <v>4.3499999999999996</v>
      </c>
      <c r="G28" s="510">
        <v>7.85</v>
      </c>
      <c r="H28" s="348">
        <f>G28-G27</f>
        <v>-3.41</v>
      </c>
      <c r="I28" s="344">
        <f>G28-L26</f>
        <v>3.0199999999999996</v>
      </c>
      <c r="J28" s="344">
        <v>2.75</v>
      </c>
      <c r="K28" s="345">
        <v>0.6</v>
      </c>
      <c r="N28" s="347"/>
      <c r="O28" s="350">
        <f>Q28-P26</f>
        <v>-1.0272000000000006</v>
      </c>
      <c r="P28" s="350"/>
      <c r="Q28" s="350">
        <f>J28*K28</f>
        <v>1.65</v>
      </c>
      <c r="S28" s="347">
        <v>0</v>
      </c>
      <c r="T28" s="465">
        <v>393291.34100000001</v>
      </c>
      <c r="U28" s="465">
        <v>6700353.8059999999</v>
      </c>
      <c r="V28" s="466">
        <v>1367.7760000000001</v>
      </c>
    </row>
    <row r="29" spans="1:23" s="344" customFormat="1" ht="13.35" customHeight="1">
      <c r="A29" s="343">
        <v>44509</v>
      </c>
      <c r="B29" s="344" t="s">
        <v>93</v>
      </c>
      <c r="C29" s="345" t="s">
        <v>95</v>
      </c>
      <c r="D29" s="346" t="s">
        <v>52</v>
      </c>
      <c r="E29" s="350">
        <v>15.25</v>
      </c>
      <c r="F29" s="350">
        <f>E29-G29</f>
        <v>3.5999999999999996</v>
      </c>
      <c r="G29" s="510">
        <v>11.65</v>
      </c>
      <c r="H29" s="348">
        <f>G29-G28</f>
        <v>3.8000000000000007</v>
      </c>
      <c r="K29" s="345"/>
      <c r="N29" s="347"/>
      <c r="O29" s="350"/>
      <c r="P29" s="350"/>
      <c r="Q29" s="350"/>
      <c r="S29" s="347"/>
      <c r="T29" s="465">
        <v>393287.98700000002</v>
      </c>
      <c r="U29" s="465">
        <v>6700358.2110000001</v>
      </c>
      <c r="V29" s="466">
        <v>1372.086</v>
      </c>
    </row>
    <row r="30" spans="1:23" s="344" customFormat="1" ht="13.35" customHeight="1">
      <c r="A30" s="343">
        <v>44592</v>
      </c>
      <c r="B30" s="344" t="s">
        <v>103</v>
      </c>
      <c r="C30" s="345" t="s">
        <v>95</v>
      </c>
      <c r="D30" s="346" t="s">
        <v>52</v>
      </c>
      <c r="E30" s="350">
        <v>15.25</v>
      </c>
      <c r="F30" s="350">
        <v>2.2400000000000002</v>
      </c>
      <c r="G30" s="510">
        <f t="shared" ref="G30:G37" si="1">E30-F30</f>
        <v>13.01</v>
      </c>
      <c r="H30" s="348"/>
      <c r="K30" s="345"/>
      <c r="N30" s="347"/>
      <c r="O30" s="350"/>
      <c r="P30" s="350"/>
      <c r="Q30" s="350"/>
      <c r="S30" s="347"/>
      <c r="T30" s="465"/>
      <c r="U30" s="465"/>
      <c r="V30" s="466"/>
    </row>
    <row r="31" spans="1:23" s="344" customFormat="1" ht="13.35" customHeight="1">
      <c r="A31" s="343">
        <v>44592</v>
      </c>
      <c r="B31" s="344" t="s">
        <v>103</v>
      </c>
      <c r="C31" s="345" t="s">
        <v>95</v>
      </c>
      <c r="D31" s="346" t="s">
        <v>52</v>
      </c>
      <c r="E31" s="350">
        <v>17.010000000000002</v>
      </c>
      <c r="F31" s="350">
        <f>E31-G30</f>
        <v>4.0000000000000018</v>
      </c>
      <c r="G31" s="510">
        <f t="shared" si="1"/>
        <v>13.01</v>
      </c>
      <c r="H31" s="348">
        <f>G31-G28</f>
        <v>5.16</v>
      </c>
      <c r="I31" s="350"/>
      <c r="K31" s="349"/>
      <c r="L31" s="350"/>
      <c r="N31" s="347"/>
      <c r="O31" s="350"/>
      <c r="P31" s="350"/>
      <c r="Q31" s="350"/>
      <c r="R31" s="350"/>
      <c r="S31" s="510"/>
      <c r="T31" s="465"/>
      <c r="U31" s="465"/>
      <c r="V31" s="466"/>
      <c r="W31" s="344" t="s">
        <v>86</v>
      </c>
    </row>
    <row r="32" spans="1:23" s="351" customFormat="1" ht="15">
      <c r="A32" s="501">
        <v>44677</v>
      </c>
      <c r="B32" s="502" t="s">
        <v>111</v>
      </c>
      <c r="C32" s="503" t="s">
        <v>95</v>
      </c>
      <c r="D32" s="504" t="s">
        <v>52</v>
      </c>
      <c r="E32" s="507">
        <v>15.75</v>
      </c>
      <c r="F32" s="507">
        <v>1.27</v>
      </c>
      <c r="G32" s="511">
        <f t="shared" si="1"/>
        <v>14.48</v>
      </c>
      <c r="H32" s="506"/>
      <c r="I32" s="502">
        <v>6.94</v>
      </c>
      <c r="J32" s="502">
        <v>6.94</v>
      </c>
      <c r="K32" s="508">
        <v>0.44</v>
      </c>
      <c r="L32" s="502">
        <f>G32-I32</f>
        <v>7.54</v>
      </c>
      <c r="M32" s="502"/>
      <c r="N32" s="505"/>
      <c r="O32" s="507"/>
      <c r="P32" s="507">
        <f>J32*K32</f>
        <v>3.0536000000000003</v>
      </c>
      <c r="Q32" s="507"/>
      <c r="R32" s="507">
        <f>(L32-G28)*K28</f>
        <v>-0.18599999999999975</v>
      </c>
      <c r="S32" s="511"/>
      <c r="T32" s="499"/>
      <c r="U32" s="499"/>
      <c r="V32" s="500"/>
    </row>
    <row r="33" spans="1:23" s="351" customFormat="1" ht="15">
      <c r="A33" s="501">
        <v>44820</v>
      </c>
      <c r="B33" s="502" t="s">
        <v>109</v>
      </c>
      <c r="C33" s="503" t="s">
        <v>95</v>
      </c>
      <c r="D33" s="504" t="s">
        <v>121</v>
      </c>
      <c r="E33" s="507">
        <v>12.2</v>
      </c>
      <c r="F33" s="507">
        <v>1.9</v>
      </c>
      <c r="G33" s="511">
        <f t="shared" si="1"/>
        <v>10.299999999999999</v>
      </c>
      <c r="H33" s="506"/>
      <c r="I33" s="502"/>
      <c r="J33" s="502">
        <v>0.06</v>
      </c>
      <c r="K33" s="508">
        <v>0.6</v>
      </c>
      <c r="L33" s="502"/>
      <c r="M33" s="502"/>
      <c r="N33" s="505"/>
      <c r="O33" s="507"/>
      <c r="P33" s="507"/>
      <c r="Q33" s="507"/>
      <c r="R33" s="507"/>
      <c r="S33" s="511"/>
      <c r="T33" s="499"/>
      <c r="U33" s="499"/>
      <c r="V33" s="500"/>
    </row>
    <row r="34" spans="1:23" s="351" customFormat="1" ht="15">
      <c r="A34" s="501">
        <v>44820</v>
      </c>
      <c r="B34" s="502" t="s">
        <v>109</v>
      </c>
      <c r="C34" s="503" t="s">
        <v>95</v>
      </c>
      <c r="D34" s="504" t="s">
        <v>52</v>
      </c>
      <c r="E34" s="507">
        <v>12.2</v>
      </c>
      <c r="F34" s="507">
        <v>1.96</v>
      </c>
      <c r="G34" s="511">
        <f t="shared" si="1"/>
        <v>10.239999999999998</v>
      </c>
      <c r="H34" s="506"/>
      <c r="I34" s="502"/>
      <c r="J34" s="502"/>
      <c r="K34" s="508"/>
      <c r="L34" s="502"/>
      <c r="M34" s="502"/>
      <c r="N34" s="505"/>
      <c r="O34" s="507"/>
      <c r="P34" s="507"/>
      <c r="Q34" s="507"/>
      <c r="R34" s="507"/>
      <c r="S34" s="511"/>
      <c r="T34" s="499"/>
      <c r="U34" s="499"/>
      <c r="V34" s="500"/>
    </row>
    <row r="35" spans="1:23" s="351" customFormat="1" ht="15">
      <c r="A35" s="501">
        <v>44822</v>
      </c>
      <c r="B35" s="502" t="s">
        <v>109</v>
      </c>
      <c r="C35" s="503" t="s">
        <v>95</v>
      </c>
      <c r="D35" s="504" t="s">
        <v>52</v>
      </c>
      <c r="E35" s="507">
        <v>12.2</v>
      </c>
      <c r="F35" s="507">
        <v>2.0299999999999998</v>
      </c>
      <c r="G35" s="511">
        <f t="shared" si="1"/>
        <v>10.17</v>
      </c>
      <c r="H35" s="506"/>
      <c r="I35" s="502"/>
      <c r="J35" s="502"/>
      <c r="K35" s="508"/>
      <c r="L35" s="502"/>
      <c r="M35" s="502"/>
      <c r="N35" s="505"/>
      <c r="O35" s="507"/>
      <c r="P35" s="507"/>
      <c r="Q35" s="507"/>
      <c r="R35" s="507"/>
      <c r="S35" s="511"/>
      <c r="T35" s="499"/>
      <c r="U35" s="499"/>
      <c r="V35" s="500"/>
    </row>
    <row r="36" spans="1:23" s="351" customFormat="1" ht="15">
      <c r="A36" s="501">
        <v>44911</v>
      </c>
      <c r="B36" s="502" t="s">
        <v>122</v>
      </c>
      <c r="C36" s="503" t="s">
        <v>95</v>
      </c>
      <c r="D36" s="504" t="s">
        <v>121</v>
      </c>
      <c r="E36" s="507">
        <v>12.2</v>
      </c>
      <c r="F36" s="507">
        <v>0.11</v>
      </c>
      <c r="G36" s="511">
        <f t="shared" si="1"/>
        <v>12.09</v>
      </c>
      <c r="H36" s="506">
        <f>G36-G35</f>
        <v>1.92</v>
      </c>
      <c r="I36" s="502"/>
      <c r="J36" s="502"/>
      <c r="K36" s="508"/>
      <c r="L36" s="502"/>
      <c r="M36" s="502"/>
      <c r="N36" s="505"/>
      <c r="O36" s="507"/>
      <c r="P36" s="507"/>
      <c r="Q36" s="507"/>
      <c r="R36" s="507"/>
      <c r="S36" s="511"/>
      <c r="T36" s="499"/>
      <c r="U36" s="499"/>
      <c r="V36" s="500"/>
    </row>
    <row r="37" spans="1:23" s="351" customFormat="1" ht="15">
      <c r="A37" s="501">
        <v>45174</v>
      </c>
      <c r="B37" s="502" t="s">
        <v>120</v>
      </c>
      <c r="C37" s="503" t="s">
        <v>95</v>
      </c>
      <c r="D37" s="504" t="s">
        <v>62</v>
      </c>
      <c r="E37" s="507">
        <v>12.2</v>
      </c>
      <c r="F37" s="507">
        <v>0.79</v>
      </c>
      <c r="G37" s="511">
        <f t="shared" si="1"/>
        <v>11.41</v>
      </c>
      <c r="H37" s="506"/>
      <c r="I37" s="502"/>
      <c r="J37" s="502">
        <v>0.94</v>
      </c>
      <c r="K37" s="508">
        <v>0.61147357107386857</v>
      </c>
      <c r="L37" s="507">
        <f>G37-J37</f>
        <v>10.47</v>
      </c>
      <c r="M37" s="502"/>
      <c r="N37" s="505"/>
      <c r="O37" s="507"/>
      <c r="P37" s="507"/>
      <c r="Q37" s="507"/>
      <c r="R37" s="507">
        <f>(L37-G35)*K42</f>
        <v>0.16800000000000043</v>
      </c>
      <c r="S37" s="511"/>
      <c r="T37" s="499"/>
      <c r="U37" s="499"/>
      <c r="V37" s="500"/>
    </row>
    <row r="38" spans="1:23" s="351" customFormat="1" ht="15">
      <c r="A38" s="501">
        <v>45174</v>
      </c>
      <c r="B38" s="502" t="s">
        <v>120</v>
      </c>
      <c r="C38" s="503" t="s">
        <v>95</v>
      </c>
      <c r="D38" s="504" t="s">
        <v>62</v>
      </c>
      <c r="E38" s="507">
        <v>15.35</v>
      </c>
      <c r="F38" s="507">
        <f>E38-G38</f>
        <v>3.9399999999999995</v>
      </c>
      <c r="G38" s="511">
        <v>11.41</v>
      </c>
      <c r="H38" s="506"/>
      <c r="I38" s="502"/>
      <c r="J38" s="502"/>
      <c r="K38" s="508"/>
      <c r="L38" s="502"/>
      <c r="M38" s="502"/>
      <c r="N38" s="505"/>
      <c r="O38" s="507"/>
      <c r="P38" s="507"/>
      <c r="Q38" s="507"/>
      <c r="R38" s="507"/>
      <c r="S38" s="511"/>
      <c r="T38" s="499"/>
      <c r="U38" s="499"/>
      <c r="V38" s="500"/>
    </row>
    <row r="39" spans="1:23" ht="15">
      <c r="A39" s="100"/>
      <c r="B39" s="100"/>
      <c r="C39" s="360"/>
      <c r="D39" s="362"/>
      <c r="E39" s="101"/>
      <c r="F39" s="101"/>
      <c r="G39" s="930"/>
      <c r="H39" s="355"/>
      <c r="I39" s="100"/>
      <c r="J39" s="100"/>
      <c r="K39" s="360"/>
      <c r="L39" s="100"/>
      <c r="M39" s="100"/>
      <c r="N39" s="352"/>
      <c r="O39" s="101"/>
      <c r="P39" s="101"/>
      <c r="Q39" s="101"/>
      <c r="R39" s="135"/>
      <c r="S39" s="526"/>
      <c r="T39" s="459"/>
      <c r="U39" s="459"/>
      <c r="V39" s="464"/>
    </row>
    <row r="40" spans="1:23" ht="15">
      <c r="A40" s="509">
        <v>44678</v>
      </c>
      <c r="B40" s="496" t="s">
        <v>111</v>
      </c>
      <c r="C40" s="530" t="s">
        <v>116</v>
      </c>
      <c r="D40" s="531" t="s">
        <v>52</v>
      </c>
      <c r="E40" s="497">
        <v>9.15</v>
      </c>
      <c r="F40" s="497">
        <v>-2.4900000000000002</v>
      </c>
      <c r="G40" s="523">
        <f>E40-F40</f>
        <v>11.64</v>
      </c>
      <c r="H40" s="525"/>
      <c r="I40" s="496">
        <v>6.94</v>
      </c>
      <c r="J40" s="496">
        <v>6.94</v>
      </c>
      <c r="K40" s="529">
        <v>0.44</v>
      </c>
      <c r="L40" s="497">
        <f>G40-I40</f>
        <v>4.7</v>
      </c>
      <c r="M40" s="496"/>
      <c r="N40" s="524"/>
      <c r="O40" s="497"/>
      <c r="P40" s="497">
        <f>J40*K40</f>
        <v>3.0536000000000003</v>
      </c>
      <c r="Q40" s="497"/>
      <c r="R40" s="512"/>
      <c r="S40" s="527"/>
      <c r="T40" s="498"/>
      <c r="U40" s="498"/>
      <c r="V40" s="528"/>
      <c r="W40" s="477"/>
    </row>
    <row r="41" spans="1:23" ht="15">
      <c r="A41" s="509">
        <v>44820</v>
      </c>
      <c r="B41" s="496" t="s">
        <v>109</v>
      </c>
      <c r="C41" s="530" t="s">
        <v>116</v>
      </c>
      <c r="D41" s="531" t="s">
        <v>121</v>
      </c>
      <c r="E41" s="497">
        <v>9.15</v>
      </c>
      <c r="F41" s="497">
        <v>2.5499999999999998</v>
      </c>
      <c r="G41" s="523">
        <f>E41-F41</f>
        <v>6.6000000000000005</v>
      </c>
      <c r="H41" s="525"/>
      <c r="I41" s="496"/>
      <c r="J41" s="496">
        <v>0.06</v>
      </c>
      <c r="K41" s="530">
        <v>0.4</v>
      </c>
      <c r="L41" s="496"/>
      <c r="M41" s="496"/>
      <c r="N41" s="524"/>
      <c r="O41" s="497"/>
      <c r="P41" s="497"/>
      <c r="Q41" s="497"/>
      <c r="R41" s="512"/>
      <c r="S41" s="527">
        <f>J41*K41</f>
        <v>2.4E-2</v>
      </c>
      <c r="T41" s="498"/>
      <c r="U41" s="498"/>
      <c r="V41" s="528"/>
      <c r="W41" s="477"/>
    </row>
    <row r="42" spans="1:23" ht="15">
      <c r="A42" s="509">
        <v>44820</v>
      </c>
      <c r="B42" s="496" t="s">
        <v>109</v>
      </c>
      <c r="C42" s="530" t="s">
        <v>116</v>
      </c>
      <c r="D42" s="531" t="s">
        <v>52</v>
      </c>
      <c r="E42" s="497">
        <v>9.15</v>
      </c>
      <c r="F42" s="497">
        <v>2.61</v>
      </c>
      <c r="G42" s="523">
        <f>E42-F42</f>
        <v>6.5400000000000009</v>
      </c>
      <c r="H42" s="525"/>
      <c r="I42" s="496"/>
      <c r="J42" s="496">
        <v>1.79</v>
      </c>
      <c r="K42" s="529">
        <v>0.56000000000000005</v>
      </c>
      <c r="L42" s="497">
        <f>G42-J42</f>
        <v>4.7500000000000009</v>
      </c>
      <c r="M42" s="496"/>
      <c r="N42" s="524"/>
      <c r="O42" s="497">
        <f>Q42-P40</f>
        <v>-2.0512000000000001</v>
      </c>
      <c r="P42" s="497"/>
      <c r="Q42" s="497">
        <f>J42*K42</f>
        <v>1.0024000000000002</v>
      </c>
      <c r="R42" s="512"/>
      <c r="S42" s="527"/>
      <c r="T42" s="498"/>
      <c r="U42" s="498"/>
      <c r="V42" s="528"/>
      <c r="W42" s="477"/>
    </row>
    <row r="43" spans="1:23" ht="15">
      <c r="A43" s="509">
        <v>44820</v>
      </c>
      <c r="B43" s="496" t="s">
        <v>109</v>
      </c>
      <c r="C43" s="530" t="s">
        <v>116</v>
      </c>
      <c r="D43" s="531" t="s">
        <v>52</v>
      </c>
      <c r="E43" s="497">
        <v>11.15</v>
      </c>
      <c r="F43" s="497">
        <f>E43-G43</f>
        <v>4.5500000000000007</v>
      </c>
      <c r="G43" s="523">
        <v>6.6</v>
      </c>
      <c r="H43" s="525"/>
      <c r="I43" s="496"/>
      <c r="J43" s="496"/>
      <c r="K43" s="530"/>
      <c r="L43" s="496"/>
      <c r="M43" s="496"/>
      <c r="N43" s="524"/>
      <c r="O43" s="497"/>
      <c r="P43" s="497"/>
      <c r="Q43" s="497"/>
      <c r="R43" s="512"/>
      <c r="S43" s="527"/>
      <c r="T43" s="498"/>
      <c r="U43" s="498"/>
      <c r="V43" s="528"/>
      <c r="W43" s="477"/>
    </row>
    <row r="44" spans="1:23" ht="15">
      <c r="A44" s="509">
        <v>44911</v>
      </c>
      <c r="B44" s="496" t="s">
        <v>120</v>
      </c>
      <c r="C44" s="530" t="s">
        <v>116</v>
      </c>
      <c r="D44" s="531" t="s">
        <v>121</v>
      </c>
      <c r="E44" s="497">
        <v>11.15</v>
      </c>
      <c r="F44" s="497">
        <f>E44-G44</f>
        <v>2.6100000000000012</v>
      </c>
      <c r="G44" s="523">
        <v>8.5399999999999991</v>
      </c>
      <c r="H44" s="525"/>
      <c r="I44" s="496"/>
      <c r="J44" s="496"/>
      <c r="K44" s="530"/>
      <c r="L44" s="496"/>
      <c r="M44" s="496"/>
      <c r="N44" s="524"/>
      <c r="O44" s="497"/>
      <c r="P44" s="497"/>
      <c r="Q44" s="497"/>
      <c r="R44" s="512"/>
      <c r="S44" s="527"/>
      <c r="T44" s="498"/>
      <c r="U44" s="498"/>
      <c r="V44" s="528"/>
      <c r="W44" s="477"/>
    </row>
    <row r="45" spans="1:23" ht="15">
      <c r="A45" s="509">
        <v>44911</v>
      </c>
      <c r="B45" s="496" t="s">
        <v>120</v>
      </c>
      <c r="C45" s="530" t="s">
        <v>116</v>
      </c>
      <c r="D45" s="531" t="s">
        <v>121</v>
      </c>
      <c r="E45" s="497">
        <v>12.2</v>
      </c>
      <c r="F45" s="497">
        <f>E45-G45</f>
        <v>3.66</v>
      </c>
      <c r="G45" s="523">
        <f>G44</f>
        <v>8.5399999999999991</v>
      </c>
      <c r="H45" s="525">
        <f>G44-G43</f>
        <v>1.9399999999999995</v>
      </c>
      <c r="I45" s="496"/>
      <c r="J45" s="496"/>
      <c r="K45" s="530"/>
      <c r="L45" s="496"/>
      <c r="M45" s="496"/>
      <c r="N45" s="524"/>
      <c r="O45" s="497"/>
      <c r="P45" s="497"/>
      <c r="Q45" s="497"/>
      <c r="R45" s="512"/>
      <c r="S45" s="527"/>
      <c r="T45" s="498"/>
      <c r="U45" s="498"/>
      <c r="V45" s="528"/>
      <c r="W45" s="477"/>
    </row>
    <row r="46" spans="1:23" ht="15">
      <c r="A46" s="509">
        <v>45174</v>
      </c>
      <c r="B46" s="496" t="s">
        <v>120</v>
      </c>
      <c r="C46" s="530" t="s">
        <v>116</v>
      </c>
      <c r="D46" s="531" t="s">
        <v>62</v>
      </c>
      <c r="E46" s="497">
        <v>9.15</v>
      </c>
      <c r="F46" s="497">
        <v>1.29</v>
      </c>
      <c r="G46" s="523">
        <f>E46-F46</f>
        <v>7.86</v>
      </c>
      <c r="H46" s="932">
        <f>G46-G42</f>
        <v>1.3199999999999994</v>
      </c>
      <c r="I46" s="496"/>
      <c r="J46" s="496">
        <v>0.94</v>
      </c>
      <c r="K46" s="529">
        <v>0.61147357107386857</v>
      </c>
      <c r="L46" s="497">
        <f>G46-J46</f>
        <v>6.92</v>
      </c>
      <c r="M46" s="496"/>
      <c r="N46" s="524"/>
      <c r="O46" s="497"/>
      <c r="P46" s="497"/>
      <c r="Q46" s="497"/>
      <c r="R46" s="512">
        <f>(L46-G42)*K42</f>
        <v>0.21279999999999946</v>
      </c>
      <c r="S46" s="527"/>
      <c r="T46" s="498"/>
      <c r="U46" s="498"/>
      <c r="V46" s="528"/>
      <c r="W46" s="477"/>
    </row>
    <row r="47" spans="1:23" ht="15">
      <c r="A47" s="509">
        <v>45174</v>
      </c>
      <c r="B47" s="496" t="s">
        <v>120</v>
      </c>
      <c r="C47" s="530" t="s">
        <v>116</v>
      </c>
      <c r="D47" s="531" t="s">
        <v>62</v>
      </c>
      <c r="E47" s="497">
        <v>12.2</v>
      </c>
      <c r="F47" s="497">
        <f>E47-G47</f>
        <v>4.339999999999999</v>
      </c>
      <c r="G47" s="523">
        <v>7.86</v>
      </c>
      <c r="H47" s="525"/>
      <c r="I47" s="496"/>
      <c r="J47" s="496"/>
      <c r="K47" s="530"/>
      <c r="L47" s="496"/>
      <c r="M47" s="496"/>
      <c r="N47" s="524"/>
      <c r="O47" s="497"/>
      <c r="P47" s="497"/>
      <c r="Q47" s="497"/>
      <c r="R47" s="512"/>
      <c r="S47" s="527"/>
      <c r="T47" s="498"/>
      <c r="U47" s="498"/>
      <c r="V47" s="528"/>
      <c r="W47" s="477"/>
    </row>
    <row r="48" spans="1:23" ht="15">
      <c r="A48" s="100"/>
      <c r="B48" s="100"/>
      <c r="C48" s="100"/>
      <c r="D48" s="100"/>
      <c r="E48" s="101"/>
      <c r="F48" s="101"/>
      <c r="G48" s="101"/>
      <c r="H48" s="100"/>
      <c r="I48" s="100"/>
      <c r="J48" s="100"/>
      <c r="K48" s="100"/>
      <c r="L48" s="100"/>
      <c r="M48" s="100"/>
      <c r="N48" s="100"/>
      <c r="O48" s="100"/>
      <c r="P48" s="100"/>
      <c r="Q48" s="101"/>
      <c r="R48" s="102"/>
      <c r="S48" s="102"/>
      <c r="T48" s="459"/>
      <c r="U48" s="459"/>
      <c r="V48" s="463"/>
    </row>
    <row r="49" spans="1:22" s="270" customFormat="1" ht="15.6" customHeight="1">
      <c r="A49" s="572">
        <v>45051</v>
      </c>
      <c r="B49" s="567" t="s">
        <v>127</v>
      </c>
      <c r="C49" s="567" t="s">
        <v>128</v>
      </c>
      <c r="D49" s="567" t="s">
        <v>121</v>
      </c>
      <c r="E49" s="568">
        <v>12.2</v>
      </c>
      <c r="F49" s="568">
        <v>0.82</v>
      </c>
      <c r="G49" s="568">
        <f>E49-F49</f>
        <v>11.379999999999999</v>
      </c>
      <c r="H49" s="567"/>
      <c r="I49" s="567"/>
      <c r="J49" s="567">
        <f>'20230505_PitCoreY'!I3</f>
        <v>4.76</v>
      </c>
      <c r="K49" s="568">
        <f>'20230505_PitCoreY'!I4</f>
        <v>0.42341092113335588</v>
      </c>
      <c r="L49" s="568">
        <f>G49-J49</f>
        <v>6.6199999999999992</v>
      </c>
      <c r="M49" s="567"/>
      <c r="N49" s="567"/>
      <c r="O49" s="567"/>
      <c r="P49" s="568">
        <f>J49*K49</f>
        <v>2.0154359845947738</v>
      </c>
      <c r="Q49" s="568"/>
      <c r="R49" s="569"/>
      <c r="S49" s="569"/>
      <c r="T49" s="570">
        <v>393333.11800000002</v>
      </c>
      <c r="U49" s="570">
        <v>6700331.6919999998</v>
      </c>
      <c r="V49" s="571">
        <v>1369.212</v>
      </c>
    </row>
    <row r="50" spans="1:22" s="270" customFormat="1" ht="15.6" customHeight="1">
      <c r="A50" s="572">
        <v>45174</v>
      </c>
      <c r="B50" s="567" t="s">
        <v>273</v>
      </c>
      <c r="C50" s="567" t="s">
        <v>128</v>
      </c>
      <c r="D50" s="567" t="s">
        <v>62</v>
      </c>
      <c r="E50" s="568">
        <v>6.15</v>
      </c>
      <c r="F50" s="568">
        <v>-1.33</v>
      </c>
      <c r="G50" s="568">
        <f>E50-F50</f>
        <v>7.48</v>
      </c>
      <c r="H50" s="567"/>
      <c r="I50" s="567"/>
      <c r="J50" s="567">
        <v>0.94</v>
      </c>
      <c r="K50" s="568">
        <v>0.61147357107386857</v>
      </c>
      <c r="L50" s="568"/>
      <c r="M50" s="567"/>
      <c r="N50" s="567"/>
      <c r="O50" s="568">
        <f>Q50-P49</f>
        <v>-1.4406508277853374</v>
      </c>
      <c r="P50" s="568"/>
      <c r="Q50" s="568">
        <f>J50*K50</f>
        <v>0.57478515680943643</v>
      </c>
      <c r="R50" s="569"/>
      <c r="S50" s="569">
        <v>0</v>
      </c>
      <c r="T50" s="570"/>
      <c r="U50" s="570"/>
      <c r="V50" s="571"/>
    </row>
    <row r="51" spans="1:22" s="270" customFormat="1" ht="15.6" customHeight="1">
      <c r="A51" s="572">
        <v>45174</v>
      </c>
      <c r="B51" s="567" t="s">
        <v>273</v>
      </c>
      <c r="C51" s="567" t="s">
        <v>128</v>
      </c>
      <c r="D51" s="567" t="s">
        <v>62</v>
      </c>
      <c r="E51" s="568">
        <v>6.15</v>
      </c>
      <c r="F51" s="568">
        <v>-1.33</v>
      </c>
      <c r="G51" s="568">
        <f>E51-F51</f>
        <v>7.48</v>
      </c>
      <c r="H51" s="567"/>
      <c r="I51" s="567"/>
      <c r="J51" s="567"/>
      <c r="K51" s="568"/>
      <c r="L51" s="568"/>
      <c r="M51" s="567"/>
      <c r="N51" s="567"/>
      <c r="O51" s="567"/>
      <c r="P51" s="568"/>
      <c r="Q51" s="568"/>
      <c r="R51" s="569"/>
      <c r="S51" s="569"/>
      <c r="T51" s="570"/>
      <c r="U51" s="570"/>
      <c r="V51" s="571"/>
    </row>
    <row r="52" spans="1:22" ht="13.9" customHeight="1">
      <c r="A52" s="100"/>
      <c r="B52" s="100"/>
      <c r="C52" s="100"/>
      <c r="D52" s="100"/>
      <c r="E52" s="101"/>
      <c r="F52" s="101"/>
      <c r="G52" s="100"/>
      <c r="H52" s="100"/>
      <c r="I52" s="100"/>
      <c r="J52" s="100"/>
      <c r="K52" s="100"/>
      <c r="L52" s="100"/>
      <c r="M52" s="100"/>
      <c r="N52" s="100"/>
      <c r="O52" s="100"/>
      <c r="P52" s="100"/>
      <c r="Q52" s="101"/>
      <c r="R52" s="102"/>
      <c r="S52" s="102"/>
      <c r="T52" s="459"/>
      <c r="U52" s="459"/>
      <c r="V52" s="463"/>
    </row>
    <row r="53" spans="1:22" thickBot="1">
      <c r="A53" s="100"/>
      <c r="B53" s="100"/>
      <c r="C53" s="100"/>
      <c r="D53" s="100"/>
      <c r="E53" s="101"/>
      <c r="F53" s="101"/>
      <c r="G53" s="100"/>
      <c r="H53" s="100"/>
      <c r="I53" s="100"/>
      <c r="J53" s="100"/>
      <c r="K53" s="100"/>
      <c r="L53" s="100"/>
      <c r="M53" s="100"/>
      <c r="N53" s="100"/>
      <c r="O53" s="100"/>
      <c r="P53" s="100"/>
      <c r="Q53" s="101"/>
      <c r="R53" s="102"/>
      <c r="S53" s="102"/>
      <c r="T53" s="459"/>
      <c r="U53" s="459"/>
      <c r="V53" s="463"/>
    </row>
    <row r="54" spans="1:22" ht="14.45" customHeight="1">
      <c r="A54" s="941" t="s">
        <v>37</v>
      </c>
      <c r="B54" s="942"/>
      <c r="C54" s="945" t="s">
        <v>38</v>
      </c>
      <c r="D54" s="946"/>
      <c r="E54" s="103" t="s">
        <v>39</v>
      </c>
      <c r="F54" s="104"/>
      <c r="G54" s="103" t="s">
        <v>40</v>
      </c>
      <c r="H54" s="104"/>
      <c r="I54" s="105" t="s">
        <v>41</v>
      </c>
      <c r="Q54" s="925"/>
      <c r="R54" s="68"/>
      <c r="S54" s="68"/>
      <c r="T54" s="460"/>
      <c r="U54" s="459"/>
      <c r="V54" s="463"/>
    </row>
    <row r="55" spans="1:22" ht="14.45" customHeight="1">
      <c r="A55" s="943"/>
      <c r="B55" s="944"/>
      <c r="C55" s="106" t="s">
        <v>42</v>
      </c>
      <c r="D55" s="106" t="s">
        <v>43</v>
      </c>
      <c r="E55" s="107">
        <f>A43</f>
        <v>44820</v>
      </c>
      <c r="F55" s="108" t="s">
        <v>44</v>
      </c>
      <c r="G55" s="109">
        <f>A49</f>
        <v>45051</v>
      </c>
      <c r="H55" s="108" t="s">
        <v>44</v>
      </c>
      <c r="I55" s="110">
        <f>A51</f>
        <v>45174</v>
      </c>
      <c r="Q55" s="925"/>
      <c r="R55" s="111"/>
      <c r="S55" s="111"/>
      <c r="T55" s="68"/>
      <c r="U55" s="102"/>
    </row>
    <row r="56" spans="1:22" ht="15">
      <c r="A56" s="112"/>
      <c r="B56" s="113" t="s">
        <v>45</v>
      </c>
      <c r="C56" s="114">
        <f>P49</f>
        <v>2.0154359845947738</v>
      </c>
      <c r="D56" s="114"/>
      <c r="E56" s="115"/>
      <c r="F56" s="115"/>
      <c r="G56" s="116"/>
      <c r="H56" s="114"/>
      <c r="I56" s="117"/>
      <c r="Q56" s="925"/>
      <c r="R56" s="111"/>
      <c r="S56" s="111"/>
      <c r="T56" s="68"/>
      <c r="U56" s="102"/>
    </row>
    <row r="57" spans="1:22" ht="15">
      <c r="A57" s="112"/>
      <c r="B57" s="113" t="s">
        <v>46</v>
      </c>
      <c r="C57" s="114">
        <f>O50</f>
        <v>-1.4406508277853374</v>
      </c>
      <c r="D57" s="114"/>
      <c r="E57" s="115"/>
      <c r="F57" s="115"/>
      <c r="G57" s="116"/>
      <c r="H57" s="114"/>
      <c r="I57" s="117"/>
      <c r="Q57" s="925"/>
      <c r="R57" s="111"/>
      <c r="S57" s="111"/>
      <c r="T57" s="68"/>
      <c r="U57" s="102"/>
    </row>
    <row r="58" spans="1:22" ht="15">
      <c r="A58" s="112"/>
      <c r="B58" s="113" t="s">
        <v>47</v>
      </c>
      <c r="C58" s="114">
        <f>Q50</f>
        <v>0.57478515680943643</v>
      </c>
      <c r="D58" s="114"/>
      <c r="E58" s="115"/>
      <c r="F58" s="115"/>
      <c r="G58" s="116"/>
      <c r="H58" s="114"/>
      <c r="I58" s="117"/>
      <c r="Q58" s="925"/>
      <c r="R58" s="111"/>
      <c r="S58" s="111"/>
      <c r="T58" s="68"/>
      <c r="U58" s="102"/>
    </row>
    <row r="59" spans="1:22" ht="15">
      <c r="A59" s="112"/>
      <c r="B59" s="118" t="s">
        <v>48</v>
      </c>
      <c r="C59" s="114">
        <f>S41</f>
        <v>2.4E-2</v>
      </c>
      <c r="D59" s="114"/>
      <c r="E59" s="115"/>
      <c r="F59" s="115"/>
      <c r="G59" s="114"/>
      <c r="H59" s="114"/>
      <c r="I59" s="117"/>
      <c r="Q59" s="925"/>
      <c r="R59" s="111"/>
      <c r="S59" s="111"/>
      <c r="T59" s="68"/>
      <c r="U59" s="102"/>
    </row>
    <row r="60" spans="1:22" ht="15">
      <c r="A60" s="112"/>
      <c r="B60" s="119" t="s">
        <v>49</v>
      </c>
      <c r="C60" s="114" t="s">
        <v>55</v>
      </c>
      <c r="D60" s="114"/>
      <c r="E60" s="115"/>
      <c r="F60" s="115"/>
      <c r="G60" s="114"/>
      <c r="H60" s="114"/>
      <c r="I60" s="117"/>
      <c r="Q60" s="925"/>
      <c r="R60" s="111"/>
      <c r="S60" s="111"/>
      <c r="T60" s="68"/>
      <c r="U60" s="102"/>
    </row>
    <row r="61" spans="1:22" thickBot="1">
      <c r="A61" s="120"/>
      <c r="B61" s="121" t="s">
        <v>50</v>
      </c>
      <c r="C61" s="122">
        <f>S50</f>
        <v>0</v>
      </c>
      <c r="D61" s="122"/>
      <c r="E61" s="123"/>
      <c r="F61" s="123"/>
      <c r="G61" s="124"/>
      <c r="H61" s="124"/>
      <c r="I61" s="125"/>
      <c r="Q61" s="925"/>
      <c r="R61" s="111"/>
      <c r="S61" s="111"/>
      <c r="T61" s="68"/>
      <c r="U61" s="102"/>
    </row>
    <row r="62" spans="1:22" ht="15">
      <c r="A62" s="102"/>
      <c r="B62" s="102"/>
      <c r="C62" s="102"/>
      <c r="D62" s="102"/>
      <c r="E62" s="102"/>
      <c r="F62" s="102"/>
      <c r="G62" s="102"/>
      <c r="H62" s="102"/>
      <c r="I62" s="102"/>
      <c r="J62" s="102"/>
      <c r="K62" s="102"/>
      <c r="L62" s="102"/>
      <c r="M62" s="102"/>
      <c r="N62" s="102"/>
      <c r="O62" s="102"/>
      <c r="P62" s="102"/>
      <c r="Q62" s="926"/>
      <c r="R62" s="68"/>
      <c r="S62" s="68"/>
      <c r="T62" s="68"/>
      <c r="U62" s="102"/>
    </row>
  </sheetData>
  <mergeCells count="6">
    <mergeCell ref="T1:V1"/>
    <mergeCell ref="T2:U2"/>
    <mergeCell ref="E3:G3"/>
    <mergeCell ref="T3:U3"/>
    <mergeCell ref="A54:B55"/>
    <mergeCell ref="C54:D54"/>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5"/>
  <sheetViews>
    <sheetView topLeftCell="C47" zoomScale="90" zoomScaleNormal="90" workbookViewId="0">
      <selection activeCell="C75" sqref="C75"/>
    </sheetView>
  </sheetViews>
  <sheetFormatPr defaultColWidth="17.140625" defaultRowHeight="15.75" customHeight="1"/>
  <cols>
    <col min="1" max="1" width="12.42578125" style="2" customWidth="1"/>
    <col min="2" max="2" width="27.140625" style="2" customWidth="1"/>
    <col min="3" max="3" width="11.140625" style="2" bestFit="1" customWidth="1"/>
    <col min="4" max="4" width="20" style="2" bestFit="1" customWidth="1"/>
    <col min="5" max="5" width="12.42578125" style="2" bestFit="1" customWidth="1"/>
    <col min="6" max="7" width="13.85546875" style="2" bestFit="1" customWidth="1"/>
    <col min="8" max="8" width="14.42578125" style="2" bestFit="1" customWidth="1"/>
    <col min="9" max="9" width="17.140625" style="2" bestFit="1" customWidth="1"/>
    <col min="10" max="10" width="19.5703125" style="2" bestFit="1" customWidth="1"/>
    <col min="11" max="11" width="16.42578125" style="2" bestFit="1" customWidth="1"/>
    <col min="12" max="12" width="18" style="2" customWidth="1"/>
    <col min="13" max="13" width="22.140625" style="2" customWidth="1"/>
    <col min="14" max="14" width="11.5703125" style="2" bestFit="1" customWidth="1"/>
    <col min="15" max="15" width="11.140625" style="2" bestFit="1" customWidth="1"/>
    <col min="16" max="17" width="7.85546875" style="2" bestFit="1" customWidth="1"/>
    <col min="18" max="18" width="14.85546875" style="2" bestFit="1" customWidth="1"/>
    <col min="19" max="19" width="20.85546875" style="2" bestFit="1" customWidth="1"/>
    <col min="20" max="20" width="21" style="2" bestFit="1" customWidth="1"/>
    <col min="21" max="21" width="8.85546875" style="2" bestFit="1" customWidth="1"/>
    <col min="22" max="16384" width="17.140625" style="2"/>
  </cols>
  <sheetData>
    <row r="1" spans="1:23" ht="15">
      <c r="A1" s="5"/>
      <c r="B1" s="6"/>
      <c r="C1" s="7"/>
      <c r="D1" s="8"/>
      <c r="E1" s="9"/>
      <c r="F1" s="10"/>
      <c r="G1" s="11"/>
      <c r="H1" s="12"/>
      <c r="I1" s="11"/>
      <c r="J1" s="13"/>
      <c r="K1" s="10"/>
      <c r="L1" s="14"/>
      <c r="M1" s="15"/>
      <c r="N1" s="11"/>
      <c r="O1" s="16"/>
      <c r="P1" s="17"/>
      <c r="Q1" s="17"/>
      <c r="R1" s="17"/>
      <c r="S1" s="18"/>
      <c r="T1" s="947" t="s">
        <v>9</v>
      </c>
      <c r="U1" s="948"/>
      <c r="V1" s="949"/>
      <c r="W1" s="19"/>
    </row>
    <row r="2" spans="1:23" ht="15">
      <c r="A2" s="20"/>
      <c r="B2" s="21"/>
      <c r="C2" s="22"/>
      <c r="D2" s="23"/>
      <c r="E2" s="159"/>
      <c r="F2" s="160"/>
      <c r="G2" s="24"/>
      <c r="H2" s="25"/>
      <c r="I2" s="24"/>
      <c r="J2" s="26"/>
      <c r="K2" s="27"/>
      <c r="L2" s="28"/>
      <c r="M2" s="29"/>
      <c r="N2" s="26"/>
      <c r="O2" s="1"/>
      <c r="S2" s="4"/>
      <c r="T2" s="950" t="s">
        <v>10</v>
      </c>
      <c r="U2" s="951"/>
      <c r="V2" s="161"/>
      <c r="W2" s="30"/>
    </row>
    <row r="3" spans="1:23" ht="15">
      <c r="A3" s="20"/>
      <c r="B3" s="21"/>
      <c r="C3" s="22"/>
      <c r="D3" s="31"/>
      <c r="E3" s="936" t="s">
        <v>11</v>
      </c>
      <c r="F3" s="937"/>
      <c r="G3" s="938"/>
      <c r="H3" s="32"/>
      <c r="I3" s="160"/>
      <c r="J3" s="26"/>
      <c r="K3" s="160"/>
      <c r="L3" s="33"/>
      <c r="M3" s="34"/>
      <c r="N3" s="26"/>
      <c r="O3" s="35"/>
      <c r="P3" s="26"/>
      <c r="Q3" s="26"/>
      <c r="R3" s="36"/>
      <c r="S3" s="37"/>
      <c r="T3" s="939" t="s">
        <v>12</v>
      </c>
      <c r="U3" s="940"/>
      <c r="V3" s="161"/>
      <c r="W3" s="38"/>
    </row>
    <row r="4" spans="1:23" s="52" customFormat="1" ht="38.25">
      <c r="A4" s="39" t="s">
        <v>13</v>
      </c>
      <c r="B4" s="40" t="s">
        <v>14</v>
      </c>
      <c r="C4" s="41" t="s">
        <v>15</v>
      </c>
      <c r="D4" s="42" t="s">
        <v>16</v>
      </c>
      <c r="E4" s="43" t="s">
        <v>17</v>
      </c>
      <c r="F4" s="40" t="s">
        <v>18</v>
      </c>
      <c r="G4" s="44" t="s">
        <v>19</v>
      </c>
      <c r="H4" s="45" t="s">
        <v>20</v>
      </c>
      <c r="I4" s="44" t="s">
        <v>21</v>
      </c>
      <c r="J4" s="44" t="s">
        <v>22</v>
      </c>
      <c r="K4" s="40" t="s">
        <v>23</v>
      </c>
      <c r="L4" s="46" t="s">
        <v>24</v>
      </c>
      <c r="M4" s="46" t="s">
        <v>25</v>
      </c>
      <c r="N4" s="44" t="s">
        <v>26</v>
      </c>
      <c r="O4" s="47" t="s">
        <v>27</v>
      </c>
      <c r="P4" s="44" t="s">
        <v>28</v>
      </c>
      <c r="Q4" s="44" t="s">
        <v>29</v>
      </c>
      <c r="R4" s="48" t="s">
        <v>7</v>
      </c>
      <c r="S4" s="49" t="s">
        <v>8</v>
      </c>
      <c r="T4" s="50" t="s">
        <v>30</v>
      </c>
      <c r="U4" s="50" t="s">
        <v>31</v>
      </c>
      <c r="V4" s="51" t="s">
        <v>2</v>
      </c>
      <c r="W4" s="41" t="s">
        <v>32</v>
      </c>
    </row>
    <row r="5" spans="1:23" thickBot="1">
      <c r="A5" s="53" t="s">
        <v>33</v>
      </c>
      <c r="B5" s="54"/>
      <c r="C5" s="55"/>
      <c r="D5" s="56"/>
      <c r="E5" s="57" t="s">
        <v>34</v>
      </c>
      <c r="F5" s="57" t="s">
        <v>34</v>
      </c>
      <c r="G5" s="226" t="s">
        <v>34</v>
      </c>
      <c r="H5" s="227" t="s">
        <v>34</v>
      </c>
      <c r="I5" s="57" t="s">
        <v>34</v>
      </c>
      <c r="J5" s="57" t="s">
        <v>34</v>
      </c>
      <c r="K5" s="58" t="s">
        <v>35</v>
      </c>
      <c r="L5" s="59" t="s">
        <v>34</v>
      </c>
      <c r="M5" s="60" t="s">
        <v>34</v>
      </c>
      <c r="N5" s="60" t="s">
        <v>35</v>
      </c>
      <c r="O5" s="61" t="s">
        <v>36</v>
      </c>
      <c r="P5" s="62" t="s">
        <v>36</v>
      </c>
      <c r="Q5" s="62" t="s">
        <v>36</v>
      </c>
      <c r="R5" s="63" t="s">
        <v>36</v>
      </c>
      <c r="S5" s="64" t="s">
        <v>36</v>
      </c>
      <c r="T5" s="65" t="s">
        <v>34</v>
      </c>
      <c r="U5" s="65" t="s">
        <v>34</v>
      </c>
      <c r="V5" s="66" t="s">
        <v>34</v>
      </c>
      <c r="W5" s="67"/>
    </row>
    <row r="6" spans="1:23" ht="15">
      <c r="A6" s="71">
        <v>43222</v>
      </c>
      <c r="B6" s="72" t="s">
        <v>54</v>
      </c>
      <c r="C6" s="73" t="s">
        <v>64</v>
      </c>
      <c r="D6" s="74" t="s">
        <v>52</v>
      </c>
      <c r="E6" s="75">
        <v>12.2</v>
      </c>
      <c r="F6" s="76">
        <v>0.16</v>
      </c>
      <c r="G6" s="76">
        <v>12.04</v>
      </c>
      <c r="H6" s="77"/>
      <c r="I6" s="76">
        <v>6.13</v>
      </c>
      <c r="J6" s="76">
        <v>6.13</v>
      </c>
      <c r="K6" s="76">
        <v>0.46</v>
      </c>
      <c r="L6" s="78">
        <v>5.9099999999999993</v>
      </c>
      <c r="M6" s="76"/>
      <c r="N6" s="76"/>
      <c r="O6" s="79"/>
      <c r="P6" s="76">
        <v>2.8197999999999999</v>
      </c>
      <c r="Q6" s="76"/>
      <c r="R6" s="76"/>
      <c r="S6" s="80"/>
      <c r="T6" s="79"/>
      <c r="U6" s="76"/>
      <c r="V6" s="81"/>
      <c r="W6" s="82"/>
    </row>
    <row r="7" spans="1:23" ht="15">
      <c r="A7" s="71">
        <v>43349</v>
      </c>
      <c r="B7" s="72" t="s">
        <v>54</v>
      </c>
      <c r="C7" s="73" t="s">
        <v>64</v>
      </c>
      <c r="D7" s="74" t="s">
        <v>62</v>
      </c>
      <c r="E7" s="75">
        <v>12.2</v>
      </c>
      <c r="F7" s="76">
        <v>4.18</v>
      </c>
      <c r="G7" s="76">
        <v>8.02</v>
      </c>
      <c r="H7" s="77">
        <v>-4.0199999999999996</v>
      </c>
      <c r="I7" s="76">
        <v>2.1100000000000003</v>
      </c>
      <c r="J7" s="76"/>
      <c r="K7" s="76"/>
      <c r="L7" s="78">
        <v>5.9099999999999993</v>
      </c>
      <c r="M7" s="76"/>
      <c r="N7" s="76"/>
      <c r="O7" s="79">
        <v>-1.8521999999999998</v>
      </c>
      <c r="P7" s="76"/>
      <c r="Q7" s="76">
        <v>0.9675999999999999</v>
      </c>
      <c r="R7" s="76"/>
      <c r="S7" s="80"/>
      <c r="T7" s="79"/>
      <c r="U7" s="76"/>
      <c r="V7" s="81"/>
      <c r="W7" s="82"/>
    </row>
    <row r="8" spans="1:23" ht="15">
      <c r="A8" s="71">
        <v>43351</v>
      </c>
      <c r="B8" s="72" t="s">
        <v>54</v>
      </c>
      <c r="C8" s="73"/>
      <c r="D8" s="74"/>
      <c r="E8" s="75"/>
      <c r="F8" s="76"/>
      <c r="G8" s="76">
        <v>0</v>
      </c>
      <c r="H8" s="77">
        <v>-8.02</v>
      </c>
      <c r="I8" s="76"/>
      <c r="J8" s="76">
        <v>1.64</v>
      </c>
      <c r="K8" s="76">
        <v>0.59</v>
      </c>
      <c r="L8" s="78"/>
      <c r="M8" s="76"/>
      <c r="N8" s="76"/>
      <c r="O8" s="79">
        <v>-0.9675999999999999</v>
      </c>
      <c r="P8" s="76">
        <v>0.9675999999999999</v>
      </c>
      <c r="Q8" s="76"/>
      <c r="R8" s="76"/>
      <c r="S8" s="80"/>
      <c r="T8" s="79"/>
      <c r="U8" s="76"/>
      <c r="V8" s="81"/>
      <c r="W8" s="82"/>
    </row>
    <row r="9" spans="1:23" ht="15">
      <c r="A9" s="71">
        <v>43714</v>
      </c>
      <c r="B9" s="72" t="s">
        <v>69</v>
      </c>
      <c r="C9" s="73" t="s">
        <v>64</v>
      </c>
      <c r="D9" s="74" t="s">
        <v>62</v>
      </c>
      <c r="E9" s="75">
        <v>12.2</v>
      </c>
      <c r="F9" s="76">
        <v>1.4</v>
      </c>
      <c r="G9" s="76">
        <v>10.799999999999999</v>
      </c>
      <c r="H9" s="77">
        <v>2.7799999999999994</v>
      </c>
      <c r="I9" s="76"/>
      <c r="J9" s="76"/>
      <c r="K9" s="76"/>
      <c r="L9" s="78"/>
      <c r="M9" s="76"/>
      <c r="N9" s="76"/>
      <c r="O9" s="79"/>
      <c r="P9" s="76"/>
      <c r="Q9" s="76"/>
      <c r="R9" s="76"/>
      <c r="S9" s="80"/>
      <c r="T9" s="79"/>
      <c r="U9" s="76"/>
      <c r="V9" s="81"/>
      <c r="W9" s="82"/>
    </row>
    <row r="10" spans="1:23" ht="15">
      <c r="A10" s="83">
        <v>43963</v>
      </c>
      <c r="B10" s="84" t="s">
        <v>71</v>
      </c>
      <c r="C10" s="85" t="s">
        <v>64</v>
      </c>
      <c r="D10" s="86" t="s">
        <v>52</v>
      </c>
      <c r="E10" s="87" t="s">
        <v>81</v>
      </c>
      <c r="F10" s="88"/>
      <c r="G10" s="88">
        <v>0</v>
      </c>
      <c r="H10" s="77">
        <v>0</v>
      </c>
      <c r="I10" s="76"/>
      <c r="J10" s="76"/>
      <c r="K10" s="76"/>
      <c r="L10" s="78"/>
      <c r="M10" s="76"/>
      <c r="N10" s="76"/>
      <c r="O10" s="79">
        <v>0</v>
      </c>
      <c r="P10" s="76">
        <v>0</v>
      </c>
      <c r="Q10" s="76"/>
      <c r="R10" s="76"/>
      <c r="S10" s="80"/>
      <c r="T10" s="79"/>
      <c r="U10" s="76"/>
      <c r="V10" s="81"/>
      <c r="W10" s="82"/>
    </row>
    <row r="11" spans="1:23" ht="15">
      <c r="A11" s="83">
        <v>44079</v>
      </c>
      <c r="B11" s="84" t="s">
        <v>72</v>
      </c>
      <c r="C11" s="85" t="s">
        <v>64</v>
      </c>
      <c r="D11" s="86" t="s">
        <v>52</v>
      </c>
      <c r="E11" s="87">
        <v>12.2</v>
      </c>
      <c r="F11" s="88">
        <v>0.71</v>
      </c>
      <c r="G11" s="88">
        <v>11.49</v>
      </c>
      <c r="H11" s="77">
        <v>0</v>
      </c>
      <c r="I11" s="76" t="e">
        <f>#REF!</f>
        <v>#REF!</v>
      </c>
      <c r="J11" s="76"/>
      <c r="K11" s="76" t="e">
        <f>#REF!</f>
        <v>#REF!</v>
      </c>
      <c r="L11" s="78" t="e">
        <f>G11-I11</f>
        <v>#REF!</v>
      </c>
      <c r="M11" s="76"/>
      <c r="N11" s="76"/>
      <c r="O11" s="79"/>
      <c r="P11" s="76"/>
      <c r="Q11" s="76" t="e">
        <f>K11*I11</f>
        <v>#REF!</v>
      </c>
      <c r="R11" s="76"/>
      <c r="S11" s="80"/>
      <c r="T11" s="79"/>
      <c r="U11" s="76"/>
      <c r="V11" s="81"/>
      <c r="W11" s="82"/>
    </row>
    <row r="12" spans="1:23" s="70" customFormat="1" ht="15">
      <c r="A12" s="89"/>
      <c r="B12" s="90"/>
      <c r="C12" s="91"/>
      <c r="D12" s="92"/>
      <c r="E12" s="93"/>
      <c r="F12" s="94"/>
      <c r="G12" s="94"/>
      <c r="H12" s="95"/>
      <c r="I12" s="94"/>
      <c r="J12" s="94"/>
      <c r="K12" s="94"/>
      <c r="L12" s="96"/>
      <c r="M12" s="94"/>
      <c r="N12" s="94"/>
      <c r="O12" s="97"/>
      <c r="P12" s="94"/>
      <c r="Q12" s="94"/>
      <c r="R12" s="94"/>
      <c r="S12" s="98"/>
      <c r="T12" s="97"/>
      <c r="U12" s="94"/>
      <c r="V12" s="69"/>
      <c r="W12" s="99"/>
    </row>
    <row r="13" spans="1:23" s="175" customFormat="1" ht="15">
      <c r="A13" s="191">
        <v>43609</v>
      </c>
      <c r="B13" s="192" t="s">
        <v>65</v>
      </c>
      <c r="C13" s="245" t="s">
        <v>70</v>
      </c>
      <c r="D13" s="245" t="s">
        <v>52</v>
      </c>
      <c r="E13" s="193">
        <v>15.25</v>
      </c>
      <c r="F13" s="193">
        <v>0.86</v>
      </c>
      <c r="G13" s="240">
        <v>14.39</v>
      </c>
      <c r="H13" s="241"/>
      <c r="I13" s="195"/>
      <c r="J13" s="194">
        <v>8.4700000000000006</v>
      </c>
      <c r="K13" s="246">
        <v>0.50377518403364963</v>
      </c>
      <c r="L13" s="194">
        <v>5.92</v>
      </c>
      <c r="M13" s="194"/>
      <c r="N13" s="243"/>
      <c r="O13" s="195">
        <v>0</v>
      </c>
      <c r="P13" s="194">
        <v>4.2669758087650127</v>
      </c>
      <c r="Q13" s="195"/>
      <c r="R13" s="195" t="s">
        <v>55</v>
      </c>
      <c r="S13" s="243"/>
      <c r="T13" s="196"/>
      <c r="U13" s="196"/>
      <c r="V13" s="244"/>
      <c r="W13" s="196"/>
    </row>
    <row r="14" spans="1:23" s="175" customFormat="1" ht="15">
      <c r="A14" s="191">
        <v>43714</v>
      </c>
      <c r="B14" s="192" t="s">
        <v>69</v>
      </c>
      <c r="C14" s="245" t="s">
        <v>70</v>
      </c>
      <c r="D14" s="245" t="s">
        <v>62</v>
      </c>
      <c r="E14" s="193">
        <v>13.2</v>
      </c>
      <c r="F14" s="193">
        <v>4.4899999999999984</v>
      </c>
      <c r="G14" s="240">
        <v>8.7100000000000009</v>
      </c>
      <c r="H14" s="242">
        <v>-5.68</v>
      </c>
      <c r="I14" s="195"/>
      <c r="J14" s="194">
        <v>2.79</v>
      </c>
      <c r="K14" s="246">
        <v>0.63</v>
      </c>
      <c r="L14" s="194">
        <v>5.9200000000000008</v>
      </c>
      <c r="M14" s="194"/>
      <c r="N14" s="243"/>
      <c r="O14" s="194">
        <v>-2.5092758087650129</v>
      </c>
      <c r="P14" s="194"/>
      <c r="Q14" s="194">
        <v>1.7577</v>
      </c>
      <c r="R14" s="195"/>
      <c r="S14" s="243"/>
      <c r="T14" s="196"/>
      <c r="U14" s="196"/>
      <c r="V14" s="244"/>
      <c r="W14" s="196"/>
    </row>
    <row r="15" spans="1:23" s="175" customFormat="1" ht="15">
      <c r="A15" s="191">
        <v>43727</v>
      </c>
      <c r="B15" s="192" t="s">
        <v>69</v>
      </c>
      <c r="C15" s="245" t="s">
        <v>70</v>
      </c>
      <c r="D15" s="245" t="s">
        <v>62</v>
      </c>
      <c r="E15" s="193">
        <v>12.2</v>
      </c>
      <c r="F15" s="193">
        <v>3.85</v>
      </c>
      <c r="G15" s="240">
        <v>8.35</v>
      </c>
      <c r="H15" s="242">
        <v>-0.36000000000000121</v>
      </c>
      <c r="I15" s="195"/>
      <c r="J15" s="194">
        <v>2.4299999999999988</v>
      </c>
      <c r="K15" s="246"/>
      <c r="L15" s="194">
        <v>5.92</v>
      </c>
      <c r="M15" s="194"/>
      <c r="N15" s="243"/>
      <c r="O15" s="194">
        <v>-2.7360758087650137</v>
      </c>
      <c r="P15" s="194"/>
      <c r="Q15" s="194">
        <v>1.5308999999999993</v>
      </c>
      <c r="R15" s="195"/>
      <c r="S15" s="243"/>
      <c r="T15" s="196"/>
      <c r="U15" s="196"/>
      <c r="V15" s="244"/>
      <c r="W15" s="196"/>
    </row>
    <row r="16" spans="1:23" s="175" customFormat="1" ht="15">
      <c r="A16" s="191">
        <v>43842</v>
      </c>
      <c r="B16" s="192" t="s">
        <v>71</v>
      </c>
      <c r="C16" s="245" t="s">
        <v>70</v>
      </c>
      <c r="D16" s="245" t="s">
        <v>52</v>
      </c>
      <c r="E16" s="193" t="s">
        <v>67</v>
      </c>
      <c r="F16" s="193"/>
      <c r="G16" s="240"/>
      <c r="H16" s="242"/>
      <c r="I16" s="195"/>
      <c r="J16" s="194"/>
      <c r="K16" s="246"/>
      <c r="L16" s="194"/>
      <c r="M16" s="194"/>
      <c r="N16" s="243"/>
      <c r="O16" s="194"/>
      <c r="P16" s="194"/>
      <c r="Q16" s="194"/>
      <c r="R16" s="195"/>
      <c r="S16" s="243"/>
      <c r="T16" s="196"/>
      <c r="U16" s="196"/>
      <c r="V16" s="244"/>
      <c r="W16" s="196"/>
    </row>
    <row r="17" spans="1:23" s="175" customFormat="1" ht="15">
      <c r="A17" s="191">
        <v>43963</v>
      </c>
      <c r="B17" s="192"/>
      <c r="C17" s="245"/>
      <c r="D17" s="245" t="s">
        <v>52</v>
      </c>
      <c r="E17" s="193" t="s">
        <v>67</v>
      </c>
      <c r="F17" s="193"/>
      <c r="G17" s="193"/>
      <c r="H17" s="242"/>
      <c r="I17" s="195"/>
      <c r="J17" s="194"/>
      <c r="K17" s="246"/>
      <c r="L17" s="194"/>
      <c r="M17" s="194"/>
      <c r="N17" s="243"/>
      <c r="O17" s="194"/>
      <c r="P17" s="194"/>
      <c r="Q17" s="194"/>
      <c r="R17" s="195"/>
      <c r="S17" s="243"/>
      <c r="T17" s="196"/>
      <c r="U17" s="196"/>
      <c r="V17" s="244"/>
      <c r="W17" s="196"/>
    </row>
    <row r="18" spans="1:23" s="175" customFormat="1" ht="15">
      <c r="A18" s="191">
        <v>44079</v>
      </c>
      <c r="B18" s="192" t="s">
        <v>72</v>
      </c>
      <c r="C18" s="245" t="s">
        <v>70</v>
      </c>
      <c r="D18" s="245" t="s">
        <v>52</v>
      </c>
      <c r="E18" s="193">
        <v>12.2</v>
      </c>
      <c r="F18" s="193">
        <f>E18-G18</f>
        <v>1.9699999999999989</v>
      </c>
      <c r="G18" s="240">
        <v>10.23</v>
      </c>
      <c r="H18" s="328"/>
      <c r="I18" s="195" t="e">
        <f>#REF!</f>
        <v>#REF!</v>
      </c>
      <c r="J18" s="194"/>
      <c r="K18" s="246">
        <v>0.57999999999999996</v>
      </c>
      <c r="L18" s="194" t="e">
        <f>G18-I18</f>
        <v>#REF!</v>
      </c>
      <c r="M18" s="194"/>
      <c r="N18" s="243"/>
      <c r="O18" s="194"/>
      <c r="P18" s="194"/>
      <c r="Q18" s="194" t="e">
        <f>K18*I18</f>
        <v>#REF!</v>
      </c>
      <c r="R18" s="195"/>
      <c r="S18" s="243"/>
      <c r="T18" s="196"/>
      <c r="U18" s="196"/>
      <c r="V18" s="244"/>
      <c r="W18" s="196"/>
    </row>
    <row r="19" spans="1:23" s="175" customFormat="1" ht="15">
      <c r="A19" s="191">
        <v>44079</v>
      </c>
      <c r="B19" s="192" t="s">
        <v>72</v>
      </c>
      <c r="C19" s="245" t="s">
        <v>70</v>
      </c>
      <c r="D19" s="245" t="s">
        <v>52</v>
      </c>
      <c r="E19" s="193">
        <v>14.2</v>
      </c>
      <c r="F19" s="193">
        <v>3.97</v>
      </c>
      <c r="G19" s="193">
        <v>10.23</v>
      </c>
      <c r="H19" s="242"/>
      <c r="I19" s="195"/>
      <c r="J19" s="194"/>
      <c r="K19" s="246"/>
      <c r="L19" s="194"/>
      <c r="M19" s="194"/>
      <c r="N19" s="243"/>
      <c r="O19" s="194"/>
      <c r="P19" s="194"/>
      <c r="Q19" s="194"/>
      <c r="R19" s="195"/>
      <c r="S19" s="243"/>
      <c r="T19" s="196"/>
      <c r="U19" s="196"/>
      <c r="V19" s="244"/>
      <c r="W19" s="196" t="s">
        <v>86</v>
      </c>
    </row>
    <row r="20" spans="1:23" s="175" customFormat="1" ht="15">
      <c r="A20" s="191">
        <v>44185</v>
      </c>
      <c r="B20" s="192" t="s">
        <v>71</v>
      </c>
      <c r="C20" s="245" t="s">
        <v>70</v>
      </c>
      <c r="D20" s="245" t="s">
        <v>52</v>
      </c>
      <c r="E20" s="193">
        <v>14.2</v>
      </c>
      <c r="F20" s="193">
        <v>0.24</v>
      </c>
      <c r="G20" s="193">
        <f>E20-F20</f>
        <v>13.959999999999999</v>
      </c>
      <c r="H20" s="242"/>
      <c r="I20" s="195"/>
      <c r="J20" s="194">
        <f>G20-G19</f>
        <v>3.7299999999999986</v>
      </c>
      <c r="K20" s="246"/>
      <c r="L20" s="194"/>
      <c r="M20" s="194"/>
      <c r="N20" s="243"/>
      <c r="O20" s="194"/>
      <c r="P20" s="194"/>
      <c r="Q20" s="194"/>
      <c r="R20" s="195"/>
      <c r="S20" s="243"/>
      <c r="T20" s="196"/>
      <c r="U20" s="196"/>
      <c r="V20" s="244"/>
      <c r="W20" s="196"/>
    </row>
    <row r="21" spans="1:23" s="175" customFormat="1" ht="15">
      <c r="A21" s="191">
        <v>44185</v>
      </c>
      <c r="B21" s="192" t="s">
        <v>71</v>
      </c>
      <c r="C21" s="245" t="s">
        <v>70</v>
      </c>
      <c r="D21" s="245" t="s">
        <v>52</v>
      </c>
      <c r="E21" s="193">
        <v>18.39</v>
      </c>
      <c r="F21" s="193">
        <f>E21-G21</f>
        <v>4.4300000000000015</v>
      </c>
      <c r="G21" s="193">
        <f>G20</f>
        <v>13.959999999999999</v>
      </c>
      <c r="H21" s="242"/>
      <c r="I21" s="195"/>
      <c r="J21" s="194"/>
      <c r="K21" s="246"/>
      <c r="L21" s="194"/>
      <c r="M21" s="194"/>
      <c r="N21" s="243"/>
      <c r="O21" s="194"/>
      <c r="P21" s="194"/>
      <c r="Q21" s="194"/>
      <c r="R21" s="195"/>
      <c r="S21" s="243"/>
      <c r="T21" s="196"/>
      <c r="U21" s="196"/>
      <c r="V21" s="244"/>
      <c r="W21" s="196"/>
    </row>
    <row r="22" spans="1:23" s="175" customFormat="1" ht="15">
      <c r="A22" s="191">
        <v>44221</v>
      </c>
      <c r="B22" s="192" t="s">
        <v>89</v>
      </c>
      <c r="C22" s="245" t="s">
        <v>70</v>
      </c>
      <c r="D22" s="245" t="s">
        <v>52</v>
      </c>
      <c r="E22" s="193">
        <v>18.39</v>
      </c>
      <c r="F22" s="193">
        <v>0.12</v>
      </c>
      <c r="G22" s="193">
        <f>E22-F22</f>
        <v>18.27</v>
      </c>
      <c r="H22" s="242"/>
      <c r="I22" s="195"/>
      <c r="J22" s="194"/>
      <c r="K22" s="246"/>
      <c r="L22" s="194"/>
      <c r="M22" s="194"/>
      <c r="N22" s="243"/>
      <c r="O22" s="194"/>
      <c r="P22" s="194"/>
      <c r="Q22" s="194"/>
      <c r="R22" s="195"/>
      <c r="S22" s="243"/>
      <c r="T22" s="196"/>
      <c r="U22" s="196"/>
      <c r="V22" s="244"/>
      <c r="W22" s="196" t="s">
        <v>92</v>
      </c>
    </row>
    <row r="23" spans="1:23" s="175" customFormat="1" ht="15">
      <c r="A23" s="191">
        <v>44221</v>
      </c>
      <c r="B23" s="192" t="s">
        <v>89</v>
      </c>
      <c r="C23" s="245" t="s">
        <v>70</v>
      </c>
      <c r="D23" s="245" t="s">
        <v>52</v>
      </c>
      <c r="E23" s="193">
        <v>18.39</v>
      </c>
      <c r="F23" s="193">
        <v>0.86</v>
      </c>
      <c r="G23" s="193">
        <f>E23-F23</f>
        <v>17.53</v>
      </c>
      <c r="H23" s="242"/>
      <c r="I23" s="195"/>
      <c r="J23" s="194"/>
      <c r="K23" s="246"/>
      <c r="L23" s="194"/>
      <c r="M23" s="194"/>
      <c r="N23" s="243"/>
      <c r="O23" s="194"/>
      <c r="P23" s="194"/>
      <c r="Q23" s="194"/>
      <c r="R23" s="195"/>
      <c r="S23" s="243"/>
      <c r="T23" s="196"/>
      <c r="U23" s="196"/>
      <c r="V23" s="244"/>
      <c r="W23" s="196"/>
    </row>
    <row r="24" spans="1:23" s="175" customFormat="1" ht="15">
      <c r="A24" s="191">
        <v>44221</v>
      </c>
      <c r="B24" s="192" t="s">
        <v>89</v>
      </c>
      <c r="C24" s="245" t="s">
        <v>70</v>
      </c>
      <c r="D24" s="245" t="s">
        <v>52</v>
      </c>
      <c r="E24" s="193">
        <v>22.05</v>
      </c>
      <c r="F24" s="193">
        <f>E24-G24</f>
        <v>4.5199999999999996</v>
      </c>
      <c r="G24" s="193">
        <f>17.25+0.28</f>
        <v>17.53</v>
      </c>
      <c r="H24" s="242"/>
      <c r="I24" s="195"/>
      <c r="J24" s="194"/>
      <c r="K24" s="246"/>
      <c r="L24" s="194"/>
      <c r="M24" s="194"/>
      <c r="N24" s="243"/>
      <c r="O24" s="194"/>
      <c r="P24" s="194"/>
      <c r="Q24" s="194"/>
      <c r="R24" s="195"/>
      <c r="S24" s="243"/>
      <c r="T24" s="196"/>
      <c r="U24" s="196"/>
      <c r="V24" s="244"/>
      <c r="W24" s="196"/>
    </row>
    <row r="25" spans="1:23" s="175" customFormat="1" ht="15">
      <c r="A25" s="191">
        <v>44304</v>
      </c>
      <c r="B25" s="192" t="s">
        <v>93</v>
      </c>
      <c r="C25" s="245" t="s">
        <v>70</v>
      </c>
      <c r="D25" s="245" t="s">
        <v>52</v>
      </c>
      <c r="E25" s="193">
        <v>22.05</v>
      </c>
      <c r="F25" s="193">
        <f>E25-G25</f>
        <v>3.6099999999999994</v>
      </c>
      <c r="G25" s="193">
        <f>G26</f>
        <v>18.440000000000001</v>
      </c>
      <c r="H25" s="242">
        <f>G25-G19</f>
        <v>8.2100000000000009</v>
      </c>
      <c r="I25" s="194" t="s">
        <v>98</v>
      </c>
      <c r="J25" s="194">
        <v>6.2</v>
      </c>
      <c r="K25" s="246">
        <v>0.46</v>
      </c>
      <c r="L25" s="194">
        <f>G25-J25</f>
        <v>12.240000000000002</v>
      </c>
      <c r="M25" s="194"/>
      <c r="N25" s="243"/>
      <c r="O25" s="194"/>
      <c r="P25" s="194">
        <f>K25*J25</f>
        <v>2.8520000000000003</v>
      </c>
      <c r="Q25" s="194"/>
      <c r="R25" s="195"/>
      <c r="S25" s="243"/>
      <c r="T25" s="196"/>
      <c r="U25" s="196"/>
      <c r="V25" s="244"/>
      <c r="W25" s="196"/>
    </row>
    <row r="26" spans="1:23" s="175" customFormat="1" ht="15">
      <c r="A26" s="191">
        <v>44304</v>
      </c>
      <c r="B26" s="192" t="s">
        <v>93</v>
      </c>
      <c r="C26" s="245" t="s">
        <v>70</v>
      </c>
      <c r="D26" s="245" t="s">
        <v>52</v>
      </c>
      <c r="E26" s="193">
        <v>20.3</v>
      </c>
      <c r="F26" s="193">
        <v>1.86</v>
      </c>
      <c r="G26" s="193">
        <f>E26-F26</f>
        <v>18.440000000000001</v>
      </c>
      <c r="H26" s="242"/>
      <c r="I26" s="195"/>
      <c r="J26" s="194"/>
      <c r="K26" s="246"/>
      <c r="L26" s="194"/>
      <c r="M26" s="194"/>
      <c r="N26" s="243"/>
      <c r="O26" s="194"/>
      <c r="P26" s="194"/>
      <c r="Q26" s="194"/>
      <c r="R26" s="195"/>
      <c r="S26" s="243"/>
      <c r="T26" s="196"/>
      <c r="U26" s="196"/>
      <c r="V26" s="244"/>
      <c r="W26" s="196"/>
    </row>
    <row r="27" spans="1:23" s="175" customFormat="1" ht="15">
      <c r="A27" s="191">
        <v>44309</v>
      </c>
      <c r="B27" s="192" t="s">
        <v>93</v>
      </c>
      <c r="C27" s="245" t="s">
        <v>70</v>
      </c>
      <c r="D27" s="245" t="s">
        <v>52</v>
      </c>
      <c r="E27" s="193">
        <v>20.3</v>
      </c>
      <c r="F27" s="193">
        <v>2.0099999999999998</v>
      </c>
      <c r="G27" s="193">
        <f>E27-F27</f>
        <v>18.29</v>
      </c>
      <c r="H27" s="242"/>
      <c r="I27" s="195"/>
      <c r="J27" s="194"/>
      <c r="K27" s="246"/>
      <c r="L27" s="194"/>
      <c r="M27" s="194"/>
      <c r="N27" s="243"/>
      <c r="O27" s="194"/>
      <c r="P27" s="194"/>
      <c r="Q27" s="194"/>
      <c r="R27" s="195"/>
      <c r="S27" s="243"/>
      <c r="T27" s="196"/>
      <c r="U27" s="196"/>
      <c r="V27" s="244"/>
      <c r="W27" s="196"/>
    </row>
    <row r="28" spans="1:23" s="175" customFormat="1" ht="15">
      <c r="A28" s="191">
        <v>44310</v>
      </c>
      <c r="B28" s="192" t="s">
        <v>93</v>
      </c>
      <c r="C28" s="245" t="s">
        <v>70</v>
      </c>
      <c r="D28" s="245" t="s">
        <v>52</v>
      </c>
      <c r="E28" s="193">
        <v>20.3</v>
      </c>
      <c r="F28" s="193">
        <v>2.0299999999999998</v>
      </c>
      <c r="G28" s="193">
        <f>E28-F28</f>
        <v>18.27</v>
      </c>
      <c r="H28" s="242">
        <f>G28-G26</f>
        <v>-0.17000000000000171</v>
      </c>
      <c r="I28" s="195"/>
      <c r="J28" s="194">
        <f>J25+H28</f>
        <v>6.0299999999999985</v>
      </c>
      <c r="K28" s="246">
        <f>J25*K25/J28</f>
        <v>0.47296849087893883</v>
      </c>
      <c r="L28" s="194"/>
      <c r="M28" s="194"/>
      <c r="N28" s="243"/>
      <c r="O28" s="194"/>
      <c r="P28" s="194"/>
      <c r="Q28" s="194"/>
      <c r="R28" s="195"/>
      <c r="S28" s="243"/>
      <c r="T28" s="196"/>
      <c r="U28" s="196"/>
      <c r="V28" s="244"/>
      <c r="W28" s="196"/>
    </row>
    <row r="29" spans="1:23" s="175" customFormat="1" ht="15">
      <c r="A29" s="191">
        <v>44333</v>
      </c>
      <c r="B29" s="192" t="s">
        <v>93</v>
      </c>
      <c r="C29" s="245" t="s">
        <v>70</v>
      </c>
      <c r="D29" s="245" t="s">
        <v>52</v>
      </c>
      <c r="E29" s="193">
        <v>20.3</v>
      </c>
      <c r="F29" s="193">
        <v>1.82</v>
      </c>
      <c r="G29" s="193">
        <f>E29-F29</f>
        <v>18.48</v>
      </c>
      <c r="H29" s="242">
        <f>G29-G28</f>
        <v>0.21000000000000085</v>
      </c>
      <c r="I29" s="195"/>
      <c r="J29" s="194">
        <f>J28+H29</f>
        <v>6.2399999999999993</v>
      </c>
      <c r="K29" s="246">
        <f>(J28*K28 + 0.5*0.35)/J29</f>
        <v>0.4850961538461539</v>
      </c>
      <c r="L29" s="194">
        <f>G29-J29</f>
        <v>12.240000000000002</v>
      </c>
      <c r="M29" s="194"/>
      <c r="N29" s="243"/>
      <c r="O29" s="194"/>
      <c r="P29" s="194">
        <f>J29*K29</f>
        <v>3.0270000000000001</v>
      </c>
      <c r="Q29" s="194"/>
      <c r="R29" s="195"/>
      <c r="S29" s="243"/>
      <c r="T29" s="196">
        <v>394630.18599999999</v>
      </c>
      <c r="U29" s="196">
        <v>6700396.7149999999</v>
      </c>
      <c r="V29" s="244">
        <v>1337.328</v>
      </c>
      <c r="W29" s="196"/>
    </row>
    <row r="30" spans="1:23" s="175" customFormat="1" ht="15">
      <c r="A30" s="191"/>
      <c r="B30" s="192"/>
      <c r="C30" s="245"/>
      <c r="D30" s="245"/>
      <c r="E30" s="193"/>
      <c r="F30" s="193"/>
      <c r="G30" s="193"/>
      <c r="H30" s="242"/>
      <c r="I30" s="195"/>
      <c r="J30" s="194"/>
      <c r="K30" s="246"/>
      <c r="L30" s="194"/>
      <c r="M30" s="194"/>
      <c r="N30" s="243"/>
      <c r="O30" s="194"/>
      <c r="P30" s="194"/>
      <c r="Q30" s="194"/>
      <c r="R30" s="195"/>
      <c r="S30" s="243"/>
      <c r="T30" s="196"/>
      <c r="U30" s="196"/>
      <c r="V30" s="244"/>
      <c r="W30" s="196"/>
    </row>
    <row r="31" spans="1:23" ht="15">
      <c r="C31" s="176"/>
      <c r="D31" s="176"/>
      <c r="G31" s="4"/>
      <c r="H31" s="215"/>
      <c r="K31" s="453"/>
      <c r="N31" s="4"/>
      <c r="P31" s="3"/>
      <c r="Q31" s="3"/>
      <c r="S31" s="4"/>
      <c r="V31" s="4"/>
    </row>
    <row r="32" spans="1:23" s="137" customFormat="1" ht="15">
      <c r="A32" s="271">
        <v>43963</v>
      </c>
      <c r="B32" s="272" t="s">
        <v>71</v>
      </c>
      <c r="C32" s="274" t="s">
        <v>80</v>
      </c>
      <c r="D32" s="274" t="s">
        <v>52</v>
      </c>
      <c r="E32" s="272">
        <v>12.2</v>
      </c>
      <c r="F32" s="272">
        <v>0.65</v>
      </c>
      <c r="G32" s="278">
        <f>E32-F32</f>
        <v>11.549999999999999</v>
      </c>
      <c r="H32" s="280"/>
      <c r="I32" s="272">
        <v>5.33</v>
      </c>
      <c r="J32" s="272">
        <v>5.33</v>
      </c>
      <c r="K32" s="276">
        <v>0.49</v>
      </c>
      <c r="L32" s="272">
        <f>G32-I32</f>
        <v>6.2199999999999989</v>
      </c>
      <c r="M32" s="272"/>
      <c r="N32" s="278"/>
      <c r="O32" s="272"/>
      <c r="P32" s="273">
        <f>I32*K32</f>
        <v>2.6116999999999999</v>
      </c>
      <c r="Q32" s="273"/>
      <c r="R32" s="272"/>
      <c r="S32" s="278"/>
      <c r="T32" s="272"/>
      <c r="U32" s="272"/>
      <c r="V32" s="278"/>
      <c r="W32" s="272"/>
    </row>
    <row r="33" spans="1:23" ht="15">
      <c r="A33" s="271">
        <v>44079</v>
      </c>
      <c r="B33" s="272" t="s">
        <v>72</v>
      </c>
      <c r="C33" s="274" t="s">
        <v>80</v>
      </c>
      <c r="D33" s="274" t="s">
        <v>52</v>
      </c>
      <c r="E33" s="272">
        <v>12.2</v>
      </c>
      <c r="F33" s="272">
        <f>E33-G33</f>
        <v>4.7599999999999989</v>
      </c>
      <c r="G33" s="278">
        <v>7.44</v>
      </c>
      <c r="H33" s="280"/>
      <c r="I33" s="272" t="e">
        <f>#REF!</f>
        <v>#REF!</v>
      </c>
      <c r="J33" s="272"/>
      <c r="K33" s="276">
        <v>0.57999999999999996</v>
      </c>
      <c r="L33" s="272" t="e">
        <f>G33-I33</f>
        <v>#REF!</v>
      </c>
      <c r="M33" s="272"/>
      <c r="N33" s="278"/>
      <c r="O33" s="273" t="e">
        <f>Q33-P32</f>
        <v>#REF!</v>
      </c>
      <c r="P33" s="273"/>
      <c r="Q33" s="273" t="e">
        <f>K33*I33</f>
        <v>#REF!</v>
      </c>
      <c r="R33" s="272"/>
      <c r="S33" s="278"/>
      <c r="T33" s="270"/>
      <c r="U33" s="270"/>
      <c r="V33" s="279"/>
      <c r="W33" s="270"/>
    </row>
    <row r="34" spans="1:23" ht="15">
      <c r="A34" s="271">
        <v>44079</v>
      </c>
      <c r="B34" s="272" t="s">
        <v>72</v>
      </c>
      <c r="C34" s="274" t="s">
        <v>80</v>
      </c>
      <c r="D34" s="274" t="s">
        <v>52</v>
      </c>
      <c r="E34" s="272">
        <v>11.5</v>
      </c>
      <c r="F34" s="272">
        <f>E34-G34</f>
        <v>4.0599999999999996</v>
      </c>
      <c r="G34" s="278">
        <v>7.44</v>
      </c>
      <c r="H34" s="280"/>
      <c r="I34" s="272"/>
      <c r="J34" s="272"/>
      <c r="K34" s="276"/>
      <c r="L34" s="272"/>
      <c r="M34" s="272"/>
      <c r="N34" s="278"/>
      <c r="O34" s="272"/>
      <c r="P34" s="273"/>
      <c r="Q34" s="273"/>
      <c r="R34" s="272"/>
      <c r="S34" s="278"/>
      <c r="T34" s="270"/>
      <c r="U34" s="270"/>
      <c r="V34" s="279"/>
      <c r="W34" s="270" t="s">
        <v>86</v>
      </c>
    </row>
    <row r="35" spans="1:23" ht="15">
      <c r="A35" s="271">
        <v>44185</v>
      </c>
      <c r="B35" s="272" t="s">
        <v>71</v>
      </c>
      <c r="C35" s="274" t="s">
        <v>80</v>
      </c>
      <c r="D35" s="274" t="s">
        <v>52</v>
      </c>
      <c r="E35" s="272">
        <v>11.5</v>
      </c>
      <c r="F35" s="272">
        <v>0.05</v>
      </c>
      <c r="G35" s="278">
        <f>E35-F35</f>
        <v>11.45</v>
      </c>
      <c r="H35" s="280"/>
      <c r="I35" s="272"/>
      <c r="J35" s="272">
        <f>G35-G34</f>
        <v>4.0099999999999989</v>
      </c>
      <c r="K35" s="276"/>
      <c r="L35" s="272"/>
      <c r="M35" s="272"/>
      <c r="N35" s="278"/>
      <c r="O35" s="272"/>
      <c r="P35" s="273"/>
      <c r="Q35" s="273"/>
      <c r="R35" s="272"/>
      <c r="S35" s="278"/>
      <c r="T35" s="270"/>
      <c r="U35" s="270"/>
      <c r="V35" s="279"/>
      <c r="W35" s="270"/>
    </row>
    <row r="36" spans="1:23" ht="15">
      <c r="A36" s="271">
        <v>44185</v>
      </c>
      <c r="B36" s="272" t="s">
        <v>71</v>
      </c>
      <c r="C36" s="274" t="s">
        <v>80</v>
      </c>
      <c r="D36" s="274" t="s">
        <v>52</v>
      </c>
      <c r="E36" s="272">
        <v>14.55</v>
      </c>
      <c r="F36" s="272">
        <f>E36-G36</f>
        <v>3.1000000000000014</v>
      </c>
      <c r="G36" s="278">
        <f>G35</f>
        <v>11.45</v>
      </c>
      <c r="H36" s="280"/>
      <c r="I36" s="272"/>
      <c r="J36" s="272"/>
      <c r="K36" s="276"/>
      <c r="L36" s="272"/>
      <c r="M36" s="272"/>
      <c r="N36" s="278"/>
      <c r="O36" s="272"/>
      <c r="P36" s="273"/>
      <c r="Q36" s="273"/>
      <c r="R36" s="272"/>
      <c r="S36" s="278"/>
      <c r="T36" s="270"/>
      <c r="U36" s="270"/>
      <c r="V36" s="279"/>
      <c r="W36" s="270"/>
    </row>
    <row r="37" spans="1:23" ht="15">
      <c r="A37" s="271">
        <v>44304</v>
      </c>
      <c r="B37" s="272" t="s">
        <v>72</v>
      </c>
      <c r="C37" s="274" t="s">
        <v>80</v>
      </c>
      <c r="D37" s="275" t="s">
        <v>67</v>
      </c>
      <c r="E37" s="272">
        <v>14.55</v>
      </c>
      <c r="F37" s="272"/>
      <c r="G37" s="278"/>
      <c r="H37" s="280"/>
      <c r="I37" s="272"/>
      <c r="J37" s="272"/>
      <c r="K37" s="276"/>
      <c r="L37" s="272"/>
      <c r="M37" s="272"/>
      <c r="N37" s="278"/>
      <c r="O37" s="272"/>
      <c r="P37" s="273"/>
      <c r="Q37" s="273"/>
      <c r="R37" s="272"/>
      <c r="S37" s="278"/>
      <c r="T37" s="270"/>
      <c r="U37" s="270"/>
      <c r="V37" s="279"/>
      <c r="W37" s="270"/>
    </row>
    <row r="38" spans="1:23" ht="15">
      <c r="A38" s="271"/>
      <c r="B38" s="272"/>
      <c r="C38" s="274"/>
      <c r="D38" s="275"/>
      <c r="E38" s="272"/>
      <c r="F38" s="272"/>
      <c r="G38" s="278"/>
      <c r="H38" s="280"/>
      <c r="I38" s="272"/>
      <c r="J38" s="272"/>
      <c r="K38" s="276"/>
      <c r="L38" s="272"/>
      <c r="M38" s="272"/>
      <c r="N38" s="278"/>
      <c r="O38" s="272"/>
      <c r="P38" s="273"/>
      <c r="Q38" s="273"/>
      <c r="R38" s="272"/>
      <c r="S38" s="278"/>
      <c r="T38" s="270"/>
      <c r="U38" s="270"/>
      <c r="V38" s="279"/>
      <c r="W38" s="270"/>
    </row>
    <row r="39" spans="1:23" ht="15">
      <c r="A39" s="100"/>
      <c r="B39" s="100"/>
      <c r="C39" s="360"/>
      <c r="D39" s="362"/>
      <c r="E39" s="101"/>
      <c r="F39" s="101"/>
      <c r="G39" s="352"/>
      <c r="H39" s="355"/>
      <c r="I39" s="100"/>
      <c r="J39" s="100"/>
      <c r="K39" s="454"/>
      <c r="L39" s="100"/>
      <c r="M39" s="100"/>
      <c r="N39" s="352"/>
      <c r="O39" s="100"/>
      <c r="P39" s="101"/>
      <c r="Q39" s="101"/>
      <c r="R39" s="102"/>
      <c r="S39" s="357"/>
      <c r="T39" s="102"/>
      <c r="U39" s="102"/>
      <c r="V39" s="4"/>
    </row>
    <row r="40" spans="1:23" ht="15">
      <c r="C40" s="176"/>
      <c r="D40" s="177"/>
      <c r="G40" s="4"/>
      <c r="H40" s="215"/>
      <c r="K40" s="453"/>
      <c r="N40" s="4"/>
      <c r="P40" s="3"/>
      <c r="Q40" s="3"/>
      <c r="S40" s="4"/>
      <c r="V40" s="4"/>
    </row>
    <row r="41" spans="1:23" s="137" customFormat="1" ht="15">
      <c r="A41" s="365">
        <v>44304</v>
      </c>
      <c r="B41" s="366" t="s">
        <v>93</v>
      </c>
      <c r="C41" s="367" t="s">
        <v>96</v>
      </c>
      <c r="D41" s="368" t="s">
        <v>52</v>
      </c>
      <c r="E41" s="366">
        <v>12.2</v>
      </c>
      <c r="F41" s="366">
        <v>0.95</v>
      </c>
      <c r="G41" s="369">
        <f t="shared" ref="G41:G47" si="0">E41-F41</f>
        <v>11.25</v>
      </c>
      <c r="H41" s="370"/>
      <c r="I41" s="366"/>
      <c r="J41" s="366">
        <v>6.2</v>
      </c>
      <c r="K41" s="371">
        <v>0.46</v>
      </c>
      <c r="L41" s="366">
        <f>G41-J41</f>
        <v>5.05</v>
      </c>
      <c r="M41" s="366"/>
      <c r="N41" s="369"/>
      <c r="O41" s="366"/>
      <c r="P41" s="372">
        <f>K41*J41</f>
        <v>2.8520000000000003</v>
      </c>
      <c r="Q41" s="372"/>
      <c r="R41" s="366"/>
      <c r="S41" s="369"/>
      <c r="T41" s="366"/>
      <c r="U41" s="366"/>
      <c r="V41" s="369"/>
      <c r="W41" s="366"/>
    </row>
    <row r="42" spans="1:23" ht="15">
      <c r="A42" s="365">
        <v>44310</v>
      </c>
      <c r="B42" s="366" t="s">
        <v>93</v>
      </c>
      <c r="C42" s="367" t="s">
        <v>96</v>
      </c>
      <c r="D42" s="368" t="s">
        <v>52</v>
      </c>
      <c r="E42" s="366">
        <v>12.2</v>
      </c>
      <c r="F42" s="366">
        <v>1.1100000000000001</v>
      </c>
      <c r="G42" s="369">
        <f t="shared" si="0"/>
        <v>11.09</v>
      </c>
      <c r="H42" s="370">
        <f>G42-G41</f>
        <v>-0.16000000000000014</v>
      </c>
      <c r="I42" s="366"/>
      <c r="J42" s="366">
        <f>J41+H42</f>
        <v>6.04</v>
      </c>
      <c r="K42" s="371">
        <f>J41*K41/J42</f>
        <v>0.47218543046357619</v>
      </c>
      <c r="L42" s="366">
        <v>5.05</v>
      </c>
      <c r="M42" s="366"/>
      <c r="N42" s="369"/>
      <c r="O42" s="372"/>
      <c r="P42" s="372"/>
      <c r="Q42" s="372"/>
      <c r="R42" s="366"/>
      <c r="S42" s="369"/>
      <c r="T42" s="311">
        <v>394618.772</v>
      </c>
      <c r="U42" s="311">
        <v>6700422.0820000004</v>
      </c>
      <c r="V42" s="359">
        <v>1337.7750000000001</v>
      </c>
      <c r="W42" s="311"/>
    </row>
    <row r="43" spans="1:23" ht="15">
      <c r="A43" s="365">
        <v>44333</v>
      </c>
      <c r="B43" s="366" t="s">
        <v>93</v>
      </c>
      <c r="C43" s="367" t="s">
        <v>96</v>
      </c>
      <c r="D43" s="368" t="s">
        <v>52</v>
      </c>
      <c r="E43" s="366">
        <v>12.2</v>
      </c>
      <c r="F43" s="366">
        <v>0.9</v>
      </c>
      <c r="G43" s="369">
        <f t="shared" si="0"/>
        <v>11.299999999999999</v>
      </c>
      <c r="H43" s="370">
        <f>G43-G42</f>
        <v>0.20999999999999908</v>
      </c>
      <c r="I43" s="366"/>
      <c r="J43" s="366">
        <f>J42+H43</f>
        <v>6.2499999999999991</v>
      </c>
      <c r="K43" s="371">
        <f>(J42*K42 + 0.5*0.35)/J43</f>
        <v>0.48432000000000008</v>
      </c>
      <c r="L43" s="366"/>
      <c r="M43" s="366"/>
      <c r="N43" s="369"/>
      <c r="O43" s="366"/>
      <c r="P43" s="372">
        <f>J43*K43</f>
        <v>3.0270000000000001</v>
      </c>
      <c r="Q43" s="372"/>
      <c r="R43" s="366"/>
      <c r="S43" s="369"/>
      <c r="T43" s="311"/>
      <c r="U43" s="311"/>
      <c r="V43" s="359"/>
      <c r="W43" s="311"/>
    </row>
    <row r="44" spans="1:23" ht="15">
      <c r="A44" s="365">
        <v>44437</v>
      </c>
      <c r="B44" s="366" t="s">
        <v>105</v>
      </c>
      <c r="C44" s="367" t="s">
        <v>96</v>
      </c>
      <c r="D44" s="368" t="s">
        <v>52</v>
      </c>
      <c r="E44" s="366">
        <v>12.2</v>
      </c>
      <c r="F44" s="366">
        <v>4.6100000000000003</v>
      </c>
      <c r="G44" s="369">
        <f t="shared" si="0"/>
        <v>7.589999999999999</v>
      </c>
      <c r="H44" s="370">
        <f>G44-G43</f>
        <v>-3.71</v>
      </c>
      <c r="I44" s="366">
        <f>G44-L42</f>
        <v>2.5399999999999991</v>
      </c>
      <c r="J44" s="366">
        <v>3.67</v>
      </c>
      <c r="K44" s="367">
        <v>0.6</v>
      </c>
      <c r="L44" s="366"/>
      <c r="M44" s="366"/>
      <c r="N44" s="369"/>
      <c r="O44" s="372">
        <f>Q44-P43</f>
        <v>-0.82500000000000018</v>
      </c>
      <c r="P44" s="372"/>
      <c r="Q44" s="372">
        <f>J44*K44</f>
        <v>2.202</v>
      </c>
      <c r="R44" s="366"/>
      <c r="S44" s="369">
        <v>0</v>
      </c>
      <c r="T44" s="311">
        <v>394617.63</v>
      </c>
      <c r="U44" s="311">
        <v>6700418.0470000003</v>
      </c>
      <c r="V44" s="359">
        <v>1348.277</v>
      </c>
      <c r="W44" s="311"/>
    </row>
    <row r="45" spans="1:23" ht="15">
      <c r="A45" s="365">
        <v>44437</v>
      </c>
      <c r="B45" s="366" t="s">
        <v>105</v>
      </c>
      <c r="C45" s="367" t="s">
        <v>96</v>
      </c>
      <c r="D45" s="368" t="s">
        <v>52</v>
      </c>
      <c r="E45" s="366">
        <v>12</v>
      </c>
      <c r="F45" s="366">
        <v>4.41</v>
      </c>
      <c r="G45" s="369">
        <f t="shared" si="0"/>
        <v>7.59</v>
      </c>
      <c r="H45" s="370"/>
      <c r="I45" s="366"/>
      <c r="J45" s="366"/>
      <c r="K45" s="367"/>
      <c r="L45" s="366"/>
      <c r="M45" s="366"/>
      <c r="N45" s="369"/>
      <c r="O45" s="372"/>
      <c r="P45" s="372"/>
      <c r="Q45" s="372"/>
      <c r="R45" s="366"/>
      <c r="S45" s="369"/>
      <c r="T45" s="311"/>
      <c r="U45" s="311"/>
      <c r="V45" s="359"/>
      <c r="W45" s="311"/>
    </row>
    <row r="46" spans="1:23" ht="15">
      <c r="A46" s="365">
        <v>44508</v>
      </c>
      <c r="B46" s="366" t="s">
        <v>93</v>
      </c>
      <c r="C46" s="367" t="s">
        <v>96</v>
      </c>
      <c r="D46" s="368" t="s">
        <v>52</v>
      </c>
      <c r="E46" s="366">
        <v>15.5</v>
      </c>
      <c r="F46" s="366">
        <v>4.13</v>
      </c>
      <c r="G46" s="369">
        <f t="shared" si="0"/>
        <v>11.370000000000001</v>
      </c>
      <c r="H46" s="370">
        <f>G46-G45</f>
        <v>3.7800000000000011</v>
      </c>
      <c r="I46" s="366"/>
      <c r="J46" s="366"/>
      <c r="K46" s="367"/>
      <c r="L46" s="366"/>
      <c r="M46" s="366"/>
      <c r="N46" s="369"/>
      <c r="O46" s="372"/>
      <c r="P46" s="372"/>
      <c r="Q46" s="372"/>
      <c r="R46" s="366"/>
      <c r="S46" s="369"/>
      <c r="T46" s="311"/>
      <c r="U46" s="311"/>
      <c r="V46" s="359"/>
      <c r="W46" s="311"/>
    </row>
    <row r="47" spans="1:23" ht="15">
      <c r="A47" s="365">
        <v>44592</v>
      </c>
      <c r="B47" s="366" t="s">
        <v>103</v>
      </c>
      <c r="C47" s="367" t="s">
        <v>96</v>
      </c>
      <c r="D47" s="368" t="s">
        <v>52</v>
      </c>
      <c r="E47" s="366">
        <v>15.5</v>
      </c>
      <c r="F47" s="366">
        <v>2.1800000000000002</v>
      </c>
      <c r="G47" s="369">
        <f t="shared" si="0"/>
        <v>13.32</v>
      </c>
      <c r="H47" s="370"/>
      <c r="I47" s="366"/>
      <c r="J47" s="366"/>
      <c r="K47" s="367"/>
      <c r="L47" s="366"/>
      <c r="M47" s="366"/>
      <c r="N47" s="369"/>
      <c r="O47" s="372"/>
      <c r="P47" s="372"/>
      <c r="Q47" s="372"/>
      <c r="R47" s="366"/>
      <c r="S47" s="369"/>
      <c r="T47" s="311"/>
      <c r="U47" s="311"/>
      <c r="V47" s="359"/>
      <c r="W47" s="311"/>
    </row>
    <row r="48" spans="1:23" ht="15">
      <c r="A48" s="365">
        <v>44592</v>
      </c>
      <c r="B48" s="366" t="s">
        <v>103</v>
      </c>
      <c r="C48" s="367" t="s">
        <v>96</v>
      </c>
      <c r="D48" s="368" t="s">
        <v>52</v>
      </c>
      <c r="E48" s="366">
        <v>17.32</v>
      </c>
      <c r="F48" s="372">
        <f>E48-G47</f>
        <v>4</v>
      </c>
      <c r="G48" s="478">
        <f>E48-F48</f>
        <v>13.32</v>
      </c>
      <c r="H48" s="370">
        <f>G48-G45</f>
        <v>5.73</v>
      </c>
      <c r="I48" s="366"/>
      <c r="J48" s="366"/>
      <c r="K48" s="367"/>
      <c r="L48" s="366"/>
      <c r="M48" s="366"/>
      <c r="N48" s="369"/>
      <c r="O48" s="372"/>
      <c r="P48" s="372"/>
      <c r="Q48" s="372"/>
      <c r="R48" s="366"/>
      <c r="S48" s="369"/>
      <c r="T48" s="311"/>
      <c r="U48" s="311"/>
      <c r="V48" s="359"/>
      <c r="W48" s="311"/>
    </row>
    <row r="49" spans="1:23" ht="15">
      <c r="A49" s="365">
        <v>44679</v>
      </c>
      <c r="B49" s="366" t="s">
        <v>109</v>
      </c>
      <c r="C49" s="367" t="s">
        <v>96</v>
      </c>
      <c r="D49" s="368" t="s">
        <v>52</v>
      </c>
      <c r="E49" s="366" t="s">
        <v>75</v>
      </c>
      <c r="F49" s="366"/>
      <c r="G49" s="369"/>
      <c r="H49" s="370"/>
      <c r="I49" s="366"/>
      <c r="J49" s="366"/>
      <c r="K49" s="367"/>
      <c r="L49" s="366"/>
      <c r="M49" s="366"/>
      <c r="N49" s="369"/>
      <c r="O49" s="366"/>
      <c r="P49" s="372"/>
      <c r="Q49" s="372"/>
      <c r="R49" s="366"/>
      <c r="S49" s="369"/>
      <c r="T49" s="311"/>
      <c r="U49" s="311"/>
      <c r="V49" s="359"/>
      <c r="W49" s="311"/>
    </row>
    <row r="50" spans="1:23" ht="15">
      <c r="A50" s="365">
        <v>44822</v>
      </c>
      <c r="B50" s="366" t="s">
        <v>109</v>
      </c>
      <c r="C50" s="366" t="s">
        <v>96</v>
      </c>
      <c r="D50" s="366" t="s">
        <v>52</v>
      </c>
      <c r="E50" s="366">
        <v>12</v>
      </c>
      <c r="F50" s="366">
        <v>1.75</v>
      </c>
      <c r="G50" s="366">
        <f>E50-F50</f>
        <v>10.25</v>
      </c>
      <c r="H50" s="366"/>
      <c r="I50" s="366"/>
      <c r="J50" s="366"/>
      <c r="K50" s="366"/>
      <c r="L50" s="366"/>
      <c r="M50" s="366"/>
      <c r="N50" s="366"/>
      <c r="O50" s="366"/>
      <c r="P50" s="372"/>
      <c r="Q50" s="372"/>
      <c r="R50" s="366"/>
      <c r="S50" s="366"/>
      <c r="T50" s="311"/>
      <c r="U50" s="311"/>
      <c r="V50" s="311"/>
      <c r="W50" s="311"/>
    </row>
    <row r="51" spans="1:23" ht="15">
      <c r="A51" s="365">
        <v>44822</v>
      </c>
      <c r="B51" s="366" t="s">
        <v>109</v>
      </c>
      <c r="C51" s="366" t="s">
        <v>96</v>
      </c>
      <c r="D51" s="366" t="s">
        <v>52</v>
      </c>
      <c r="E51" s="366">
        <v>14.47</v>
      </c>
      <c r="F51" s="366">
        <f>E51-G51</f>
        <v>4.2200000000000006</v>
      </c>
      <c r="G51" s="366">
        <v>10.25</v>
      </c>
      <c r="H51" s="366"/>
      <c r="I51" s="366"/>
      <c r="J51" s="366">
        <v>2.1</v>
      </c>
      <c r="K51" s="372">
        <v>0.59</v>
      </c>
      <c r="L51" s="366">
        <f>G51-J51</f>
        <v>8.15</v>
      </c>
      <c r="M51" s="366"/>
      <c r="N51" s="366"/>
      <c r="O51" s="366"/>
      <c r="P51" s="372"/>
      <c r="Q51" s="372">
        <f>J51*K51</f>
        <v>1.2389999999999999</v>
      </c>
      <c r="R51" s="366"/>
      <c r="S51" s="366"/>
      <c r="T51" s="311"/>
      <c r="U51" s="311"/>
      <c r="V51" s="311"/>
      <c r="W51" s="311"/>
    </row>
    <row r="52" spans="1:23" ht="15">
      <c r="A52" s="365">
        <v>44911</v>
      </c>
      <c r="B52" s="366" t="s">
        <v>122</v>
      </c>
      <c r="C52" s="366" t="s">
        <v>96</v>
      </c>
      <c r="D52" s="366" t="s">
        <v>121</v>
      </c>
      <c r="E52" s="366" t="s">
        <v>123</v>
      </c>
      <c r="F52" s="366"/>
      <c r="G52" s="366"/>
      <c r="H52" s="366"/>
      <c r="I52" s="366"/>
      <c r="J52" s="366"/>
      <c r="K52" s="372"/>
      <c r="L52" s="366"/>
      <c r="M52" s="366"/>
      <c r="N52" s="366"/>
      <c r="O52" s="366"/>
      <c r="P52" s="372"/>
      <c r="Q52" s="372"/>
      <c r="R52" s="366"/>
      <c r="S52" s="366"/>
      <c r="T52" s="311"/>
      <c r="U52" s="311"/>
      <c r="V52" s="311"/>
      <c r="W52" s="311"/>
    </row>
    <row r="53" spans="1:23" ht="15">
      <c r="A53" s="100"/>
      <c r="B53" s="100"/>
      <c r="C53" s="100"/>
      <c r="D53" s="100"/>
      <c r="E53" s="101"/>
      <c r="F53" s="101"/>
      <c r="G53" s="100"/>
      <c r="H53" s="100"/>
      <c r="I53" s="100"/>
      <c r="J53" s="100"/>
      <c r="K53" s="100"/>
      <c r="L53" s="100"/>
      <c r="M53" s="100"/>
      <c r="N53" s="100"/>
      <c r="O53" s="100"/>
      <c r="P53" s="101"/>
      <c r="Q53" s="101"/>
      <c r="R53" s="102"/>
      <c r="S53" s="102"/>
      <c r="T53" s="102"/>
      <c r="U53" s="102"/>
    </row>
    <row r="54" spans="1:23" ht="15">
      <c r="A54" s="483">
        <v>44679</v>
      </c>
      <c r="B54" s="479" t="s">
        <v>109</v>
      </c>
      <c r="C54" s="479" t="s">
        <v>118</v>
      </c>
      <c r="D54" s="479" t="s">
        <v>52</v>
      </c>
      <c r="E54" s="480">
        <v>12.2</v>
      </c>
      <c r="F54" s="480">
        <v>0.8</v>
      </c>
      <c r="G54" s="480">
        <f>E54-F54</f>
        <v>11.399999999999999</v>
      </c>
      <c r="H54" s="479"/>
      <c r="I54" s="479"/>
      <c r="J54" s="479">
        <v>7.77</v>
      </c>
      <c r="K54" s="480">
        <v>0.37</v>
      </c>
      <c r="L54" s="480">
        <f>G54-J54</f>
        <v>3.629999999999999</v>
      </c>
      <c r="M54" s="479"/>
      <c r="N54" s="479"/>
      <c r="O54" s="479"/>
      <c r="P54" s="480">
        <f>J54*K54</f>
        <v>2.8748999999999998</v>
      </c>
      <c r="Q54" s="480"/>
      <c r="R54" s="516"/>
      <c r="S54" s="516"/>
      <c r="T54" s="516"/>
      <c r="U54" s="516"/>
      <c r="V54" s="517"/>
      <c r="W54" s="517"/>
    </row>
    <row r="55" spans="1:23" ht="15">
      <c r="A55" s="483">
        <v>44822</v>
      </c>
      <c r="B55" s="479" t="s">
        <v>109</v>
      </c>
      <c r="C55" s="479" t="s">
        <v>118</v>
      </c>
      <c r="D55" s="479" t="s">
        <v>52</v>
      </c>
      <c r="E55" s="480">
        <v>6.1</v>
      </c>
      <c r="F55" s="480">
        <v>0.05</v>
      </c>
      <c r="G55" s="480">
        <f>E55-F55</f>
        <v>6.05</v>
      </c>
      <c r="H55" s="479"/>
      <c r="I55" s="479"/>
      <c r="J55" s="479"/>
      <c r="K55" s="479"/>
      <c r="L55" s="479"/>
      <c r="M55" s="479"/>
      <c r="N55" s="479"/>
      <c r="O55" s="479"/>
      <c r="P55" s="480"/>
      <c r="Q55" s="480"/>
      <c r="R55" s="516"/>
      <c r="S55" s="516"/>
      <c r="T55" s="516"/>
      <c r="U55" s="516"/>
      <c r="V55" s="517"/>
      <c r="W55" s="517"/>
    </row>
    <row r="56" spans="1:23" ht="15">
      <c r="A56" s="483">
        <v>44822</v>
      </c>
      <c r="B56" s="479" t="s">
        <v>109</v>
      </c>
      <c r="C56" s="479" t="s">
        <v>118</v>
      </c>
      <c r="D56" s="479" t="s">
        <v>52</v>
      </c>
      <c r="E56" s="480">
        <v>10.25</v>
      </c>
      <c r="F56" s="480">
        <f>E56-G56</f>
        <v>4.2</v>
      </c>
      <c r="G56" s="479">
        <v>6.05</v>
      </c>
      <c r="H56" s="479"/>
      <c r="I56" s="479"/>
      <c r="J56" s="479">
        <v>2.1</v>
      </c>
      <c r="K56" s="480">
        <v>0.59</v>
      </c>
      <c r="L56" s="479"/>
      <c r="M56" s="479"/>
      <c r="N56" s="479"/>
      <c r="O56" s="480">
        <f>Q56-P54</f>
        <v>-1.6358999999999999</v>
      </c>
      <c r="P56" s="480"/>
      <c r="Q56" s="480">
        <f>J56*K56</f>
        <v>1.2389999999999999</v>
      </c>
      <c r="R56" s="516"/>
      <c r="S56" s="516">
        <v>0</v>
      </c>
      <c r="T56" s="516"/>
      <c r="U56" s="516"/>
      <c r="V56" s="517"/>
      <c r="W56" s="517"/>
    </row>
    <row r="57" spans="1:23" ht="15">
      <c r="A57" s="483">
        <v>44911</v>
      </c>
      <c r="B57" s="479" t="s">
        <v>122</v>
      </c>
      <c r="C57" s="479" t="s">
        <v>118</v>
      </c>
      <c r="D57" s="479" t="s">
        <v>121</v>
      </c>
      <c r="E57" s="480">
        <v>10.25</v>
      </c>
      <c r="F57" s="480">
        <v>2.16</v>
      </c>
      <c r="G57" s="480">
        <f>E57-F57</f>
        <v>8.09</v>
      </c>
      <c r="H57" s="480">
        <f>G57-G56</f>
        <v>2.04</v>
      </c>
      <c r="I57" s="479"/>
      <c r="J57" s="479"/>
      <c r="K57" s="479"/>
      <c r="L57" s="479"/>
      <c r="M57" s="479"/>
      <c r="N57" s="479"/>
      <c r="O57" s="479"/>
      <c r="P57" s="480"/>
      <c r="Q57" s="480"/>
      <c r="R57" s="516"/>
      <c r="S57" s="516"/>
      <c r="T57" s="516"/>
      <c r="U57" s="516"/>
      <c r="V57" s="517"/>
      <c r="W57" s="517"/>
    </row>
    <row r="58" spans="1:23" ht="15">
      <c r="A58" s="483">
        <v>44911</v>
      </c>
      <c r="B58" s="479" t="s">
        <v>122</v>
      </c>
      <c r="C58" s="479" t="s">
        <v>118</v>
      </c>
      <c r="D58" s="479" t="s">
        <v>121</v>
      </c>
      <c r="E58" s="480">
        <v>12.2</v>
      </c>
      <c r="F58" s="480">
        <f>E58-G58</f>
        <v>4.1099999999999994</v>
      </c>
      <c r="G58" s="480">
        <v>8.09</v>
      </c>
      <c r="H58" s="480"/>
      <c r="I58" s="479"/>
      <c r="J58" s="479"/>
      <c r="K58" s="479"/>
      <c r="L58" s="479"/>
      <c r="M58" s="479"/>
      <c r="N58" s="479"/>
      <c r="O58" s="479"/>
      <c r="P58" s="480"/>
      <c r="Q58" s="480"/>
      <c r="R58" s="516"/>
      <c r="S58" s="516"/>
      <c r="T58" s="516"/>
      <c r="U58" s="516"/>
      <c r="V58" s="517"/>
      <c r="W58" s="517"/>
    </row>
    <row r="59" spans="1:23" ht="15">
      <c r="A59" s="483">
        <v>45174</v>
      </c>
      <c r="B59" s="479" t="s">
        <v>127</v>
      </c>
      <c r="C59" s="479" t="s">
        <v>118</v>
      </c>
      <c r="D59" s="479" t="s">
        <v>62</v>
      </c>
      <c r="E59" s="480">
        <v>9.15</v>
      </c>
      <c r="F59" s="480">
        <v>1.38</v>
      </c>
      <c r="G59" s="480">
        <f>E59-F59</f>
        <v>7.7700000000000005</v>
      </c>
      <c r="H59" s="480"/>
      <c r="I59" s="479"/>
      <c r="J59" s="479">
        <v>1.61</v>
      </c>
      <c r="K59" s="480">
        <v>0.60529077804870202</v>
      </c>
      <c r="L59" s="480">
        <f>G59-J59</f>
        <v>6.16</v>
      </c>
      <c r="M59" s="479"/>
      <c r="N59" s="479"/>
      <c r="O59" s="479"/>
      <c r="P59" s="480"/>
      <c r="Q59" s="480"/>
      <c r="R59" s="516" t="s">
        <v>55</v>
      </c>
      <c r="S59" s="516"/>
      <c r="T59" s="516"/>
      <c r="U59" s="516"/>
      <c r="V59" s="517"/>
      <c r="W59" s="517"/>
    </row>
    <row r="60" spans="1:23" ht="15">
      <c r="A60" s="483">
        <v>45174</v>
      </c>
      <c r="B60" s="479" t="s">
        <v>127</v>
      </c>
      <c r="C60" s="479" t="s">
        <v>118</v>
      </c>
      <c r="D60" s="479" t="s">
        <v>62</v>
      </c>
      <c r="E60" s="480">
        <v>12.2</v>
      </c>
      <c r="F60" s="480">
        <f>E60-G60</f>
        <v>4.43</v>
      </c>
      <c r="G60" s="480">
        <v>7.77</v>
      </c>
      <c r="H60" s="480"/>
      <c r="I60" s="479"/>
      <c r="J60" s="479"/>
      <c r="K60" s="479"/>
      <c r="L60" s="479"/>
      <c r="M60" s="479"/>
      <c r="N60" s="479"/>
      <c r="O60" s="479"/>
      <c r="P60" s="480"/>
      <c r="Q60" s="480"/>
      <c r="R60" s="516"/>
      <c r="S60" s="516"/>
      <c r="T60" s="516"/>
      <c r="U60" s="516"/>
      <c r="V60" s="517"/>
      <c r="W60" s="517"/>
    </row>
    <row r="61" spans="1:23" ht="15">
      <c r="A61" s="100"/>
      <c r="B61" s="100"/>
      <c r="C61" s="100"/>
      <c r="D61" s="100"/>
      <c r="E61" s="101"/>
      <c r="F61" s="101"/>
      <c r="G61" s="100"/>
      <c r="H61" s="100"/>
      <c r="I61" s="100"/>
      <c r="J61" s="100"/>
      <c r="K61" s="100"/>
      <c r="L61" s="100"/>
      <c r="M61" s="100"/>
      <c r="N61" s="100"/>
      <c r="O61" s="100"/>
      <c r="P61" s="101"/>
      <c r="Q61" s="101"/>
      <c r="R61" s="102"/>
      <c r="S61" s="102"/>
      <c r="T61" s="102"/>
      <c r="U61" s="102"/>
    </row>
    <row r="62" spans="1:23" s="429" customFormat="1" ht="15">
      <c r="A62" s="576">
        <v>45051</v>
      </c>
      <c r="B62" s="573" t="s">
        <v>127</v>
      </c>
      <c r="C62" s="573" t="s">
        <v>129</v>
      </c>
      <c r="D62" s="573" t="s">
        <v>52</v>
      </c>
      <c r="E62" s="574">
        <v>12.2</v>
      </c>
      <c r="F62" s="574">
        <v>0.9</v>
      </c>
      <c r="G62" s="574">
        <f>E62-F62</f>
        <v>11.299999999999999</v>
      </c>
      <c r="H62" s="573"/>
      <c r="I62" s="573"/>
      <c r="J62" s="573">
        <f>'20230506_FirnCoreEC'!$I$3</f>
        <v>5.42</v>
      </c>
      <c r="K62" s="574">
        <f>'20230506_FirnCoreEC'!$I$4</f>
        <v>0.42273456954965999</v>
      </c>
      <c r="L62" s="574">
        <f>G62-J62</f>
        <v>5.879999999999999</v>
      </c>
      <c r="M62" s="573"/>
      <c r="N62" s="573"/>
      <c r="O62" s="573"/>
      <c r="P62" s="574">
        <f>J62*K62</f>
        <v>2.291221366959157</v>
      </c>
      <c r="Q62" s="574"/>
      <c r="R62" s="575"/>
      <c r="S62" s="575"/>
      <c r="T62" s="575">
        <v>394624.446</v>
      </c>
      <c r="U62" s="575">
        <v>6700382.6770000001</v>
      </c>
      <c r="V62" s="429">
        <v>1349.546</v>
      </c>
    </row>
    <row r="63" spans="1:23" s="429" customFormat="1" ht="15">
      <c r="A63" s="576">
        <v>45174</v>
      </c>
      <c r="B63" s="573" t="s">
        <v>127</v>
      </c>
      <c r="C63" s="573" t="s">
        <v>129</v>
      </c>
      <c r="D63" s="573" t="s">
        <v>62</v>
      </c>
      <c r="E63" s="574">
        <v>9.15</v>
      </c>
      <c r="F63" s="574">
        <v>1.86</v>
      </c>
      <c r="G63" s="574">
        <f>E63-F63</f>
        <v>7.29</v>
      </c>
      <c r="H63" s="573"/>
      <c r="I63" s="573"/>
      <c r="J63" s="573">
        <v>1.61</v>
      </c>
      <c r="K63" s="574">
        <f>'20230906_FirnCoreEC'!S18</f>
        <v>0.60529077804870202</v>
      </c>
      <c r="L63" s="574">
        <f>G63-J63</f>
        <v>5.68</v>
      </c>
      <c r="M63" s="573"/>
      <c r="N63" s="573"/>
      <c r="O63" s="574">
        <f>Q63-P62</f>
        <v>-1.3167032143007467</v>
      </c>
      <c r="P63" s="574"/>
      <c r="Q63" s="574">
        <f>J63*K63</f>
        <v>0.97451815265841035</v>
      </c>
      <c r="R63" s="575"/>
      <c r="S63" s="575">
        <v>0</v>
      </c>
      <c r="T63" s="575"/>
      <c r="U63" s="575"/>
    </row>
    <row r="64" spans="1:23" s="429" customFormat="1" ht="15">
      <c r="A64" s="576">
        <v>45174</v>
      </c>
      <c r="B64" s="573" t="s">
        <v>127</v>
      </c>
      <c r="C64" s="573" t="s">
        <v>129</v>
      </c>
      <c r="D64" s="573" t="s">
        <v>62</v>
      </c>
      <c r="E64" s="574">
        <v>12.2</v>
      </c>
      <c r="F64" s="574">
        <f>E64-G64</f>
        <v>4.9099999999999993</v>
      </c>
      <c r="G64" s="574">
        <v>7.29</v>
      </c>
      <c r="H64" s="573"/>
      <c r="I64" s="573"/>
      <c r="J64" s="573"/>
      <c r="K64" s="574"/>
      <c r="L64" s="574"/>
      <c r="M64" s="573"/>
      <c r="N64" s="573"/>
      <c r="O64" s="573"/>
      <c r="P64" s="574"/>
      <c r="Q64" s="574"/>
      <c r="R64" s="575"/>
      <c r="S64" s="575"/>
      <c r="T64" s="575"/>
      <c r="U64" s="575"/>
    </row>
    <row r="65" spans="1:21" ht="15">
      <c r="A65" s="100"/>
      <c r="B65" s="100"/>
      <c r="C65" s="100"/>
      <c r="D65" s="100"/>
      <c r="E65" s="101"/>
      <c r="F65" s="101"/>
      <c r="G65" s="100"/>
      <c r="H65" s="100"/>
      <c r="I65" s="100"/>
      <c r="J65" s="100"/>
      <c r="K65" s="100"/>
      <c r="L65" s="100"/>
      <c r="M65" s="100"/>
      <c r="N65" s="100"/>
      <c r="O65" s="100"/>
      <c r="P65" s="101"/>
      <c r="Q65" s="101"/>
      <c r="R65" s="102"/>
      <c r="S65" s="102"/>
      <c r="T65" s="102"/>
      <c r="U65" s="102"/>
    </row>
    <row r="66" spans="1:21" thickBot="1">
      <c r="A66" s="100"/>
      <c r="B66" s="100"/>
      <c r="C66" s="100"/>
      <c r="D66" s="100"/>
      <c r="E66" s="101"/>
      <c r="F66" s="101"/>
      <c r="G66" s="100"/>
      <c r="H66" s="100"/>
      <c r="I66" s="100"/>
      <c r="J66" s="100"/>
      <c r="K66" s="100"/>
      <c r="L66" s="100"/>
      <c r="M66" s="100"/>
      <c r="N66" s="100"/>
      <c r="O66" s="100"/>
      <c r="P66" s="101"/>
      <c r="Q66" s="101"/>
      <c r="R66" s="102"/>
      <c r="S66" s="102"/>
      <c r="T66" s="102"/>
      <c r="U66" s="102"/>
    </row>
    <row r="67" spans="1:21" ht="15" customHeight="1">
      <c r="A67" s="941" t="s">
        <v>37</v>
      </c>
      <c r="B67" s="942"/>
      <c r="C67" s="945" t="s">
        <v>38</v>
      </c>
      <c r="D67" s="946"/>
      <c r="E67" s="103" t="s">
        <v>39</v>
      </c>
      <c r="F67" s="104"/>
      <c r="G67" s="103" t="s">
        <v>40</v>
      </c>
      <c r="H67" s="104"/>
      <c r="I67" s="105" t="s">
        <v>41</v>
      </c>
      <c r="Q67" s="70"/>
      <c r="R67" s="68"/>
      <c r="S67" s="68"/>
      <c r="T67" s="68"/>
      <c r="U67" s="102"/>
    </row>
    <row r="68" spans="1:21" ht="14.45" customHeight="1">
      <c r="A68" s="943"/>
      <c r="B68" s="944"/>
      <c r="C68" s="106" t="s">
        <v>42</v>
      </c>
      <c r="D68" s="106" t="s">
        <v>43</v>
      </c>
      <c r="E68" s="107">
        <f>A56</f>
        <v>44822</v>
      </c>
      <c r="F68" s="108" t="s">
        <v>44</v>
      </c>
      <c r="G68" s="109">
        <f>A62</f>
        <v>45051</v>
      </c>
      <c r="H68" s="108" t="s">
        <v>44</v>
      </c>
      <c r="I68" s="110">
        <f>A63</f>
        <v>45174</v>
      </c>
      <c r="Q68" s="70"/>
      <c r="R68" s="111"/>
      <c r="S68" s="111"/>
      <c r="T68" s="68"/>
      <c r="U68" s="102"/>
    </row>
    <row r="69" spans="1:21" ht="15">
      <c r="A69" s="112"/>
      <c r="B69" s="113" t="s">
        <v>45</v>
      </c>
      <c r="C69" s="150">
        <f>P62</f>
        <v>2.291221366959157</v>
      </c>
      <c r="D69" s="150"/>
      <c r="E69" s="115"/>
      <c r="F69" s="115"/>
      <c r="G69" s="116"/>
      <c r="H69" s="114"/>
      <c r="I69" s="117"/>
      <c r="Q69" s="70"/>
      <c r="R69" s="111"/>
      <c r="S69" s="111"/>
      <c r="T69" s="68"/>
      <c r="U69" s="102"/>
    </row>
    <row r="70" spans="1:21" ht="15">
      <c r="A70" s="112"/>
      <c r="B70" s="113" t="s">
        <v>46</v>
      </c>
      <c r="C70" s="150">
        <f>O63</f>
        <v>-1.3167032143007467</v>
      </c>
      <c r="D70" s="150"/>
      <c r="E70" s="115"/>
      <c r="F70" s="115"/>
      <c r="G70" s="116"/>
      <c r="H70" s="114"/>
      <c r="I70" s="117"/>
      <c r="Q70" s="70"/>
      <c r="R70" s="111"/>
      <c r="S70" s="111"/>
      <c r="T70" s="68"/>
      <c r="U70" s="102"/>
    </row>
    <row r="71" spans="1:21" ht="15.75" customHeight="1">
      <c r="A71" s="112"/>
      <c r="B71" s="113" t="s">
        <v>47</v>
      </c>
      <c r="C71" s="150">
        <f>Q63</f>
        <v>0.97451815265841035</v>
      </c>
      <c r="D71" s="150"/>
      <c r="E71" s="115"/>
      <c r="F71" s="115"/>
      <c r="G71" s="116"/>
      <c r="H71" s="114"/>
      <c r="I71" s="117"/>
      <c r="Q71" s="70"/>
      <c r="R71" s="111"/>
      <c r="S71" s="111"/>
      <c r="T71" s="68"/>
      <c r="U71" s="102"/>
    </row>
    <row r="72" spans="1:21" ht="15.75" customHeight="1">
      <c r="A72" s="112"/>
      <c r="B72" s="118" t="s">
        <v>48</v>
      </c>
      <c r="C72" s="150">
        <f>S56</f>
        <v>0</v>
      </c>
      <c r="D72" s="150"/>
      <c r="E72" s="115"/>
      <c r="F72" s="115"/>
      <c r="G72" s="114"/>
      <c r="H72" s="114"/>
      <c r="I72" s="117"/>
      <c r="Q72" s="70"/>
      <c r="R72" s="111"/>
      <c r="S72" s="111"/>
      <c r="T72" s="68"/>
      <c r="U72" s="102"/>
    </row>
    <row r="73" spans="1:21" ht="15.75" customHeight="1">
      <c r="A73" s="112"/>
      <c r="B73" s="119" t="s">
        <v>49</v>
      </c>
      <c r="C73" s="150" t="str">
        <f>R59</f>
        <v>NaN</v>
      </c>
      <c r="D73" s="150"/>
      <c r="E73" s="115"/>
      <c r="F73" s="115"/>
      <c r="G73" s="114"/>
      <c r="H73" s="114"/>
      <c r="I73" s="117"/>
      <c r="Q73" s="70"/>
      <c r="R73" s="111"/>
      <c r="S73" s="111"/>
      <c r="T73" s="68"/>
      <c r="U73" s="102"/>
    </row>
    <row r="74" spans="1:21" ht="15.75" customHeight="1" thickBot="1">
      <c r="A74" s="120"/>
      <c r="B74" s="121" t="s">
        <v>50</v>
      </c>
      <c r="C74" s="155">
        <f>S63</f>
        <v>0</v>
      </c>
      <c r="D74" s="155"/>
      <c r="E74" s="123"/>
      <c r="F74" s="123"/>
      <c r="G74" s="124"/>
      <c r="H74" s="124"/>
      <c r="I74" s="125"/>
      <c r="Q74" s="70"/>
      <c r="R74" s="111"/>
      <c r="S74" s="111"/>
      <c r="T74" s="68"/>
      <c r="U74" s="102"/>
    </row>
    <row r="75" spans="1:21" ht="15.75" customHeight="1">
      <c r="A75" s="102"/>
      <c r="B75" s="102"/>
      <c r="C75" s="102"/>
      <c r="D75" s="102"/>
      <c r="E75" s="102"/>
      <c r="F75" s="102"/>
      <c r="G75" s="102"/>
      <c r="H75" s="102"/>
      <c r="I75" s="102"/>
      <c r="J75" s="102"/>
      <c r="K75" s="102"/>
      <c r="L75" s="102"/>
      <c r="M75" s="102"/>
      <c r="N75" s="102"/>
      <c r="O75" s="102"/>
      <c r="P75" s="102"/>
      <c r="Q75" s="68"/>
      <c r="R75" s="68"/>
      <c r="S75" s="68"/>
      <c r="T75" s="68"/>
      <c r="U75" s="102"/>
    </row>
  </sheetData>
  <mergeCells count="6">
    <mergeCell ref="A67:B68"/>
    <mergeCell ref="C67:D67"/>
    <mergeCell ref="T1:V1"/>
    <mergeCell ref="T2:U2"/>
    <mergeCell ref="E3:G3"/>
    <mergeCell ref="T3:U3"/>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Stake Summary</vt:lpstr>
      <vt:lpstr>AUU</vt:lpstr>
      <vt:lpstr>N</vt:lpstr>
      <vt:lpstr>B</vt:lpstr>
      <vt:lpstr>S</vt:lpstr>
      <vt:lpstr>C</vt:lpstr>
      <vt:lpstr>TU</vt:lpstr>
      <vt:lpstr>Y</vt:lpstr>
      <vt:lpstr>EC</vt:lpstr>
      <vt:lpstr>20230906_FirnCoreEC</vt:lpstr>
      <vt:lpstr>20230505_PitCoreC</vt:lpstr>
      <vt:lpstr>20230905_PitC</vt:lpstr>
      <vt:lpstr>20230505_PitCoreTU</vt:lpstr>
      <vt:lpstr>20230505_PitCoreY</vt:lpstr>
      <vt:lpstr>20230905_PitCoreY</vt:lpstr>
      <vt:lpstr>20230506_PitCoreB</vt:lpstr>
      <vt:lpstr>20230506_ProbeS</vt:lpstr>
      <vt:lpstr>20230506_ProbeN</vt:lpstr>
      <vt:lpstr>20230506_FirnCoreEC</vt:lpstr>
      <vt:lpstr>20230506_PitAUU</vt:lpstr>
    </vt:vector>
  </TitlesOfParts>
  <Company>Department of Interior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cmcneil</dc:creator>
  <cp:lastModifiedBy>Sass, Louis</cp:lastModifiedBy>
  <dcterms:created xsi:type="dcterms:W3CDTF">2018-05-02T03:11:21Z</dcterms:created>
  <dcterms:modified xsi:type="dcterms:W3CDTF">2024-11-22T19:24:09Z</dcterms:modified>
</cp:coreProperties>
</file>