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threadedComments/threadedComment1.xml" ContentType="application/vnd.ms-excel.threaded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threadedComments/threadedComment3.xml" ContentType="application/vnd.ms-excel.threadedcomments+xml"/>
  <Override PartName="/xl/drawings/drawing8.xml" ContentType="application/vnd.openxmlformats-officedocument.drawing+xml"/>
  <Override PartName="/xl/comments7.xml" ContentType="application/vnd.openxmlformats-officedocument.spreadsheetml.comments+xml"/>
  <Override PartName="/xl/threadedComments/threadedComment4.xml" ContentType="application/vnd.ms-excel.threaded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charts/chart2.xml" ContentType="application/vnd.openxmlformats-officedocument.drawingml.chart+xml"/>
  <Override PartName="/xl/drawings/drawing11.xml" ContentType="application/vnd.openxmlformats-officedocument.drawing+xml"/>
  <Override PartName="/xl/comments10.xml" ContentType="application/vnd.openxmlformats-officedocument.spreadsheetml.comments+xml"/>
  <Override PartName="/xl/charts/chart3.xml" ContentType="application/vnd.openxmlformats-officedocument.drawingml.chart+xml"/>
  <Override PartName="/xl/drawings/drawing12.xml" ContentType="application/vnd.openxmlformats-officedocument.drawing+xml"/>
  <Override PartName="/xl/comments11.xml" ContentType="application/vnd.openxmlformats-officedocument.spreadsheetml.comments+xml"/>
  <Override PartName="/xl/charts/chart4.xml" ContentType="application/vnd.openxmlformats-officedocument.drawingml.chart+xml"/>
  <Override PartName="/xl/drawings/drawing13.xml" ContentType="application/vnd.openxmlformats-officedocument.drawing+xml"/>
  <Override PartName="/xl/comments12.xml" ContentType="application/vnd.openxmlformats-officedocument.spreadsheetml.comments+xml"/>
  <Override PartName="/xl/charts/chart5.xml" ContentType="application/vnd.openxmlformats-officedocument.drawingml.chart+xml"/>
  <Override PartName="/xl/drawings/drawing14.xml" ContentType="application/vnd.openxmlformats-officedocument.drawing+xml"/>
  <Override PartName="/xl/comments13.xml" ContentType="application/vnd.openxmlformats-officedocument.spreadsheetml.comments+xml"/>
  <Override PartName="/xl/charts/chart6.xml" ContentType="application/vnd.openxmlformats-officedocument.drawingml.chart+xml"/>
  <Override PartName="/xl/drawings/drawing15.xml" ContentType="application/vnd.openxmlformats-officedocument.drawing+xml"/>
  <Override PartName="/xl/comments14.xml" ContentType="application/vnd.openxmlformats-officedocument.spreadsheetml.comments+xml"/>
  <Override PartName="/xl/charts/chart7.xml" ContentType="application/vnd.openxmlformats-officedocument.drawingml.chart+xml"/>
  <Override PartName="/xl/drawings/drawing16.xml" ContentType="application/vnd.openxmlformats-officedocument.drawing+xml"/>
  <Override PartName="/xl/comments15.xml" ContentType="application/vnd.openxmlformats-officedocument.spreadsheetml.comments+xml"/>
  <Override PartName="/xl/charts/chart8.xml" ContentType="application/vnd.openxmlformats-officedocument.drawingml.chart+xml"/>
  <Override PartName="/xl/drawings/drawing17.xml" ContentType="application/vnd.openxmlformats-officedocument.drawing+xml"/>
  <Override PartName="/xl/comments16.xml" ContentType="application/vnd.openxmlformats-officedocument.spreadsheetml.comments+xml"/>
  <Override PartName="/xl/charts/chart9.xml" ContentType="application/vnd.openxmlformats-officedocument.drawingml.chart+xml"/>
  <Override PartName="/xl/drawings/drawing18.xml" ContentType="application/vnd.openxmlformats-officedocument.drawing+xml"/>
  <Override PartName="/xl/comments17.xml" ContentType="application/vnd.openxmlformats-officedocument.spreadsheetml.comments+xml"/>
  <Override PartName="/xl/charts/chart10.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Q:\Project Data\GlacierData\Benchmark_Program\Data\Wolverine\2024\"/>
    </mc:Choice>
  </mc:AlternateContent>
  <xr:revisionPtr revIDLastSave="0" documentId="13_ncr:1_{BAAAD9A2-8778-4736-BAD8-ACA0FF0B0929}" xr6:coauthVersionLast="47" xr6:coauthVersionMax="47" xr10:uidLastSave="{00000000-0000-0000-0000-000000000000}"/>
  <bookViews>
    <workbookView xWindow="-108" yWindow="-108" windowWidth="23256" windowHeight="12456" tabRatio="816" xr2:uid="{00000000-000D-0000-FFFF-FFFF00000000}"/>
  </bookViews>
  <sheets>
    <sheet name="Stake Summary" sheetId="1" r:id="rId1"/>
    <sheet name="AUU" sheetId="34" r:id="rId2"/>
    <sheet name="N" sheetId="3" r:id="rId3"/>
    <sheet name="B" sheetId="4" r:id="rId4"/>
    <sheet name="S" sheetId="5" r:id="rId5"/>
    <sheet name="C" sheetId="6" r:id="rId6"/>
    <sheet name="TU" sheetId="7" r:id="rId7"/>
    <sheet name="Y" sheetId="8" r:id="rId8"/>
    <sheet name="EC" sheetId="9" r:id="rId9"/>
    <sheet name="SiteAUU_Pit_20240427" sheetId="37" r:id="rId10"/>
    <sheet name="SiteB_PitCore_20240424" sheetId="38" r:id="rId11"/>
    <sheet name="SiteTU_PitCore_20240425" sheetId="40" r:id="rId12"/>
    <sheet name="SiteC_PitCore_20240425" sheetId="35" r:id="rId13"/>
    <sheet name="SiteTU_Pit_20240916" sheetId="41" r:id="rId14"/>
    <sheet name="SiteS_Probe_20240917" sheetId="43" r:id="rId15"/>
    <sheet name="SiteC_PitCore_20240916" sheetId="42" r:id="rId16"/>
    <sheet name="SiteEC_FirnCore_20240426" sheetId="36" r:id="rId17"/>
    <sheet name="SiteY_PitCore_20240425" sheetId="39" r:id="rId18"/>
  </sheets>
  <externalReferences>
    <externalReference r:id="rId19"/>
    <externalReference r:id="rId20"/>
    <externalReference r:id="rId21"/>
    <externalReference r:id="rId22"/>
  </externalReferences>
  <definedNames>
    <definedName name="a" localSheetId="9">#REF!</definedName>
    <definedName name="a" localSheetId="10">#REF!</definedName>
    <definedName name="a" localSheetId="12">#REF!</definedName>
    <definedName name="a" localSheetId="16">#REF!</definedName>
    <definedName name="a" localSheetId="11">#REF!</definedName>
    <definedName name="a" localSheetId="17">#REF!</definedName>
    <definedName name="a">#REF!</definedName>
    <definedName name="b" localSheetId="12">#REF!</definedName>
    <definedName name="b" localSheetId="16">#REF!</definedName>
    <definedName name="b" localSheetId="11">#REF!</definedName>
    <definedName name="b" localSheetId="17">#REF!</definedName>
    <definedName name="b">#REF!</definedName>
    <definedName name="b?">#REF!</definedName>
    <definedName name="BasAlt" localSheetId="9">{1181,1250,1350,1450,1550,1650,1750,1850,1950,2050,2150,2250,2350,2436.5}</definedName>
    <definedName name="BasAlt" localSheetId="10">{1181,1250,1350,1450,1550,1650,1750,1850,1950,2050,2150,2250,2350,2436.5}</definedName>
    <definedName name="BasAlt" localSheetId="12">{1181,1250,1350,1450,1550,1650,1750,1850,1950,2050,2150,2250,2350,2436.5}</definedName>
    <definedName name="BasAlt" localSheetId="16">{1181,1250,1350,1450,1550,1650,1750,1850,1950,2050,2150,2250,2350,2436.5}</definedName>
    <definedName name="BasAlt" localSheetId="11">{1181,1250,1350,1450,1550,1650,1750,1850,1950,2050,2150,2250,2350,2436.5}</definedName>
    <definedName name="BasAlt" localSheetId="17">{1181,1250,1350,1450,1550,1650,1750,1850,1950,2050,2150,2250,2350,2436.5}</definedName>
    <definedName name="BasAlt">{1181,1250,1350,1450,1550,1650,1750,1850,1950,2050,2150,2250,2350,2436.5}</definedName>
    <definedName name="BasAlt2009" localSheetId="9">{1181,1250,1350,1450,1550,1650,1750,1850,1950,2050,2150,2250,2350,2436.5}</definedName>
    <definedName name="BasAlt2009" localSheetId="10">{1181,1250,1350,1450,1550,1650,1750,1850,1950,2050,2150,2250,2350,2436.5}</definedName>
    <definedName name="BasAlt2009" localSheetId="12">{1181,1250,1350,1450,1550,1650,1750,1850,1950,2050,2150,2250,2350,2436.5}</definedName>
    <definedName name="BasAlt2009" localSheetId="16">{1181,1250,1350,1450,1550,1650,1750,1850,1950,2050,2150,2250,2350,2436.5}</definedName>
    <definedName name="BasAlt2009" localSheetId="11">{1181,1250,1350,1450,1550,1650,1750,1850,1950,2050,2150,2250,2350,2436.5}</definedName>
    <definedName name="BasAlt2009" localSheetId="17">{1181,1250,1350,1450,1550,1650,1750,1850,1950,2050,2150,2250,2350,2436.5}</definedName>
    <definedName name="BasAlt2009">{1181,1250,1350,1450,1550,1650,1750,1850,1950,2050,2150,2250,2350,2436.5}</definedName>
    <definedName name="Cerr">5</definedName>
    <definedName name="CSerr">10</definedName>
    <definedName name="DATA">'[1]Stake A'!$A$103:$CC$165</definedName>
    <definedName name="_xlnm.Data_Form">#NAME?</definedName>
    <definedName name="GlacAlt" localSheetId="9">{1181,1250,1350,1450,1550,1650,1750,1850,1950,2050,2150,2250,2350,2436.5}</definedName>
    <definedName name="GlacAlt" localSheetId="10">{1181,1250,1350,1450,1550,1650,1750,1850,1950,2050,2150,2250,2350,2436.5}</definedName>
    <definedName name="GlacAlt" localSheetId="12">{1181,1250,1350,1450,1550,1650,1750,1850,1950,2050,2150,2250,2350,2436.5}</definedName>
    <definedName name="GlacAlt" localSheetId="16">{1181,1250,1350,1450,1550,1650,1750,1850,1950,2050,2150,2250,2350,2436.5}</definedName>
    <definedName name="GlacAlt" localSheetId="11">{1181,1250,1350,1450,1550,1650,1750,1850,1950,2050,2150,2250,2350,2436.5}</definedName>
    <definedName name="GlacAlt" localSheetId="17">{1181,1250,1350,1450,1550,1650,1750,1850,1950,2050,2150,2250,2350,2436.5}</definedName>
    <definedName name="GlacAlt">{1181,1250,1350,1450,1550,1650,1750,1850,1950,2050,2150,2250,2350,2436.5}</definedName>
    <definedName name="LapPer100mAvg">-0.55</definedName>
    <definedName name="LapPer100mDry">-0.986</definedName>
    <definedName name="LapPer100mWet">-0.66</definedName>
    <definedName name="name" localSheetId="9">{1181,1250,1350,1450,1550,1650,1750,1850,1950,2050,2150,2250,2350,2436.5}</definedName>
    <definedName name="name" localSheetId="10">{1181,1250,1350,1450,1550,1650,1750,1850,1950,2050,2150,2250,2350,2436.5}</definedName>
    <definedName name="name" localSheetId="12">{1181,1250,1350,1450,1550,1650,1750,1850,1950,2050,2150,2250,2350,2436.5}</definedName>
    <definedName name="name" localSheetId="16">{1181,1250,1350,1450,1550,1650,1750,1850,1950,2050,2150,2250,2350,2436.5}</definedName>
    <definedName name="name" localSheetId="11">{1181,1250,1350,1450,1550,1650,1750,1850,1950,2050,2150,2250,2350,2436.5}</definedName>
    <definedName name="name" localSheetId="17">{1181,1250,1350,1450,1550,1650,1750,1850,1950,2050,2150,2250,2350,2436.5}</definedName>
    <definedName name="name">{1181,1250,1350,1450,1550,1650,1750,1850,1950,2050,2150,2250,2350,2436.5}</definedName>
    <definedName name="Print_Area_A">'[1]Stake A'!$F$103:$CC$199</definedName>
    <definedName name="Radiuserr">0.1</definedName>
    <definedName name="Sample_TypeAu" localSheetId="9">SiteAUU_Pit_20240427!#REF!</definedName>
    <definedName name="Sample_TypeAu" localSheetId="10">[2]Pit_Sheet!#REF!</definedName>
    <definedName name="Sample_TypeAu" localSheetId="12">[2]Pit_Sheet!#REF!</definedName>
    <definedName name="Sample_TypeAu" localSheetId="16">[2]Pit_Sheet!#REF!</definedName>
    <definedName name="Sample_TypeAu" localSheetId="11">[2]Pit_Sheet!#REF!</definedName>
    <definedName name="Sample_TypeAu" localSheetId="17">[2]Pit_Sheet!#REF!</definedName>
    <definedName name="Sample_TypeAu">#REF!</definedName>
    <definedName name="SampleType" localSheetId="9">#REF!</definedName>
    <definedName name="SampleType" localSheetId="10">#REF!</definedName>
    <definedName name="SampleType" localSheetId="12">#REF!</definedName>
    <definedName name="SampleType" localSheetId="16">#REF!</definedName>
    <definedName name="SampleType" localSheetId="11">#REF!</definedName>
    <definedName name="SampleType" localSheetId="17">#REF!</definedName>
    <definedName name="SampleType">#REF!</definedName>
    <definedName name="SampleType1" localSheetId="9">#REF!</definedName>
    <definedName name="SampleType1" localSheetId="10">#REF!</definedName>
    <definedName name="SampleType1" localSheetId="12">#REF!</definedName>
    <definedName name="SampleType1" localSheetId="16">#REF!</definedName>
    <definedName name="SampleType1" localSheetId="11">#REF!</definedName>
    <definedName name="SampleType1" localSheetId="17">#REF!</definedName>
    <definedName name="SampleType1">#REF!</definedName>
    <definedName name="SampleTypeAU" localSheetId="9">#REF!</definedName>
    <definedName name="SampleTypeAU" localSheetId="10">#REF!</definedName>
    <definedName name="SampleTypeAU" localSheetId="12">#REF!</definedName>
    <definedName name="SampleTypeAU" localSheetId="16">#REF!</definedName>
    <definedName name="SampleTypeAU" localSheetId="11">#REF!</definedName>
    <definedName name="SampleTypeAU" localSheetId="17">#REF!</definedName>
    <definedName name="SampleTypeAU">#REF!</definedName>
    <definedName name="SampleTypeC">#REF!</definedName>
    <definedName name="SampletypeD">#REF!</definedName>
    <definedName name="SampletypeS">#REF!</definedName>
    <definedName name="SampleTypeX">#REF!</definedName>
    <definedName name="SampleTypeY">#REF!</definedName>
    <definedName name="SBDerr">0.5</definedName>
    <definedName name="Serr">5</definedName>
    <definedName name="Sipri_xsection">'[3]99.05.14'!$M$3</definedName>
    <definedName name="SipriXsection">'[3]00.05.12'!$M$3</definedName>
    <definedName name="SiteA">'[1]Stake A'!$A$103:$CC$165</definedName>
    <definedName name="SKit_XSection">'[4]SCD May 97, 1998'!$K$4</definedName>
    <definedName name="TempArray">[3]SNOWPIT!$P$9:$Q$20</definedName>
    <definedName name="TempArray2006">'[4]2006.5.12 Pit'!$P$9:$Q$23</definedName>
    <definedName name="TempArray2008">'[4]2008.09.28 Pit'!$P$9:$Q$23</definedName>
    <definedName name="XSECTAREA">[3]SNOWPIT!$Q$1</definedName>
    <definedName name="XSECTION">'[3]98.05.27'!$K$3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1" l="1"/>
  <c r="E11" i="1"/>
  <c r="E10" i="1"/>
  <c r="E8" i="1"/>
  <c r="E7" i="1"/>
  <c r="E6" i="1"/>
  <c r="E5" i="1"/>
  <c r="E4" i="1"/>
  <c r="I33" i="9"/>
  <c r="Q67" i="8"/>
  <c r="P65" i="8"/>
  <c r="C39" i="3"/>
  <c r="P23" i="3"/>
  <c r="P33" i="3"/>
  <c r="O34" i="3" s="1"/>
  <c r="P29" i="3"/>
  <c r="O30" i="3"/>
  <c r="Q30" i="3"/>
  <c r="J29" i="9" l="1"/>
  <c r="R40" i="6"/>
  <c r="R39" i="6"/>
  <c r="L42" i="6"/>
  <c r="L39" i="6"/>
  <c r="M16" i="42"/>
  <c r="G17" i="7"/>
  <c r="G18" i="7" s="1"/>
  <c r="F18" i="7" s="1"/>
  <c r="C41" i="3"/>
  <c r="C23" i="34"/>
  <c r="C24" i="34"/>
  <c r="C34" i="9"/>
  <c r="L23" i="9"/>
  <c r="L44" i="8"/>
  <c r="G44" i="8"/>
  <c r="L43" i="8"/>
  <c r="L40" i="6"/>
  <c r="M43" i="6"/>
  <c r="L43" i="6"/>
  <c r="C39" i="9"/>
  <c r="C37" i="9"/>
  <c r="G14" i="9"/>
  <c r="F30" i="9"/>
  <c r="G30" i="9"/>
  <c r="F24" i="9"/>
  <c r="G24" i="9"/>
  <c r="F23" i="9"/>
  <c r="G23" i="9"/>
  <c r="G22" i="9"/>
  <c r="F29" i="9"/>
  <c r="S28" i="9"/>
  <c r="K28" i="9"/>
  <c r="G28" i="9"/>
  <c r="L27" i="8"/>
  <c r="G27" i="8"/>
  <c r="F27" i="8"/>
  <c r="G26" i="8"/>
  <c r="G43" i="8"/>
  <c r="L56" i="8"/>
  <c r="G56" i="8"/>
  <c r="F56" i="8"/>
  <c r="J67" i="8"/>
  <c r="F67" i="8"/>
  <c r="G67" i="8"/>
  <c r="G55" i="8"/>
  <c r="K66" i="8"/>
  <c r="S66" i="8" s="1"/>
  <c r="C78" i="8" s="1"/>
  <c r="C76" i="8"/>
  <c r="I72" i="8"/>
  <c r="G68" i="8"/>
  <c r="F68" i="8" s="1"/>
  <c r="G66" i="8"/>
  <c r="C28" i="7"/>
  <c r="C26" i="7"/>
  <c r="I22" i="7"/>
  <c r="K12" i="7"/>
  <c r="K16" i="7"/>
  <c r="C57" i="6"/>
  <c r="C55" i="6"/>
  <c r="C52" i="6"/>
  <c r="G29" i="9" l="1"/>
  <c r="R21" i="6" l="1"/>
  <c r="L21" i="6"/>
  <c r="R31" i="6"/>
  <c r="L31" i="6"/>
  <c r="J21" i="6"/>
  <c r="F21" i="6"/>
  <c r="G20" i="6"/>
  <c r="I51" i="6"/>
  <c r="G40" i="6"/>
  <c r="G43" i="6"/>
  <c r="G44" i="6" s="1"/>
  <c r="F44" i="6" s="1"/>
  <c r="J43" i="6"/>
  <c r="J40" i="6"/>
  <c r="C62" i="5"/>
  <c r="C27" i="34"/>
  <c r="C25" i="34"/>
  <c r="C60" i="5"/>
  <c r="L20" i="5"/>
  <c r="K20" i="5"/>
  <c r="K48" i="5"/>
  <c r="K51" i="5"/>
  <c r="I56" i="5"/>
  <c r="I20" i="5"/>
  <c r="Q20" i="5" s="1"/>
  <c r="I48" i="5"/>
  <c r="Q48" i="5" s="1"/>
  <c r="I51" i="5"/>
  <c r="Q51" i="5" s="1"/>
  <c r="M49" i="43"/>
  <c r="M48" i="43"/>
  <c r="M46" i="43"/>
  <c r="M47" i="43" s="1"/>
  <c r="M45" i="43"/>
  <c r="I3" i="43" s="1"/>
  <c r="I2" i="43"/>
  <c r="I1" i="43"/>
  <c r="G20" i="5"/>
  <c r="G48" i="5"/>
  <c r="G51" i="5"/>
  <c r="G52" i="5" s="1"/>
  <c r="F52" i="5" s="1"/>
  <c r="C38" i="4"/>
  <c r="I32" i="4"/>
  <c r="G13" i="4"/>
  <c r="G27" i="4"/>
  <c r="G23" i="4"/>
  <c r="G24" i="4" s="1"/>
  <c r="F24" i="4" s="1"/>
  <c r="C44" i="3"/>
  <c r="C42" i="3"/>
  <c r="I38" i="3"/>
  <c r="F31" i="3"/>
  <c r="G31" i="3"/>
  <c r="G30" i="3"/>
  <c r="F35" i="3"/>
  <c r="G35" i="3"/>
  <c r="Q34" i="3"/>
  <c r="G34" i="3"/>
  <c r="I21" i="34"/>
  <c r="G16" i="34"/>
  <c r="J31" i="6"/>
  <c r="G31" i="6"/>
  <c r="K17" i="7"/>
  <c r="J17" i="7"/>
  <c r="L17" i="7" s="1"/>
  <c r="K13" i="7"/>
  <c r="J13" i="7"/>
  <c r="G13" i="7"/>
  <c r="G14" i="7" s="1"/>
  <c r="F14" i="7" s="1"/>
  <c r="V12" i="42"/>
  <c r="V38" i="42" s="1"/>
  <c r="N19" i="42"/>
  <c r="O18" i="42"/>
  <c r="N18" i="42"/>
  <c r="C18" i="42"/>
  <c r="C19" i="42"/>
  <c r="N17" i="42"/>
  <c r="C16" i="42"/>
  <c r="C17" i="42"/>
  <c r="O19" i="42"/>
  <c r="L19" i="42"/>
  <c r="G19" i="42"/>
  <c r="L18" i="42"/>
  <c r="G18" i="42"/>
  <c r="M18" i="42" s="1"/>
  <c r="P18" i="42" s="1"/>
  <c r="L17" i="42"/>
  <c r="G17" i="42"/>
  <c r="M17" i="42" s="1"/>
  <c r="P17" i="42" s="1"/>
  <c r="L16" i="42"/>
  <c r="G16" i="42"/>
  <c r="P16" i="42" s="1"/>
  <c r="I1" i="42"/>
  <c r="I4" i="41"/>
  <c r="M49" i="41"/>
  <c r="M48" i="41"/>
  <c r="M46" i="41"/>
  <c r="M47" i="41" s="1"/>
  <c r="M45" i="41"/>
  <c r="I3" i="41" s="1"/>
  <c r="G19" i="41"/>
  <c r="G18" i="41"/>
  <c r="E18" i="41"/>
  <c r="G17" i="41"/>
  <c r="F17" i="41"/>
  <c r="E17" i="41"/>
  <c r="G16" i="41"/>
  <c r="F16" i="41"/>
  <c r="E16" i="41"/>
  <c r="G15" i="41"/>
  <c r="F15" i="41"/>
  <c r="E15" i="41"/>
  <c r="G14" i="41"/>
  <c r="F14" i="41"/>
  <c r="E14" i="41"/>
  <c r="G13" i="41"/>
  <c r="F13" i="41"/>
  <c r="E13" i="41"/>
  <c r="I2" i="41"/>
  <c r="I1" i="41"/>
  <c r="O20" i="35"/>
  <c r="N25" i="35"/>
  <c r="AA43" i="36"/>
  <c r="AA44" i="36"/>
  <c r="AA45" i="36"/>
  <c r="AA46" i="36"/>
  <c r="AA47" i="36"/>
  <c r="AA48" i="36"/>
  <c r="AA49" i="36"/>
  <c r="AA50" i="36"/>
  <c r="AA51" i="36"/>
  <c r="AA52" i="36"/>
  <c r="AA53" i="36"/>
  <c r="AA54" i="36"/>
  <c r="AA55" i="36"/>
  <c r="AA56" i="36"/>
  <c r="AA57" i="36"/>
  <c r="AA58" i="36"/>
  <c r="AA59" i="36"/>
  <c r="AA60" i="36"/>
  <c r="AA61" i="36"/>
  <c r="AA62" i="36"/>
  <c r="AA63" i="36"/>
  <c r="AA64" i="36"/>
  <c r="AA65" i="36"/>
  <c r="AA66" i="36"/>
  <c r="AA67" i="36"/>
  <c r="AA68" i="36"/>
  <c r="AA69" i="36"/>
  <c r="AA25" i="36"/>
  <c r="AA26" i="36"/>
  <c r="AA27" i="36"/>
  <c r="AA28" i="36"/>
  <c r="AA29" i="36"/>
  <c r="AA30" i="36"/>
  <c r="AA31" i="36"/>
  <c r="AA32" i="36"/>
  <c r="AA33" i="36"/>
  <c r="AA34" i="36"/>
  <c r="AA35" i="36"/>
  <c r="AA36" i="36"/>
  <c r="AA37" i="36"/>
  <c r="AA38" i="36"/>
  <c r="AA39" i="36"/>
  <c r="AA40" i="36"/>
  <c r="AA41" i="36"/>
  <c r="AA42" i="36"/>
  <c r="Z26" i="36"/>
  <c r="Z27" i="36"/>
  <c r="Z28" i="36"/>
  <c r="Z29" i="36"/>
  <c r="Z30" i="36"/>
  <c r="Z31" i="36"/>
  <c r="Z32" i="36"/>
  <c r="Z33" i="36"/>
  <c r="Z34" i="36"/>
  <c r="Z35" i="36"/>
  <c r="Z36" i="36"/>
  <c r="Z37" i="36"/>
  <c r="Z38" i="36"/>
  <c r="Z39" i="36"/>
  <c r="Z40" i="36"/>
  <c r="Z41" i="36"/>
  <c r="Z42" i="36"/>
  <c r="Z43" i="36"/>
  <c r="Z44" i="36"/>
  <c r="Z45" i="36"/>
  <c r="Z46" i="36"/>
  <c r="Z47" i="36"/>
  <c r="Z48" i="36"/>
  <c r="Z49" i="36"/>
  <c r="Z50" i="36"/>
  <c r="Z51" i="36"/>
  <c r="Z52" i="36"/>
  <c r="Z53" i="36"/>
  <c r="Z54" i="36"/>
  <c r="Z55" i="36"/>
  <c r="Z56" i="36"/>
  <c r="Z57" i="36"/>
  <c r="Z58" i="36"/>
  <c r="Z59" i="36"/>
  <c r="Z60" i="36"/>
  <c r="Z61" i="36"/>
  <c r="Z62" i="36"/>
  <c r="Z63" i="36"/>
  <c r="Z64" i="36"/>
  <c r="Z65" i="36"/>
  <c r="Z66" i="36"/>
  <c r="Z67" i="36"/>
  <c r="Z68" i="36"/>
  <c r="Z69" i="36"/>
  <c r="Q25" i="36"/>
  <c r="O19" i="36"/>
  <c r="N25" i="36"/>
  <c r="M27" i="36"/>
  <c r="C68" i="36"/>
  <c r="AA14" i="36"/>
  <c r="AA15" i="36"/>
  <c r="AA16" i="36"/>
  <c r="AA17" i="36"/>
  <c r="AA18" i="36"/>
  <c r="AA19" i="36"/>
  <c r="AA13" i="36"/>
  <c r="J12" i="7"/>
  <c r="P12" i="7" s="1"/>
  <c r="J39" i="6"/>
  <c r="C36" i="4"/>
  <c r="G11" i="7"/>
  <c r="G12" i="7"/>
  <c r="G38" i="6"/>
  <c r="G39" i="6"/>
  <c r="G46" i="5"/>
  <c r="F22" i="3"/>
  <c r="G22" i="3" s="1"/>
  <c r="G23" i="3"/>
  <c r="G29" i="3"/>
  <c r="G28" i="3" s="1"/>
  <c r="F28" i="3" s="1"/>
  <c r="G22" i="4"/>
  <c r="G21" i="4"/>
  <c r="J26" i="4"/>
  <c r="J22" i="4"/>
  <c r="J12" i="4"/>
  <c r="I26" i="4"/>
  <c r="I22" i="4"/>
  <c r="I12" i="4"/>
  <c r="J23" i="3"/>
  <c r="J33" i="3" s="1"/>
  <c r="I33" i="3"/>
  <c r="I29" i="3"/>
  <c r="L29" i="3" s="1"/>
  <c r="I23" i="3"/>
  <c r="I12" i="34"/>
  <c r="I15" i="34"/>
  <c r="C27" i="40"/>
  <c r="C28" i="39"/>
  <c r="C25" i="38"/>
  <c r="C31" i="36"/>
  <c r="C26" i="36"/>
  <c r="C25" i="36"/>
  <c r="C25" i="35"/>
  <c r="C27" i="35"/>
  <c r="C30" i="35"/>
  <c r="C32" i="35"/>
  <c r="C34" i="35"/>
  <c r="C35" i="35"/>
  <c r="S13" i="38"/>
  <c r="O25" i="36"/>
  <c r="G6" i="4"/>
  <c r="L6" i="4" s="1"/>
  <c r="P6" i="4"/>
  <c r="G7" i="4"/>
  <c r="F8" i="4"/>
  <c r="Q13" i="7" l="1"/>
  <c r="G28" i="4"/>
  <c r="F28" i="4" s="1"/>
  <c r="L22" i="4"/>
  <c r="L13" i="7"/>
  <c r="Q17" i="7"/>
  <c r="C25" i="7" s="1"/>
  <c r="C59" i="5"/>
  <c r="L51" i="5"/>
  <c r="L48" i="5"/>
  <c r="R48" i="5" s="1"/>
  <c r="C61" i="5" s="1"/>
  <c r="H7" i="1" s="1"/>
  <c r="G14" i="4"/>
  <c r="F14" i="4" s="1"/>
  <c r="L23" i="3"/>
  <c r="R23" i="3" s="1"/>
  <c r="J29" i="3"/>
  <c r="G17" i="34"/>
  <c r="F17" i="34" s="1"/>
  <c r="L12" i="7"/>
  <c r="R12" i="7" s="1"/>
  <c r="V35" i="42"/>
  <c r="V36" i="42" s="1"/>
  <c r="V34" i="42"/>
  <c r="I3" i="42" s="1"/>
  <c r="V37" i="42"/>
  <c r="I2" i="42"/>
  <c r="O16" i="42"/>
  <c r="M19" i="42"/>
  <c r="P19" i="42" s="1"/>
  <c r="O17" i="42"/>
  <c r="Q18" i="42"/>
  <c r="H16" i="41"/>
  <c r="H13" i="41"/>
  <c r="H14" i="41"/>
  <c r="H19" i="41"/>
  <c r="H18" i="41"/>
  <c r="H15" i="41"/>
  <c r="H17" i="41"/>
  <c r="R22" i="4"/>
  <c r="C37" i="4" s="1"/>
  <c r="Q7" i="4"/>
  <c r="O7" i="4" s="1"/>
  <c r="Q23" i="4" l="1"/>
  <c r="Q16" i="42"/>
  <c r="Q17" i="42"/>
  <c r="Q19" i="42"/>
  <c r="I19" i="41"/>
  <c r="J19" i="41" s="1"/>
  <c r="I16" i="41"/>
  <c r="J16" i="41" s="1"/>
  <c r="I15" i="41"/>
  <c r="J15" i="41" s="1"/>
  <c r="I14" i="41"/>
  <c r="J14" i="41" s="1"/>
  <c r="I18" i="41"/>
  <c r="J18" i="41" s="1"/>
  <c r="I13" i="41"/>
  <c r="J13" i="41" s="1"/>
  <c r="I17" i="41"/>
  <c r="J17" i="41" s="1"/>
  <c r="R17" i="42" l="1"/>
  <c r="S17" i="42" s="1"/>
  <c r="I4" i="42" s="1"/>
  <c r="R16" i="42"/>
  <c r="S16" i="42" s="1"/>
  <c r="R18" i="42"/>
  <c r="S18" i="42" s="1"/>
  <c r="R19" i="42"/>
  <c r="S19" i="42" s="1"/>
  <c r="G56" i="5"/>
  <c r="G51" i="6"/>
  <c r="J42" i="6"/>
  <c r="G22" i="7"/>
  <c r="J16" i="7"/>
  <c r="G33" i="9"/>
  <c r="J27" i="9"/>
  <c r="L27" i="9" s="1"/>
  <c r="F27" i="9"/>
  <c r="G26" i="9"/>
  <c r="Q29" i="9" l="1"/>
  <c r="K40" i="6"/>
  <c r="Q40" i="6" s="1"/>
  <c r="K31" i="6"/>
  <c r="K43" i="6"/>
  <c r="Q43" i="6" s="1"/>
  <c r="C54" i="6" s="1"/>
  <c r="C53" i="6" s="1"/>
  <c r="K21" i="6"/>
  <c r="G47" i="5"/>
  <c r="G12" i="4"/>
  <c r="L12" i="4" s="1"/>
  <c r="G21" i="34"/>
  <c r="C22" i="34" a="1"/>
  <c r="C22" i="34" s="1"/>
  <c r="K15" i="34"/>
  <c r="J15" i="34"/>
  <c r="P15" i="34" s="1"/>
  <c r="G15" i="34"/>
  <c r="L15" i="34" s="1"/>
  <c r="Q16" i="34" s="1"/>
  <c r="G12" i="34"/>
  <c r="C31" i="40"/>
  <c r="C29" i="40"/>
  <c r="I1" i="40"/>
  <c r="I2" i="40"/>
  <c r="O17" i="40"/>
  <c r="N26" i="40"/>
  <c r="O25" i="40"/>
  <c r="N25" i="40"/>
  <c r="C32" i="40"/>
  <c r="O32" i="40"/>
  <c r="C30" i="40"/>
  <c r="C28" i="40"/>
  <c r="C26" i="40"/>
  <c r="C25" i="40"/>
  <c r="V57" i="40"/>
  <c r="V56" i="40"/>
  <c r="V54" i="40"/>
  <c r="V55" i="40" s="1"/>
  <c r="V53" i="40"/>
  <c r="L32" i="40"/>
  <c r="G32" i="40"/>
  <c r="M32" i="40" s="1"/>
  <c r="P32" i="40" s="1"/>
  <c r="L31" i="40"/>
  <c r="G31" i="40"/>
  <c r="L30" i="40"/>
  <c r="G30" i="40"/>
  <c r="L29" i="40"/>
  <c r="G29" i="40"/>
  <c r="L28" i="40"/>
  <c r="G28" i="40"/>
  <c r="L27" i="40"/>
  <c r="G27" i="40"/>
  <c r="L26" i="40"/>
  <c r="G26" i="40"/>
  <c r="L25" i="40"/>
  <c r="G25" i="40"/>
  <c r="P17" i="40"/>
  <c r="N17" i="40"/>
  <c r="Q16" i="40"/>
  <c r="P16" i="40"/>
  <c r="O16" i="40"/>
  <c r="N16" i="40"/>
  <c r="P15" i="40"/>
  <c r="Q15" i="40" s="1"/>
  <c r="O15" i="40"/>
  <c r="N15" i="40"/>
  <c r="P14" i="40"/>
  <c r="O14" i="40"/>
  <c r="N14" i="40"/>
  <c r="P13" i="40"/>
  <c r="Q13" i="40" s="1"/>
  <c r="O13" i="40"/>
  <c r="N13" i="40"/>
  <c r="I3" i="40"/>
  <c r="G72" i="8"/>
  <c r="J65" i="8"/>
  <c r="N25" i="39"/>
  <c r="N26" i="39"/>
  <c r="N27" i="39"/>
  <c r="O18" i="39"/>
  <c r="O35" i="39"/>
  <c r="I2" i="39"/>
  <c r="I1" i="39"/>
  <c r="C34" i="39"/>
  <c r="C32" i="39"/>
  <c r="C30" i="39"/>
  <c r="O28" i="39"/>
  <c r="C35" i="39"/>
  <c r="C33" i="39"/>
  <c r="C31" i="39"/>
  <c r="C29" i="39"/>
  <c r="C27" i="39"/>
  <c r="O26" i="39" s="1"/>
  <c r="C26" i="39"/>
  <c r="C25" i="39"/>
  <c r="V57" i="39"/>
  <c r="V56" i="39"/>
  <c r="V54" i="39"/>
  <c r="V55" i="39" s="1"/>
  <c r="V53" i="39"/>
  <c r="L35" i="39"/>
  <c r="G35" i="39"/>
  <c r="L34" i="39"/>
  <c r="M34" i="39" s="1"/>
  <c r="P34" i="39" s="1"/>
  <c r="G34" i="39"/>
  <c r="L33" i="39"/>
  <c r="G33" i="39"/>
  <c r="O32" i="39"/>
  <c r="L32" i="39"/>
  <c r="G32" i="39"/>
  <c r="L31" i="39"/>
  <c r="G31" i="39"/>
  <c r="L30" i="39"/>
  <c r="G30" i="39"/>
  <c r="L29" i="39"/>
  <c r="M29" i="39" s="1"/>
  <c r="P29" i="39" s="1"/>
  <c r="G29" i="39"/>
  <c r="L28" i="39"/>
  <c r="G28" i="39"/>
  <c r="L27" i="39"/>
  <c r="G27" i="39"/>
  <c r="L26" i="39"/>
  <c r="G26" i="39"/>
  <c r="L25" i="39"/>
  <c r="G25" i="39"/>
  <c r="M25" i="39" s="1"/>
  <c r="P25" i="39" s="1"/>
  <c r="P18" i="39"/>
  <c r="N18" i="39"/>
  <c r="P17" i="39"/>
  <c r="Q17" i="39" s="1"/>
  <c r="O17" i="39"/>
  <c r="N17" i="39"/>
  <c r="P16" i="39"/>
  <c r="Q16" i="39" s="1"/>
  <c r="O16" i="39"/>
  <c r="N16" i="39"/>
  <c r="Q15" i="39"/>
  <c r="P15" i="39"/>
  <c r="O15" i="39"/>
  <c r="N15" i="39"/>
  <c r="P14" i="39"/>
  <c r="Q14" i="39" s="1"/>
  <c r="O14" i="39"/>
  <c r="N14" i="39"/>
  <c r="P13" i="39"/>
  <c r="Q13" i="39" s="1"/>
  <c r="O13" i="39"/>
  <c r="N13" i="39"/>
  <c r="I3" i="39"/>
  <c r="C36" i="9" l="1"/>
  <c r="C35" i="9" s="1"/>
  <c r="O29" i="9"/>
  <c r="C75" i="8"/>
  <c r="C74" i="8" s="1"/>
  <c r="O67" i="8"/>
  <c r="H12" i="4"/>
  <c r="Q13" i="4"/>
  <c r="L12" i="34"/>
  <c r="R12" i="34" s="1"/>
  <c r="C26" i="34" s="1"/>
  <c r="O16" i="34"/>
  <c r="F47" i="5"/>
  <c r="L47" i="5"/>
  <c r="R47" i="5" s="1"/>
  <c r="M25" i="40"/>
  <c r="P25" i="40" s="1"/>
  <c r="M30" i="39"/>
  <c r="P30" i="39" s="1"/>
  <c r="M35" i="39"/>
  <c r="P35" i="39" s="1"/>
  <c r="N30" i="40"/>
  <c r="O30" i="40"/>
  <c r="O28" i="40"/>
  <c r="O31" i="40"/>
  <c r="N32" i="40"/>
  <c r="Q32" i="40" s="1"/>
  <c r="N31" i="40"/>
  <c r="M26" i="40"/>
  <c r="P26" i="40" s="1"/>
  <c r="O26" i="40"/>
  <c r="N27" i="40"/>
  <c r="M27" i="40"/>
  <c r="P27" i="40" s="1"/>
  <c r="Q17" i="40"/>
  <c r="R13" i="40"/>
  <c r="S13" i="40" s="1"/>
  <c r="Q14" i="40"/>
  <c r="N28" i="40"/>
  <c r="M28" i="40"/>
  <c r="P28" i="40" s="1"/>
  <c r="O27" i="40"/>
  <c r="M29" i="40"/>
  <c r="P29" i="40" s="1"/>
  <c r="N29" i="40"/>
  <c r="O29" i="40"/>
  <c r="M31" i="40"/>
  <c r="P31" i="40" s="1"/>
  <c r="M30" i="40"/>
  <c r="P30" i="40" s="1"/>
  <c r="Q18" i="39"/>
  <c r="O30" i="39"/>
  <c r="N34" i="39"/>
  <c r="N33" i="39"/>
  <c r="N32" i="39"/>
  <c r="N29" i="39"/>
  <c r="O27" i="39"/>
  <c r="N35" i="39"/>
  <c r="O33" i="39"/>
  <c r="N28" i="39"/>
  <c r="M28" i="39"/>
  <c r="P28" i="39" s="1"/>
  <c r="O25" i="39"/>
  <c r="M26" i="39"/>
  <c r="P26" i="39" s="1"/>
  <c r="Q26" i="39" s="1"/>
  <c r="R17" i="39"/>
  <c r="S17" i="39" s="1"/>
  <c r="R16" i="39"/>
  <c r="S16" i="39" s="1"/>
  <c r="R13" i="39"/>
  <c r="S13" i="39" s="1"/>
  <c r="R15" i="39"/>
  <c r="S15" i="39" s="1"/>
  <c r="R14" i="39"/>
  <c r="S14" i="39" s="1"/>
  <c r="R18" i="39"/>
  <c r="S18" i="39" s="1"/>
  <c r="M27" i="39"/>
  <c r="P27" i="39" s="1"/>
  <c r="O34" i="39"/>
  <c r="O29" i="39"/>
  <c r="M31" i="39"/>
  <c r="P31" i="39" s="1"/>
  <c r="N31" i="39"/>
  <c r="O31" i="39"/>
  <c r="M33" i="39"/>
  <c r="P33" i="39" s="1"/>
  <c r="N30" i="39"/>
  <c r="M32" i="39"/>
  <c r="P32" i="39" s="1"/>
  <c r="Q30" i="40" l="1"/>
  <c r="Q25" i="40"/>
  <c r="Q31" i="40"/>
  <c r="Q27" i="40"/>
  <c r="Q29" i="40"/>
  <c r="Q26" i="40"/>
  <c r="Q28" i="40"/>
  <c r="R16" i="40"/>
  <c r="S16" i="40" s="1"/>
  <c r="R15" i="40"/>
  <c r="S15" i="40" s="1"/>
  <c r="R14" i="40"/>
  <c r="S14" i="40" s="1"/>
  <c r="R17" i="40"/>
  <c r="S17" i="40" s="1"/>
  <c r="Q30" i="39"/>
  <c r="Q29" i="39"/>
  <c r="Q34" i="39"/>
  <c r="Q32" i="39"/>
  <c r="Q28" i="39"/>
  <c r="R28" i="39" s="1"/>
  <c r="S28" i="39" s="1"/>
  <c r="Q27" i="39"/>
  <c r="Q25" i="39"/>
  <c r="Q33" i="39"/>
  <c r="R26" i="39"/>
  <c r="S26" i="39" s="1"/>
  <c r="R25" i="39"/>
  <c r="S25" i="39" s="1"/>
  <c r="R27" i="39"/>
  <c r="S27" i="39" s="1"/>
  <c r="Q31" i="39"/>
  <c r="R33" i="39" l="1"/>
  <c r="S33" i="39" s="1"/>
  <c r="R35" i="39"/>
  <c r="S35" i="39" s="1"/>
  <c r="R31" i="39"/>
  <c r="S31" i="39" s="1"/>
  <c r="R34" i="39"/>
  <c r="S34" i="39" s="1"/>
  <c r="I4" i="39" s="1"/>
  <c r="K65" i="8" s="1"/>
  <c r="C73" i="8" s="1"/>
  <c r="R29" i="39"/>
  <c r="S29" i="39" s="1"/>
  <c r="R28" i="40"/>
  <c r="S28" i="40" s="1"/>
  <c r="R29" i="40"/>
  <c r="S29" i="40" s="1"/>
  <c r="R26" i="40"/>
  <c r="S26" i="40" s="1"/>
  <c r="R27" i="40"/>
  <c r="S27" i="40" s="1"/>
  <c r="R25" i="40"/>
  <c r="S25" i="40" s="1"/>
  <c r="R31" i="40"/>
  <c r="S31" i="40" s="1"/>
  <c r="I4" i="40" s="1"/>
  <c r="P16" i="7" s="1"/>
  <c r="R30" i="40"/>
  <c r="S30" i="40" s="1"/>
  <c r="R32" i="40"/>
  <c r="S32" i="40" s="1"/>
  <c r="R30" i="39"/>
  <c r="S30" i="39" s="1"/>
  <c r="R32" i="39"/>
  <c r="S32" i="39" s="1"/>
  <c r="C23" i="7" l="1"/>
  <c r="C24" i="7" s="1"/>
  <c r="O17" i="7"/>
  <c r="G42" i="6"/>
  <c r="G50" i="5"/>
  <c r="L50" i="5" s="1"/>
  <c r="M51" i="5" s="1"/>
  <c r="G33" i="3"/>
  <c r="L33" i="3" s="1"/>
  <c r="G32" i="4"/>
  <c r="G26" i="4"/>
  <c r="L26" i="4" s="1"/>
  <c r="Q27" i="4" s="1"/>
  <c r="C35" i="4" s="1"/>
  <c r="G38" i="3"/>
  <c r="I2" i="38"/>
  <c r="I1" i="38"/>
  <c r="O29" i="38"/>
  <c r="O18" i="38"/>
  <c r="N26" i="38"/>
  <c r="N25" i="38"/>
  <c r="N27" i="38"/>
  <c r="N28" i="38"/>
  <c r="N29" i="38"/>
  <c r="C27" i="38"/>
  <c r="C29" i="38"/>
  <c r="C28" i="38"/>
  <c r="C26" i="38"/>
  <c r="V57" i="38"/>
  <c r="V56" i="38"/>
  <c r="V54" i="38"/>
  <c r="V55" i="38" s="1"/>
  <c r="V53" i="38"/>
  <c r="I3" i="38" s="1"/>
  <c r="L29" i="38"/>
  <c r="G29" i="38"/>
  <c r="L28" i="38"/>
  <c r="G28" i="38"/>
  <c r="L27" i="38"/>
  <c r="G27" i="38"/>
  <c r="L26" i="38"/>
  <c r="G26" i="38"/>
  <c r="L25" i="38"/>
  <c r="G25" i="38"/>
  <c r="M25" i="38" s="1"/>
  <c r="P25" i="38" s="1"/>
  <c r="P18" i="38"/>
  <c r="N18" i="38"/>
  <c r="P17" i="38"/>
  <c r="Q17" i="38" s="1"/>
  <c r="O17" i="38"/>
  <c r="N17" i="38"/>
  <c r="P16" i="38"/>
  <c r="Q16" i="38" s="1"/>
  <c r="O16" i="38"/>
  <c r="N16" i="38"/>
  <c r="P15" i="38"/>
  <c r="Q15" i="38" s="1"/>
  <c r="O15" i="38"/>
  <c r="N15" i="38"/>
  <c r="P14" i="38"/>
  <c r="Q14" i="38" s="1"/>
  <c r="O14" i="38"/>
  <c r="N14" i="38"/>
  <c r="P13" i="38"/>
  <c r="Q13" i="38" s="1"/>
  <c r="O13" i="38"/>
  <c r="N13" i="38"/>
  <c r="I2" i="37"/>
  <c r="I1" i="37"/>
  <c r="I4" i="37"/>
  <c r="H27" i="37"/>
  <c r="M57" i="37"/>
  <c r="M56" i="37"/>
  <c r="M54" i="37"/>
  <c r="M55" i="37" s="1"/>
  <c r="M53" i="37"/>
  <c r="I3" i="37" s="1"/>
  <c r="G27" i="37"/>
  <c r="E27" i="37"/>
  <c r="H26" i="37"/>
  <c r="G26" i="37"/>
  <c r="F26" i="37"/>
  <c r="E26" i="37"/>
  <c r="G25" i="37"/>
  <c r="H25" i="37" s="1"/>
  <c r="F25" i="37"/>
  <c r="E25" i="37"/>
  <c r="G24" i="37"/>
  <c r="H24" i="37" s="1"/>
  <c r="F24" i="37"/>
  <c r="E24" i="37"/>
  <c r="G23" i="37"/>
  <c r="F23" i="37"/>
  <c r="E23" i="37"/>
  <c r="G22" i="37"/>
  <c r="F22" i="37"/>
  <c r="E22" i="37"/>
  <c r="G21" i="37"/>
  <c r="H21" i="37" s="1"/>
  <c r="F21" i="37"/>
  <c r="E21" i="37"/>
  <c r="G20" i="37"/>
  <c r="H20" i="37" s="1"/>
  <c r="F20" i="37"/>
  <c r="E20" i="37"/>
  <c r="G19" i="37"/>
  <c r="H19" i="37" s="1"/>
  <c r="F19" i="37"/>
  <c r="E19" i="37"/>
  <c r="G18" i="37"/>
  <c r="H18" i="37" s="1"/>
  <c r="F18" i="37"/>
  <c r="E18" i="37"/>
  <c r="G17" i="37"/>
  <c r="H17" i="37" s="1"/>
  <c r="F17" i="37"/>
  <c r="E17" i="37"/>
  <c r="G16" i="37"/>
  <c r="H16" i="37" s="1"/>
  <c r="F16" i="37"/>
  <c r="E16" i="37"/>
  <c r="G15" i="37"/>
  <c r="F15" i="37"/>
  <c r="H15" i="37" s="1"/>
  <c r="E15" i="37"/>
  <c r="G14" i="37"/>
  <c r="F14" i="37"/>
  <c r="E14" i="37"/>
  <c r="G13" i="37"/>
  <c r="H13" i="37" s="1"/>
  <c r="F13" i="37"/>
  <c r="E13" i="37"/>
  <c r="Z14" i="36"/>
  <c r="Z15" i="36"/>
  <c r="Z16" i="36"/>
  <c r="Z17" i="36"/>
  <c r="Z18" i="36"/>
  <c r="Z19" i="36"/>
  <c r="Z13" i="36"/>
  <c r="C30" i="36"/>
  <c r="C29" i="36" s="1"/>
  <c r="I2" i="36"/>
  <c r="AF12" i="36"/>
  <c r="AF57" i="36" s="1"/>
  <c r="G56" i="36"/>
  <c r="L56" i="36"/>
  <c r="G57" i="36"/>
  <c r="L57" i="36"/>
  <c r="G58" i="36"/>
  <c r="L58" i="36"/>
  <c r="G59" i="36"/>
  <c r="L59" i="36"/>
  <c r="G60" i="36"/>
  <c r="L60" i="36"/>
  <c r="G61" i="36"/>
  <c r="L61" i="36"/>
  <c r="G62" i="36"/>
  <c r="L62" i="36"/>
  <c r="G63" i="36"/>
  <c r="L63" i="36"/>
  <c r="G64" i="36"/>
  <c r="L64" i="36"/>
  <c r="G65" i="36"/>
  <c r="L65" i="36"/>
  <c r="G66" i="36"/>
  <c r="L66" i="36"/>
  <c r="G67" i="36"/>
  <c r="L67" i="36"/>
  <c r="G68" i="36"/>
  <c r="L68" i="36"/>
  <c r="G69" i="36"/>
  <c r="L69" i="36"/>
  <c r="C69" i="36"/>
  <c r="O69" i="36" s="1"/>
  <c r="C67" i="36"/>
  <c r="C66" i="36" s="1"/>
  <c r="C65" i="36"/>
  <c r="C63" i="36"/>
  <c r="C62" i="36" s="1"/>
  <c r="C61" i="36"/>
  <c r="C60" i="36" s="1"/>
  <c r="C59" i="36"/>
  <c r="C55" i="36"/>
  <c r="C54" i="36" s="1"/>
  <c r="C53" i="36"/>
  <c r="C51" i="36"/>
  <c r="C50" i="36" s="1"/>
  <c r="C49" i="36"/>
  <c r="C48" i="36" s="1"/>
  <c r="C47" i="36"/>
  <c r="C46" i="36" s="1"/>
  <c r="C45" i="36"/>
  <c r="N46" i="36" s="1"/>
  <c r="C43" i="36"/>
  <c r="C42" i="36" s="1"/>
  <c r="O42" i="36" s="1"/>
  <c r="C41" i="36"/>
  <c r="C40" i="36" s="1"/>
  <c r="O40" i="36" s="1"/>
  <c r="C39" i="36"/>
  <c r="C38" i="36" s="1"/>
  <c r="C36" i="36"/>
  <c r="C34" i="36"/>
  <c r="C33" i="36" s="1"/>
  <c r="C32" i="36"/>
  <c r="C28" i="36"/>
  <c r="C27" i="36"/>
  <c r="L55" i="36"/>
  <c r="G55" i="36"/>
  <c r="AF54" i="36"/>
  <c r="AF55" i="36" s="1"/>
  <c r="L54" i="36"/>
  <c r="G54" i="36"/>
  <c r="L53" i="36"/>
  <c r="G53" i="36"/>
  <c r="L52" i="36"/>
  <c r="G52" i="36"/>
  <c r="L51" i="36"/>
  <c r="G51" i="36"/>
  <c r="L50" i="36"/>
  <c r="G50" i="36"/>
  <c r="L49" i="36"/>
  <c r="G49" i="36"/>
  <c r="L48" i="36"/>
  <c r="G48" i="36"/>
  <c r="L47" i="36"/>
  <c r="G47" i="36"/>
  <c r="L46" i="36"/>
  <c r="G46" i="36"/>
  <c r="L45" i="36"/>
  <c r="G45" i="36"/>
  <c r="L44" i="36"/>
  <c r="G44" i="36"/>
  <c r="L43" i="36"/>
  <c r="G43" i="36"/>
  <c r="L42" i="36"/>
  <c r="G42" i="36"/>
  <c r="L41" i="36"/>
  <c r="G41" i="36"/>
  <c r="L40" i="36"/>
  <c r="G40" i="36"/>
  <c r="L39" i="36"/>
  <c r="G39" i="36"/>
  <c r="L38" i="36"/>
  <c r="G38" i="36"/>
  <c r="L37" i="36"/>
  <c r="G37" i="36"/>
  <c r="L36" i="36"/>
  <c r="G36" i="36"/>
  <c r="L35" i="36"/>
  <c r="G35" i="36"/>
  <c r="L34" i="36"/>
  <c r="G34" i="36"/>
  <c r="L33" i="36"/>
  <c r="G33" i="36"/>
  <c r="L32" i="36"/>
  <c r="G32" i="36"/>
  <c r="L31" i="36"/>
  <c r="G31" i="36"/>
  <c r="L30" i="36"/>
  <c r="G30" i="36"/>
  <c r="L29" i="36"/>
  <c r="G29" i="36"/>
  <c r="L28" i="36"/>
  <c r="G28" i="36"/>
  <c r="L27" i="36"/>
  <c r="G27" i="36"/>
  <c r="L26" i="36"/>
  <c r="G26" i="36"/>
  <c r="L25" i="36"/>
  <c r="Z25" i="36" s="1"/>
  <c r="G25" i="36"/>
  <c r="P19" i="36"/>
  <c r="N19" i="36"/>
  <c r="P18" i="36"/>
  <c r="O18" i="36"/>
  <c r="N18" i="36"/>
  <c r="P17" i="36"/>
  <c r="O17" i="36"/>
  <c r="N17" i="36"/>
  <c r="P16" i="36"/>
  <c r="O16" i="36"/>
  <c r="N16" i="36"/>
  <c r="P15" i="36"/>
  <c r="O15" i="36"/>
  <c r="N15" i="36"/>
  <c r="P14" i="36"/>
  <c r="O14" i="36"/>
  <c r="N14" i="36"/>
  <c r="P13" i="36"/>
  <c r="O13" i="36"/>
  <c r="N13" i="36"/>
  <c r="G16" i="7"/>
  <c r="L16" i="7" s="1"/>
  <c r="G65" i="8"/>
  <c r="L65" i="8" s="1"/>
  <c r="Q20" i="35"/>
  <c r="I2" i="35"/>
  <c r="I1" i="35"/>
  <c r="Q17" i="35"/>
  <c r="Q16" i="35"/>
  <c r="O38" i="35"/>
  <c r="V57" i="35"/>
  <c r="V56" i="35"/>
  <c r="V54" i="35"/>
  <c r="V55" i="35" s="1"/>
  <c r="V53" i="35"/>
  <c r="I3" i="35" s="1"/>
  <c r="L38" i="35"/>
  <c r="G38" i="35"/>
  <c r="O37" i="35" s="1"/>
  <c r="L37" i="35"/>
  <c r="G37" i="35"/>
  <c r="L36" i="35"/>
  <c r="G36" i="35"/>
  <c r="O35" i="35" s="1"/>
  <c r="L35" i="35"/>
  <c r="G35" i="35"/>
  <c r="L34" i="35"/>
  <c r="G34" i="35"/>
  <c r="L33" i="35"/>
  <c r="M33" i="35" s="1"/>
  <c r="P33" i="35" s="1"/>
  <c r="G33" i="35"/>
  <c r="L32" i="35"/>
  <c r="G32" i="35"/>
  <c r="L31" i="35"/>
  <c r="G31" i="35"/>
  <c r="L30" i="35"/>
  <c r="G30" i="35"/>
  <c r="L29" i="35"/>
  <c r="G29" i="35"/>
  <c r="O28" i="35" s="1"/>
  <c r="L28" i="35"/>
  <c r="G28" i="35"/>
  <c r="L27" i="35"/>
  <c r="G27" i="35"/>
  <c r="L26" i="35"/>
  <c r="G26" i="35"/>
  <c r="L25" i="35"/>
  <c r="G25" i="35"/>
  <c r="M25" i="35" s="1"/>
  <c r="P25" i="35" s="1"/>
  <c r="P20" i="35"/>
  <c r="N20" i="35"/>
  <c r="P19" i="35"/>
  <c r="O19" i="35"/>
  <c r="N19" i="35"/>
  <c r="P18" i="35"/>
  <c r="O18" i="35"/>
  <c r="N18" i="35"/>
  <c r="P17" i="35"/>
  <c r="O17" i="35"/>
  <c r="N17" i="35"/>
  <c r="P16" i="35"/>
  <c r="O16" i="35"/>
  <c r="N16" i="35"/>
  <c r="P15" i="35"/>
  <c r="O15" i="35"/>
  <c r="N15" i="35"/>
  <c r="P14" i="35"/>
  <c r="O14" i="35"/>
  <c r="N14" i="35"/>
  <c r="P13" i="35"/>
  <c r="O13" i="35"/>
  <c r="N13" i="35"/>
  <c r="O34" i="35" l="1"/>
  <c r="M40" i="36"/>
  <c r="P40" i="36" s="1"/>
  <c r="M62" i="36"/>
  <c r="P62" i="36" s="1"/>
  <c r="M25" i="36"/>
  <c r="P25" i="36" s="1"/>
  <c r="O28" i="38"/>
  <c r="O27" i="38"/>
  <c r="O25" i="38"/>
  <c r="Q25" i="38" s="1"/>
  <c r="M28" i="38"/>
  <c r="P28" i="38" s="1"/>
  <c r="O26" i="38"/>
  <c r="M27" i="38"/>
  <c r="P27" i="38" s="1"/>
  <c r="M26" i="38"/>
  <c r="P26" i="38" s="1"/>
  <c r="Q26" i="38" s="1"/>
  <c r="R16" i="38"/>
  <c r="S16" i="38" s="1"/>
  <c r="R17" i="38"/>
  <c r="S17" i="38" s="1"/>
  <c r="R14" i="38"/>
  <c r="S14" i="38" s="1"/>
  <c r="R13" i="38"/>
  <c r="R15" i="38"/>
  <c r="S15" i="38" s="1"/>
  <c r="Q18" i="38"/>
  <c r="M29" i="38"/>
  <c r="P29" i="38" s="1"/>
  <c r="H23" i="37"/>
  <c r="H22" i="37"/>
  <c r="H14" i="37"/>
  <c r="I22" i="37" s="1"/>
  <c r="J22" i="37" s="1"/>
  <c r="I13" i="37"/>
  <c r="J13" i="37" s="1"/>
  <c r="I14" i="37"/>
  <c r="J14" i="37" s="1"/>
  <c r="N48" i="36"/>
  <c r="O53" i="36"/>
  <c r="O59" i="36"/>
  <c r="M66" i="36"/>
  <c r="P66" i="36" s="1"/>
  <c r="C44" i="36"/>
  <c r="N45" i="36" s="1"/>
  <c r="M51" i="36"/>
  <c r="P51" i="36" s="1"/>
  <c r="I1" i="36"/>
  <c r="O41" i="36"/>
  <c r="Q17" i="36"/>
  <c r="M29" i="36"/>
  <c r="P29" i="36" s="1"/>
  <c r="M37" i="36"/>
  <c r="P37" i="36" s="1"/>
  <c r="M53" i="36"/>
  <c r="P53" i="36" s="1"/>
  <c r="N39" i="36"/>
  <c r="C37" i="36"/>
  <c r="N38" i="36" s="1"/>
  <c r="O38" i="36"/>
  <c r="O45" i="36"/>
  <c r="N47" i="36"/>
  <c r="Q14" i="36"/>
  <c r="AF53" i="36"/>
  <c r="I3" i="36" s="1"/>
  <c r="C35" i="36"/>
  <c r="O35" i="36" s="1"/>
  <c r="Q16" i="36"/>
  <c r="AF56" i="36"/>
  <c r="M64" i="36"/>
  <c r="P64" i="36" s="1"/>
  <c r="Q13" i="36"/>
  <c r="N28" i="36"/>
  <c r="N62" i="36"/>
  <c r="O67" i="36"/>
  <c r="O65" i="36"/>
  <c r="N54" i="36"/>
  <c r="O54" i="36"/>
  <c r="N50" i="36"/>
  <c r="N51" i="36"/>
  <c r="O50" i="36"/>
  <c r="O30" i="36"/>
  <c r="O31" i="36"/>
  <c r="N31" i="36"/>
  <c r="N32" i="36"/>
  <c r="O66" i="36"/>
  <c r="N67" i="36"/>
  <c r="O32" i="36"/>
  <c r="O33" i="36"/>
  <c r="N34" i="36"/>
  <c r="O60" i="36"/>
  <c r="N61" i="36"/>
  <c r="O37" i="36"/>
  <c r="N41" i="36"/>
  <c r="C52" i="36"/>
  <c r="M39" i="36"/>
  <c r="P39" i="36" s="1"/>
  <c r="O27" i="36"/>
  <c r="C58" i="36"/>
  <c r="O39" i="36"/>
  <c r="N66" i="36"/>
  <c r="O28" i="36"/>
  <c r="M33" i="36"/>
  <c r="P33" i="36" s="1"/>
  <c r="N33" i="36"/>
  <c r="O49" i="36"/>
  <c r="O46" i="36"/>
  <c r="N35" i="36"/>
  <c r="C64" i="36"/>
  <c r="N64" i="36" s="1"/>
  <c r="O44" i="36"/>
  <c r="M35" i="36"/>
  <c r="P35" i="36" s="1"/>
  <c r="N68" i="36"/>
  <c r="Q18" i="36"/>
  <c r="Q15" i="36"/>
  <c r="M30" i="36"/>
  <c r="P30" i="36" s="1"/>
  <c r="M52" i="36"/>
  <c r="P52" i="36" s="1"/>
  <c r="M69" i="36"/>
  <c r="N43" i="36"/>
  <c r="M56" i="36"/>
  <c r="P56" i="36" s="1"/>
  <c r="N30" i="36"/>
  <c r="O29" i="36"/>
  <c r="N63" i="36"/>
  <c r="O62" i="36"/>
  <c r="Q62" i="36" s="1"/>
  <c r="O61" i="36"/>
  <c r="N60" i="36"/>
  <c r="N55" i="36"/>
  <c r="O48" i="36"/>
  <c r="O47" i="36"/>
  <c r="N49" i="36"/>
  <c r="N42" i="36"/>
  <c r="N40" i="36"/>
  <c r="Q40" i="36" s="1"/>
  <c r="O34" i="36"/>
  <c r="N29" i="36"/>
  <c r="M59" i="36"/>
  <c r="P59" i="36" s="1"/>
  <c r="M42" i="36"/>
  <c r="P42" i="36" s="1"/>
  <c r="M68" i="36"/>
  <c r="P68" i="36" s="1"/>
  <c r="M49" i="36"/>
  <c r="M54" i="36"/>
  <c r="P54" i="36" s="1"/>
  <c r="M45" i="36"/>
  <c r="P45" i="36" s="1"/>
  <c r="M65" i="36"/>
  <c r="M57" i="36"/>
  <c r="P57" i="36" s="1"/>
  <c r="M46" i="36"/>
  <c r="P46" i="36" s="1"/>
  <c r="M55" i="36"/>
  <c r="P55" i="36" s="1"/>
  <c r="M58" i="36"/>
  <c r="P58" i="36" s="1"/>
  <c r="M44" i="36"/>
  <c r="P44" i="36" s="1"/>
  <c r="M43" i="36"/>
  <c r="P43" i="36" s="1"/>
  <c r="M41" i="36"/>
  <c r="P41" i="36" s="1"/>
  <c r="M36" i="36"/>
  <c r="P36" i="36" s="1"/>
  <c r="M28" i="36"/>
  <c r="P28" i="36" s="1"/>
  <c r="P27" i="36"/>
  <c r="M26" i="36"/>
  <c r="P26" i="36" s="1"/>
  <c r="M63" i="36"/>
  <c r="P63" i="36" s="1"/>
  <c r="M60" i="36"/>
  <c r="P60" i="36" s="1"/>
  <c r="M67" i="36"/>
  <c r="M61" i="36"/>
  <c r="P61" i="36" s="1"/>
  <c r="M32" i="36"/>
  <c r="M48" i="36"/>
  <c r="P48" i="36" s="1"/>
  <c r="M38" i="36"/>
  <c r="P38" i="36" s="1"/>
  <c r="R13" i="36"/>
  <c r="S13" i="36" s="1"/>
  <c r="M31" i="36"/>
  <c r="P31" i="36" s="1"/>
  <c r="M47" i="36"/>
  <c r="P47" i="36" s="1"/>
  <c r="M34" i="36"/>
  <c r="P34" i="36" s="1"/>
  <c r="M50" i="36"/>
  <c r="P50" i="36" s="1"/>
  <c r="R14" i="36"/>
  <c r="S14" i="36" s="1"/>
  <c r="N32" i="35"/>
  <c r="N33" i="35"/>
  <c r="O25" i="35"/>
  <c r="Q25" i="35" s="1"/>
  <c r="M26" i="35"/>
  <c r="P26" i="35" s="1"/>
  <c r="M34" i="35"/>
  <c r="P34" i="35" s="1"/>
  <c r="M37" i="35"/>
  <c r="P37" i="35" s="1"/>
  <c r="O32" i="35"/>
  <c r="O30" i="35"/>
  <c r="N28" i="35"/>
  <c r="N27" i="35"/>
  <c r="Q14" i="35"/>
  <c r="Q15" i="35"/>
  <c r="M38" i="35"/>
  <c r="P38" i="35" s="1"/>
  <c r="N38" i="35"/>
  <c r="O26" i="35"/>
  <c r="M27" i="35"/>
  <c r="P27" i="35" s="1"/>
  <c r="O33" i="35"/>
  <c r="N34" i="35"/>
  <c r="Q34" i="35" s="1"/>
  <c r="N35" i="35"/>
  <c r="Q13" i="35"/>
  <c r="N26" i="35"/>
  <c r="M31" i="35"/>
  <c r="P31" i="35" s="1"/>
  <c r="M35" i="35"/>
  <c r="P35" i="35" s="1"/>
  <c r="N31" i="35"/>
  <c r="Q18" i="35"/>
  <c r="Q19" i="35"/>
  <c r="N29" i="35"/>
  <c r="M30" i="35"/>
  <c r="P30" i="35" s="1"/>
  <c r="R14" i="35"/>
  <c r="S14" i="35" s="1"/>
  <c r="M36" i="35"/>
  <c r="P36" i="35" s="1"/>
  <c r="R15" i="35"/>
  <c r="S15" i="35" s="1"/>
  <c r="O27" i="35"/>
  <c r="M29" i="35"/>
  <c r="P29" i="35" s="1"/>
  <c r="N36" i="35"/>
  <c r="O36" i="35"/>
  <c r="R13" i="35"/>
  <c r="S13" i="35" s="1"/>
  <c r="O29" i="35"/>
  <c r="R16" i="35"/>
  <c r="S16" i="35" s="1"/>
  <c r="O31" i="35"/>
  <c r="N30" i="35"/>
  <c r="M28" i="35"/>
  <c r="P28" i="35" s="1"/>
  <c r="N37" i="35"/>
  <c r="M32" i="35"/>
  <c r="P32" i="35" s="1"/>
  <c r="Q33" i="35" l="1"/>
  <c r="Q41" i="36"/>
  <c r="P65" i="36"/>
  <c r="Q27" i="38"/>
  <c r="Q28" i="38"/>
  <c r="R28" i="38" s="1"/>
  <c r="S28" i="38" s="1"/>
  <c r="R26" i="38"/>
  <c r="S26" i="38" s="1"/>
  <c r="R25" i="38"/>
  <c r="S25" i="38" s="1"/>
  <c r="R27" i="38"/>
  <c r="S27" i="38" s="1"/>
  <c r="R18" i="38"/>
  <c r="S18" i="38" s="1"/>
  <c r="Q29" i="38"/>
  <c r="I24" i="37"/>
  <c r="J24" i="37" s="1"/>
  <c r="I25" i="37"/>
  <c r="J25" i="37" s="1"/>
  <c r="I16" i="37"/>
  <c r="J16" i="37" s="1"/>
  <c r="I20" i="37"/>
  <c r="J20" i="37" s="1"/>
  <c r="I21" i="37"/>
  <c r="J21" i="37" s="1"/>
  <c r="I23" i="37"/>
  <c r="J23" i="37" s="1"/>
  <c r="I15" i="37"/>
  <c r="J15" i="37" s="1"/>
  <c r="I17" i="37"/>
  <c r="J17" i="37" s="1"/>
  <c r="I27" i="37"/>
  <c r="J27" i="37" s="1"/>
  <c r="I26" i="37"/>
  <c r="J26" i="37" s="1"/>
  <c r="I19" i="37"/>
  <c r="J19" i="37" s="1"/>
  <c r="I18" i="37"/>
  <c r="J18" i="37" s="1"/>
  <c r="Q35" i="36"/>
  <c r="N36" i="36"/>
  <c r="Q66" i="36"/>
  <c r="R15" i="36"/>
  <c r="S15" i="36" s="1"/>
  <c r="O36" i="36"/>
  <c r="R16" i="36"/>
  <c r="S16" i="36" s="1"/>
  <c r="R17" i="36"/>
  <c r="S17" i="36" s="1"/>
  <c r="O43" i="36"/>
  <c r="Q31" i="36"/>
  <c r="N44" i="36"/>
  <c r="Q44" i="36" s="1"/>
  <c r="Q54" i="36"/>
  <c r="N69" i="36"/>
  <c r="O68" i="36"/>
  <c r="Q38" i="36"/>
  <c r="N37" i="36"/>
  <c r="Q37" i="36" s="1"/>
  <c r="R18" i="36"/>
  <c r="S18" i="36" s="1"/>
  <c r="P49" i="36"/>
  <c r="Q49" i="36" s="1"/>
  <c r="O51" i="36"/>
  <c r="Q51" i="36" s="1"/>
  <c r="N52" i="36"/>
  <c r="N53" i="36"/>
  <c r="Q53" i="36" s="1"/>
  <c r="N27" i="36"/>
  <c r="Q27" i="36" s="1"/>
  <c r="O26" i="36"/>
  <c r="O52" i="36"/>
  <c r="Q50" i="36"/>
  <c r="Q60" i="36"/>
  <c r="O58" i="36"/>
  <c r="N59" i="36"/>
  <c r="Q59" i="36" s="1"/>
  <c r="C57" i="36"/>
  <c r="N65" i="36"/>
  <c r="Q65" i="36" s="1"/>
  <c r="O64" i="36"/>
  <c r="Q64" i="36" s="1"/>
  <c r="Q43" i="36"/>
  <c r="P69" i="36"/>
  <c r="O63" i="36"/>
  <c r="Q63" i="36" s="1"/>
  <c r="Q61" i="36"/>
  <c r="Q34" i="36"/>
  <c r="Q68" i="36"/>
  <c r="Q42" i="36"/>
  <c r="Q46" i="36"/>
  <c r="Q28" i="36"/>
  <c r="Q30" i="36"/>
  <c r="Q47" i="36"/>
  <c r="Q45" i="36"/>
  <c r="Q36" i="36"/>
  <c r="Q33" i="36"/>
  <c r="Q29" i="36"/>
  <c r="P67" i="36"/>
  <c r="Q67" i="36" s="1"/>
  <c r="Q48" i="36"/>
  <c r="Q39" i="36"/>
  <c r="P32" i="36"/>
  <c r="Q32" i="36" s="1"/>
  <c r="Q37" i="35"/>
  <c r="Q35" i="35"/>
  <c r="Q32" i="35"/>
  <c r="Q28" i="35"/>
  <c r="Q26" i="35"/>
  <c r="Q38" i="35"/>
  <c r="Q30" i="35"/>
  <c r="R19" i="35"/>
  <c r="S19" i="35" s="1"/>
  <c r="R17" i="35"/>
  <c r="S17" i="35" s="1"/>
  <c r="Q27" i="35"/>
  <c r="R18" i="35"/>
  <c r="S18" i="35" s="1"/>
  <c r="R20" i="35"/>
  <c r="S20" i="35" s="1"/>
  <c r="Q36" i="35"/>
  <c r="R25" i="35"/>
  <c r="S25" i="35" s="1"/>
  <c r="Q31" i="35"/>
  <c r="Q29" i="35"/>
  <c r="R38" i="35" l="1"/>
  <c r="S38" i="35" s="1"/>
  <c r="R29" i="38"/>
  <c r="S29" i="38" s="1"/>
  <c r="I4" i="38" s="1"/>
  <c r="Q69" i="36"/>
  <c r="Q52" i="36"/>
  <c r="O57" i="36"/>
  <c r="C56" i="36"/>
  <c r="N26" i="36"/>
  <c r="Q26" i="36" s="1"/>
  <c r="Q19" i="36"/>
  <c r="N58" i="36"/>
  <c r="Q58" i="36" s="1"/>
  <c r="R36" i="35"/>
  <c r="S36" i="35" s="1"/>
  <c r="I4" i="35" s="1"/>
  <c r="K39" i="6" s="1"/>
  <c r="R35" i="35"/>
  <c r="S35" i="35" s="1"/>
  <c r="R31" i="35"/>
  <c r="S31" i="35" s="1"/>
  <c r="R33" i="35"/>
  <c r="S33" i="35" s="1"/>
  <c r="R28" i="35"/>
  <c r="S28" i="35" s="1"/>
  <c r="R29" i="35"/>
  <c r="S29" i="35" s="1"/>
  <c r="R30" i="35"/>
  <c r="S30" i="35" s="1"/>
  <c r="R32" i="35"/>
  <c r="S32" i="35" s="1"/>
  <c r="R26" i="35"/>
  <c r="S26" i="35" s="1"/>
  <c r="R37" i="35"/>
  <c r="S37" i="35" s="1"/>
  <c r="R34" i="35"/>
  <c r="S34" i="35" s="1"/>
  <c r="R27" i="35"/>
  <c r="S27" i="35" s="1"/>
  <c r="K42" i="6" l="1"/>
  <c r="P42" i="6" s="1"/>
  <c r="K47" i="5"/>
  <c r="P47" i="5" s="1"/>
  <c r="K50" i="5"/>
  <c r="P50" i="5" s="1"/>
  <c r="O51" i="5" s="1"/>
  <c r="K22" i="4"/>
  <c r="K23" i="3"/>
  <c r="K12" i="4"/>
  <c r="K29" i="3"/>
  <c r="K26" i="4"/>
  <c r="K33" i="3"/>
  <c r="R31" i="36"/>
  <c r="S31" i="36" s="1"/>
  <c r="R28" i="36"/>
  <c r="S28" i="36" s="1"/>
  <c r="R39" i="36"/>
  <c r="S39" i="36" s="1"/>
  <c r="R52" i="36"/>
  <c r="S52" i="36" s="1"/>
  <c r="R26" i="36"/>
  <c r="S26" i="36" s="1"/>
  <c r="R34" i="36"/>
  <c r="S34" i="36" s="1"/>
  <c r="R40" i="36"/>
  <c r="S40" i="36" s="1"/>
  <c r="R44" i="36"/>
  <c r="S44" i="36" s="1"/>
  <c r="R47" i="36"/>
  <c r="S47" i="36" s="1"/>
  <c r="R54" i="36"/>
  <c r="S54" i="36" s="1"/>
  <c r="R42" i="36"/>
  <c r="S42" i="36" s="1"/>
  <c r="R32" i="36"/>
  <c r="S32" i="36" s="1"/>
  <c r="R48" i="36"/>
  <c r="S48" i="36" s="1"/>
  <c r="R41" i="36"/>
  <c r="S41" i="36" s="1"/>
  <c r="R30" i="36"/>
  <c r="S30" i="36" s="1"/>
  <c r="R46" i="36"/>
  <c r="S46" i="36" s="1"/>
  <c r="R27" i="36"/>
  <c r="S27" i="36" s="1"/>
  <c r="R53" i="36"/>
  <c r="S53" i="36" s="1"/>
  <c r="R33" i="36"/>
  <c r="S33" i="36" s="1"/>
  <c r="R51" i="36"/>
  <c r="S51" i="36" s="1"/>
  <c r="R36" i="36"/>
  <c r="S36" i="36" s="1"/>
  <c r="R45" i="36"/>
  <c r="S45" i="36" s="1"/>
  <c r="R19" i="36"/>
  <c r="S19" i="36" s="1"/>
  <c r="R25" i="36"/>
  <c r="S25" i="36" s="1"/>
  <c r="R49" i="36"/>
  <c r="S49" i="36" s="1"/>
  <c r="R37" i="36"/>
  <c r="S37" i="36" s="1"/>
  <c r="R43" i="36"/>
  <c r="S43" i="36" s="1"/>
  <c r="R38" i="36"/>
  <c r="S38" i="36" s="1"/>
  <c r="I4" i="36" s="1"/>
  <c r="K27" i="9" s="1"/>
  <c r="P27" i="9" s="1"/>
  <c r="N56" i="36"/>
  <c r="O56" i="36"/>
  <c r="Q56" i="36" s="1"/>
  <c r="N57" i="36"/>
  <c r="Q57" i="36" s="1"/>
  <c r="O55" i="36"/>
  <c r="Q55" i="36" s="1"/>
  <c r="R58" i="36" s="1"/>
  <c r="S58" i="36" s="1"/>
  <c r="R35" i="36"/>
  <c r="S35" i="36" s="1"/>
  <c r="R50" i="36"/>
  <c r="S50" i="36" s="1"/>
  <c r="R29" i="36"/>
  <c r="S29" i="36" s="1"/>
  <c r="G20" i="4"/>
  <c r="G19" i="4"/>
  <c r="H19" i="4" s="1"/>
  <c r="G45" i="5"/>
  <c r="G44" i="5"/>
  <c r="H44" i="5" s="1"/>
  <c r="G10" i="7"/>
  <c r="G9" i="7"/>
  <c r="H9" i="7" s="1"/>
  <c r="G37" i="6"/>
  <c r="G36" i="6"/>
  <c r="H36" i="6" s="1"/>
  <c r="E33" i="9"/>
  <c r="E72" i="8"/>
  <c r="E22" i="7"/>
  <c r="E51" i="6"/>
  <c r="E56" i="5"/>
  <c r="E32" i="4"/>
  <c r="E38" i="3"/>
  <c r="E21" i="34"/>
  <c r="D9" i="1"/>
  <c r="C9" i="1"/>
  <c r="Q19" i="9"/>
  <c r="F20" i="9"/>
  <c r="G19" i="9"/>
  <c r="L19" i="9" s="1"/>
  <c r="F12" i="9"/>
  <c r="G11" i="9"/>
  <c r="L11" i="9" s="1"/>
  <c r="D10" i="1"/>
  <c r="C11" i="1"/>
  <c r="C10" i="1"/>
  <c r="F8" i="7"/>
  <c r="G7" i="7"/>
  <c r="L7" i="7" s="1"/>
  <c r="D11" i="1"/>
  <c r="Q59" i="8"/>
  <c r="K23" i="8"/>
  <c r="J23" i="8"/>
  <c r="G24" i="8"/>
  <c r="G23" i="8"/>
  <c r="F41" i="8"/>
  <c r="G40" i="8"/>
  <c r="L40" i="8" s="1"/>
  <c r="F53" i="8"/>
  <c r="G52" i="8"/>
  <c r="L52" i="8" s="1"/>
  <c r="G60" i="8"/>
  <c r="G59" i="8"/>
  <c r="P26" i="4" l="1"/>
  <c r="O27" i="4" s="1"/>
  <c r="P12" i="4"/>
  <c r="P22" i="4"/>
  <c r="O23" i="4" s="1"/>
  <c r="C57" i="5"/>
  <c r="C58" i="5" s="1"/>
  <c r="O48" i="5"/>
  <c r="O43" i="6"/>
  <c r="C40" i="3"/>
  <c r="R64" i="36"/>
  <c r="S64" i="36" s="1"/>
  <c r="R63" i="36"/>
  <c r="S63" i="36" s="1"/>
  <c r="R61" i="36"/>
  <c r="S61" i="36" s="1"/>
  <c r="R60" i="36"/>
  <c r="S60" i="36" s="1"/>
  <c r="R65" i="36"/>
  <c r="S65" i="36" s="1"/>
  <c r="R66" i="36"/>
  <c r="S66" i="36" s="1"/>
  <c r="R57" i="36"/>
  <c r="S57" i="36" s="1"/>
  <c r="R59" i="36"/>
  <c r="S59" i="36" s="1"/>
  <c r="R68" i="36"/>
  <c r="S68" i="36" s="1"/>
  <c r="R69" i="36"/>
  <c r="S69" i="36" s="1"/>
  <c r="R67" i="36"/>
  <c r="S67" i="36" s="1"/>
  <c r="R62" i="36"/>
  <c r="S62" i="36" s="1"/>
  <c r="R55" i="36"/>
  <c r="S55" i="36" s="1"/>
  <c r="R56" i="36"/>
  <c r="S56" i="36" s="1"/>
  <c r="Q34" i="6"/>
  <c r="C33" i="4" l="1"/>
  <c r="C34" i="4" s="1"/>
  <c r="O13" i="4"/>
  <c r="F35" i="6"/>
  <c r="G34" i="6"/>
  <c r="L34" i="6" s="1"/>
  <c r="F30" i="6"/>
  <c r="G29" i="6"/>
  <c r="L29" i="6" s="1"/>
  <c r="F19" i="6"/>
  <c r="G18" i="6"/>
  <c r="L18" i="6" s="1"/>
  <c r="F38" i="5"/>
  <c r="G37" i="5"/>
  <c r="H37" i="5" s="1"/>
  <c r="G31" i="5"/>
  <c r="G30" i="5"/>
  <c r="H30" i="5" s="1"/>
  <c r="R30" i="5" s="1"/>
  <c r="F19" i="5"/>
  <c r="G18" i="5"/>
  <c r="H18" i="5" s="1"/>
  <c r="F18" i="4"/>
  <c r="G17" i="4"/>
  <c r="F11" i="4"/>
  <c r="G10" i="4"/>
  <c r="R37" i="5" l="1"/>
  <c r="F11" i="3"/>
  <c r="G10" i="3"/>
  <c r="G14" i="3"/>
  <c r="F21" i="3"/>
  <c r="G20" i="3"/>
  <c r="F11" i="34"/>
  <c r="D5" i="1"/>
  <c r="G26" i="3"/>
  <c r="G27" i="3" s="1"/>
  <c r="R29" i="3" s="1"/>
  <c r="C43" i="3" s="1"/>
  <c r="G13" i="3"/>
  <c r="G10" i="34"/>
  <c r="F49" i="8"/>
  <c r="D8" i="1"/>
  <c r="C8" i="1"/>
  <c r="D7" i="1"/>
  <c r="C7" i="1"/>
  <c r="D6" i="1"/>
  <c r="C6" i="1"/>
  <c r="D4" i="1"/>
  <c r="C5" i="1"/>
  <c r="C4" i="1"/>
  <c r="I11" i="1"/>
  <c r="H11" i="1"/>
  <c r="G11" i="1"/>
  <c r="I10" i="1"/>
  <c r="H10" i="1"/>
  <c r="G10" i="1"/>
  <c r="I9" i="1"/>
  <c r="H9" i="1"/>
  <c r="G9" i="1"/>
  <c r="I8" i="1"/>
  <c r="H8" i="1"/>
  <c r="G8" i="1"/>
  <c r="I7" i="1"/>
  <c r="G7" i="1"/>
  <c r="I6" i="1"/>
  <c r="G6" i="1"/>
  <c r="I5" i="1"/>
  <c r="G5" i="1"/>
  <c r="P28" i="6"/>
  <c r="P17" i="6"/>
  <c r="F9" i="4"/>
  <c r="I4" i="1"/>
  <c r="P9" i="34"/>
  <c r="F4" i="1" s="1"/>
  <c r="G9" i="34"/>
  <c r="G8" i="34" s="1"/>
  <c r="F8" i="34" s="1"/>
  <c r="F27" i="3" l="1"/>
  <c r="L9" i="34"/>
  <c r="R9" i="34" s="1"/>
  <c r="H4" i="1" s="1"/>
  <c r="H13" i="3"/>
  <c r="P18" i="9"/>
  <c r="P58" i="8"/>
  <c r="K33" i="6"/>
  <c r="P33" i="6" s="1"/>
  <c r="G4" i="1"/>
  <c r="Q10" i="34" l="1"/>
  <c r="O10" i="34" s="1"/>
  <c r="F9" i="1"/>
  <c r="O19" i="9"/>
  <c r="F11" i="1"/>
  <c r="O59" i="8"/>
  <c r="F8" i="1"/>
  <c r="O34" i="6"/>
  <c r="G33" i="6" l="1"/>
  <c r="L33" i="6" s="1"/>
  <c r="P6" i="7" l="1"/>
  <c r="F10" i="1" s="1"/>
  <c r="J12" i="3"/>
  <c r="P12" i="3" s="1"/>
  <c r="J19" i="3"/>
  <c r="P19" i="3" s="1"/>
  <c r="J25" i="3"/>
  <c r="P25" i="3" s="1"/>
  <c r="G25" i="3"/>
  <c r="J9" i="4"/>
  <c r="L9" i="4" s="1"/>
  <c r="H11" i="4" s="1"/>
  <c r="J16" i="4"/>
  <c r="P16" i="4" s="1"/>
  <c r="G16" i="4"/>
  <c r="G12" i="3"/>
  <c r="G19" i="3"/>
  <c r="J41" i="5"/>
  <c r="G41" i="5"/>
  <c r="G18" i="9"/>
  <c r="L18" i="9" s="1"/>
  <c r="G58" i="8"/>
  <c r="L58" i="8" s="1"/>
  <c r="G6" i="7"/>
  <c r="G28" i="6"/>
  <c r="L28" i="6" s="1"/>
  <c r="R28" i="6" s="1"/>
  <c r="G17" i="6"/>
  <c r="L17" i="6" s="1"/>
  <c r="G36" i="5"/>
  <c r="H36" i="5" s="1"/>
  <c r="G17" i="5"/>
  <c r="H17" i="5" s="1"/>
  <c r="F16" i="6"/>
  <c r="G15" i="6"/>
  <c r="F10" i="9"/>
  <c r="G9" i="9"/>
  <c r="H9" i="9" s="1"/>
  <c r="H51" i="8"/>
  <c r="G22" i="8"/>
  <c r="G21" i="8"/>
  <c r="G39" i="8"/>
  <c r="G28" i="5"/>
  <c r="G29" i="5" s="1"/>
  <c r="F29" i="5" s="1"/>
  <c r="G26" i="6"/>
  <c r="G48" i="8"/>
  <c r="G51" i="8"/>
  <c r="F51" i="8" s="1"/>
  <c r="F50" i="8"/>
  <c r="L25" i="3" l="1"/>
  <c r="L6" i="7"/>
  <c r="Q7" i="7" s="1"/>
  <c r="O7" i="7" s="1"/>
  <c r="G27" i="6"/>
  <c r="F27" i="6" s="1"/>
  <c r="H26" i="6"/>
  <c r="L19" i="3"/>
  <c r="R19" i="3" s="1"/>
  <c r="H5" i="1" s="1"/>
  <c r="L12" i="3"/>
  <c r="R12" i="3" s="1"/>
  <c r="L16" i="4"/>
  <c r="Q17" i="4" s="1"/>
  <c r="O17" i="4" s="1"/>
  <c r="L41" i="5"/>
  <c r="Q42" i="5" s="1"/>
  <c r="R52" i="8"/>
  <c r="H52" i="8"/>
  <c r="Q26" i="3"/>
  <c r="O26" i="3" s="1"/>
  <c r="F5" i="1"/>
  <c r="H28" i="6"/>
  <c r="P41" i="5"/>
  <c r="P9" i="4"/>
  <c r="O10" i="4" s="1"/>
  <c r="F6" i="1"/>
  <c r="H28" i="5"/>
  <c r="F15" i="6"/>
  <c r="S47" i="8"/>
  <c r="L48" i="8"/>
  <c r="G47" i="8"/>
  <c r="G38" i="8"/>
  <c r="G37" i="8"/>
  <c r="G36" i="8"/>
  <c r="G20" i="8"/>
  <c r="H21" i="8" s="1"/>
  <c r="G19" i="8"/>
  <c r="F25" i="6"/>
  <c r="G14" i="6"/>
  <c r="F8" i="9"/>
  <c r="G7" i="9"/>
  <c r="Q20" i="3" l="1"/>
  <c r="O20" i="3" s="1"/>
  <c r="Q13" i="3"/>
  <c r="O13" i="3" s="1"/>
  <c r="L14" i="6"/>
  <c r="H14" i="6" s="1"/>
  <c r="R18" i="6"/>
  <c r="H18" i="6"/>
  <c r="H39" i="8"/>
  <c r="R40" i="8"/>
  <c r="R9" i="4"/>
  <c r="Q10" i="4"/>
  <c r="F7" i="1"/>
  <c r="O42" i="5"/>
  <c r="R17" i="6"/>
  <c r="H17" i="6"/>
  <c r="H15" i="6"/>
  <c r="Q8" i="9"/>
  <c r="Q24" i="6"/>
  <c r="Q48" i="8"/>
  <c r="L24" i="6"/>
  <c r="F35" i="5" l="1"/>
  <c r="G34" i="5"/>
  <c r="F27" i="5"/>
  <c r="G26" i="5"/>
  <c r="F16" i="5"/>
  <c r="G15" i="5"/>
  <c r="F18" i="3"/>
  <c r="G17" i="3"/>
  <c r="F7" i="34"/>
  <c r="G6" i="34"/>
  <c r="G46" i="8"/>
  <c r="P6" i="9"/>
  <c r="O8" i="9" s="1"/>
  <c r="H6" i="1" l="1"/>
  <c r="G6" i="9"/>
  <c r="L6" i="9" s="1"/>
  <c r="G35" i="8" l="1"/>
  <c r="G23" i="6"/>
  <c r="G13" i="6"/>
  <c r="G12" i="6"/>
  <c r="G33" i="5"/>
  <c r="G9" i="3"/>
  <c r="L9" i="3" s="1"/>
  <c r="Q10" i="3" s="1"/>
  <c r="G16" i="3"/>
  <c r="L35" i="8" l="1"/>
  <c r="R35" i="8" s="1"/>
  <c r="L13" i="6"/>
  <c r="R13" i="6" s="1"/>
  <c r="L23" i="6"/>
  <c r="L33" i="5"/>
  <c r="Q34" i="5" s="1"/>
  <c r="L16" i="3"/>
  <c r="Q17" i="3" s="1"/>
  <c r="L46" i="8"/>
  <c r="P46" i="8" l="1"/>
  <c r="O48" i="8" s="1"/>
  <c r="P35" i="8"/>
  <c r="P23" i="6"/>
  <c r="O24" i="6" s="1"/>
  <c r="P9" i="3"/>
  <c r="O10" i="3" s="1"/>
  <c r="P33" i="5"/>
  <c r="O34" i="5" s="1"/>
  <c r="P16" i="3"/>
  <c r="O17" i="3" s="1"/>
  <c r="G33" i="8"/>
  <c r="F34" i="8" s="1"/>
  <c r="G34" i="8" s="1"/>
  <c r="H34" i="8" s="1"/>
  <c r="G10" i="6"/>
  <c r="F11" i="6" s="1"/>
  <c r="G11" i="6" s="1"/>
  <c r="L9" i="6"/>
  <c r="H9" i="6"/>
  <c r="R9" i="6" s="1"/>
  <c r="E9" i="6"/>
  <c r="F9" i="6" s="1"/>
  <c r="H18" i="8"/>
  <c r="E18" i="8"/>
  <c r="F18" i="8" s="1"/>
  <c r="H32" i="8"/>
  <c r="F32" i="8"/>
  <c r="H11" i="6" l="1"/>
  <c r="G24" i="5"/>
  <c r="H26" i="5" s="1"/>
  <c r="G12" i="5"/>
  <c r="H12" i="5" s="1"/>
  <c r="Q12" i="5" s="1"/>
  <c r="F17" i="8"/>
  <c r="F31" i="8"/>
  <c r="Q31" i="8"/>
  <c r="H8" i="6"/>
  <c r="J8" i="6" s="1"/>
  <c r="Q8" i="6" s="1"/>
  <c r="F8" i="6"/>
  <c r="F7" i="6"/>
  <c r="Q7" i="6"/>
  <c r="F24" i="5" l="1"/>
  <c r="F12" i="5"/>
  <c r="G13" i="5"/>
  <c r="F13" i="5" l="1"/>
  <c r="H16" i="5"/>
  <c r="P6" i="3"/>
  <c r="G7" i="3"/>
  <c r="G8" i="3" s="1"/>
  <c r="R9" i="3" s="1"/>
  <c r="F8" i="3" l="1"/>
  <c r="G23" i="5"/>
  <c r="H24" i="5" l="1"/>
  <c r="G30" i="8"/>
  <c r="H31" i="8" s="1"/>
  <c r="G16" i="8"/>
  <c r="P22" i="5" l="1"/>
  <c r="G22" i="5" l="1"/>
  <c r="H23" i="5" s="1"/>
  <c r="J23" i="5" s="1"/>
  <c r="G6" i="3"/>
  <c r="H7" i="3" s="1"/>
  <c r="L6" i="3" l="1"/>
  <c r="Q7" i="3" s="1"/>
  <c r="O7" i="3" s="1"/>
  <c r="K23" i="5"/>
  <c r="L23" i="5"/>
  <c r="Q24" i="5" s="1"/>
  <c r="P29" i="8" l="1"/>
  <c r="O31" i="8" s="1"/>
  <c r="P14" i="8"/>
  <c r="G29" i="8"/>
  <c r="G15" i="8"/>
  <c r="H16" i="8" s="1"/>
  <c r="P6" i="6"/>
  <c r="G6" i="6"/>
  <c r="H7" i="6" s="1"/>
  <c r="O7" i="6" l="1"/>
  <c r="O8" i="6"/>
  <c r="L6" i="6"/>
  <c r="I7" i="6" s="1"/>
  <c r="L29" i="8"/>
  <c r="I31" i="8" s="1"/>
  <c r="H30" i="8"/>
  <c r="J16" i="8"/>
  <c r="K16" i="8" s="1"/>
  <c r="J30" i="8"/>
  <c r="K30" i="8" s="1"/>
  <c r="G14" i="8"/>
  <c r="F12" i="8"/>
  <c r="E12" i="8"/>
  <c r="G13" i="8"/>
  <c r="E13" i="8"/>
  <c r="G11" i="8"/>
  <c r="F13" i="8" l="1"/>
  <c r="I14" i="8"/>
  <c r="L14" i="8" s="1"/>
  <c r="I17" i="8" s="1"/>
  <c r="F14" i="8"/>
  <c r="G12" i="8"/>
  <c r="G9" i="5"/>
  <c r="J9" i="5" s="1"/>
  <c r="G9" i="8"/>
  <c r="J9" i="8" s="1"/>
  <c r="G10" i="8" l="1"/>
  <c r="F10" i="8" s="1"/>
  <c r="G10" i="5"/>
  <c r="F10" i="5" s="1"/>
  <c r="F8" i="5" l="1"/>
  <c r="F7" i="5"/>
  <c r="K7" i="8"/>
  <c r="I7" i="8"/>
  <c r="L7" i="8" s="1"/>
  <c r="F8" i="8"/>
  <c r="F7" i="8"/>
  <c r="Q7" i="8" l="1"/>
  <c r="G6" i="5" l="1"/>
  <c r="L6" i="5" s="1"/>
  <c r="Q7" i="5" s="1"/>
  <c r="G6" i="8"/>
  <c r="J6" i="8" l="1"/>
  <c r="L6" i="8" l="1"/>
  <c r="P6" i="8" l="1"/>
  <c r="O7" i="8" l="1"/>
  <c r="P6" i="5" l="1"/>
  <c r="O7"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cmcneil</author>
  </authors>
  <commentList>
    <comment ref="A4" authorId="0" shapeId="0" xr:uid="{F091E711-E88A-4D52-A0E5-356243B7A2D5}">
      <text>
        <r>
          <rPr>
            <b/>
            <sz val="9"/>
            <color indexed="81"/>
            <rFont val="Tahoma"/>
            <family val="2"/>
          </rPr>
          <t>cmcneil:</t>
        </r>
        <r>
          <rPr>
            <sz val="9"/>
            <color indexed="81"/>
            <rFont val="Tahoma"/>
            <family val="2"/>
          </rPr>
          <t xml:space="preserve">
Date of site visit</t>
        </r>
      </text>
    </comment>
    <comment ref="B4" authorId="0" shapeId="0" xr:uid="{8EE67115-603C-43EA-9C23-8DE9E2FBE41C}">
      <text>
        <r>
          <rPr>
            <b/>
            <sz val="9"/>
            <color indexed="81"/>
            <rFont val="Tahoma"/>
            <family val="2"/>
          </rPr>
          <t>cmcneil:</t>
        </r>
        <r>
          <rPr>
            <sz val="9"/>
            <color indexed="81"/>
            <rFont val="Tahoma"/>
            <family val="2"/>
          </rPr>
          <t xml:space="preserve">
Notebook field data can be found in</t>
        </r>
      </text>
    </comment>
    <comment ref="C4" authorId="0" shapeId="0" xr:uid="{E17F9513-E12E-4181-A88E-39E9E4A56489}">
      <text>
        <r>
          <rPr>
            <b/>
            <sz val="9"/>
            <color indexed="81"/>
            <rFont val="Tahoma"/>
            <family val="2"/>
          </rPr>
          <t>cmcneil:</t>
        </r>
        <r>
          <rPr>
            <sz val="9"/>
            <color indexed="81"/>
            <rFont val="Tahoma"/>
            <family val="2"/>
          </rPr>
          <t xml:space="preserve">
Name of the stake, eg. 17AU</t>
        </r>
      </text>
    </comment>
    <comment ref="D4" authorId="0" shapeId="0" xr:uid="{59D77887-8673-46AB-A5EE-68066ED21A69}">
      <text>
        <r>
          <rPr>
            <b/>
            <sz val="9"/>
            <color indexed="81"/>
            <rFont val="Tahoma"/>
            <family val="2"/>
          </rPr>
          <t>cmcneil:</t>
        </r>
        <r>
          <rPr>
            <sz val="9"/>
            <color indexed="81"/>
            <rFont val="Tahoma"/>
            <family val="2"/>
          </rPr>
          <t xml:space="preserve">
What the surface was during the site visit. Example: Snow, Firn, or Ice</t>
        </r>
      </text>
    </comment>
    <comment ref="E4" authorId="0" shapeId="0" xr:uid="{C50AE9DF-A6CE-4A8D-B378-864D7D9DCDDA}">
      <text>
        <r>
          <rPr>
            <b/>
            <sz val="9"/>
            <color indexed="81"/>
            <rFont val="Tahoma"/>
            <family val="2"/>
          </rPr>
          <t>cmcneil:</t>
        </r>
        <r>
          <rPr>
            <sz val="9"/>
            <color indexed="81"/>
            <rFont val="Tahoma"/>
            <family val="2"/>
          </rPr>
          <t xml:space="preserve">
Total length of stake</t>
        </r>
      </text>
    </comment>
    <comment ref="F4" authorId="0" shapeId="0" xr:uid="{D7D47FF2-00B1-44AF-BE05-E7A17EDE8A10}">
      <text>
        <r>
          <rPr>
            <b/>
            <sz val="9"/>
            <color indexed="81"/>
            <rFont val="Tahoma"/>
            <family val="2"/>
          </rPr>
          <t>cmcneil:</t>
        </r>
        <r>
          <rPr>
            <sz val="9"/>
            <color indexed="81"/>
            <rFont val="Tahoma"/>
            <family val="2"/>
          </rPr>
          <t xml:space="preserve">
Length of stake above the surface noted in column D</t>
        </r>
      </text>
    </comment>
    <comment ref="G4" authorId="0" shapeId="0" xr:uid="{BF6BD181-8CF0-4C8E-8FB7-854F9BDB189E}">
      <text>
        <r>
          <rPr>
            <b/>
            <sz val="9"/>
            <color indexed="81"/>
            <rFont val="Tahoma"/>
            <family val="2"/>
          </rPr>
          <t>cmcneil:</t>
        </r>
        <r>
          <rPr>
            <sz val="9"/>
            <color indexed="81"/>
            <rFont val="Tahoma"/>
            <family val="2"/>
          </rPr>
          <t xml:space="preserve">
Length of stake still below the surface noted in column D</t>
        </r>
      </text>
    </comment>
    <comment ref="H4" authorId="0" shapeId="0" xr:uid="{1176EACE-21FD-4986-B873-62C18210E7DD}">
      <text>
        <r>
          <rPr>
            <b/>
            <sz val="9"/>
            <color indexed="81"/>
            <rFont val="Tahoma"/>
            <family val="2"/>
          </rPr>
          <t>cmcneil:</t>
        </r>
        <r>
          <rPr>
            <sz val="9"/>
            <color indexed="81"/>
            <rFont val="Tahoma"/>
            <family val="2"/>
          </rPr>
          <t xml:space="preserve">
Change in stake since previous site visits</t>
        </r>
      </text>
    </comment>
    <comment ref="I4" authorId="0" shapeId="0" xr:uid="{96FA930A-F7BB-4219-B8AD-3B7F33808328}">
      <text>
        <r>
          <rPr>
            <b/>
            <sz val="9"/>
            <color indexed="81"/>
            <rFont val="Tahoma"/>
            <family val="2"/>
          </rPr>
          <t>cmcneil:</t>
        </r>
        <r>
          <rPr>
            <sz val="9"/>
            <color indexed="81"/>
            <rFont val="Tahoma"/>
            <family val="2"/>
          </rPr>
          <t xml:space="preserve">
Closest measurement to the stake. This number is needed to estimate winter ablation in Column Q. DO NOT TYPE NUMBER INTO CELL. LINK TO PIT OR CORE SHEET FOR TRANSPARENCY.</t>
        </r>
      </text>
    </comment>
    <comment ref="J4" authorId="0" shapeId="0" xr:uid="{DF2B2221-D85B-4EF7-8659-17F1AA526725}">
      <text>
        <r>
          <rPr>
            <b/>
            <sz val="9"/>
            <color indexed="81"/>
            <rFont val="Tahoma"/>
            <family val="2"/>
          </rPr>
          <t>cmcneil:</t>
        </r>
        <r>
          <rPr>
            <sz val="9"/>
            <color indexed="81"/>
            <rFont val="Tahoma"/>
            <family val="2"/>
          </rPr>
          <t xml:space="preserve">
Average of snowpit, stake, probe, and/or crevasse stratigraphy observations made at site location (&lt;~30m from index site).DO NOT TYPE NUMBER INTO CELL. LINK TO PIT OR CORE SHEET FOR TRANSPARENCY.</t>
        </r>
      </text>
    </comment>
    <comment ref="K4" authorId="0" shapeId="0" xr:uid="{C7A1368A-31AD-41D3-92E7-CDCB54CC28CB}">
      <text>
        <r>
          <rPr>
            <b/>
            <sz val="9"/>
            <color indexed="81"/>
            <rFont val="Tahoma"/>
            <family val="2"/>
          </rPr>
          <t>cmcneil:</t>
        </r>
        <r>
          <rPr>
            <sz val="9"/>
            <color indexed="81"/>
            <rFont val="Tahoma"/>
            <family val="2"/>
          </rPr>
          <t xml:space="preserve">
Density of snow still present during site visit. DO NOT TYPE NUMBER INTO CELL. LINK TO PIT OR CORE SHEET FOR TRANSPARENCY. If density was not measured justify the estimatation in column W</t>
        </r>
      </text>
    </comment>
    <comment ref="L4" authorId="0" shapeId="0" xr:uid="{F0AB1704-0816-4B07-A4C9-814DD5AADFAF}">
      <text>
        <r>
          <rPr>
            <b/>
            <sz val="9"/>
            <color indexed="81"/>
            <rFont val="Tahoma"/>
            <family val="2"/>
          </rPr>
          <t>cmcneil:</t>
        </r>
        <r>
          <rPr>
            <sz val="9"/>
            <color indexed="81"/>
            <rFont val="Tahoma"/>
            <family val="2"/>
          </rPr>
          <t xml:space="preserve">
Height of previous years' summer surface on stake. Value is derived from subtracting stake snow depth from the length of stake below surface. See formula.</t>
        </r>
      </text>
    </comment>
    <comment ref="M4" authorId="0" shapeId="0" xr:uid="{DC15290C-7B9D-431A-BA1B-5E3CA3EED76B}">
      <text>
        <r>
          <rPr>
            <b/>
            <sz val="9"/>
            <color indexed="81"/>
            <rFont val="Tahoma"/>
            <family val="2"/>
          </rPr>
          <t>cmcneil:</t>
        </r>
        <r>
          <rPr>
            <sz val="9"/>
            <color indexed="81"/>
            <rFont val="Tahoma"/>
            <family val="2"/>
          </rPr>
          <t xml:space="preserve">
Height of previous years' summer surface on stake. Value is derived from subtracting stake snow depth from the length of stake below surface. See formula.</t>
        </r>
      </text>
    </comment>
    <comment ref="N4" authorId="0" shapeId="0" xr:uid="{20B2460E-F30A-4B8E-A4FD-500EE3054C12}">
      <text>
        <r>
          <rPr>
            <b/>
            <sz val="9"/>
            <color indexed="81"/>
            <rFont val="Tahoma"/>
            <family val="2"/>
          </rPr>
          <t>cmcneil:</t>
        </r>
        <r>
          <rPr>
            <sz val="9"/>
            <color indexed="81"/>
            <rFont val="Tahoma"/>
            <family val="2"/>
          </rPr>
          <t xml:space="preserve">
Density of firn at location. If know link from pit or core sheet for transerancy. Otherwise, justify the estimated value in the comments column, column T.</t>
        </r>
      </text>
    </comment>
    <comment ref="O4" authorId="0" shapeId="0" xr:uid="{15292962-3156-4976-A63F-8B13DA766394}">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P4" authorId="0" shapeId="0" xr:uid="{6BCF99DA-37BD-483C-8FD7-A0A2B63FA66C}">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Q4" authorId="0" shapeId="0" xr:uid="{F3E6AD37-99EF-4AF9-979A-A7E53E546B49}">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R4" authorId="0" shapeId="0" xr:uid="{30BD131F-4524-4EFE-8168-3BE1CB5D76EF}">
      <text>
        <r>
          <rPr>
            <b/>
            <sz val="9"/>
            <color indexed="81"/>
            <rFont val="Tahoma"/>
            <family val="2"/>
          </rPr>
          <t>cmcneil:</t>
        </r>
        <r>
          <rPr>
            <sz val="9"/>
            <color indexed="81"/>
            <rFont val="Tahoma"/>
            <family val="2"/>
          </rPr>
          <t xml:space="preserve">
Measurement of additional ablation that occurred between the previous fall and spring site visits. Calculated comparing the previous summer surface (column L) to the height of surface during previous fall site visit (column G).</t>
        </r>
      </text>
    </comment>
    <comment ref="S4" authorId="0" shapeId="0" xr:uid="{ABF3A55A-28E5-45FD-B285-65C4D73D729B}">
      <text>
        <r>
          <rPr>
            <b/>
            <sz val="9"/>
            <color indexed="81"/>
            <rFont val="Tahoma"/>
            <family val="2"/>
          </rPr>
          <t>cmcneil:</t>
        </r>
        <r>
          <rPr>
            <sz val="9"/>
            <color indexed="81"/>
            <rFont val="Tahoma"/>
            <family val="2"/>
          </rPr>
          <t xml:space="preserve">
Measurement of water equivalent mass accumulated on the surface during fall visits. If there was summer accumulation than there will not be winter ablation… Calculated by multipllying the depth of new snow (column J) by the density of that new snow(column K).</t>
        </r>
      </text>
    </comment>
    <comment ref="T4" authorId="0" shapeId="0" xr:uid="{12E9646C-6266-44DC-B31C-FA053811A66B}">
      <text>
        <r>
          <rPr>
            <b/>
            <sz val="9"/>
            <color indexed="81"/>
            <rFont val="Tahoma"/>
            <family val="2"/>
          </rPr>
          <t>cmcneil:</t>
        </r>
        <r>
          <rPr>
            <sz val="9"/>
            <color indexed="81"/>
            <rFont val="Tahoma"/>
            <family val="2"/>
          </rPr>
          <t xml:space="preserve">
UTM easting of stake measured with GPS</t>
        </r>
      </text>
    </comment>
    <comment ref="U4" authorId="0" shapeId="0" xr:uid="{0666EF90-E911-4C52-8A8F-F66DD4A017E0}">
      <text>
        <r>
          <rPr>
            <b/>
            <sz val="9"/>
            <color indexed="81"/>
            <rFont val="Tahoma"/>
            <family val="2"/>
          </rPr>
          <t>cmcneil:</t>
        </r>
        <r>
          <rPr>
            <sz val="9"/>
            <color indexed="81"/>
            <rFont val="Tahoma"/>
            <family val="2"/>
          </rPr>
          <t xml:space="preserve">
UTM Northing of stake measured with GPS</t>
        </r>
      </text>
    </comment>
    <comment ref="V4" authorId="0" shapeId="0" xr:uid="{3958C712-60D7-4767-A0EC-67A27167BFBC}">
      <text>
        <r>
          <rPr>
            <b/>
            <sz val="9"/>
            <color indexed="81"/>
            <rFont val="Tahoma"/>
            <family val="2"/>
          </rPr>
          <t>cmcneil:</t>
        </r>
        <r>
          <rPr>
            <sz val="9"/>
            <color indexed="81"/>
            <rFont val="Tahoma"/>
            <family val="2"/>
          </rPr>
          <t xml:space="preserve">
Elevation of stake measured with GPS as height above ellipsoid</t>
        </r>
      </text>
    </comment>
    <comment ref="W4" authorId="0" shapeId="0" xr:uid="{4E2CDDCD-90D3-471A-B1D9-CB5CE462AEAB}">
      <text>
        <r>
          <rPr>
            <b/>
            <sz val="9"/>
            <color indexed="81"/>
            <rFont val="Tahoma"/>
            <family val="2"/>
          </rPr>
          <t>cmcneil:</t>
        </r>
        <r>
          <rPr>
            <sz val="9"/>
            <color indexed="81"/>
            <rFont val="Tahoma"/>
            <family val="2"/>
          </rPr>
          <t xml:space="preserve">
Any additional notes on measurement records or approximations made. This is critical for proper metadata and archiving.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cmcneil</author>
    <author>lsass</author>
  </authors>
  <commentList>
    <comment ref="A4" authorId="0" shapeId="0" xr:uid="{00000000-0006-0000-0200-000001000000}">
      <text>
        <r>
          <rPr>
            <b/>
            <sz val="9"/>
            <color indexed="81"/>
            <rFont val="Tahoma"/>
            <family val="2"/>
          </rPr>
          <t>cmcneil:</t>
        </r>
        <r>
          <rPr>
            <sz val="9"/>
            <color indexed="81"/>
            <rFont val="Tahoma"/>
            <family val="2"/>
          </rPr>
          <t xml:space="preserve">
Date of site visit</t>
        </r>
      </text>
    </comment>
    <comment ref="B4" authorId="0" shapeId="0" xr:uid="{00000000-0006-0000-0200-000002000000}">
      <text>
        <r>
          <rPr>
            <b/>
            <sz val="9"/>
            <color indexed="81"/>
            <rFont val="Tahoma"/>
            <family val="2"/>
          </rPr>
          <t>cmcneil:</t>
        </r>
        <r>
          <rPr>
            <sz val="9"/>
            <color indexed="81"/>
            <rFont val="Tahoma"/>
            <family val="2"/>
          </rPr>
          <t xml:space="preserve">
Notebook field data can be found in</t>
        </r>
      </text>
    </comment>
    <comment ref="C4" authorId="0" shapeId="0" xr:uid="{00000000-0006-0000-0200-000003000000}">
      <text>
        <r>
          <rPr>
            <b/>
            <sz val="9"/>
            <color indexed="81"/>
            <rFont val="Tahoma"/>
            <family val="2"/>
          </rPr>
          <t>cmcneil:</t>
        </r>
        <r>
          <rPr>
            <sz val="9"/>
            <color indexed="81"/>
            <rFont val="Tahoma"/>
            <family val="2"/>
          </rPr>
          <t xml:space="preserve">
Name of the stake, eg. 17AU</t>
        </r>
      </text>
    </comment>
    <comment ref="D4" authorId="0" shapeId="0" xr:uid="{00000000-0006-0000-0200-000004000000}">
      <text>
        <r>
          <rPr>
            <b/>
            <sz val="9"/>
            <color indexed="81"/>
            <rFont val="Tahoma"/>
            <family val="2"/>
          </rPr>
          <t>cmcneil:</t>
        </r>
        <r>
          <rPr>
            <sz val="9"/>
            <color indexed="81"/>
            <rFont val="Tahoma"/>
            <family val="2"/>
          </rPr>
          <t xml:space="preserve">
What the surface was during the site visit. Example: Snow, Firn, or Ice</t>
        </r>
      </text>
    </comment>
    <comment ref="E4" authorId="0" shapeId="0" xr:uid="{00000000-0006-0000-0200-000005000000}">
      <text>
        <r>
          <rPr>
            <b/>
            <sz val="9"/>
            <color indexed="81"/>
            <rFont val="Tahoma"/>
            <family val="2"/>
          </rPr>
          <t>cmcneil:</t>
        </r>
        <r>
          <rPr>
            <sz val="9"/>
            <color indexed="81"/>
            <rFont val="Tahoma"/>
            <family val="2"/>
          </rPr>
          <t xml:space="preserve">
Total length of stake</t>
        </r>
      </text>
    </comment>
    <comment ref="F4" authorId="0" shapeId="0" xr:uid="{00000000-0006-0000-0200-000006000000}">
      <text>
        <r>
          <rPr>
            <b/>
            <sz val="9"/>
            <color indexed="81"/>
            <rFont val="Tahoma"/>
            <family val="2"/>
          </rPr>
          <t>cmcneil:</t>
        </r>
        <r>
          <rPr>
            <sz val="9"/>
            <color indexed="81"/>
            <rFont val="Tahoma"/>
            <family val="2"/>
          </rPr>
          <t xml:space="preserve">
Length of stake above the surface noted in column D</t>
        </r>
      </text>
    </comment>
    <comment ref="G4" authorId="0" shapeId="0" xr:uid="{00000000-0006-0000-0200-000007000000}">
      <text>
        <r>
          <rPr>
            <b/>
            <sz val="9"/>
            <color indexed="81"/>
            <rFont val="Tahoma"/>
            <family val="2"/>
          </rPr>
          <t>cmcneil:</t>
        </r>
        <r>
          <rPr>
            <sz val="9"/>
            <color indexed="81"/>
            <rFont val="Tahoma"/>
            <family val="2"/>
          </rPr>
          <t xml:space="preserve">
Length of stake still below the surface noted in column D</t>
        </r>
      </text>
    </comment>
    <comment ref="H4" authorId="0" shapeId="0" xr:uid="{00000000-0006-0000-0200-000008000000}">
      <text>
        <r>
          <rPr>
            <b/>
            <sz val="9"/>
            <color indexed="81"/>
            <rFont val="Tahoma"/>
            <family val="2"/>
          </rPr>
          <t>cmcneil:</t>
        </r>
        <r>
          <rPr>
            <sz val="9"/>
            <color indexed="81"/>
            <rFont val="Tahoma"/>
            <family val="2"/>
          </rPr>
          <t xml:space="preserve">
Change in stake since previous site visits</t>
        </r>
      </text>
    </comment>
    <comment ref="I4" authorId="0" shapeId="0" xr:uid="{00000000-0006-0000-0200-000009000000}">
      <text>
        <r>
          <rPr>
            <b/>
            <sz val="9"/>
            <color indexed="81"/>
            <rFont val="Tahoma"/>
            <family val="2"/>
          </rPr>
          <t>cmcneil:</t>
        </r>
        <r>
          <rPr>
            <sz val="9"/>
            <color indexed="81"/>
            <rFont val="Tahoma"/>
            <family val="2"/>
          </rPr>
          <t xml:space="preserve">
Closest measurement to the stake. This number is needed to estimate winter ablation in Column Q. DO NOT TYPE NUMBER INTO CELL. LINK TO PIT OR CORE SHEET FOR TRANSPARENCY.</t>
        </r>
      </text>
    </comment>
    <comment ref="J4" authorId="0" shapeId="0" xr:uid="{00000000-0006-0000-0200-00000A000000}">
      <text>
        <r>
          <rPr>
            <b/>
            <sz val="9"/>
            <color indexed="81"/>
            <rFont val="Tahoma"/>
            <family val="2"/>
          </rPr>
          <t>cmcneil:</t>
        </r>
        <r>
          <rPr>
            <sz val="9"/>
            <color indexed="81"/>
            <rFont val="Tahoma"/>
            <family val="2"/>
          </rPr>
          <t xml:space="preserve">
Average of snowpit, stake, probe, and/or crevasse stratigraphy observations made at site location (&lt;~30m from index site).DO NOT TYPE NUMBER INTO CELL. LINK TO PIT OR CORE SHEET FOR TRANSPARENCY.</t>
        </r>
      </text>
    </comment>
    <comment ref="K4" authorId="0" shapeId="0" xr:uid="{00000000-0006-0000-0200-00000B000000}">
      <text>
        <r>
          <rPr>
            <b/>
            <sz val="9"/>
            <color indexed="81"/>
            <rFont val="Tahoma"/>
            <family val="2"/>
          </rPr>
          <t>cmcneil:</t>
        </r>
        <r>
          <rPr>
            <sz val="9"/>
            <color indexed="81"/>
            <rFont val="Tahoma"/>
            <family val="2"/>
          </rPr>
          <t xml:space="preserve">
Density of snow still present during site visit. DO NOT TYPE NUMBER INTO CELL. LINK TO PIT OR CORE SHEET FOR TRANSPARENCY. If density was not measured justify the estimatation in column W</t>
        </r>
      </text>
    </comment>
    <comment ref="L4" authorId="0" shapeId="0" xr:uid="{00000000-0006-0000-0200-00000C000000}">
      <text>
        <r>
          <rPr>
            <b/>
            <sz val="9"/>
            <color indexed="81"/>
            <rFont val="Tahoma"/>
            <family val="2"/>
          </rPr>
          <t>cmcneil:</t>
        </r>
        <r>
          <rPr>
            <sz val="9"/>
            <color indexed="81"/>
            <rFont val="Tahoma"/>
            <family val="2"/>
          </rPr>
          <t xml:space="preserve">
Height of previous years' summer surface on stake. Value is derived from subtracting stake snow depth from the length of stake below surface. See formula.</t>
        </r>
      </text>
    </comment>
    <comment ref="M4" authorId="0" shapeId="0" xr:uid="{00000000-0006-0000-0200-00000D000000}">
      <text>
        <r>
          <rPr>
            <b/>
            <sz val="9"/>
            <color indexed="81"/>
            <rFont val="Tahoma"/>
            <family val="2"/>
          </rPr>
          <t>cmcneil:</t>
        </r>
        <r>
          <rPr>
            <sz val="9"/>
            <color indexed="81"/>
            <rFont val="Tahoma"/>
            <family val="2"/>
          </rPr>
          <t xml:space="preserve">
Height of previous years' summer surface on stake. Value is derived from subtracting stake snow depth from the length of stake below surface. See formula.</t>
        </r>
      </text>
    </comment>
    <comment ref="N4" authorId="0" shapeId="0" xr:uid="{00000000-0006-0000-0200-00000E000000}">
      <text>
        <r>
          <rPr>
            <b/>
            <sz val="9"/>
            <color indexed="81"/>
            <rFont val="Tahoma"/>
            <family val="2"/>
          </rPr>
          <t>cmcneil:</t>
        </r>
        <r>
          <rPr>
            <sz val="9"/>
            <color indexed="81"/>
            <rFont val="Tahoma"/>
            <family val="2"/>
          </rPr>
          <t xml:space="preserve">
Density of firn at location. If know link from pit or core sheet for transerancy. Otherwise, justify the estimated value in the comments column, column T.</t>
        </r>
      </text>
    </comment>
    <comment ref="O4" authorId="0" shapeId="0" xr:uid="{00000000-0006-0000-0200-00000F00000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P4" authorId="0" shapeId="0" xr:uid="{00000000-0006-0000-0200-00001000000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Q4" authorId="0" shapeId="0" xr:uid="{00000000-0006-0000-0200-00001100000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R4" authorId="0" shapeId="0" xr:uid="{00000000-0006-0000-0200-000012000000}">
      <text>
        <r>
          <rPr>
            <b/>
            <sz val="9"/>
            <color indexed="81"/>
            <rFont val="Tahoma"/>
            <family val="2"/>
          </rPr>
          <t>cmcneil:</t>
        </r>
        <r>
          <rPr>
            <sz val="9"/>
            <color indexed="81"/>
            <rFont val="Tahoma"/>
            <family val="2"/>
          </rPr>
          <t xml:space="preserve">
Measurement of additional ablation that occurred between the previous fall and spring site visits. Calculated comparing the previous summer surface (column L) to the height of surface during previous fall site visit (column G).</t>
        </r>
      </text>
    </comment>
    <comment ref="S4" authorId="0" shapeId="0" xr:uid="{00000000-0006-0000-0200-000013000000}">
      <text>
        <r>
          <rPr>
            <b/>
            <sz val="9"/>
            <color indexed="81"/>
            <rFont val="Tahoma"/>
            <family val="2"/>
          </rPr>
          <t>cmcneil:</t>
        </r>
        <r>
          <rPr>
            <sz val="9"/>
            <color indexed="81"/>
            <rFont val="Tahoma"/>
            <family val="2"/>
          </rPr>
          <t xml:space="preserve">
Measurement of water equivalent mass accumulated on the surface during fall visits. If there was summer accumulation than there will not be winter ablation… Calculated by multipllying the depth of new snow (column J) by the density of that new snow(column K).</t>
        </r>
      </text>
    </comment>
    <comment ref="T4" authorId="0" shapeId="0" xr:uid="{00000000-0006-0000-0200-000014000000}">
      <text>
        <r>
          <rPr>
            <b/>
            <sz val="9"/>
            <color indexed="81"/>
            <rFont val="Tahoma"/>
            <family val="2"/>
          </rPr>
          <t>cmcneil:</t>
        </r>
        <r>
          <rPr>
            <sz val="9"/>
            <color indexed="81"/>
            <rFont val="Tahoma"/>
            <family val="2"/>
          </rPr>
          <t xml:space="preserve">
UTM easting of stake measured with GPS</t>
        </r>
      </text>
    </comment>
    <comment ref="U4" authorId="0" shapeId="0" xr:uid="{00000000-0006-0000-0200-000015000000}">
      <text>
        <r>
          <rPr>
            <b/>
            <sz val="9"/>
            <color indexed="81"/>
            <rFont val="Tahoma"/>
            <family val="2"/>
          </rPr>
          <t>cmcneil:</t>
        </r>
        <r>
          <rPr>
            <sz val="9"/>
            <color indexed="81"/>
            <rFont val="Tahoma"/>
            <family val="2"/>
          </rPr>
          <t xml:space="preserve">
UTM Northing of stake measured with GPS</t>
        </r>
      </text>
    </comment>
    <comment ref="V4" authorId="0" shapeId="0" xr:uid="{00000000-0006-0000-0200-000016000000}">
      <text>
        <r>
          <rPr>
            <b/>
            <sz val="9"/>
            <color indexed="81"/>
            <rFont val="Tahoma"/>
            <family val="2"/>
          </rPr>
          <t>cmcneil:</t>
        </r>
        <r>
          <rPr>
            <sz val="9"/>
            <color indexed="81"/>
            <rFont val="Tahoma"/>
            <family val="2"/>
          </rPr>
          <t xml:space="preserve">
Elevation of stake measured with GPS as height above ellipsoid</t>
        </r>
      </text>
    </comment>
    <comment ref="W4" authorId="0" shapeId="0" xr:uid="{00000000-0006-0000-0200-000017000000}">
      <text>
        <r>
          <rPr>
            <b/>
            <sz val="9"/>
            <color indexed="81"/>
            <rFont val="Tahoma"/>
            <family val="2"/>
          </rPr>
          <t>cmcneil:</t>
        </r>
        <r>
          <rPr>
            <sz val="9"/>
            <color indexed="81"/>
            <rFont val="Tahoma"/>
            <family val="2"/>
          </rPr>
          <t xml:space="preserve">
Any additional notes on measurement records or approximations made. This is critical for proper metadata and archiving. </t>
        </r>
      </text>
    </comment>
    <comment ref="K6" authorId="1" shapeId="0" xr:uid="{F495A1D8-C784-4E96-940E-4ABF94F10C4E}">
      <text>
        <r>
          <rPr>
            <b/>
            <sz val="9"/>
            <color indexed="81"/>
            <rFont val="Tahoma"/>
            <family val="2"/>
          </rPr>
          <t>lsass:</t>
        </r>
        <r>
          <rPr>
            <sz val="9"/>
            <color indexed="81"/>
            <rFont val="Tahoma"/>
            <family val="2"/>
          </rPr>
          <t xml:space="preserve">
estimated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cmcneil</author>
  </authors>
  <commentList>
    <comment ref="A4" authorId="0" shapeId="0" xr:uid="{00000000-0006-0000-0300-000001000000}">
      <text>
        <r>
          <rPr>
            <b/>
            <sz val="9"/>
            <color indexed="81"/>
            <rFont val="Tahoma"/>
            <family val="2"/>
          </rPr>
          <t>cmcneil:</t>
        </r>
        <r>
          <rPr>
            <sz val="9"/>
            <color indexed="81"/>
            <rFont val="Tahoma"/>
            <family val="2"/>
          </rPr>
          <t xml:space="preserve">
Date of site visit</t>
        </r>
      </text>
    </comment>
    <comment ref="B4" authorId="0" shapeId="0" xr:uid="{00000000-0006-0000-0300-000002000000}">
      <text>
        <r>
          <rPr>
            <b/>
            <sz val="9"/>
            <color indexed="81"/>
            <rFont val="Tahoma"/>
            <family val="2"/>
          </rPr>
          <t>cmcneil:</t>
        </r>
        <r>
          <rPr>
            <sz val="9"/>
            <color indexed="81"/>
            <rFont val="Tahoma"/>
            <family val="2"/>
          </rPr>
          <t xml:space="preserve">
Notebook field data can be found in</t>
        </r>
      </text>
    </comment>
    <comment ref="C4" authorId="0" shapeId="0" xr:uid="{00000000-0006-0000-0300-000003000000}">
      <text>
        <r>
          <rPr>
            <b/>
            <sz val="9"/>
            <color indexed="81"/>
            <rFont val="Tahoma"/>
            <family val="2"/>
          </rPr>
          <t>cmcneil:</t>
        </r>
        <r>
          <rPr>
            <sz val="9"/>
            <color indexed="81"/>
            <rFont val="Tahoma"/>
            <family val="2"/>
          </rPr>
          <t xml:space="preserve">
Name of the stake, eg. 17AU</t>
        </r>
      </text>
    </comment>
    <comment ref="D4" authorId="0" shapeId="0" xr:uid="{00000000-0006-0000-0300-000004000000}">
      <text>
        <r>
          <rPr>
            <b/>
            <sz val="9"/>
            <color indexed="81"/>
            <rFont val="Tahoma"/>
            <family val="2"/>
          </rPr>
          <t>cmcneil:</t>
        </r>
        <r>
          <rPr>
            <sz val="9"/>
            <color indexed="81"/>
            <rFont val="Tahoma"/>
            <family val="2"/>
          </rPr>
          <t xml:space="preserve">
What the surface was during the site visit. Example: Snow, Firn, or Ice</t>
        </r>
      </text>
    </comment>
    <comment ref="E4" authorId="0" shapeId="0" xr:uid="{00000000-0006-0000-0300-000005000000}">
      <text>
        <r>
          <rPr>
            <b/>
            <sz val="9"/>
            <color indexed="81"/>
            <rFont val="Tahoma"/>
            <family val="2"/>
          </rPr>
          <t>cmcneil:</t>
        </r>
        <r>
          <rPr>
            <sz val="9"/>
            <color indexed="81"/>
            <rFont val="Tahoma"/>
            <family val="2"/>
          </rPr>
          <t xml:space="preserve">
Total length of stake</t>
        </r>
      </text>
    </comment>
    <comment ref="F4" authorId="0" shapeId="0" xr:uid="{00000000-0006-0000-0300-000006000000}">
      <text>
        <r>
          <rPr>
            <b/>
            <sz val="9"/>
            <color indexed="81"/>
            <rFont val="Tahoma"/>
            <family val="2"/>
          </rPr>
          <t>cmcneil:</t>
        </r>
        <r>
          <rPr>
            <sz val="9"/>
            <color indexed="81"/>
            <rFont val="Tahoma"/>
            <family val="2"/>
          </rPr>
          <t xml:space="preserve">
Length of stake above the surface noted in column D</t>
        </r>
      </text>
    </comment>
    <comment ref="G4" authorId="0" shapeId="0" xr:uid="{00000000-0006-0000-0300-000007000000}">
      <text>
        <r>
          <rPr>
            <b/>
            <sz val="9"/>
            <color indexed="81"/>
            <rFont val="Tahoma"/>
            <family val="2"/>
          </rPr>
          <t>cmcneil:</t>
        </r>
        <r>
          <rPr>
            <sz val="9"/>
            <color indexed="81"/>
            <rFont val="Tahoma"/>
            <family val="2"/>
          </rPr>
          <t xml:space="preserve">
Length of stake still below the surface noted in column D</t>
        </r>
      </text>
    </comment>
    <comment ref="H4" authorId="0" shapeId="0" xr:uid="{00000000-0006-0000-0300-000008000000}">
      <text>
        <r>
          <rPr>
            <b/>
            <sz val="9"/>
            <color indexed="81"/>
            <rFont val="Tahoma"/>
            <family val="2"/>
          </rPr>
          <t>cmcneil:</t>
        </r>
        <r>
          <rPr>
            <sz val="9"/>
            <color indexed="81"/>
            <rFont val="Tahoma"/>
            <family val="2"/>
          </rPr>
          <t xml:space="preserve">
Change in stake since previous site visits</t>
        </r>
      </text>
    </comment>
    <comment ref="I4" authorId="0" shapeId="0" xr:uid="{00000000-0006-0000-0300-000009000000}">
      <text>
        <r>
          <rPr>
            <b/>
            <sz val="9"/>
            <color indexed="81"/>
            <rFont val="Tahoma"/>
            <family val="2"/>
          </rPr>
          <t>cmcneil:</t>
        </r>
        <r>
          <rPr>
            <sz val="9"/>
            <color indexed="81"/>
            <rFont val="Tahoma"/>
            <family val="2"/>
          </rPr>
          <t xml:space="preserve">
Closest measurement to the stake. This number is needed to estimate winter ablation in Column Q. DO NOT TYPE NUMBER INTO CELL. LINK TO PIT OR CORE SHEET FOR TRANSPARENCY.</t>
        </r>
      </text>
    </comment>
    <comment ref="J4" authorId="0" shapeId="0" xr:uid="{00000000-0006-0000-0300-00000A000000}">
      <text>
        <r>
          <rPr>
            <b/>
            <sz val="9"/>
            <color indexed="81"/>
            <rFont val="Tahoma"/>
            <family val="2"/>
          </rPr>
          <t>cmcneil:</t>
        </r>
        <r>
          <rPr>
            <sz val="9"/>
            <color indexed="81"/>
            <rFont val="Tahoma"/>
            <family val="2"/>
          </rPr>
          <t xml:space="preserve">
Average of snowpit, stake, probe, and/or crevasse stratigraphy observations made at site location (&lt;~30m from index site).DO NOT TYPE NUMBER INTO CELL. LINK TO PIT OR CORE SHEET FOR TRANSPARENCY.</t>
        </r>
      </text>
    </comment>
    <comment ref="K4" authorId="0" shapeId="0" xr:uid="{00000000-0006-0000-0300-00000B000000}">
      <text>
        <r>
          <rPr>
            <b/>
            <sz val="9"/>
            <color indexed="81"/>
            <rFont val="Tahoma"/>
            <family val="2"/>
          </rPr>
          <t>cmcneil:</t>
        </r>
        <r>
          <rPr>
            <sz val="9"/>
            <color indexed="81"/>
            <rFont val="Tahoma"/>
            <family val="2"/>
          </rPr>
          <t xml:space="preserve">
Density of snow still present during site visit. DO NOT TYPE NUMBER INTO CELL. LINK TO PIT OR CORE SHEET FOR TRANSPARENCY. If density was not measured justify the estimatation in column W</t>
        </r>
      </text>
    </comment>
    <comment ref="L4" authorId="0" shapeId="0" xr:uid="{00000000-0006-0000-0300-00000C000000}">
      <text>
        <r>
          <rPr>
            <b/>
            <sz val="9"/>
            <color indexed="81"/>
            <rFont val="Tahoma"/>
            <family val="2"/>
          </rPr>
          <t>cmcneil:</t>
        </r>
        <r>
          <rPr>
            <sz val="9"/>
            <color indexed="81"/>
            <rFont val="Tahoma"/>
            <family val="2"/>
          </rPr>
          <t xml:space="preserve">
Height of previous years' summer surface on stake. Value is derived from subtracting stake snow depth from the length of stake below surface. See formula.</t>
        </r>
      </text>
    </comment>
    <comment ref="M4" authorId="0" shapeId="0" xr:uid="{00000000-0006-0000-0300-00000D000000}">
      <text>
        <r>
          <rPr>
            <b/>
            <sz val="9"/>
            <color indexed="81"/>
            <rFont val="Tahoma"/>
            <family val="2"/>
          </rPr>
          <t>cmcneil:</t>
        </r>
        <r>
          <rPr>
            <sz val="9"/>
            <color indexed="81"/>
            <rFont val="Tahoma"/>
            <family val="2"/>
          </rPr>
          <t xml:space="preserve">
Height of previous years' summer surface on stake. Value is derived from subtracting stake snow depth from the length of stake below surface. See formula.</t>
        </r>
      </text>
    </comment>
    <comment ref="N4" authorId="0" shapeId="0" xr:uid="{00000000-0006-0000-0300-00000E000000}">
      <text>
        <r>
          <rPr>
            <b/>
            <sz val="9"/>
            <color indexed="81"/>
            <rFont val="Tahoma"/>
            <family val="2"/>
          </rPr>
          <t>cmcneil:</t>
        </r>
        <r>
          <rPr>
            <sz val="9"/>
            <color indexed="81"/>
            <rFont val="Tahoma"/>
            <family val="2"/>
          </rPr>
          <t xml:space="preserve">
Density of firn at location. If know link from pit or core sheet for transerancy. Otherwise, justify the estimated value in the comments column, column T.</t>
        </r>
      </text>
    </comment>
    <comment ref="O4" authorId="0" shapeId="0" xr:uid="{00000000-0006-0000-0300-00000F00000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P4" authorId="0" shapeId="0" xr:uid="{00000000-0006-0000-0300-00001000000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Q4" authorId="0" shapeId="0" xr:uid="{00000000-0006-0000-0300-00001100000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R4" authorId="0" shapeId="0" xr:uid="{00000000-0006-0000-0300-000012000000}">
      <text>
        <r>
          <rPr>
            <b/>
            <sz val="9"/>
            <color indexed="81"/>
            <rFont val="Tahoma"/>
            <family val="2"/>
          </rPr>
          <t>cmcneil:</t>
        </r>
        <r>
          <rPr>
            <sz val="9"/>
            <color indexed="81"/>
            <rFont val="Tahoma"/>
            <family val="2"/>
          </rPr>
          <t xml:space="preserve">
Measurement of additional ablation that occurred between the previous fall and spring site visits. Calculated comparing the previous summer surface (column L) to the height of surface during previous fall site visit (column G).</t>
        </r>
      </text>
    </comment>
    <comment ref="S4" authorId="0" shapeId="0" xr:uid="{00000000-0006-0000-0300-000013000000}">
      <text>
        <r>
          <rPr>
            <b/>
            <sz val="9"/>
            <color indexed="81"/>
            <rFont val="Tahoma"/>
            <family val="2"/>
          </rPr>
          <t>cmcneil:</t>
        </r>
        <r>
          <rPr>
            <sz val="9"/>
            <color indexed="81"/>
            <rFont val="Tahoma"/>
            <family val="2"/>
          </rPr>
          <t xml:space="preserve">
Measurement of water equivalent mass accumulated on the surface during fall visits. If there was summer accumulation than there will not be winter ablation… Calculated by multipllying the depth of new snow (column J) by the density of that new snow(column K).</t>
        </r>
      </text>
    </comment>
    <comment ref="T4" authorId="0" shapeId="0" xr:uid="{00000000-0006-0000-0300-000014000000}">
      <text>
        <r>
          <rPr>
            <b/>
            <sz val="9"/>
            <color indexed="81"/>
            <rFont val="Tahoma"/>
            <family val="2"/>
          </rPr>
          <t>cmcneil:</t>
        </r>
        <r>
          <rPr>
            <sz val="9"/>
            <color indexed="81"/>
            <rFont val="Tahoma"/>
            <family val="2"/>
          </rPr>
          <t xml:space="preserve">
UTM easting of stake measured with GPS</t>
        </r>
      </text>
    </comment>
    <comment ref="U4" authorId="0" shapeId="0" xr:uid="{00000000-0006-0000-0300-000015000000}">
      <text>
        <r>
          <rPr>
            <b/>
            <sz val="9"/>
            <color indexed="81"/>
            <rFont val="Tahoma"/>
            <family val="2"/>
          </rPr>
          <t>cmcneil:</t>
        </r>
        <r>
          <rPr>
            <sz val="9"/>
            <color indexed="81"/>
            <rFont val="Tahoma"/>
            <family val="2"/>
          </rPr>
          <t xml:space="preserve">
UTM Northing of stake measured with GPS</t>
        </r>
      </text>
    </comment>
    <comment ref="V4" authorId="0" shapeId="0" xr:uid="{00000000-0006-0000-0300-000016000000}">
      <text>
        <r>
          <rPr>
            <b/>
            <sz val="9"/>
            <color indexed="81"/>
            <rFont val="Tahoma"/>
            <family val="2"/>
          </rPr>
          <t>cmcneil:</t>
        </r>
        <r>
          <rPr>
            <sz val="9"/>
            <color indexed="81"/>
            <rFont val="Tahoma"/>
            <family val="2"/>
          </rPr>
          <t xml:space="preserve">
Elevation of stake measured with GPS as height above ellipsoid</t>
        </r>
      </text>
    </comment>
    <comment ref="W4" authorId="0" shapeId="0" xr:uid="{00000000-0006-0000-0300-000017000000}">
      <text>
        <r>
          <rPr>
            <b/>
            <sz val="9"/>
            <color indexed="81"/>
            <rFont val="Tahoma"/>
            <family val="2"/>
          </rPr>
          <t>cmcneil:</t>
        </r>
        <r>
          <rPr>
            <sz val="9"/>
            <color indexed="81"/>
            <rFont val="Tahoma"/>
            <family val="2"/>
          </rPr>
          <t xml:space="preserve">
Any additional notes on measurement records or approximations made. This is critical for proper metadata and archiving.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cmcneil</author>
    <author>Bollen, Katherine Eleanore</author>
    <author>tc={9E68F2AE-AB3B-4A1D-9BE9-1E9EC58F2986}</author>
    <author>tc={FA1D7952-A948-4F3D-9CC0-D090C3BC4BEF}</author>
  </authors>
  <commentList>
    <comment ref="A4" authorId="0" shapeId="0" xr:uid="{00000000-0006-0000-0400-000001000000}">
      <text>
        <r>
          <rPr>
            <b/>
            <sz val="9"/>
            <color indexed="81"/>
            <rFont val="Tahoma"/>
            <family val="2"/>
          </rPr>
          <t>cmcneil:</t>
        </r>
        <r>
          <rPr>
            <sz val="9"/>
            <color indexed="81"/>
            <rFont val="Tahoma"/>
            <family val="2"/>
          </rPr>
          <t xml:space="preserve">
Date of site visit</t>
        </r>
      </text>
    </comment>
    <comment ref="B4" authorId="0" shapeId="0" xr:uid="{00000000-0006-0000-0400-000002000000}">
      <text>
        <r>
          <rPr>
            <b/>
            <sz val="9"/>
            <color indexed="81"/>
            <rFont val="Tahoma"/>
            <family val="2"/>
          </rPr>
          <t>cmcneil:</t>
        </r>
        <r>
          <rPr>
            <sz val="9"/>
            <color indexed="81"/>
            <rFont val="Tahoma"/>
            <family val="2"/>
          </rPr>
          <t xml:space="preserve">
Notebook field data can be found in</t>
        </r>
      </text>
    </comment>
    <comment ref="C4" authorId="0" shapeId="0" xr:uid="{00000000-0006-0000-0400-000003000000}">
      <text>
        <r>
          <rPr>
            <b/>
            <sz val="9"/>
            <color indexed="81"/>
            <rFont val="Tahoma"/>
            <family val="2"/>
          </rPr>
          <t>cmcneil:</t>
        </r>
        <r>
          <rPr>
            <sz val="9"/>
            <color indexed="81"/>
            <rFont val="Tahoma"/>
            <family val="2"/>
          </rPr>
          <t xml:space="preserve">
Name of the stake, eg. 17AU</t>
        </r>
      </text>
    </comment>
    <comment ref="D4" authorId="0" shapeId="0" xr:uid="{00000000-0006-0000-0400-000004000000}">
      <text>
        <r>
          <rPr>
            <b/>
            <sz val="9"/>
            <color indexed="81"/>
            <rFont val="Tahoma"/>
            <family val="2"/>
          </rPr>
          <t>cmcneil:</t>
        </r>
        <r>
          <rPr>
            <sz val="9"/>
            <color indexed="81"/>
            <rFont val="Tahoma"/>
            <family val="2"/>
          </rPr>
          <t xml:space="preserve">
What the surface was during the site visit. Example: Snow, Firn, or Ice</t>
        </r>
      </text>
    </comment>
    <comment ref="E4" authorId="0" shapeId="0" xr:uid="{00000000-0006-0000-0400-000005000000}">
      <text>
        <r>
          <rPr>
            <b/>
            <sz val="9"/>
            <color indexed="81"/>
            <rFont val="Tahoma"/>
            <family val="2"/>
          </rPr>
          <t>cmcneil:</t>
        </r>
        <r>
          <rPr>
            <sz val="9"/>
            <color indexed="81"/>
            <rFont val="Tahoma"/>
            <family val="2"/>
          </rPr>
          <t xml:space="preserve">
Total length of stake</t>
        </r>
      </text>
    </comment>
    <comment ref="F4" authorId="0" shapeId="0" xr:uid="{00000000-0006-0000-0400-000006000000}">
      <text>
        <r>
          <rPr>
            <b/>
            <sz val="9"/>
            <color indexed="81"/>
            <rFont val="Tahoma"/>
            <family val="2"/>
          </rPr>
          <t>cmcneil:</t>
        </r>
        <r>
          <rPr>
            <sz val="9"/>
            <color indexed="81"/>
            <rFont val="Tahoma"/>
            <family val="2"/>
          </rPr>
          <t xml:space="preserve">
Length of stake above the surface noted in column D</t>
        </r>
      </text>
    </comment>
    <comment ref="G4" authorId="0" shapeId="0" xr:uid="{00000000-0006-0000-0400-000007000000}">
      <text>
        <r>
          <rPr>
            <b/>
            <sz val="9"/>
            <color indexed="81"/>
            <rFont val="Tahoma"/>
            <family val="2"/>
          </rPr>
          <t>cmcneil:</t>
        </r>
        <r>
          <rPr>
            <sz val="9"/>
            <color indexed="81"/>
            <rFont val="Tahoma"/>
            <family val="2"/>
          </rPr>
          <t xml:space="preserve">
Length of stake still below the surface noted in column D</t>
        </r>
      </text>
    </comment>
    <comment ref="H4" authorId="0" shapeId="0" xr:uid="{00000000-0006-0000-0400-000008000000}">
      <text>
        <r>
          <rPr>
            <b/>
            <sz val="9"/>
            <color indexed="81"/>
            <rFont val="Tahoma"/>
            <family val="2"/>
          </rPr>
          <t>cmcneil:</t>
        </r>
        <r>
          <rPr>
            <sz val="9"/>
            <color indexed="81"/>
            <rFont val="Tahoma"/>
            <family val="2"/>
          </rPr>
          <t xml:space="preserve">
Change in stake since previous site visits</t>
        </r>
      </text>
    </comment>
    <comment ref="I4" authorId="0" shapeId="0" xr:uid="{00000000-0006-0000-0400-000009000000}">
      <text>
        <r>
          <rPr>
            <b/>
            <sz val="9"/>
            <color indexed="81"/>
            <rFont val="Tahoma"/>
            <family val="2"/>
          </rPr>
          <t>cmcneil:</t>
        </r>
        <r>
          <rPr>
            <sz val="9"/>
            <color indexed="81"/>
            <rFont val="Tahoma"/>
            <family val="2"/>
          </rPr>
          <t xml:space="preserve">
Closest measurement to the stake. This number is needed to estimate winter ablation in Column Q. DO NOT TYPE NUMBER INTO CELL. LINK TO PIT OR CORE SHEET FOR TRANSPARENCY.</t>
        </r>
      </text>
    </comment>
    <comment ref="J4" authorId="0" shapeId="0" xr:uid="{00000000-0006-0000-0400-00000A000000}">
      <text>
        <r>
          <rPr>
            <b/>
            <sz val="9"/>
            <color indexed="81"/>
            <rFont val="Tahoma"/>
            <family val="2"/>
          </rPr>
          <t>cmcneil:</t>
        </r>
        <r>
          <rPr>
            <sz val="9"/>
            <color indexed="81"/>
            <rFont val="Tahoma"/>
            <family val="2"/>
          </rPr>
          <t xml:space="preserve">
Average of snowpit, stake, probe, and/or crevasse stratigraphy observations made at site location (&lt;~30m from index site).DO NOT TYPE NUMBER INTO CELL. LINK TO PIT OR CORE SHEET FOR TRANSPARENCY.</t>
        </r>
      </text>
    </comment>
    <comment ref="K4" authorId="0" shapeId="0" xr:uid="{00000000-0006-0000-0400-00000B000000}">
      <text>
        <r>
          <rPr>
            <b/>
            <sz val="9"/>
            <color indexed="81"/>
            <rFont val="Tahoma"/>
            <family val="2"/>
          </rPr>
          <t>cmcneil:</t>
        </r>
        <r>
          <rPr>
            <sz val="9"/>
            <color indexed="81"/>
            <rFont val="Tahoma"/>
            <family val="2"/>
          </rPr>
          <t xml:space="preserve">
Density of snow still present during site visit. DO NOT TYPE NUMBER INTO CELL. LINK TO PIT OR CORE SHEET FOR TRANSPARENCY. If density was not measured justify the estimatation in column W</t>
        </r>
      </text>
    </comment>
    <comment ref="L4" authorId="0" shapeId="0" xr:uid="{00000000-0006-0000-0400-00000C000000}">
      <text>
        <r>
          <rPr>
            <b/>
            <sz val="9"/>
            <color indexed="81"/>
            <rFont val="Tahoma"/>
            <family val="2"/>
          </rPr>
          <t>cmcneil:</t>
        </r>
        <r>
          <rPr>
            <sz val="9"/>
            <color indexed="81"/>
            <rFont val="Tahoma"/>
            <family val="2"/>
          </rPr>
          <t xml:space="preserve">
Height of previous years' summer surface on stake. Value is derived from subtracting stake snow depth from the length of stake below surface. See formula.</t>
        </r>
      </text>
    </comment>
    <comment ref="M4" authorId="0" shapeId="0" xr:uid="{00000000-0006-0000-0400-00000D000000}">
      <text>
        <r>
          <rPr>
            <b/>
            <sz val="9"/>
            <color indexed="81"/>
            <rFont val="Tahoma"/>
            <family val="2"/>
          </rPr>
          <t>cmcneil:</t>
        </r>
        <r>
          <rPr>
            <sz val="9"/>
            <color indexed="81"/>
            <rFont val="Tahoma"/>
            <family val="2"/>
          </rPr>
          <t xml:space="preserve">
Height of previous years' summer surface on stake. Value is derived from subtracting stake snow depth from the length of stake below surface. See formula.</t>
        </r>
      </text>
    </comment>
    <comment ref="N4" authorId="0" shapeId="0" xr:uid="{00000000-0006-0000-0400-00000E000000}">
      <text>
        <r>
          <rPr>
            <b/>
            <sz val="9"/>
            <color indexed="81"/>
            <rFont val="Tahoma"/>
            <family val="2"/>
          </rPr>
          <t>cmcneil:</t>
        </r>
        <r>
          <rPr>
            <sz val="9"/>
            <color indexed="81"/>
            <rFont val="Tahoma"/>
            <family val="2"/>
          </rPr>
          <t xml:space="preserve">
Density of firn at location. If know link from pit or core sheet for transerancy. Otherwise, justify the estimated value in the comments column, column T.</t>
        </r>
      </text>
    </comment>
    <comment ref="O4" authorId="0" shapeId="0" xr:uid="{00000000-0006-0000-0400-00000F00000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P4" authorId="0" shapeId="0" xr:uid="{00000000-0006-0000-0400-00001000000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Q4" authorId="0" shapeId="0" xr:uid="{00000000-0006-0000-0400-00001100000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R4" authorId="0" shapeId="0" xr:uid="{00000000-0006-0000-0400-000012000000}">
      <text>
        <r>
          <rPr>
            <b/>
            <sz val="9"/>
            <color indexed="81"/>
            <rFont val="Tahoma"/>
            <family val="2"/>
          </rPr>
          <t>cmcneil:</t>
        </r>
        <r>
          <rPr>
            <sz val="9"/>
            <color indexed="81"/>
            <rFont val="Tahoma"/>
            <family val="2"/>
          </rPr>
          <t xml:space="preserve">
Measurement of additional ablation that occurred between the previous fall and spring site visits. Calculated comparing the previous summer surface (column L) to the height of surface during previous fall site visit (column G).</t>
        </r>
      </text>
    </comment>
    <comment ref="S4" authorId="0" shapeId="0" xr:uid="{00000000-0006-0000-0400-000013000000}">
      <text>
        <r>
          <rPr>
            <b/>
            <sz val="9"/>
            <color indexed="81"/>
            <rFont val="Tahoma"/>
            <family val="2"/>
          </rPr>
          <t>cmcneil:</t>
        </r>
        <r>
          <rPr>
            <sz val="9"/>
            <color indexed="81"/>
            <rFont val="Tahoma"/>
            <family val="2"/>
          </rPr>
          <t xml:space="preserve">
Measurement of water equivalent mass accumulated on the surface during fall visits. If there was summer accumulation than there will not be winter ablation… Calculated by multipllying the depth of new snow (column J) by the density of that new snow(column K).</t>
        </r>
      </text>
    </comment>
    <comment ref="T4" authorId="0" shapeId="0" xr:uid="{00000000-0006-0000-0400-000014000000}">
      <text>
        <r>
          <rPr>
            <b/>
            <sz val="9"/>
            <color indexed="81"/>
            <rFont val="Tahoma"/>
            <family val="2"/>
          </rPr>
          <t>cmcneil:</t>
        </r>
        <r>
          <rPr>
            <sz val="9"/>
            <color indexed="81"/>
            <rFont val="Tahoma"/>
            <family val="2"/>
          </rPr>
          <t xml:space="preserve">
UTM easting of stake measured with GPS</t>
        </r>
      </text>
    </comment>
    <comment ref="U4" authorId="0" shapeId="0" xr:uid="{00000000-0006-0000-0400-000015000000}">
      <text>
        <r>
          <rPr>
            <b/>
            <sz val="9"/>
            <color indexed="81"/>
            <rFont val="Tahoma"/>
            <family val="2"/>
          </rPr>
          <t>cmcneil:</t>
        </r>
        <r>
          <rPr>
            <sz val="9"/>
            <color indexed="81"/>
            <rFont val="Tahoma"/>
            <family val="2"/>
          </rPr>
          <t xml:space="preserve">
UTM Northing of stake measured with GPS</t>
        </r>
      </text>
    </comment>
    <comment ref="V4" authorId="0" shapeId="0" xr:uid="{00000000-0006-0000-0400-000016000000}">
      <text>
        <r>
          <rPr>
            <b/>
            <sz val="9"/>
            <color indexed="81"/>
            <rFont val="Tahoma"/>
            <family val="2"/>
          </rPr>
          <t>cmcneil:</t>
        </r>
        <r>
          <rPr>
            <sz val="9"/>
            <color indexed="81"/>
            <rFont val="Tahoma"/>
            <family val="2"/>
          </rPr>
          <t xml:space="preserve">
Elevation of stake measured with GPS as height above ellipsoid</t>
        </r>
      </text>
    </comment>
    <comment ref="W4" authorId="0" shapeId="0" xr:uid="{00000000-0006-0000-0400-000017000000}">
      <text>
        <r>
          <rPr>
            <b/>
            <sz val="9"/>
            <color indexed="81"/>
            <rFont val="Tahoma"/>
            <family val="2"/>
          </rPr>
          <t>cmcneil:</t>
        </r>
        <r>
          <rPr>
            <sz val="9"/>
            <color indexed="81"/>
            <rFont val="Tahoma"/>
            <family val="2"/>
          </rPr>
          <t xml:space="preserve">
Any additional notes on measurement records or approximations made. This is critical for proper metadata and archiving. </t>
        </r>
      </text>
    </comment>
    <comment ref="K12" authorId="1" shapeId="0" xr:uid="{B6E1D4EE-930D-49EB-BDE9-213E629254BE}">
      <text>
        <r>
          <rPr>
            <b/>
            <sz val="9"/>
            <color indexed="81"/>
            <rFont val="Tahoma"/>
            <family val="2"/>
          </rPr>
          <t>Bollen, Katherine Eleanore:</t>
        </r>
        <r>
          <rPr>
            <sz val="9"/>
            <color indexed="81"/>
            <rFont val="Tahoma"/>
            <family val="2"/>
          </rPr>
          <t xml:space="preserve">
estimated</t>
        </r>
      </text>
    </comment>
    <comment ref="E38" authorId="2" shapeId="0" xr:uid="{9E68F2AE-AB3B-4A1D-9BE9-1E9EC58F2986}">
      <text>
        <t>[Threaded comment]
Your version of Excel allows you to read this threaded comment; however, any edits to it will get removed if the file is opened in a newer version of Excel. Learn more: https://go.microsoft.com/fwlink/?linkid=870924
Comment:
    Removed 6.10m section and was unable to get it back on to coupler in drill hole...</t>
      </text>
    </comment>
    <comment ref="E52" authorId="3" shapeId="0" xr:uid="{FA1D7952-A948-4F3D-9CC0-D090C3BC4BEF}">
      <text>
        <t>[Threaded comment]
Your version of Excel allows you to read this threaded comment; however, any edits to it will get removed if the file is opened in a newer version of Excel. Learn more: https://go.microsoft.com/fwlink/?linkid=870924
Comment:
    Additional wand taped to top section reaches close to 12m total length--~5+m above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cmcneil</author>
    <author>tc={C631F6AD-C92B-4EA9-A958-FAE8B8AAD9F0}</author>
    <author>tc={5077E546-3F87-486E-82E4-74B6B4F54646}</author>
    <author>tc={77DD3D06-12DC-4A1D-B3C2-49CE10B3DA51}</author>
    <author>Baker, Emily Hewitt</author>
  </authors>
  <commentList>
    <comment ref="A4" authorId="0" shapeId="0" xr:uid="{00000000-0006-0000-0500-000001000000}">
      <text>
        <r>
          <rPr>
            <b/>
            <sz val="9"/>
            <color indexed="81"/>
            <rFont val="Tahoma"/>
            <family val="2"/>
          </rPr>
          <t>cmcneil:</t>
        </r>
        <r>
          <rPr>
            <sz val="9"/>
            <color indexed="81"/>
            <rFont val="Tahoma"/>
            <family val="2"/>
          </rPr>
          <t xml:space="preserve">
Date of site visit</t>
        </r>
      </text>
    </comment>
    <comment ref="B4" authorId="0" shapeId="0" xr:uid="{00000000-0006-0000-0500-000002000000}">
      <text>
        <r>
          <rPr>
            <b/>
            <sz val="9"/>
            <color indexed="81"/>
            <rFont val="Tahoma"/>
            <family val="2"/>
          </rPr>
          <t>cmcneil:</t>
        </r>
        <r>
          <rPr>
            <sz val="9"/>
            <color indexed="81"/>
            <rFont val="Tahoma"/>
            <family val="2"/>
          </rPr>
          <t xml:space="preserve">
Notebook field data can be found in</t>
        </r>
      </text>
    </comment>
    <comment ref="C4" authorId="0" shapeId="0" xr:uid="{00000000-0006-0000-0500-000003000000}">
      <text>
        <r>
          <rPr>
            <b/>
            <sz val="9"/>
            <color indexed="81"/>
            <rFont val="Tahoma"/>
            <family val="2"/>
          </rPr>
          <t>cmcneil:</t>
        </r>
        <r>
          <rPr>
            <sz val="9"/>
            <color indexed="81"/>
            <rFont val="Tahoma"/>
            <family val="2"/>
          </rPr>
          <t xml:space="preserve">
Name of the stake, eg. 17AU</t>
        </r>
      </text>
    </comment>
    <comment ref="D4" authorId="0" shapeId="0" xr:uid="{00000000-0006-0000-0500-000004000000}">
      <text>
        <r>
          <rPr>
            <b/>
            <sz val="9"/>
            <color indexed="81"/>
            <rFont val="Tahoma"/>
            <family val="2"/>
          </rPr>
          <t>cmcneil:</t>
        </r>
        <r>
          <rPr>
            <sz val="9"/>
            <color indexed="81"/>
            <rFont val="Tahoma"/>
            <family val="2"/>
          </rPr>
          <t xml:space="preserve">
What the surface was during the site visit. Example: Snow, Firn, or Ice</t>
        </r>
      </text>
    </comment>
    <comment ref="E4" authorId="0" shapeId="0" xr:uid="{00000000-0006-0000-0500-000005000000}">
      <text>
        <r>
          <rPr>
            <b/>
            <sz val="9"/>
            <color indexed="81"/>
            <rFont val="Tahoma"/>
            <family val="2"/>
          </rPr>
          <t>cmcneil:</t>
        </r>
        <r>
          <rPr>
            <sz val="9"/>
            <color indexed="81"/>
            <rFont val="Tahoma"/>
            <family val="2"/>
          </rPr>
          <t xml:space="preserve">
Total length of stake</t>
        </r>
      </text>
    </comment>
    <comment ref="F4" authorId="0" shapeId="0" xr:uid="{00000000-0006-0000-0500-000006000000}">
      <text>
        <r>
          <rPr>
            <b/>
            <sz val="9"/>
            <color indexed="81"/>
            <rFont val="Tahoma"/>
            <family val="2"/>
          </rPr>
          <t>cmcneil:</t>
        </r>
        <r>
          <rPr>
            <sz val="9"/>
            <color indexed="81"/>
            <rFont val="Tahoma"/>
            <family val="2"/>
          </rPr>
          <t xml:space="preserve">
Length of stake above the surface noted in column D</t>
        </r>
      </text>
    </comment>
    <comment ref="G4" authorId="0" shapeId="0" xr:uid="{00000000-0006-0000-0500-000007000000}">
      <text>
        <r>
          <rPr>
            <b/>
            <sz val="9"/>
            <color indexed="81"/>
            <rFont val="Tahoma"/>
            <family val="2"/>
          </rPr>
          <t>cmcneil:</t>
        </r>
        <r>
          <rPr>
            <sz val="9"/>
            <color indexed="81"/>
            <rFont val="Tahoma"/>
            <family val="2"/>
          </rPr>
          <t xml:space="preserve">
Length of stake still below the surface noted in column D</t>
        </r>
      </text>
    </comment>
    <comment ref="H4" authorId="0" shapeId="0" xr:uid="{00000000-0006-0000-0500-000008000000}">
      <text>
        <r>
          <rPr>
            <b/>
            <sz val="9"/>
            <color indexed="81"/>
            <rFont val="Tahoma"/>
            <family val="2"/>
          </rPr>
          <t>cmcneil:</t>
        </r>
        <r>
          <rPr>
            <sz val="9"/>
            <color indexed="81"/>
            <rFont val="Tahoma"/>
            <family val="2"/>
          </rPr>
          <t xml:space="preserve">
Change in stake since previous site visits</t>
        </r>
      </text>
    </comment>
    <comment ref="I4" authorId="0" shapeId="0" xr:uid="{00000000-0006-0000-0500-000009000000}">
      <text>
        <r>
          <rPr>
            <b/>
            <sz val="9"/>
            <color indexed="81"/>
            <rFont val="Tahoma"/>
            <family val="2"/>
          </rPr>
          <t>cmcneil:</t>
        </r>
        <r>
          <rPr>
            <sz val="9"/>
            <color indexed="81"/>
            <rFont val="Tahoma"/>
            <family val="2"/>
          </rPr>
          <t xml:space="preserve">
Closest measurement to the stake. This number is needed to estimate winter ablation in Column Q. DO NOT TYPE NUMBER INTO CELL. LINK TO PIT OR CORE SHEET FOR TRANSPARENCY.</t>
        </r>
      </text>
    </comment>
    <comment ref="J4" authorId="0" shapeId="0" xr:uid="{00000000-0006-0000-0500-00000A000000}">
      <text>
        <r>
          <rPr>
            <b/>
            <sz val="9"/>
            <color indexed="81"/>
            <rFont val="Tahoma"/>
            <family val="2"/>
          </rPr>
          <t>cmcneil:</t>
        </r>
        <r>
          <rPr>
            <sz val="9"/>
            <color indexed="81"/>
            <rFont val="Tahoma"/>
            <family val="2"/>
          </rPr>
          <t xml:space="preserve">
Average of snowpit, stake, probe, and/or crevasse stratigraphy observations made at site location (&lt;~30m from index site).DO NOT TYPE NUMBER INTO CELL. LINK TO PIT OR CORE SHEET FOR TRANSPARENCY.</t>
        </r>
      </text>
    </comment>
    <comment ref="K4" authorId="0" shapeId="0" xr:uid="{00000000-0006-0000-0500-00000B000000}">
      <text>
        <r>
          <rPr>
            <b/>
            <sz val="9"/>
            <color indexed="81"/>
            <rFont val="Tahoma"/>
            <family val="2"/>
          </rPr>
          <t>cmcneil:</t>
        </r>
        <r>
          <rPr>
            <sz val="9"/>
            <color indexed="81"/>
            <rFont val="Tahoma"/>
            <family val="2"/>
          </rPr>
          <t xml:space="preserve">
Density of snow still present during site visit. DO NOT TYPE NUMBER INTO CELL. LINK TO PIT OR CORE SHEET FOR TRANSPARENCY. If density was not measured justify the estimatation in column W</t>
        </r>
      </text>
    </comment>
    <comment ref="L4" authorId="0" shapeId="0" xr:uid="{00000000-0006-0000-0500-00000C000000}">
      <text>
        <r>
          <rPr>
            <b/>
            <sz val="9"/>
            <color indexed="81"/>
            <rFont val="Tahoma"/>
            <family val="2"/>
          </rPr>
          <t>cmcneil:</t>
        </r>
        <r>
          <rPr>
            <sz val="9"/>
            <color indexed="81"/>
            <rFont val="Tahoma"/>
            <family val="2"/>
          </rPr>
          <t xml:space="preserve">
Height of previous years' summer surface on stake. Value is derived from subtracting stake snow depth from the length of stake below surface. See formula.</t>
        </r>
      </text>
    </comment>
    <comment ref="M4" authorId="0" shapeId="0" xr:uid="{00000000-0006-0000-0500-00000D000000}">
      <text>
        <r>
          <rPr>
            <b/>
            <sz val="9"/>
            <color indexed="81"/>
            <rFont val="Tahoma"/>
            <family val="2"/>
          </rPr>
          <t>cmcneil:</t>
        </r>
        <r>
          <rPr>
            <sz val="9"/>
            <color indexed="81"/>
            <rFont val="Tahoma"/>
            <family val="2"/>
          </rPr>
          <t xml:space="preserve">
Height of previous years' summer surface on stake. Value is derived from subtracting stake snow depth from the length of stake below surface. See formula.</t>
        </r>
      </text>
    </comment>
    <comment ref="N4" authorId="0" shapeId="0" xr:uid="{00000000-0006-0000-0500-00000E000000}">
      <text>
        <r>
          <rPr>
            <b/>
            <sz val="9"/>
            <color indexed="81"/>
            <rFont val="Tahoma"/>
            <family val="2"/>
          </rPr>
          <t>cmcneil:</t>
        </r>
        <r>
          <rPr>
            <sz val="9"/>
            <color indexed="81"/>
            <rFont val="Tahoma"/>
            <family val="2"/>
          </rPr>
          <t xml:space="preserve">
Density of firn at location. If know link from pit or core sheet for transerancy. Otherwise, justify the estimated value in the comments column, column T.</t>
        </r>
      </text>
    </comment>
    <comment ref="O4" authorId="0" shapeId="0" xr:uid="{00000000-0006-0000-0500-00000F00000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P4" authorId="0" shapeId="0" xr:uid="{00000000-0006-0000-0500-00001000000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Q4" authorId="0" shapeId="0" xr:uid="{00000000-0006-0000-0500-00001100000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R4" authorId="0" shapeId="0" xr:uid="{00000000-0006-0000-0500-000012000000}">
      <text>
        <r>
          <rPr>
            <b/>
            <sz val="9"/>
            <color indexed="81"/>
            <rFont val="Tahoma"/>
            <family val="2"/>
          </rPr>
          <t>cmcneil:</t>
        </r>
        <r>
          <rPr>
            <sz val="9"/>
            <color indexed="81"/>
            <rFont val="Tahoma"/>
            <family val="2"/>
          </rPr>
          <t xml:space="preserve">
Measurement of additional ablation that occurred between the previous fall and spring site visits. Calculated comparing the previous summer surface (column L) to the height of surface during previous fall site visit (column G).</t>
        </r>
      </text>
    </comment>
    <comment ref="S4" authorId="0" shapeId="0" xr:uid="{00000000-0006-0000-0500-000013000000}">
      <text>
        <r>
          <rPr>
            <b/>
            <sz val="9"/>
            <color indexed="81"/>
            <rFont val="Tahoma"/>
            <family val="2"/>
          </rPr>
          <t>cmcneil:</t>
        </r>
        <r>
          <rPr>
            <sz val="9"/>
            <color indexed="81"/>
            <rFont val="Tahoma"/>
            <family val="2"/>
          </rPr>
          <t xml:space="preserve">
Measurement of water equivalent mass accumulated on the surface during fall visits. If there was summer accumulation than there will not be winter ablation… Calculated by multipllying the depth of new snow (column J) by the density of that new snow(column K).</t>
        </r>
      </text>
    </comment>
    <comment ref="T4" authorId="0" shapeId="0" xr:uid="{00000000-0006-0000-0500-000014000000}">
      <text>
        <r>
          <rPr>
            <b/>
            <sz val="9"/>
            <color indexed="81"/>
            <rFont val="Tahoma"/>
            <family val="2"/>
          </rPr>
          <t>cmcneil:</t>
        </r>
        <r>
          <rPr>
            <sz val="9"/>
            <color indexed="81"/>
            <rFont val="Tahoma"/>
            <family val="2"/>
          </rPr>
          <t xml:space="preserve">
UTM easting of stake measured with GPS</t>
        </r>
      </text>
    </comment>
    <comment ref="U4" authorId="0" shapeId="0" xr:uid="{00000000-0006-0000-0500-000015000000}">
      <text>
        <r>
          <rPr>
            <b/>
            <sz val="9"/>
            <color indexed="81"/>
            <rFont val="Tahoma"/>
            <family val="2"/>
          </rPr>
          <t>cmcneil:</t>
        </r>
        <r>
          <rPr>
            <sz val="9"/>
            <color indexed="81"/>
            <rFont val="Tahoma"/>
            <family val="2"/>
          </rPr>
          <t xml:space="preserve">
UTM Northing of stake measured with GPS</t>
        </r>
      </text>
    </comment>
    <comment ref="V4" authorId="0" shapeId="0" xr:uid="{00000000-0006-0000-0500-000016000000}">
      <text>
        <r>
          <rPr>
            <b/>
            <sz val="9"/>
            <color indexed="81"/>
            <rFont val="Tahoma"/>
            <family val="2"/>
          </rPr>
          <t>cmcneil:</t>
        </r>
        <r>
          <rPr>
            <sz val="9"/>
            <color indexed="81"/>
            <rFont val="Tahoma"/>
            <family val="2"/>
          </rPr>
          <t xml:space="preserve">
Elevation of stake measured with GPS as height above ellipsoid</t>
        </r>
      </text>
    </comment>
    <comment ref="W4" authorId="0" shapeId="0" xr:uid="{00000000-0006-0000-0500-000017000000}">
      <text>
        <r>
          <rPr>
            <b/>
            <sz val="9"/>
            <color indexed="81"/>
            <rFont val="Tahoma"/>
            <family val="2"/>
          </rPr>
          <t>cmcneil:</t>
        </r>
        <r>
          <rPr>
            <sz val="9"/>
            <color indexed="81"/>
            <rFont val="Tahoma"/>
            <family val="2"/>
          </rPr>
          <t xml:space="preserve">
Any additional notes on measurement records or approximations made. This is critical for proper metadata and archiving. </t>
        </r>
      </text>
    </comment>
    <comment ref="G12" authorId="1" shapeId="0" xr:uid="{C631F6AD-C92B-4EA9-A958-FAE8B8AAD9F0}">
      <text>
        <t>[Threaded comment]
Your version of Excel allows you to read this threaded comment; however, any edits to it will get removed if the file is opened in a newer version of Excel. Learn more: https://go.microsoft.com/fwlink/?linkid=870924
Comment:
    stake bent</t>
      </text>
    </comment>
    <comment ref="R13" authorId="2" shapeId="0" xr:uid="{5077E546-3F87-486E-82E4-74B6B4F54646}">
      <text>
        <t>[Threaded comment]
Your version of Excel allows you to read this threaded comment; however, any edits to it will get removed if the file is opened in a newer version of Excel. Learn more: https://go.microsoft.com/fwlink/?linkid=870924
Comment:
    Stake bent several times over the winter, so not a valid measure of winter ablation. Will need to measure in the fall.</t>
      </text>
    </comment>
    <comment ref="G17" authorId="3" shapeId="0" xr:uid="{77DD3D06-12DC-4A1D-B3C2-49CE10B3DA51}">
      <text>
        <t>[Threaded comment]
Your version of Excel allows you to read this threaded comment; however, any edits to it will get removed if the file is opened in a newer version of Excel. Learn more: https://go.microsoft.com/fwlink/?linkid=870924
Comment:
    stake bent</t>
      </text>
    </comment>
    <comment ref="G28" authorId="4" shapeId="0" xr:uid="{20B5DA9B-3FFA-4144-AD1D-0F015FBAB7AC}">
      <text>
        <r>
          <rPr>
            <b/>
            <sz val="9"/>
            <color indexed="81"/>
            <rFont val="Tahoma"/>
            <charset val="1"/>
          </rPr>
          <t>Baker, Emily Hewitt:</t>
        </r>
        <r>
          <rPr>
            <sz val="9"/>
            <color indexed="81"/>
            <rFont val="Tahoma"/>
            <charset val="1"/>
          </rPr>
          <t xml:space="preserve">
stake bent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cmcneil</author>
    <author>tc={EEED9372-521F-480C-B852-3F44D3AD39A6}</author>
  </authors>
  <commentList>
    <comment ref="A4" authorId="0" shapeId="0" xr:uid="{00000000-0006-0000-0600-000001000000}">
      <text>
        <r>
          <rPr>
            <b/>
            <sz val="9"/>
            <color indexed="81"/>
            <rFont val="Tahoma"/>
            <family val="2"/>
          </rPr>
          <t>cmcneil:</t>
        </r>
        <r>
          <rPr>
            <sz val="9"/>
            <color indexed="81"/>
            <rFont val="Tahoma"/>
            <family val="2"/>
          </rPr>
          <t xml:space="preserve">
Date of site visit</t>
        </r>
      </text>
    </comment>
    <comment ref="B4" authorId="0" shapeId="0" xr:uid="{00000000-0006-0000-0600-000002000000}">
      <text>
        <r>
          <rPr>
            <b/>
            <sz val="9"/>
            <color indexed="81"/>
            <rFont val="Tahoma"/>
            <family val="2"/>
          </rPr>
          <t>cmcneil:</t>
        </r>
        <r>
          <rPr>
            <sz val="9"/>
            <color indexed="81"/>
            <rFont val="Tahoma"/>
            <family val="2"/>
          </rPr>
          <t xml:space="preserve">
Notebook field data can be found in</t>
        </r>
      </text>
    </comment>
    <comment ref="C4" authorId="0" shapeId="0" xr:uid="{00000000-0006-0000-0600-000003000000}">
      <text>
        <r>
          <rPr>
            <b/>
            <sz val="9"/>
            <color indexed="81"/>
            <rFont val="Tahoma"/>
            <family val="2"/>
          </rPr>
          <t>cmcneil:</t>
        </r>
        <r>
          <rPr>
            <sz val="9"/>
            <color indexed="81"/>
            <rFont val="Tahoma"/>
            <family val="2"/>
          </rPr>
          <t xml:space="preserve">
Name of the stake, eg. 17AU</t>
        </r>
      </text>
    </comment>
    <comment ref="D4" authorId="0" shapeId="0" xr:uid="{00000000-0006-0000-0600-000004000000}">
      <text>
        <r>
          <rPr>
            <b/>
            <sz val="9"/>
            <color indexed="81"/>
            <rFont val="Tahoma"/>
            <family val="2"/>
          </rPr>
          <t>cmcneil:</t>
        </r>
        <r>
          <rPr>
            <sz val="9"/>
            <color indexed="81"/>
            <rFont val="Tahoma"/>
            <family val="2"/>
          </rPr>
          <t xml:space="preserve">
What the surface was during the site visit. Example: Snow, Firn, or Ice</t>
        </r>
      </text>
    </comment>
    <comment ref="E4" authorId="0" shapeId="0" xr:uid="{00000000-0006-0000-0600-000005000000}">
      <text>
        <r>
          <rPr>
            <b/>
            <sz val="9"/>
            <color indexed="81"/>
            <rFont val="Tahoma"/>
            <family val="2"/>
          </rPr>
          <t>cmcneil:</t>
        </r>
        <r>
          <rPr>
            <sz val="9"/>
            <color indexed="81"/>
            <rFont val="Tahoma"/>
            <family val="2"/>
          </rPr>
          <t xml:space="preserve">
Total length of stake</t>
        </r>
      </text>
    </comment>
    <comment ref="F4" authorId="0" shapeId="0" xr:uid="{00000000-0006-0000-0600-000006000000}">
      <text>
        <r>
          <rPr>
            <b/>
            <sz val="9"/>
            <color indexed="81"/>
            <rFont val="Tahoma"/>
            <family val="2"/>
          </rPr>
          <t>cmcneil:</t>
        </r>
        <r>
          <rPr>
            <sz val="9"/>
            <color indexed="81"/>
            <rFont val="Tahoma"/>
            <family val="2"/>
          </rPr>
          <t xml:space="preserve">
Length of stake above the surface noted in column D</t>
        </r>
      </text>
    </comment>
    <comment ref="G4" authorId="0" shapeId="0" xr:uid="{00000000-0006-0000-0600-000007000000}">
      <text>
        <r>
          <rPr>
            <b/>
            <sz val="9"/>
            <color indexed="81"/>
            <rFont val="Tahoma"/>
            <family val="2"/>
          </rPr>
          <t>cmcneil:</t>
        </r>
        <r>
          <rPr>
            <sz val="9"/>
            <color indexed="81"/>
            <rFont val="Tahoma"/>
            <family val="2"/>
          </rPr>
          <t xml:space="preserve">
Length of stake still below the surface noted in column D</t>
        </r>
      </text>
    </comment>
    <comment ref="H4" authorId="0" shapeId="0" xr:uid="{00000000-0006-0000-0600-000008000000}">
      <text>
        <r>
          <rPr>
            <b/>
            <sz val="9"/>
            <color indexed="81"/>
            <rFont val="Tahoma"/>
            <family val="2"/>
          </rPr>
          <t>cmcneil:</t>
        </r>
        <r>
          <rPr>
            <sz val="9"/>
            <color indexed="81"/>
            <rFont val="Tahoma"/>
            <family val="2"/>
          </rPr>
          <t xml:space="preserve">
Change in stake since previous site visits</t>
        </r>
      </text>
    </comment>
    <comment ref="I4" authorId="0" shapeId="0" xr:uid="{00000000-0006-0000-0600-000009000000}">
      <text>
        <r>
          <rPr>
            <b/>
            <sz val="9"/>
            <color indexed="81"/>
            <rFont val="Tahoma"/>
            <family val="2"/>
          </rPr>
          <t>cmcneil:</t>
        </r>
        <r>
          <rPr>
            <sz val="9"/>
            <color indexed="81"/>
            <rFont val="Tahoma"/>
            <family val="2"/>
          </rPr>
          <t xml:space="preserve">
Closest measurement to the stake. This number is needed to estimate winter ablation in Column Q. DO NOT TYPE NUMBER INTO CELL. LINK TO PIT OR CORE SHEET FOR TRANSPARENCY.</t>
        </r>
      </text>
    </comment>
    <comment ref="J4" authorId="0" shapeId="0" xr:uid="{00000000-0006-0000-0600-00000A000000}">
      <text>
        <r>
          <rPr>
            <b/>
            <sz val="9"/>
            <color indexed="81"/>
            <rFont val="Tahoma"/>
            <family val="2"/>
          </rPr>
          <t>cmcneil:</t>
        </r>
        <r>
          <rPr>
            <sz val="9"/>
            <color indexed="81"/>
            <rFont val="Tahoma"/>
            <family val="2"/>
          </rPr>
          <t xml:space="preserve">
Average of snowpit, stake, probe, and/or crevasse stratigraphy observations made at site location (&lt;~30m from index site).DO NOT TYPE NUMBER INTO CELL. LINK TO PIT OR CORE SHEET FOR TRANSPARENCY.</t>
        </r>
      </text>
    </comment>
    <comment ref="K4" authorId="0" shapeId="0" xr:uid="{00000000-0006-0000-0600-00000B000000}">
      <text>
        <r>
          <rPr>
            <b/>
            <sz val="9"/>
            <color indexed="81"/>
            <rFont val="Tahoma"/>
            <family val="2"/>
          </rPr>
          <t>cmcneil:</t>
        </r>
        <r>
          <rPr>
            <sz val="9"/>
            <color indexed="81"/>
            <rFont val="Tahoma"/>
            <family val="2"/>
          </rPr>
          <t xml:space="preserve">
Density of snow still present during site visit. DO NOT TYPE NUMBER INTO CELL. LINK TO PIT OR CORE SHEET FOR TRANSPARENCY. If density was not measured justify the estimatation in column W</t>
        </r>
      </text>
    </comment>
    <comment ref="L4" authorId="0" shapeId="0" xr:uid="{00000000-0006-0000-0600-00000C000000}">
      <text>
        <r>
          <rPr>
            <b/>
            <sz val="9"/>
            <color indexed="81"/>
            <rFont val="Tahoma"/>
            <family val="2"/>
          </rPr>
          <t>cmcneil:</t>
        </r>
        <r>
          <rPr>
            <sz val="9"/>
            <color indexed="81"/>
            <rFont val="Tahoma"/>
            <family val="2"/>
          </rPr>
          <t xml:space="preserve">
Height of previous years' summer surface on stake. Value is derived from subtracting stake snow depth from the length of stake below surface. See formula.</t>
        </r>
      </text>
    </comment>
    <comment ref="M4" authorId="0" shapeId="0" xr:uid="{00000000-0006-0000-0600-00000D000000}">
      <text>
        <r>
          <rPr>
            <b/>
            <sz val="9"/>
            <color indexed="81"/>
            <rFont val="Tahoma"/>
            <family val="2"/>
          </rPr>
          <t>cmcneil:</t>
        </r>
        <r>
          <rPr>
            <sz val="9"/>
            <color indexed="81"/>
            <rFont val="Tahoma"/>
            <family val="2"/>
          </rPr>
          <t xml:space="preserve">
Height of previous years' summer surface on stake. Value is derived from subtracting stake snow depth from the length of stake below surface. See formula.</t>
        </r>
      </text>
    </comment>
    <comment ref="N4" authorId="0" shapeId="0" xr:uid="{00000000-0006-0000-0600-00000E000000}">
      <text>
        <r>
          <rPr>
            <b/>
            <sz val="9"/>
            <color indexed="81"/>
            <rFont val="Tahoma"/>
            <family val="2"/>
          </rPr>
          <t>cmcneil:</t>
        </r>
        <r>
          <rPr>
            <sz val="9"/>
            <color indexed="81"/>
            <rFont val="Tahoma"/>
            <family val="2"/>
          </rPr>
          <t xml:space="preserve">
Density of firn at location. If know link from pit or core sheet for transerancy. Otherwise, justify the estimated value in the comments column, column T.</t>
        </r>
      </text>
    </comment>
    <comment ref="O4" authorId="0" shapeId="0" xr:uid="{00000000-0006-0000-0600-00000F00000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P4" authorId="0" shapeId="0" xr:uid="{00000000-0006-0000-0600-00001000000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Q4" authorId="0" shapeId="0" xr:uid="{00000000-0006-0000-0600-00001100000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R4" authorId="0" shapeId="0" xr:uid="{00000000-0006-0000-0600-000012000000}">
      <text>
        <r>
          <rPr>
            <b/>
            <sz val="9"/>
            <color indexed="81"/>
            <rFont val="Tahoma"/>
            <family val="2"/>
          </rPr>
          <t>cmcneil:</t>
        </r>
        <r>
          <rPr>
            <sz val="9"/>
            <color indexed="81"/>
            <rFont val="Tahoma"/>
            <family val="2"/>
          </rPr>
          <t xml:space="preserve">
Measurement of additional ablation that occurred between the previous fall and spring site visits. Calculated comparing the previous summer surface (column L) to the height of surface during previous fall site visit (column G).</t>
        </r>
      </text>
    </comment>
    <comment ref="S4" authorId="0" shapeId="0" xr:uid="{00000000-0006-0000-0600-000013000000}">
      <text>
        <r>
          <rPr>
            <b/>
            <sz val="9"/>
            <color indexed="81"/>
            <rFont val="Tahoma"/>
            <family val="2"/>
          </rPr>
          <t>cmcneil:</t>
        </r>
        <r>
          <rPr>
            <sz val="9"/>
            <color indexed="81"/>
            <rFont val="Tahoma"/>
            <family val="2"/>
          </rPr>
          <t xml:space="preserve">
Measurement of water equivalent mass accumulated on the surface during fall visits. If there was summer accumulation than there will not be winter ablation… Calculated by multipllying the depth of new snow (column J) by the density of that new snow(column K).</t>
        </r>
      </text>
    </comment>
    <comment ref="T4" authorId="0" shapeId="0" xr:uid="{00000000-0006-0000-0600-000014000000}">
      <text>
        <r>
          <rPr>
            <b/>
            <sz val="9"/>
            <color indexed="81"/>
            <rFont val="Tahoma"/>
            <family val="2"/>
          </rPr>
          <t>cmcneil:</t>
        </r>
        <r>
          <rPr>
            <sz val="9"/>
            <color indexed="81"/>
            <rFont val="Tahoma"/>
            <family val="2"/>
          </rPr>
          <t xml:space="preserve">
UTM easting of stake measured with GPS</t>
        </r>
      </text>
    </comment>
    <comment ref="U4" authorId="0" shapeId="0" xr:uid="{00000000-0006-0000-0600-000015000000}">
      <text>
        <r>
          <rPr>
            <b/>
            <sz val="9"/>
            <color indexed="81"/>
            <rFont val="Tahoma"/>
            <family val="2"/>
          </rPr>
          <t>cmcneil:</t>
        </r>
        <r>
          <rPr>
            <sz val="9"/>
            <color indexed="81"/>
            <rFont val="Tahoma"/>
            <family val="2"/>
          </rPr>
          <t xml:space="preserve">
UTM Northing of stake measured with GPS</t>
        </r>
      </text>
    </comment>
    <comment ref="V4" authorId="0" shapeId="0" xr:uid="{00000000-0006-0000-0600-000016000000}">
      <text>
        <r>
          <rPr>
            <b/>
            <sz val="9"/>
            <color indexed="81"/>
            <rFont val="Tahoma"/>
            <family val="2"/>
          </rPr>
          <t>cmcneil:</t>
        </r>
        <r>
          <rPr>
            <sz val="9"/>
            <color indexed="81"/>
            <rFont val="Tahoma"/>
            <family val="2"/>
          </rPr>
          <t xml:space="preserve">
Elevation of stake measured with GPS as height above ellipsoid</t>
        </r>
      </text>
    </comment>
    <comment ref="W4" authorId="0" shapeId="0" xr:uid="{00000000-0006-0000-0600-000017000000}">
      <text>
        <r>
          <rPr>
            <b/>
            <sz val="9"/>
            <color indexed="81"/>
            <rFont val="Tahoma"/>
            <family val="2"/>
          </rPr>
          <t>cmcneil:</t>
        </r>
        <r>
          <rPr>
            <sz val="9"/>
            <color indexed="81"/>
            <rFont val="Tahoma"/>
            <family val="2"/>
          </rPr>
          <t xml:space="preserve">
Any additional notes on measurement records or approximations made. This is critical for proper metadata and archiving. </t>
        </r>
      </text>
    </comment>
    <comment ref="E18" authorId="1" shapeId="0" xr:uid="{EEED9372-521F-480C-B852-3F44D3AD39A6}">
      <text>
        <t>[Threaded comment]
Your version of Excel allows you to read this threaded comment; however, any edits to it will get removed if the file is opened in a newer version of Excel. Learn more: https://go.microsoft.com/fwlink/?linkid=870924
Comment:
    Additional wand on top not included in the 13.00m total length</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cmcneil</author>
    <author>Baker, Emily Hewitt</author>
    <author>tc={8F2C332E-9F91-45A9-99C1-E19D5BDA90A1}</author>
    <author>lsass</author>
    <author>Sass, Louis</author>
  </authors>
  <commentList>
    <comment ref="A4" authorId="0" shapeId="0" xr:uid="{00000000-0006-0000-0700-000001000000}">
      <text>
        <r>
          <rPr>
            <b/>
            <sz val="9"/>
            <color indexed="81"/>
            <rFont val="Tahoma"/>
            <family val="2"/>
          </rPr>
          <t>cmcneil:</t>
        </r>
        <r>
          <rPr>
            <sz val="9"/>
            <color indexed="81"/>
            <rFont val="Tahoma"/>
            <family val="2"/>
          </rPr>
          <t xml:space="preserve">
Date of site visit</t>
        </r>
      </text>
    </comment>
    <comment ref="B4" authorId="0" shapeId="0" xr:uid="{00000000-0006-0000-0700-000002000000}">
      <text>
        <r>
          <rPr>
            <b/>
            <sz val="9"/>
            <color indexed="81"/>
            <rFont val="Tahoma"/>
            <family val="2"/>
          </rPr>
          <t>cmcneil:</t>
        </r>
        <r>
          <rPr>
            <sz val="9"/>
            <color indexed="81"/>
            <rFont val="Tahoma"/>
            <family val="2"/>
          </rPr>
          <t xml:space="preserve">
Notebook field data can be found in</t>
        </r>
      </text>
    </comment>
    <comment ref="C4" authorId="0" shapeId="0" xr:uid="{00000000-0006-0000-0700-000003000000}">
      <text>
        <r>
          <rPr>
            <b/>
            <sz val="9"/>
            <color indexed="81"/>
            <rFont val="Tahoma"/>
            <family val="2"/>
          </rPr>
          <t>cmcneil:</t>
        </r>
        <r>
          <rPr>
            <sz val="9"/>
            <color indexed="81"/>
            <rFont val="Tahoma"/>
            <family val="2"/>
          </rPr>
          <t xml:space="preserve">
Name of the stake, eg. 17AU</t>
        </r>
      </text>
    </comment>
    <comment ref="D4" authorId="0" shapeId="0" xr:uid="{00000000-0006-0000-0700-000004000000}">
      <text>
        <r>
          <rPr>
            <b/>
            <sz val="9"/>
            <color indexed="81"/>
            <rFont val="Tahoma"/>
            <family val="2"/>
          </rPr>
          <t>cmcneil:</t>
        </r>
        <r>
          <rPr>
            <sz val="9"/>
            <color indexed="81"/>
            <rFont val="Tahoma"/>
            <family val="2"/>
          </rPr>
          <t xml:space="preserve">
What the surface was during the site visit. Example: Snow, Firn, or Ice</t>
        </r>
      </text>
    </comment>
    <comment ref="E4" authorId="0" shapeId="0" xr:uid="{00000000-0006-0000-0700-000005000000}">
      <text>
        <r>
          <rPr>
            <b/>
            <sz val="9"/>
            <color indexed="81"/>
            <rFont val="Tahoma"/>
            <family val="2"/>
          </rPr>
          <t>cmcneil:</t>
        </r>
        <r>
          <rPr>
            <sz val="9"/>
            <color indexed="81"/>
            <rFont val="Tahoma"/>
            <family val="2"/>
          </rPr>
          <t xml:space="preserve">
Total length of stake</t>
        </r>
      </text>
    </comment>
    <comment ref="F4" authorId="0" shapeId="0" xr:uid="{00000000-0006-0000-0700-000006000000}">
      <text>
        <r>
          <rPr>
            <b/>
            <sz val="9"/>
            <color indexed="81"/>
            <rFont val="Tahoma"/>
            <family val="2"/>
          </rPr>
          <t>cmcneil:</t>
        </r>
        <r>
          <rPr>
            <sz val="9"/>
            <color indexed="81"/>
            <rFont val="Tahoma"/>
            <family val="2"/>
          </rPr>
          <t xml:space="preserve">
Length of stake above the surface noted in column D</t>
        </r>
      </text>
    </comment>
    <comment ref="G4" authorId="0" shapeId="0" xr:uid="{00000000-0006-0000-0700-000007000000}">
      <text>
        <r>
          <rPr>
            <b/>
            <sz val="9"/>
            <color indexed="81"/>
            <rFont val="Tahoma"/>
            <family val="2"/>
          </rPr>
          <t>cmcneil:</t>
        </r>
        <r>
          <rPr>
            <sz val="9"/>
            <color indexed="81"/>
            <rFont val="Tahoma"/>
            <family val="2"/>
          </rPr>
          <t xml:space="preserve">
Length of stake still below the surface noted in column D</t>
        </r>
      </text>
    </comment>
    <comment ref="H4" authorId="0" shapeId="0" xr:uid="{00000000-0006-0000-0700-000008000000}">
      <text>
        <r>
          <rPr>
            <b/>
            <sz val="9"/>
            <color indexed="81"/>
            <rFont val="Tahoma"/>
            <family val="2"/>
          </rPr>
          <t>cmcneil:</t>
        </r>
        <r>
          <rPr>
            <sz val="9"/>
            <color indexed="81"/>
            <rFont val="Tahoma"/>
            <family val="2"/>
          </rPr>
          <t xml:space="preserve">
Change in stake since previous site visits</t>
        </r>
      </text>
    </comment>
    <comment ref="I4" authorId="0" shapeId="0" xr:uid="{00000000-0006-0000-0700-000009000000}">
      <text>
        <r>
          <rPr>
            <b/>
            <sz val="9"/>
            <color indexed="81"/>
            <rFont val="Tahoma"/>
            <family val="2"/>
          </rPr>
          <t>cmcneil:</t>
        </r>
        <r>
          <rPr>
            <sz val="9"/>
            <color indexed="81"/>
            <rFont val="Tahoma"/>
            <family val="2"/>
          </rPr>
          <t xml:space="preserve">
Closest measurement to the stake. This number is needed to estimate winter ablation in Column Q. DO NOT TYPE NUMBER INTO CELL. LINK TO PIT OR CORE SHEET FOR TRANSPARENCY.</t>
        </r>
      </text>
    </comment>
    <comment ref="J4" authorId="0" shapeId="0" xr:uid="{00000000-0006-0000-0700-00000A000000}">
      <text>
        <r>
          <rPr>
            <b/>
            <sz val="9"/>
            <color indexed="81"/>
            <rFont val="Tahoma"/>
            <family val="2"/>
          </rPr>
          <t>cmcneil:</t>
        </r>
        <r>
          <rPr>
            <sz val="9"/>
            <color indexed="81"/>
            <rFont val="Tahoma"/>
            <family val="2"/>
          </rPr>
          <t xml:space="preserve">
Average of snowpit, stake, probe, and/or crevasse stratigraphy observations made at site location (&lt;~30m from index site).DO NOT TYPE NUMBER INTO CELL. LINK TO PIT OR CORE SHEET FOR TRANSPARENCY.</t>
        </r>
      </text>
    </comment>
    <comment ref="K4" authorId="0" shapeId="0" xr:uid="{00000000-0006-0000-0700-00000B000000}">
      <text>
        <r>
          <rPr>
            <b/>
            <sz val="9"/>
            <color indexed="81"/>
            <rFont val="Tahoma"/>
            <family val="2"/>
          </rPr>
          <t>cmcneil:</t>
        </r>
        <r>
          <rPr>
            <sz val="9"/>
            <color indexed="81"/>
            <rFont val="Tahoma"/>
            <family val="2"/>
          </rPr>
          <t xml:space="preserve">
Density of snow still present during site visit. DO NOT TYPE NUMBER INTO CELL. LINK TO PIT OR CORE SHEET FOR TRANSPARENCY. If density was not measured justify the estimatation in column W</t>
        </r>
      </text>
    </comment>
    <comment ref="L4" authorId="0" shapeId="0" xr:uid="{00000000-0006-0000-0700-00000C000000}">
      <text>
        <r>
          <rPr>
            <b/>
            <sz val="9"/>
            <color indexed="81"/>
            <rFont val="Tahoma"/>
            <family val="2"/>
          </rPr>
          <t>cmcneil:</t>
        </r>
        <r>
          <rPr>
            <sz val="9"/>
            <color indexed="81"/>
            <rFont val="Tahoma"/>
            <family val="2"/>
          </rPr>
          <t xml:space="preserve">
Height of previous years' summer surface on stake. Value is derived from subtracting stake snow depth from the length of stake below surface. See formula.</t>
        </r>
      </text>
    </comment>
    <comment ref="M4" authorId="0" shapeId="0" xr:uid="{00000000-0006-0000-0700-00000D000000}">
      <text>
        <r>
          <rPr>
            <b/>
            <sz val="9"/>
            <color indexed="81"/>
            <rFont val="Tahoma"/>
            <family val="2"/>
          </rPr>
          <t>cmcneil:</t>
        </r>
        <r>
          <rPr>
            <sz val="9"/>
            <color indexed="81"/>
            <rFont val="Tahoma"/>
            <family val="2"/>
          </rPr>
          <t xml:space="preserve">
Height of previous years' summer surface on stake. Value is derived from subtracting stake snow depth from the length of stake below surface. See formula.</t>
        </r>
      </text>
    </comment>
    <comment ref="N4" authorId="0" shapeId="0" xr:uid="{00000000-0006-0000-0700-00000E000000}">
      <text>
        <r>
          <rPr>
            <b/>
            <sz val="9"/>
            <color indexed="81"/>
            <rFont val="Tahoma"/>
            <family val="2"/>
          </rPr>
          <t>cmcneil:</t>
        </r>
        <r>
          <rPr>
            <sz val="9"/>
            <color indexed="81"/>
            <rFont val="Tahoma"/>
            <family val="2"/>
          </rPr>
          <t xml:space="preserve">
Density of firn at location. If know link from pit or core sheet for transerancy. Otherwise, justify the estimated value in the comments column, column T.</t>
        </r>
      </text>
    </comment>
    <comment ref="O4" authorId="0" shapeId="0" xr:uid="{00000000-0006-0000-0700-00000F00000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P4" authorId="0" shapeId="0" xr:uid="{00000000-0006-0000-0700-00001000000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Q4" authorId="0" shapeId="0" xr:uid="{00000000-0006-0000-0700-000011000000}">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R4" authorId="0" shapeId="0" xr:uid="{00000000-0006-0000-0700-000012000000}">
      <text>
        <r>
          <rPr>
            <b/>
            <sz val="9"/>
            <color indexed="81"/>
            <rFont val="Tahoma"/>
            <family val="2"/>
          </rPr>
          <t>cmcneil:</t>
        </r>
        <r>
          <rPr>
            <sz val="9"/>
            <color indexed="81"/>
            <rFont val="Tahoma"/>
            <family val="2"/>
          </rPr>
          <t xml:space="preserve">
Measurement of additional ablation that occurred between the previous fall and spring site visits. Calculated comparing the previous summer surface (column L) to the height of surface during previous fall site visit (column G).</t>
        </r>
      </text>
    </comment>
    <comment ref="S4" authorId="0" shapeId="0" xr:uid="{00000000-0006-0000-0700-000013000000}">
      <text>
        <r>
          <rPr>
            <b/>
            <sz val="9"/>
            <color indexed="81"/>
            <rFont val="Tahoma"/>
            <family val="2"/>
          </rPr>
          <t>cmcneil:</t>
        </r>
        <r>
          <rPr>
            <sz val="9"/>
            <color indexed="81"/>
            <rFont val="Tahoma"/>
            <family val="2"/>
          </rPr>
          <t xml:space="preserve">
Measurement of water equivalent mass accumulated on the surface during fall visits. If there was summer accumulation than there will not be winter ablation… Calculated by multipllying the depth of new snow (column J) by the density of that new snow(column K).</t>
        </r>
      </text>
    </comment>
    <comment ref="T4" authorId="0" shapeId="0" xr:uid="{00000000-0006-0000-0700-000014000000}">
      <text>
        <r>
          <rPr>
            <b/>
            <sz val="9"/>
            <color indexed="81"/>
            <rFont val="Tahoma"/>
            <family val="2"/>
          </rPr>
          <t>cmcneil:</t>
        </r>
        <r>
          <rPr>
            <sz val="9"/>
            <color indexed="81"/>
            <rFont val="Tahoma"/>
            <family val="2"/>
          </rPr>
          <t xml:space="preserve">
UTM easting of stake measured with GPS</t>
        </r>
      </text>
    </comment>
    <comment ref="U4" authorId="0" shapeId="0" xr:uid="{00000000-0006-0000-0700-000015000000}">
      <text>
        <r>
          <rPr>
            <b/>
            <sz val="9"/>
            <color indexed="81"/>
            <rFont val="Tahoma"/>
            <family val="2"/>
          </rPr>
          <t>cmcneil:</t>
        </r>
        <r>
          <rPr>
            <sz val="9"/>
            <color indexed="81"/>
            <rFont val="Tahoma"/>
            <family val="2"/>
          </rPr>
          <t xml:space="preserve">
UTM Northing of stake measured with GPS</t>
        </r>
      </text>
    </comment>
    <comment ref="V4" authorId="0" shapeId="0" xr:uid="{00000000-0006-0000-0700-000016000000}">
      <text>
        <r>
          <rPr>
            <b/>
            <sz val="9"/>
            <color indexed="81"/>
            <rFont val="Tahoma"/>
            <family val="2"/>
          </rPr>
          <t>cmcneil:</t>
        </r>
        <r>
          <rPr>
            <sz val="9"/>
            <color indexed="81"/>
            <rFont val="Tahoma"/>
            <family val="2"/>
          </rPr>
          <t xml:space="preserve">
Elevation of stake measured with GPS as height above ellipsoid</t>
        </r>
      </text>
    </comment>
    <comment ref="W4" authorId="0" shapeId="0" xr:uid="{00000000-0006-0000-0700-000017000000}">
      <text>
        <r>
          <rPr>
            <b/>
            <sz val="9"/>
            <color indexed="81"/>
            <rFont val="Tahoma"/>
            <family val="2"/>
          </rPr>
          <t>cmcneil:</t>
        </r>
        <r>
          <rPr>
            <sz val="9"/>
            <color indexed="81"/>
            <rFont val="Tahoma"/>
            <family val="2"/>
          </rPr>
          <t xml:space="preserve">
Any additional notes on measurement records or approximations made. This is critical for proper metadata and archiving. </t>
        </r>
      </text>
    </comment>
    <comment ref="F11" authorId="1" shapeId="0" xr:uid="{5E51861E-2D4C-4FD2-A3A9-D854B383B503}">
      <text>
        <r>
          <rPr>
            <b/>
            <sz val="9"/>
            <color indexed="81"/>
            <rFont val="Tahoma"/>
            <family val="2"/>
          </rPr>
          <t>Baker, Emily Hewitt:</t>
        </r>
        <r>
          <rPr>
            <sz val="9"/>
            <color indexed="81"/>
            <rFont val="Tahoma"/>
            <family val="2"/>
          </rPr>
          <t xml:space="preserve">
Upon arrival
</t>
        </r>
      </text>
    </comment>
    <comment ref="F12" authorId="1" shapeId="0" xr:uid="{7A0EB1A6-C8DA-40BA-952E-E7436914C3E1}">
      <text>
        <r>
          <rPr>
            <b/>
            <sz val="9"/>
            <color indexed="81"/>
            <rFont val="Tahoma"/>
            <family val="2"/>
          </rPr>
          <t>Baker, Emily Hewitt:</t>
        </r>
        <r>
          <rPr>
            <sz val="9"/>
            <color indexed="81"/>
            <rFont val="Tahoma"/>
            <family val="2"/>
          </rPr>
          <t xml:space="preserve">
After straightening
</t>
        </r>
      </text>
    </comment>
    <comment ref="F13" authorId="1" shapeId="0" xr:uid="{6EC1AA01-FBCD-4C6B-B1E3-D07DDA48F4C0}">
      <text>
        <r>
          <rPr>
            <b/>
            <sz val="9"/>
            <color indexed="81"/>
            <rFont val="Tahoma"/>
            <family val="2"/>
          </rPr>
          <t>Baker, Emily Hewitt:</t>
        </r>
        <r>
          <rPr>
            <sz val="9"/>
            <color indexed="81"/>
            <rFont val="Tahoma"/>
            <family val="2"/>
          </rPr>
          <t xml:space="preserve">
Upon Departure; has additional orange wand</t>
        </r>
      </text>
    </comment>
    <comment ref="I14" authorId="2" shapeId="0" xr:uid="{8F2C332E-9F91-45A9-99C1-E19D5BDA90A1}">
      <text>
        <t>[Threaded comment]
Your version of Excel allows you to read this threaded comment; however, any edits to it will get removed if the file is opened in a newer version of Excel. Learn more: https://go.microsoft.com/fwlink/?linkid=870924
Comment:
    Stake is slightly upstream of index site in a region of incrreasing snow thickness</t>
      </text>
    </comment>
    <comment ref="J14" authorId="3" shapeId="0" xr:uid="{07E73A74-8D39-4B3D-BB1B-A824A60DDC27}">
      <text>
        <r>
          <rPr>
            <b/>
            <sz val="9"/>
            <color indexed="81"/>
            <rFont val="Tahoma"/>
            <family val="2"/>
          </rPr>
          <t>lsass:</t>
        </r>
        <r>
          <rPr>
            <sz val="9"/>
            <color indexed="81"/>
            <rFont val="Tahoma"/>
            <family val="2"/>
          </rPr>
          <t xml:space="preserve">
downstream of stake, snow thickness increases significantly as you go upglacier
</t>
        </r>
      </text>
    </comment>
    <comment ref="K67" authorId="4" shapeId="0" xr:uid="{046618A4-4AAC-4AD7-AF0E-F74570CBF30A}">
      <text>
        <r>
          <rPr>
            <b/>
            <sz val="9"/>
            <color indexed="81"/>
            <rFont val="Tahoma"/>
            <family val="2"/>
          </rPr>
          <t>Sass, Louis:</t>
        </r>
        <r>
          <rPr>
            <sz val="9"/>
            <color indexed="81"/>
            <rFont val="Tahoma"/>
            <family val="2"/>
          </rPr>
          <t xml:space="preserve">
average of TU and C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cmcneil</author>
  </authors>
  <commentList>
    <comment ref="A4" authorId="0" shapeId="0" xr:uid="{5CEDD8F1-7700-4E85-9DBD-30B35B34DE39}">
      <text>
        <r>
          <rPr>
            <b/>
            <sz val="9"/>
            <color indexed="81"/>
            <rFont val="Tahoma"/>
            <family val="2"/>
          </rPr>
          <t>cmcneil:</t>
        </r>
        <r>
          <rPr>
            <sz val="9"/>
            <color indexed="81"/>
            <rFont val="Tahoma"/>
            <family val="2"/>
          </rPr>
          <t xml:space="preserve">
Date of site visit</t>
        </r>
      </text>
    </comment>
    <comment ref="B4" authorId="0" shapeId="0" xr:uid="{7A525E5F-C2A8-4EE3-AFA6-A4F9D7A303DA}">
      <text>
        <r>
          <rPr>
            <b/>
            <sz val="9"/>
            <color indexed="81"/>
            <rFont val="Tahoma"/>
            <family val="2"/>
          </rPr>
          <t>cmcneil:</t>
        </r>
        <r>
          <rPr>
            <sz val="9"/>
            <color indexed="81"/>
            <rFont val="Tahoma"/>
            <family val="2"/>
          </rPr>
          <t xml:space="preserve">
Notebook field data can be found in</t>
        </r>
      </text>
    </comment>
    <comment ref="C4" authorId="0" shapeId="0" xr:uid="{9580DA2A-3C1D-4708-BB34-2DF00FD04744}">
      <text>
        <r>
          <rPr>
            <b/>
            <sz val="9"/>
            <color indexed="81"/>
            <rFont val="Tahoma"/>
            <family val="2"/>
          </rPr>
          <t>cmcneil:</t>
        </r>
        <r>
          <rPr>
            <sz val="9"/>
            <color indexed="81"/>
            <rFont val="Tahoma"/>
            <family val="2"/>
          </rPr>
          <t xml:space="preserve">
Name of the stake, eg. 17AU</t>
        </r>
      </text>
    </comment>
    <comment ref="D4" authorId="0" shapeId="0" xr:uid="{0098EC44-770C-4FEC-A302-525745B5968C}">
      <text>
        <r>
          <rPr>
            <b/>
            <sz val="9"/>
            <color indexed="81"/>
            <rFont val="Tahoma"/>
            <family val="2"/>
          </rPr>
          <t>cmcneil:</t>
        </r>
        <r>
          <rPr>
            <sz val="9"/>
            <color indexed="81"/>
            <rFont val="Tahoma"/>
            <family val="2"/>
          </rPr>
          <t xml:space="preserve">
What the surface was during the site visit. Example: Snow, Firn, or Ice</t>
        </r>
      </text>
    </comment>
    <comment ref="E4" authorId="0" shapeId="0" xr:uid="{5D1111F9-6C1B-4E42-8F92-E3395ED4CEE7}">
      <text>
        <r>
          <rPr>
            <b/>
            <sz val="9"/>
            <color indexed="81"/>
            <rFont val="Tahoma"/>
            <family val="2"/>
          </rPr>
          <t>cmcneil:</t>
        </r>
        <r>
          <rPr>
            <sz val="9"/>
            <color indexed="81"/>
            <rFont val="Tahoma"/>
            <family val="2"/>
          </rPr>
          <t xml:space="preserve">
Total length of stake</t>
        </r>
      </text>
    </comment>
    <comment ref="F4" authorId="0" shapeId="0" xr:uid="{F85FD7C8-6CDD-4C0B-9B7C-8DC44979991B}">
      <text>
        <r>
          <rPr>
            <b/>
            <sz val="9"/>
            <color indexed="81"/>
            <rFont val="Tahoma"/>
            <family val="2"/>
          </rPr>
          <t>cmcneil:</t>
        </r>
        <r>
          <rPr>
            <sz val="9"/>
            <color indexed="81"/>
            <rFont val="Tahoma"/>
            <family val="2"/>
          </rPr>
          <t xml:space="preserve">
Length of stake above the surface noted in column D</t>
        </r>
      </text>
    </comment>
    <comment ref="G4" authorId="0" shapeId="0" xr:uid="{71F9F043-BF32-4E9D-9907-7C135DD5EBF2}">
      <text>
        <r>
          <rPr>
            <b/>
            <sz val="9"/>
            <color indexed="81"/>
            <rFont val="Tahoma"/>
            <family val="2"/>
          </rPr>
          <t>cmcneil:</t>
        </r>
        <r>
          <rPr>
            <sz val="9"/>
            <color indexed="81"/>
            <rFont val="Tahoma"/>
            <family val="2"/>
          </rPr>
          <t xml:space="preserve">
Length of stake still below the surface noted in column D</t>
        </r>
      </text>
    </comment>
    <comment ref="H4" authorId="0" shapeId="0" xr:uid="{4C5A4FBC-7A99-445C-BE1F-5BD689DCBF2C}">
      <text>
        <r>
          <rPr>
            <b/>
            <sz val="9"/>
            <color indexed="81"/>
            <rFont val="Tahoma"/>
            <family val="2"/>
          </rPr>
          <t>cmcneil:</t>
        </r>
        <r>
          <rPr>
            <sz val="9"/>
            <color indexed="81"/>
            <rFont val="Tahoma"/>
            <family val="2"/>
          </rPr>
          <t xml:space="preserve">
Change in stake since previous site visits</t>
        </r>
      </text>
    </comment>
    <comment ref="I4" authorId="0" shapeId="0" xr:uid="{B5D91CE1-C7BE-461C-9E1C-22C3CDB99E32}">
      <text>
        <r>
          <rPr>
            <b/>
            <sz val="9"/>
            <color indexed="81"/>
            <rFont val="Tahoma"/>
            <family val="2"/>
          </rPr>
          <t>cmcneil:</t>
        </r>
        <r>
          <rPr>
            <sz val="9"/>
            <color indexed="81"/>
            <rFont val="Tahoma"/>
            <family val="2"/>
          </rPr>
          <t xml:space="preserve">
Closest measurement to the stake. This number is needed to estimate winter ablation in Column Q. DO NOT TYPE NUMBER INTO CELL. LINK TO PIT OR CORE SHEET FOR TRANSPARENCY.</t>
        </r>
      </text>
    </comment>
    <comment ref="J4" authorId="0" shapeId="0" xr:uid="{80B0B776-B5EF-4D83-9D33-FA0EE921AC6B}">
      <text>
        <r>
          <rPr>
            <b/>
            <sz val="9"/>
            <color indexed="81"/>
            <rFont val="Tahoma"/>
            <family val="2"/>
          </rPr>
          <t>cmcneil:</t>
        </r>
        <r>
          <rPr>
            <sz val="9"/>
            <color indexed="81"/>
            <rFont val="Tahoma"/>
            <family val="2"/>
          </rPr>
          <t xml:space="preserve">
Average of snowpit, stake, probe, and/or crevasse stratigraphy observations made at site location (&lt;~30m from index site).DO NOT TYPE NUMBER INTO CELL. LINK TO PIT OR CORE SHEET FOR TRANSPARENCY.</t>
        </r>
      </text>
    </comment>
    <comment ref="K4" authorId="0" shapeId="0" xr:uid="{004317D0-F0F0-45B3-84C5-32C52E5F69DA}">
      <text>
        <r>
          <rPr>
            <b/>
            <sz val="9"/>
            <color indexed="81"/>
            <rFont val="Tahoma"/>
            <family val="2"/>
          </rPr>
          <t>cmcneil:</t>
        </r>
        <r>
          <rPr>
            <sz val="9"/>
            <color indexed="81"/>
            <rFont val="Tahoma"/>
            <family val="2"/>
          </rPr>
          <t xml:space="preserve">
Density of snow still present during site visit. DO NOT TYPE NUMBER INTO CELL. LINK TO PIT OR CORE SHEET FOR TRANSPARENCY. If density was not measured justify the estimatation in column W</t>
        </r>
      </text>
    </comment>
    <comment ref="L4" authorId="0" shapeId="0" xr:uid="{4773EDBF-2219-47D3-B2C1-1973D41E8060}">
      <text>
        <r>
          <rPr>
            <b/>
            <sz val="9"/>
            <color indexed="81"/>
            <rFont val="Tahoma"/>
            <family val="2"/>
          </rPr>
          <t>cmcneil:</t>
        </r>
        <r>
          <rPr>
            <sz val="9"/>
            <color indexed="81"/>
            <rFont val="Tahoma"/>
            <family val="2"/>
          </rPr>
          <t xml:space="preserve">
Height of previous years' summer surface on stake. Value is derived from subtracting stake snow depth from the length of stake below surface. See formula.</t>
        </r>
      </text>
    </comment>
    <comment ref="M4" authorId="0" shapeId="0" xr:uid="{A294B6D9-B134-4ACC-822D-754C86381741}">
      <text>
        <r>
          <rPr>
            <b/>
            <sz val="9"/>
            <color indexed="81"/>
            <rFont val="Tahoma"/>
            <family val="2"/>
          </rPr>
          <t>cmcneil:</t>
        </r>
        <r>
          <rPr>
            <sz val="9"/>
            <color indexed="81"/>
            <rFont val="Tahoma"/>
            <family val="2"/>
          </rPr>
          <t xml:space="preserve">
Height of previous years' summer surface on stake. Value is derived from subtracting stake snow depth from the length of stake below surface. See formula.</t>
        </r>
      </text>
    </comment>
    <comment ref="N4" authorId="0" shapeId="0" xr:uid="{A017EE88-88D3-4AD1-B361-BC0A71EEFA58}">
      <text>
        <r>
          <rPr>
            <b/>
            <sz val="9"/>
            <color indexed="81"/>
            <rFont val="Tahoma"/>
            <family val="2"/>
          </rPr>
          <t>cmcneil:</t>
        </r>
        <r>
          <rPr>
            <sz val="9"/>
            <color indexed="81"/>
            <rFont val="Tahoma"/>
            <family val="2"/>
          </rPr>
          <t xml:space="preserve">
Density of firn at location. If know link from pit or core sheet for transerancy. Otherwise, justify the estimated value in the comments column, column T.</t>
        </r>
      </text>
    </comment>
    <comment ref="O4" authorId="0" shapeId="0" xr:uid="{DFB0404B-5E80-41D3-A971-22F9FF96CFA6}">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P4" authorId="0" shapeId="0" xr:uid="{9F095C0C-7EC5-473A-B993-5CFA4012B90D}">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Q4" authorId="0" shapeId="0" xr:uid="{C7BD8DD1-3D5A-4D2E-90AB-17A239267E8D}">
      <text>
        <r>
          <rPr>
            <b/>
            <sz val="9"/>
            <color indexed="81"/>
            <rFont val="Tahoma"/>
            <family val="2"/>
          </rPr>
          <t>cmcneil:</t>
        </r>
        <r>
          <rPr>
            <sz val="9"/>
            <color indexed="81"/>
            <rFont val="Tahoma"/>
            <family val="2"/>
          </rPr>
          <t xml:space="preserve">
Water equivalent mass lost from stake between visits. Values are calculated by subracting the winter balance (bw) from the annual balance (ba). </t>
        </r>
      </text>
    </comment>
    <comment ref="R4" authorId="0" shapeId="0" xr:uid="{4734EE93-2319-45C8-A9AC-384946A1DD69}">
      <text>
        <r>
          <rPr>
            <b/>
            <sz val="9"/>
            <color indexed="81"/>
            <rFont val="Tahoma"/>
            <family val="2"/>
          </rPr>
          <t>cmcneil:</t>
        </r>
        <r>
          <rPr>
            <sz val="9"/>
            <color indexed="81"/>
            <rFont val="Tahoma"/>
            <family val="2"/>
          </rPr>
          <t xml:space="preserve">
Measurement of additional ablation that occurred between the previous fall and spring site visits. Calculated comparing the previous summer surface (column L) to the height of surface during previous fall site visit (column G).</t>
        </r>
      </text>
    </comment>
    <comment ref="S4" authorId="0" shapeId="0" xr:uid="{FED44ADD-2B14-4F96-BF25-4E9A645D9B3E}">
      <text>
        <r>
          <rPr>
            <b/>
            <sz val="9"/>
            <color indexed="81"/>
            <rFont val="Tahoma"/>
            <family val="2"/>
          </rPr>
          <t>cmcneil:</t>
        </r>
        <r>
          <rPr>
            <sz val="9"/>
            <color indexed="81"/>
            <rFont val="Tahoma"/>
            <family val="2"/>
          </rPr>
          <t xml:space="preserve">
Measurement of water equivalent mass accumulated on the surface during fall visits. If there was summer accumulation than there will not be winter ablation… Calculated by multipllying the depth of new snow (column J) by the density of that new snow(column K).</t>
        </r>
      </text>
    </comment>
    <comment ref="T4" authorId="0" shapeId="0" xr:uid="{8AB20CC0-3E8E-4E07-B4FB-1A487B95669A}">
      <text>
        <r>
          <rPr>
            <b/>
            <sz val="9"/>
            <color indexed="81"/>
            <rFont val="Tahoma"/>
            <family val="2"/>
          </rPr>
          <t>cmcneil:</t>
        </r>
        <r>
          <rPr>
            <sz val="9"/>
            <color indexed="81"/>
            <rFont val="Tahoma"/>
            <family val="2"/>
          </rPr>
          <t xml:space="preserve">
UTM easting of stake measured with GPS</t>
        </r>
      </text>
    </comment>
    <comment ref="U4" authorId="0" shapeId="0" xr:uid="{79A06154-D155-470E-BD5B-37222784D9C2}">
      <text>
        <r>
          <rPr>
            <b/>
            <sz val="9"/>
            <color indexed="81"/>
            <rFont val="Tahoma"/>
            <family val="2"/>
          </rPr>
          <t>cmcneil:</t>
        </r>
        <r>
          <rPr>
            <sz val="9"/>
            <color indexed="81"/>
            <rFont val="Tahoma"/>
            <family val="2"/>
          </rPr>
          <t xml:space="preserve">
UTM Northing of stake measured with GPS</t>
        </r>
      </text>
    </comment>
    <comment ref="V4" authorId="0" shapeId="0" xr:uid="{63322134-503E-44D2-B4DC-E4145016B1B2}">
      <text>
        <r>
          <rPr>
            <b/>
            <sz val="9"/>
            <color indexed="81"/>
            <rFont val="Tahoma"/>
            <family val="2"/>
          </rPr>
          <t>cmcneil:</t>
        </r>
        <r>
          <rPr>
            <sz val="9"/>
            <color indexed="81"/>
            <rFont val="Tahoma"/>
            <family val="2"/>
          </rPr>
          <t xml:space="preserve">
Elevation of stake measured with GPS as height above ellipsoid</t>
        </r>
      </text>
    </comment>
    <comment ref="W4" authorId="0" shapeId="0" xr:uid="{EE144189-C961-42D7-AB35-E7FBC56ED312}">
      <text>
        <r>
          <rPr>
            <b/>
            <sz val="9"/>
            <color indexed="81"/>
            <rFont val="Tahoma"/>
            <family val="2"/>
          </rPr>
          <t>cmcneil:</t>
        </r>
        <r>
          <rPr>
            <sz val="9"/>
            <color indexed="81"/>
            <rFont val="Tahoma"/>
            <family val="2"/>
          </rPr>
          <t xml:space="preserve">
Any additional notes on measurement records or approximations made. This is critical for proper metadata and archiving.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cmcneil</author>
    <author>Author</author>
  </authors>
  <commentList>
    <comment ref="H1" authorId="0" shapeId="0" xr:uid="{E89A55B2-4CC5-4A79-99A9-FF7CD4F1B9C0}">
      <text>
        <r>
          <rPr>
            <b/>
            <sz val="9"/>
            <color indexed="81"/>
            <rFont val="Tahoma"/>
            <family val="2"/>
          </rPr>
          <t>cmcneil:</t>
        </r>
        <r>
          <rPr>
            <sz val="9"/>
            <color indexed="81"/>
            <rFont val="Tahoma"/>
            <family val="2"/>
          </rPr>
          <t xml:space="preserve">
This value is the total depth on the snowpit--not necessarily the depth of the previous years summer surface. UNITS ARE IN CENTIMETERS</t>
        </r>
      </text>
    </comment>
    <comment ref="H2" authorId="0" shapeId="0" xr:uid="{2BF49B26-DA32-4CA2-95FE-42F7353C3684}">
      <text>
        <r>
          <rPr>
            <b/>
            <sz val="9"/>
            <color indexed="81"/>
            <rFont val="Tahoma"/>
            <family val="2"/>
          </rPr>
          <t>cmcneil:</t>
        </r>
        <r>
          <rPr>
            <sz val="9"/>
            <color indexed="81"/>
            <rFont val="Tahoma"/>
            <family val="2"/>
          </rPr>
          <t xml:space="preserve">
This value is the depth of the previous years' summer surface: the boundary between the winters snow pack and either ice or firn. UNITS ARE IN CM.</t>
        </r>
      </text>
    </comment>
    <comment ref="H3" authorId="0" shapeId="0" xr:uid="{A3BAB60A-178E-4EDF-BE2E-B224FEC10377}">
      <text>
        <r>
          <rPr>
            <b/>
            <sz val="9"/>
            <color indexed="81"/>
            <rFont val="Tahoma"/>
            <family val="2"/>
          </rPr>
          <t>cmcneil:</t>
        </r>
        <r>
          <rPr>
            <sz val="9"/>
            <color indexed="81"/>
            <rFont val="Tahoma"/>
            <family val="2"/>
          </rPr>
          <t xml:space="preserve">
This value is the calculated average snow depth at the site. If in the accumulation zone there will likely only be a single value; ablation zone measurements should have additional probe depth in addition to any snowpit measurments. UNITS ARE IN METERS</t>
        </r>
      </text>
    </comment>
    <comment ref="H4" authorId="0" shapeId="0" xr:uid="{8185083B-61B2-4F4A-877F-071F699FBDBC}">
      <text>
        <r>
          <rPr>
            <b/>
            <sz val="9"/>
            <color indexed="81"/>
            <rFont val="Tahoma"/>
            <family val="2"/>
          </rPr>
          <t>cmcneil:</t>
        </r>
        <r>
          <rPr>
            <sz val="9"/>
            <color indexed="81"/>
            <rFont val="Tahoma"/>
            <family val="2"/>
          </rPr>
          <t xml:space="preserve">
This value will be the final value in the cumulative density column (I), for seasonal snow. If additional measurements of firn were made, make sure to change the formula to reflect the correct value.</t>
        </r>
      </text>
    </comment>
    <comment ref="B5" authorId="1" shapeId="0" xr:uid="{7AEEBA77-DCA1-41A9-A503-297E8683CBF9}">
      <text>
        <r>
          <rPr>
            <sz val="8"/>
            <color indexed="81"/>
            <rFont val="Tahoma"/>
            <family val="2"/>
          </rPr>
          <t xml:space="preserve">Sipre coring auger=45.6cm2 
large tube 41.05 cm2       
small tube 25.6   cm2          
Snow Metrics 1000 cm^3
</t>
        </r>
      </text>
    </comment>
    <comment ref="A10" authorId="0" shapeId="0" xr:uid="{6231BC4B-B6BE-4ED6-8459-9766D43E03B8}">
      <text>
        <r>
          <rPr>
            <b/>
            <sz val="9"/>
            <color indexed="81"/>
            <rFont val="Tahoma"/>
            <family val="2"/>
          </rPr>
          <t>cmcneil:</t>
        </r>
        <r>
          <rPr>
            <sz val="9"/>
            <color indexed="81"/>
            <rFont val="Tahoma"/>
            <family val="2"/>
          </rPr>
          <t xml:space="preserve">
Enter Sample weights here. If samples were weight in the sampler, oyu must enter the sampler/container weight in column B.</t>
        </r>
      </text>
    </comment>
    <comment ref="B10" authorId="0" shapeId="0" xr:uid="{665B8D1B-FF57-4D7B-8553-9FCF9DA8D3E1}">
      <text>
        <r>
          <rPr>
            <b/>
            <sz val="9"/>
            <color indexed="81"/>
            <rFont val="Tahoma"/>
            <family val="2"/>
          </rPr>
          <t>cmcneil:</t>
        </r>
        <r>
          <rPr>
            <sz val="9"/>
            <color indexed="81"/>
            <rFont val="Tahoma"/>
            <family val="2"/>
          </rPr>
          <t xml:space="preserve">
Weight of sample container if scale was not tared. If scale was tared enter zero</t>
        </r>
      </text>
    </comment>
    <comment ref="C10" authorId="0" shapeId="0" xr:uid="{94C0E8A4-F6AA-4033-8CA8-9A830738C02B}">
      <text>
        <r>
          <rPr>
            <b/>
            <sz val="9"/>
            <color indexed="81"/>
            <rFont val="Tahoma"/>
            <family val="2"/>
          </rPr>
          <t>cmcneil:</t>
        </r>
        <r>
          <rPr>
            <sz val="9"/>
            <color indexed="81"/>
            <rFont val="Tahoma"/>
            <family val="2"/>
          </rPr>
          <t xml:space="preserve">
Sample Bottom Depth(SBD). This is the depth of the bottom of sample taken, in reference to the snow surface.</t>
        </r>
      </text>
    </comment>
    <comment ref="D10" authorId="0" shapeId="0" xr:uid="{20CDF8E5-8C5C-434F-987C-E4DBB2E785A2}">
      <text>
        <r>
          <rPr>
            <b/>
            <sz val="9"/>
            <color indexed="81"/>
            <rFont val="Tahoma"/>
            <family val="2"/>
          </rPr>
          <t>cmcneil:</t>
        </r>
        <r>
          <rPr>
            <sz val="9"/>
            <color indexed="81"/>
            <rFont val="Tahoma"/>
            <family val="2"/>
          </rPr>
          <t xml:space="preserve">
Volume of sample taken</t>
        </r>
      </text>
    </comment>
    <comment ref="E10" authorId="0" shapeId="0" xr:uid="{75B1B2B2-95EC-49BF-968C-22B8DA7F78E0}">
      <text>
        <r>
          <rPr>
            <b/>
            <sz val="9"/>
            <color indexed="81"/>
            <rFont val="Tahoma"/>
            <family val="2"/>
          </rPr>
          <t>cmcneil:</t>
        </r>
        <r>
          <rPr>
            <sz val="9"/>
            <color indexed="81"/>
            <rFont val="Tahoma"/>
            <family val="2"/>
          </rPr>
          <t xml:space="preserve">
Top of layer, caluclated as half way between the bottom of the previous sample and the next.</t>
        </r>
      </text>
    </comment>
    <comment ref="F10" authorId="0" shapeId="0" xr:uid="{43A2476A-6725-4384-ABE0-BB7B927159CB}">
      <text>
        <r>
          <rPr>
            <b/>
            <sz val="9"/>
            <color indexed="81"/>
            <rFont val="Tahoma"/>
            <family val="2"/>
          </rPr>
          <t>cmcneil:</t>
        </r>
        <r>
          <rPr>
            <sz val="9"/>
            <color indexed="81"/>
            <rFont val="Tahoma"/>
            <family val="2"/>
          </rPr>
          <t xml:space="preserve">
Bottom of sample layer, calculated as half way between the bottom of a sample and the top of the next sample.</t>
        </r>
      </text>
    </comment>
    <comment ref="G10" authorId="0" shapeId="0" xr:uid="{0878B916-2B5E-4B46-8791-DA6702A0EDD9}">
      <text>
        <r>
          <rPr>
            <b/>
            <sz val="9"/>
            <color indexed="81"/>
            <rFont val="Tahoma"/>
            <family val="2"/>
          </rPr>
          <t>cmcneil:</t>
        </r>
        <r>
          <rPr>
            <sz val="9"/>
            <color indexed="81"/>
            <rFont val="Tahoma"/>
            <family val="2"/>
          </rPr>
          <t xml:space="preserve">
Density of sample. Calculated from the mass/volume</t>
        </r>
      </text>
    </comment>
    <comment ref="H10" authorId="0" shapeId="0" xr:uid="{609939BD-5D89-4AE1-AC9B-5C22C6E2CEB7}">
      <text>
        <r>
          <rPr>
            <b/>
            <sz val="9"/>
            <color indexed="81"/>
            <rFont val="Tahoma"/>
            <family val="2"/>
          </rPr>
          <t>cmcneil:</t>
        </r>
        <r>
          <rPr>
            <sz val="9"/>
            <color indexed="81"/>
            <rFont val="Tahoma"/>
            <family val="2"/>
          </rPr>
          <t xml:space="preserve">
Snow water equivalance of sample layer. Calculated from the thickness of the sample layer multpled by the density</t>
        </r>
      </text>
    </comment>
    <comment ref="I10" authorId="0" shapeId="0" xr:uid="{48637B49-AF89-43DB-8581-B7C6F8051885}">
      <text>
        <r>
          <rPr>
            <b/>
            <sz val="9"/>
            <color indexed="81"/>
            <rFont val="Tahoma"/>
            <family val="2"/>
          </rPr>
          <t>cmcneil:</t>
        </r>
        <r>
          <rPr>
            <sz val="9"/>
            <color indexed="81"/>
            <rFont val="Tahoma"/>
            <family val="2"/>
          </rPr>
          <t xml:space="preserve">
Cummulative s.w.e. of from surface to the depth of each sample</t>
        </r>
      </text>
    </comment>
    <comment ref="J10" authorId="0" shapeId="0" xr:uid="{BD1E9560-125F-4DC1-9B2C-9F2844A4D2D0}">
      <text>
        <r>
          <rPr>
            <b/>
            <sz val="9"/>
            <color indexed="81"/>
            <rFont val="Tahoma"/>
            <family val="2"/>
          </rPr>
          <t>cmcneil:</t>
        </r>
        <r>
          <rPr>
            <sz val="9"/>
            <color indexed="81"/>
            <rFont val="Tahoma"/>
            <family val="2"/>
          </rPr>
          <t xml:space="preserve">
Column average density from the surface to each sample. Calculated by dividing cumulative s.w.e. (column I) by the sample bottom depth.</t>
        </r>
      </text>
    </comment>
    <comment ref="K10" authorId="0" shapeId="0" xr:uid="{B3D8A17D-4E11-4C50-9750-497A3F602BBD}">
      <text>
        <r>
          <rPr>
            <b/>
            <sz val="9"/>
            <color indexed="81"/>
            <rFont val="Tahoma"/>
            <family val="2"/>
          </rPr>
          <t>cmcneil:</t>
        </r>
        <r>
          <rPr>
            <sz val="9"/>
            <color indexed="81"/>
            <rFont val="Tahoma"/>
            <family val="2"/>
          </rPr>
          <t xml:space="preserve">
Any observation about a given sample. Cutting dog bites, dirty layers, ice lenses, etc...</t>
        </r>
      </text>
    </comment>
    <comment ref="L10" authorId="0" shapeId="0" xr:uid="{42FABF94-EB0B-49FE-BAD1-7A090F53D313}">
      <text>
        <r>
          <rPr>
            <b/>
            <sz val="9"/>
            <color indexed="81"/>
            <rFont val="Tahoma"/>
            <family val="2"/>
          </rPr>
          <t>cmcneil:</t>
        </r>
        <r>
          <rPr>
            <sz val="9"/>
            <color indexed="81"/>
            <rFont val="Tahoma"/>
            <family val="2"/>
          </rPr>
          <t xml:space="preserve">
What was used to measure snow depth</t>
        </r>
      </text>
    </comment>
    <comment ref="M10" authorId="0" shapeId="0" xr:uid="{737C74F4-2440-4E2E-8B4A-8AE367C418EB}">
      <text>
        <r>
          <rPr>
            <b/>
            <sz val="9"/>
            <color indexed="81"/>
            <rFont val="Tahoma"/>
            <family val="2"/>
          </rPr>
          <t>cmcneil:</t>
        </r>
        <r>
          <rPr>
            <sz val="9"/>
            <color indexed="81"/>
            <rFont val="Tahoma"/>
            <family val="2"/>
          </rPr>
          <t xml:space="preserve">
snow depth observed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cmcneil</author>
    <author>Author</author>
  </authors>
  <commentList>
    <comment ref="H1" authorId="0" shapeId="0" xr:uid="{09DD835E-39D6-4D74-9C90-322B34A8A726}">
      <text>
        <r>
          <rPr>
            <b/>
            <sz val="9"/>
            <color indexed="81"/>
            <rFont val="Tahoma"/>
            <family val="2"/>
          </rPr>
          <t>cmcneil:</t>
        </r>
        <r>
          <rPr>
            <sz val="9"/>
            <color indexed="81"/>
            <rFont val="Tahoma"/>
            <family val="2"/>
          </rPr>
          <t xml:space="preserve">
This value is the total depth on the snowpit--not necessarily the depth of the previous years summer surface. UNITS ARE IN CENTIMETERS</t>
        </r>
      </text>
    </comment>
    <comment ref="H2" authorId="0" shapeId="0" xr:uid="{63BE4367-5BE2-40A7-9A10-B304883D5777}">
      <text>
        <r>
          <rPr>
            <b/>
            <sz val="9"/>
            <color indexed="81"/>
            <rFont val="Tahoma"/>
            <family val="2"/>
          </rPr>
          <t>cmcneil:</t>
        </r>
        <r>
          <rPr>
            <sz val="9"/>
            <color indexed="81"/>
            <rFont val="Tahoma"/>
            <family val="2"/>
          </rPr>
          <t xml:space="preserve">
This value is the depth of the previous years' summer surface: the boundary between the winters snow pack and either ice or firn. UNITS ARE IN CM.</t>
        </r>
      </text>
    </comment>
    <comment ref="H3" authorId="0" shapeId="0" xr:uid="{4A923A93-47D3-42EA-9677-C45803B5920B}">
      <text>
        <r>
          <rPr>
            <b/>
            <sz val="9"/>
            <color indexed="81"/>
            <rFont val="Tahoma"/>
            <family val="2"/>
          </rPr>
          <t>cmcneil:</t>
        </r>
        <r>
          <rPr>
            <sz val="9"/>
            <color indexed="81"/>
            <rFont val="Tahoma"/>
            <family val="2"/>
          </rPr>
          <t xml:space="preserve">
This value is the calculated average snow depth at the site. If in the accumulation zone there will likely only be a single value; ablation zone measurements should have additional probe depth in addition to any snowpit measurments. UNITS ARE IN METERS</t>
        </r>
      </text>
    </comment>
    <comment ref="H4" authorId="0" shapeId="0" xr:uid="{20923ABB-0686-42F1-A5B4-FDA72D5DA210}">
      <text>
        <r>
          <rPr>
            <b/>
            <sz val="9"/>
            <color indexed="81"/>
            <rFont val="Tahoma"/>
            <family val="2"/>
          </rPr>
          <t>cmcneil:</t>
        </r>
        <r>
          <rPr>
            <sz val="9"/>
            <color indexed="81"/>
            <rFont val="Tahoma"/>
            <family val="2"/>
          </rPr>
          <t xml:space="preserve">
This value will be the final value in the cumulative density column (I), for seasonal snow. If additional measurements of firn were made, make sure to change the formula to reflect the correct value.</t>
        </r>
      </text>
    </comment>
    <comment ref="B5" authorId="1" shapeId="0" xr:uid="{A3DBFBDE-3877-423D-ADCD-E4C71C41CF8A}">
      <text>
        <r>
          <rPr>
            <sz val="8"/>
            <color indexed="81"/>
            <rFont val="Tahoma"/>
            <family val="2"/>
          </rPr>
          <t xml:space="preserve">Sipre coring auger=45.6cm2 
large tube 41.05 cm2       
small tube 25.6   cm2          
Snow Metrics 1000 cm^3
</t>
        </r>
      </text>
    </comment>
    <comment ref="D9" authorId="0" shapeId="0" xr:uid="{EA819ADB-19A4-453E-83A5-2B87B24F7275}">
      <text>
        <r>
          <rPr>
            <b/>
            <sz val="9"/>
            <color indexed="81"/>
            <rFont val="Tahoma"/>
            <family val="2"/>
          </rPr>
          <t>cmcneil:</t>
        </r>
        <r>
          <rPr>
            <sz val="9"/>
            <color indexed="81"/>
            <rFont val="Tahoma"/>
            <family val="2"/>
          </rPr>
          <t xml:space="preserve">
Measurements of core lengths.</t>
        </r>
      </text>
    </comment>
    <comment ref="H9" authorId="0" shapeId="0" xr:uid="{670BC4D0-6A17-414B-B8EC-A8D34513E3EB}">
      <text>
        <r>
          <rPr>
            <b/>
            <sz val="9"/>
            <color indexed="81"/>
            <rFont val="Tahoma"/>
            <family val="2"/>
          </rPr>
          <t>cmcneil:</t>
        </r>
        <r>
          <rPr>
            <sz val="9"/>
            <color indexed="81"/>
            <rFont val="Tahoma"/>
            <family val="2"/>
          </rPr>
          <t xml:space="preserve">
Measurements of core diameter</t>
        </r>
      </text>
    </comment>
    <comment ref="A10" authorId="0" shapeId="0" xr:uid="{41F93C0A-C7B4-48C5-AFD9-F7EF726C2240}">
      <text>
        <r>
          <rPr>
            <b/>
            <sz val="9"/>
            <color indexed="81"/>
            <rFont val="Tahoma"/>
            <family val="2"/>
          </rPr>
          <t>cmcneil:</t>
        </r>
        <r>
          <rPr>
            <sz val="9"/>
            <color indexed="81"/>
            <rFont val="Tahoma"/>
            <family val="2"/>
          </rPr>
          <t xml:space="preserve">
Enter Sample weights here. If samples were weight in the sampler, oyu must enter the sampler/container weight in column B.</t>
        </r>
      </text>
    </comment>
    <comment ref="B10" authorId="0" shapeId="0" xr:uid="{6A505971-579B-4B38-83AC-24599EB23635}">
      <text>
        <r>
          <rPr>
            <b/>
            <sz val="9"/>
            <color indexed="81"/>
            <rFont val="Tahoma"/>
            <family val="2"/>
          </rPr>
          <t>cmcneil:</t>
        </r>
        <r>
          <rPr>
            <sz val="9"/>
            <color indexed="81"/>
            <rFont val="Tahoma"/>
            <family val="2"/>
          </rPr>
          <t xml:space="preserve">
Weight of sample container if scale was not tared. If scale was tared enter zero</t>
        </r>
      </text>
    </comment>
    <comment ref="C10" authorId="0" shapeId="0" xr:uid="{A74A0A57-277B-4096-BBD8-3C753E50D4EE}">
      <text>
        <r>
          <rPr>
            <b/>
            <sz val="9"/>
            <color indexed="81"/>
            <rFont val="Tahoma"/>
            <family val="2"/>
          </rPr>
          <t>cmcneil:</t>
        </r>
        <r>
          <rPr>
            <sz val="9"/>
            <color indexed="81"/>
            <rFont val="Tahoma"/>
            <family val="2"/>
          </rPr>
          <t xml:space="preserve">
Sample Bottom Depth(SBD). This is the depth of the bottom of sample taken, in reference to the snow surface.</t>
        </r>
      </text>
    </comment>
    <comment ref="G10" authorId="0" shapeId="0" xr:uid="{6E20E07A-C831-42D8-9E37-9264AB7365FB}">
      <text>
        <r>
          <rPr>
            <b/>
            <sz val="9"/>
            <color indexed="81"/>
            <rFont val="Tahoma"/>
            <family val="2"/>
          </rPr>
          <t>cmcneil:</t>
        </r>
        <r>
          <rPr>
            <sz val="9"/>
            <color indexed="81"/>
            <rFont val="Tahoma"/>
            <family val="2"/>
          </rPr>
          <t xml:space="preserve">
Average of all measured lengths of core section</t>
        </r>
      </text>
    </comment>
    <comment ref="L10" authorId="0" shapeId="0" xr:uid="{6B8542D1-8991-4540-B7D4-1BEA3E506A23}">
      <text>
        <r>
          <rPr>
            <b/>
            <sz val="9"/>
            <color indexed="81"/>
            <rFont val="Tahoma"/>
            <family val="2"/>
          </rPr>
          <t>cmcneil:</t>
        </r>
        <r>
          <rPr>
            <sz val="9"/>
            <color indexed="81"/>
            <rFont val="Tahoma"/>
            <family val="2"/>
          </rPr>
          <t xml:space="preserve">
Average of all diameters measured for each core section</t>
        </r>
      </text>
    </comment>
    <comment ref="M10" authorId="0" shapeId="0" xr:uid="{F613E5F0-B32A-4AFA-B7D0-A1CB5C806EA1}">
      <text>
        <r>
          <rPr>
            <b/>
            <sz val="9"/>
            <color indexed="81"/>
            <rFont val="Tahoma"/>
            <family val="2"/>
          </rPr>
          <t>cmcneil:</t>
        </r>
        <r>
          <rPr>
            <sz val="9"/>
            <color indexed="81"/>
            <rFont val="Tahoma"/>
            <family val="2"/>
          </rPr>
          <t xml:space="preserve">
Volume of sample taken</t>
        </r>
      </text>
    </comment>
    <comment ref="N10" authorId="0" shapeId="0" xr:uid="{77291732-A376-4BB5-A355-040FBD288A08}">
      <text>
        <r>
          <rPr>
            <b/>
            <sz val="9"/>
            <color indexed="81"/>
            <rFont val="Tahoma"/>
            <family val="2"/>
          </rPr>
          <t>cmcneil:</t>
        </r>
        <r>
          <rPr>
            <sz val="9"/>
            <color indexed="81"/>
            <rFont val="Tahoma"/>
            <family val="2"/>
          </rPr>
          <t xml:space="preserve">
Top of layer, caluclated as half way between the bottom of the previous sample and the next.</t>
        </r>
      </text>
    </comment>
    <comment ref="O10" authorId="0" shapeId="0" xr:uid="{5AA3BD62-84CB-45DE-8600-5E4D5122CEC0}">
      <text>
        <r>
          <rPr>
            <b/>
            <sz val="9"/>
            <color indexed="81"/>
            <rFont val="Tahoma"/>
            <family val="2"/>
          </rPr>
          <t>cmcneil:</t>
        </r>
        <r>
          <rPr>
            <sz val="9"/>
            <color indexed="81"/>
            <rFont val="Tahoma"/>
            <family val="2"/>
          </rPr>
          <t xml:space="preserve">
Bottom of sample layer, calculated as half way between the bottom of a sample and the top of the next sample.</t>
        </r>
      </text>
    </comment>
    <comment ref="P10" authorId="0" shapeId="0" xr:uid="{0731E50C-158F-44CE-BF47-B08FAC94EED5}">
      <text>
        <r>
          <rPr>
            <b/>
            <sz val="9"/>
            <color indexed="81"/>
            <rFont val="Tahoma"/>
            <family val="2"/>
          </rPr>
          <t>cmcneil:</t>
        </r>
        <r>
          <rPr>
            <sz val="9"/>
            <color indexed="81"/>
            <rFont val="Tahoma"/>
            <family val="2"/>
          </rPr>
          <t xml:space="preserve">
Density of sample. Calculated from the mass/volume</t>
        </r>
      </text>
    </comment>
    <comment ref="Q10" authorId="0" shapeId="0" xr:uid="{2116C9E1-18EC-424F-95F5-59BE5C63B6F0}">
      <text>
        <r>
          <rPr>
            <b/>
            <sz val="9"/>
            <color indexed="81"/>
            <rFont val="Tahoma"/>
            <family val="2"/>
          </rPr>
          <t>cmcneil:</t>
        </r>
        <r>
          <rPr>
            <sz val="9"/>
            <color indexed="81"/>
            <rFont val="Tahoma"/>
            <family val="2"/>
          </rPr>
          <t xml:space="preserve">
Snow water equivalance of sample layer. Calculated from the thickness of the sample layer multpled by the density</t>
        </r>
      </text>
    </comment>
    <comment ref="R10" authorId="0" shapeId="0" xr:uid="{FA835554-F4E8-4D3B-A76A-15D209F2942B}">
      <text>
        <r>
          <rPr>
            <b/>
            <sz val="9"/>
            <color indexed="81"/>
            <rFont val="Tahoma"/>
            <family val="2"/>
          </rPr>
          <t>cmcneil:</t>
        </r>
        <r>
          <rPr>
            <sz val="9"/>
            <color indexed="81"/>
            <rFont val="Tahoma"/>
            <family val="2"/>
          </rPr>
          <t xml:space="preserve">
Cummulative s.w.e. of from surface to the depth of each sample</t>
        </r>
      </text>
    </comment>
    <comment ref="S10" authorId="0" shapeId="0" xr:uid="{AAF7906A-BF68-44CC-82F2-9030F9B182EA}">
      <text>
        <r>
          <rPr>
            <b/>
            <sz val="9"/>
            <color indexed="81"/>
            <rFont val="Tahoma"/>
            <family val="2"/>
          </rPr>
          <t>cmcneil:</t>
        </r>
        <r>
          <rPr>
            <sz val="9"/>
            <color indexed="81"/>
            <rFont val="Tahoma"/>
            <family val="2"/>
          </rPr>
          <t xml:space="preserve">
Column average density from the surface to each sample. Calculated by dividing cumulative s.w.e. (column I) by the sample bottom depth.</t>
        </r>
      </text>
    </comment>
    <comment ref="T10" authorId="0" shapeId="0" xr:uid="{5CB9FED2-4428-4A22-A95B-D98075250422}">
      <text>
        <r>
          <rPr>
            <b/>
            <sz val="9"/>
            <color indexed="81"/>
            <rFont val="Tahoma"/>
            <family val="2"/>
          </rPr>
          <t>cmcneil:</t>
        </r>
        <r>
          <rPr>
            <sz val="9"/>
            <color indexed="81"/>
            <rFont val="Tahoma"/>
            <family val="2"/>
          </rPr>
          <t xml:space="preserve">
Any observation about a given sample. Cutting dog bites, dirty layers, ice lenses, etc...</t>
        </r>
      </text>
    </comment>
    <comment ref="U10" authorId="0" shapeId="0" xr:uid="{61D39BAC-AF87-48A1-B45A-C9389F072749}">
      <text>
        <r>
          <rPr>
            <b/>
            <sz val="9"/>
            <color indexed="81"/>
            <rFont val="Tahoma"/>
            <family val="2"/>
          </rPr>
          <t>cmcneil:</t>
        </r>
        <r>
          <rPr>
            <sz val="9"/>
            <color indexed="81"/>
            <rFont val="Tahoma"/>
            <family val="2"/>
          </rPr>
          <t xml:space="preserve">
What was used to measure snow depth</t>
        </r>
      </text>
    </comment>
    <comment ref="V10" authorId="0" shapeId="0" xr:uid="{60E80B88-158E-42E4-8C8B-5708230DC546}">
      <text>
        <r>
          <rPr>
            <b/>
            <sz val="9"/>
            <color indexed="81"/>
            <rFont val="Tahoma"/>
            <family val="2"/>
          </rPr>
          <t>cmcneil:</t>
        </r>
        <r>
          <rPr>
            <sz val="9"/>
            <color indexed="81"/>
            <rFont val="Tahoma"/>
            <family val="2"/>
          </rPr>
          <t xml:space="preserve">
snow depth observed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cmcneil</author>
    <author>Author</author>
  </authors>
  <commentList>
    <comment ref="H1" authorId="0" shapeId="0" xr:uid="{12118EA0-B1A7-4AA5-856C-7DA3CC4433A8}">
      <text>
        <r>
          <rPr>
            <b/>
            <sz val="9"/>
            <color indexed="81"/>
            <rFont val="Tahoma"/>
            <family val="2"/>
          </rPr>
          <t>cmcneil:</t>
        </r>
        <r>
          <rPr>
            <sz val="9"/>
            <color indexed="81"/>
            <rFont val="Tahoma"/>
            <family val="2"/>
          </rPr>
          <t xml:space="preserve">
This value is the total depth on the snowpit--not necessarily the depth of the previous years summer surface. UNITS ARE IN CENTIMETERS</t>
        </r>
      </text>
    </comment>
    <comment ref="H2" authorId="0" shapeId="0" xr:uid="{7788CE80-642E-49A3-877D-85625FE2981E}">
      <text>
        <r>
          <rPr>
            <b/>
            <sz val="9"/>
            <color indexed="81"/>
            <rFont val="Tahoma"/>
            <family val="2"/>
          </rPr>
          <t>cmcneil:</t>
        </r>
        <r>
          <rPr>
            <sz val="9"/>
            <color indexed="81"/>
            <rFont val="Tahoma"/>
            <family val="2"/>
          </rPr>
          <t xml:space="preserve">
This value is the depth of the previous years' summer surface: the boundary between the winters snow pack and either ice or firn. UNITS ARE IN CM.</t>
        </r>
      </text>
    </comment>
    <comment ref="H3" authorId="0" shapeId="0" xr:uid="{799742BD-62E0-415B-97E2-4F39D44B6F2D}">
      <text>
        <r>
          <rPr>
            <b/>
            <sz val="9"/>
            <color indexed="81"/>
            <rFont val="Tahoma"/>
            <family val="2"/>
          </rPr>
          <t>cmcneil:</t>
        </r>
        <r>
          <rPr>
            <sz val="9"/>
            <color indexed="81"/>
            <rFont val="Tahoma"/>
            <family val="2"/>
          </rPr>
          <t xml:space="preserve">
This value is the calculated average snow depth at the site. If in the accumulation zone there will likely only be a single value; ablation zone measurements should have additional probe depth in addition to any snowpit measurments. UNITS ARE IN METERS</t>
        </r>
      </text>
    </comment>
    <comment ref="H4" authorId="0" shapeId="0" xr:uid="{296CF116-E1DD-4E75-93B0-05E396D9996D}">
      <text>
        <r>
          <rPr>
            <b/>
            <sz val="9"/>
            <color indexed="81"/>
            <rFont val="Tahoma"/>
            <family val="2"/>
          </rPr>
          <t>cmcneil:</t>
        </r>
        <r>
          <rPr>
            <sz val="9"/>
            <color indexed="81"/>
            <rFont val="Tahoma"/>
            <family val="2"/>
          </rPr>
          <t xml:space="preserve">
This value will be the final value in the cumulative density column (I), for seasonal snow. If additional measurements of firn were made, make sure to change the formula to reflect the correct value.</t>
        </r>
      </text>
    </comment>
    <comment ref="B5" authorId="1" shapeId="0" xr:uid="{5A086EA9-49B9-4F31-8C77-EF6CE395D47E}">
      <text>
        <r>
          <rPr>
            <sz val="8"/>
            <color indexed="81"/>
            <rFont val="Tahoma"/>
            <family val="2"/>
          </rPr>
          <t xml:space="preserve">Sipre coring auger=45.6cm2 
large tube 41.05 cm2       
small tube 25.6   cm2          
Snow Metrics 1000 cm^3
</t>
        </r>
      </text>
    </comment>
    <comment ref="D9" authorId="0" shapeId="0" xr:uid="{A2FFD0C1-D1A9-4155-98E5-037BC68C5443}">
      <text>
        <r>
          <rPr>
            <b/>
            <sz val="9"/>
            <color indexed="81"/>
            <rFont val="Tahoma"/>
            <family val="2"/>
          </rPr>
          <t>cmcneil:</t>
        </r>
        <r>
          <rPr>
            <sz val="9"/>
            <color indexed="81"/>
            <rFont val="Tahoma"/>
            <family val="2"/>
          </rPr>
          <t xml:space="preserve">
Measurements of core lengths.</t>
        </r>
      </text>
    </comment>
    <comment ref="H9" authorId="0" shapeId="0" xr:uid="{0BBC0D28-E00C-479C-874C-92827EC4343F}">
      <text>
        <r>
          <rPr>
            <b/>
            <sz val="9"/>
            <color indexed="81"/>
            <rFont val="Tahoma"/>
            <family val="2"/>
          </rPr>
          <t>cmcneil:</t>
        </r>
        <r>
          <rPr>
            <sz val="9"/>
            <color indexed="81"/>
            <rFont val="Tahoma"/>
            <family val="2"/>
          </rPr>
          <t xml:space="preserve">
Measurements of core diameter</t>
        </r>
      </text>
    </comment>
    <comment ref="A10" authorId="0" shapeId="0" xr:uid="{98E78285-5829-47E3-8D18-D48BD9674F00}">
      <text>
        <r>
          <rPr>
            <b/>
            <sz val="9"/>
            <color indexed="81"/>
            <rFont val="Tahoma"/>
            <family val="2"/>
          </rPr>
          <t>cmcneil:</t>
        </r>
        <r>
          <rPr>
            <sz val="9"/>
            <color indexed="81"/>
            <rFont val="Tahoma"/>
            <family val="2"/>
          </rPr>
          <t xml:space="preserve">
Enter Sample weights here. If samples were weight in the sampler, oyu must enter the sampler/container weight in column B.</t>
        </r>
      </text>
    </comment>
    <comment ref="B10" authorId="0" shapeId="0" xr:uid="{D00810C6-9F32-4DDC-8830-9FCC49F1F8A7}">
      <text>
        <r>
          <rPr>
            <b/>
            <sz val="9"/>
            <color indexed="81"/>
            <rFont val="Tahoma"/>
            <family val="2"/>
          </rPr>
          <t>cmcneil:</t>
        </r>
        <r>
          <rPr>
            <sz val="9"/>
            <color indexed="81"/>
            <rFont val="Tahoma"/>
            <family val="2"/>
          </rPr>
          <t xml:space="preserve">
Weight of sample container if scale was not tared. If scale was tared enter zero</t>
        </r>
      </text>
    </comment>
    <comment ref="C10" authorId="0" shapeId="0" xr:uid="{493B9BE5-1FF7-4E5B-8A2A-96D7EEA771E4}">
      <text>
        <r>
          <rPr>
            <b/>
            <sz val="9"/>
            <color indexed="81"/>
            <rFont val="Tahoma"/>
            <family val="2"/>
          </rPr>
          <t>cmcneil:</t>
        </r>
        <r>
          <rPr>
            <sz val="9"/>
            <color indexed="81"/>
            <rFont val="Tahoma"/>
            <family val="2"/>
          </rPr>
          <t xml:space="preserve">
Sample Bottom Depth(SBD). This is the depth of the bottom of sample taken, in reference to the snow surface.</t>
        </r>
      </text>
    </comment>
    <comment ref="G10" authorId="0" shapeId="0" xr:uid="{6BF7281F-25DE-44C1-8E85-6BBC53BFF636}">
      <text>
        <r>
          <rPr>
            <b/>
            <sz val="9"/>
            <color indexed="81"/>
            <rFont val="Tahoma"/>
            <family val="2"/>
          </rPr>
          <t>cmcneil:</t>
        </r>
        <r>
          <rPr>
            <sz val="9"/>
            <color indexed="81"/>
            <rFont val="Tahoma"/>
            <family val="2"/>
          </rPr>
          <t xml:space="preserve">
Average of all measured lengths of core section</t>
        </r>
      </text>
    </comment>
    <comment ref="L10" authorId="0" shapeId="0" xr:uid="{0C030FFD-ECB7-4066-ABDD-91879D868236}">
      <text>
        <r>
          <rPr>
            <b/>
            <sz val="9"/>
            <color indexed="81"/>
            <rFont val="Tahoma"/>
            <family val="2"/>
          </rPr>
          <t>cmcneil:</t>
        </r>
        <r>
          <rPr>
            <sz val="9"/>
            <color indexed="81"/>
            <rFont val="Tahoma"/>
            <family val="2"/>
          </rPr>
          <t xml:space="preserve">
Average of all diameters measured for each core section</t>
        </r>
      </text>
    </comment>
    <comment ref="M10" authorId="0" shapeId="0" xr:uid="{72BFBD84-19C3-49FC-975A-65F4CE559C3E}">
      <text>
        <r>
          <rPr>
            <b/>
            <sz val="9"/>
            <color indexed="81"/>
            <rFont val="Tahoma"/>
            <family val="2"/>
          </rPr>
          <t>cmcneil:</t>
        </r>
        <r>
          <rPr>
            <sz val="9"/>
            <color indexed="81"/>
            <rFont val="Tahoma"/>
            <family val="2"/>
          </rPr>
          <t xml:space="preserve">
Volume of sample taken</t>
        </r>
      </text>
    </comment>
    <comment ref="N10" authorId="0" shapeId="0" xr:uid="{EF3EDDDD-4851-4722-A3F4-A4E10823D72E}">
      <text>
        <r>
          <rPr>
            <b/>
            <sz val="9"/>
            <color indexed="81"/>
            <rFont val="Tahoma"/>
            <family val="2"/>
          </rPr>
          <t>cmcneil:</t>
        </r>
        <r>
          <rPr>
            <sz val="9"/>
            <color indexed="81"/>
            <rFont val="Tahoma"/>
            <family val="2"/>
          </rPr>
          <t xml:space="preserve">
Top of layer, caluclated as half way between the bottom of the previous sample and the next.</t>
        </r>
      </text>
    </comment>
    <comment ref="O10" authorId="0" shapeId="0" xr:uid="{C281E918-6D51-400E-84C2-876A382BAD0C}">
      <text>
        <r>
          <rPr>
            <b/>
            <sz val="9"/>
            <color indexed="81"/>
            <rFont val="Tahoma"/>
            <family val="2"/>
          </rPr>
          <t>cmcneil:</t>
        </r>
        <r>
          <rPr>
            <sz val="9"/>
            <color indexed="81"/>
            <rFont val="Tahoma"/>
            <family val="2"/>
          </rPr>
          <t xml:space="preserve">
Bottom of sample layer, calculated as half way between the bottom of a sample and the top of the next sample.</t>
        </r>
      </text>
    </comment>
    <comment ref="P10" authorId="0" shapeId="0" xr:uid="{80C07264-D178-43B3-A5E9-32BD8E309E42}">
      <text>
        <r>
          <rPr>
            <b/>
            <sz val="9"/>
            <color indexed="81"/>
            <rFont val="Tahoma"/>
            <family val="2"/>
          </rPr>
          <t>cmcneil:</t>
        </r>
        <r>
          <rPr>
            <sz val="9"/>
            <color indexed="81"/>
            <rFont val="Tahoma"/>
            <family val="2"/>
          </rPr>
          <t xml:space="preserve">
Density of sample. Calculated from the mass/volume</t>
        </r>
      </text>
    </comment>
    <comment ref="Q10" authorId="0" shapeId="0" xr:uid="{0ECAEF7B-39D9-4156-8885-61B5BA0765F5}">
      <text>
        <r>
          <rPr>
            <b/>
            <sz val="9"/>
            <color indexed="81"/>
            <rFont val="Tahoma"/>
            <family val="2"/>
          </rPr>
          <t>cmcneil:</t>
        </r>
        <r>
          <rPr>
            <sz val="9"/>
            <color indexed="81"/>
            <rFont val="Tahoma"/>
            <family val="2"/>
          </rPr>
          <t xml:space="preserve">
Snow water equivalance of sample layer. Calculated from the thickness of the sample layer multpled by the density</t>
        </r>
      </text>
    </comment>
    <comment ref="R10" authorId="0" shapeId="0" xr:uid="{D294997D-C7B5-41F6-87A8-42981A158357}">
      <text>
        <r>
          <rPr>
            <b/>
            <sz val="9"/>
            <color indexed="81"/>
            <rFont val="Tahoma"/>
            <family val="2"/>
          </rPr>
          <t>cmcneil:</t>
        </r>
        <r>
          <rPr>
            <sz val="9"/>
            <color indexed="81"/>
            <rFont val="Tahoma"/>
            <family val="2"/>
          </rPr>
          <t xml:space="preserve">
Cummulative s.w.e. of from surface to the depth of each sample</t>
        </r>
      </text>
    </comment>
    <comment ref="S10" authorId="0" shapeId="0" xr:uid="{6EBF6C3F-94DB-4000-B703-66DEA427AEAD}">
      <text>
        <r>
          <rPr>
            <b/>
            <sz val="9"/>
            <color indexed="81"/>
            <rFont val="Tahoma"/>
            <family val="2"/>
          </rPr>
          <t>cmcneil:</t>
        </r>
        <r>
          <rPr>
            <sz val="9"/>
            <color indexed="81"/>
            <rFont val="Tahoma"/>
            <family val="2"/>
          </rPr>
          <t xml:space="preserve">
Column average density from the surface to each sample. Calculated by dividing cumulative s.w.e. (column I) by the sample bottom depth.</t>
        </r>
      </text>
    </comment>
    <comment ref="T10" authorId="0" shapeId="0" xr:uid="{B96BA1AF-27CE-4FAF-9B76-955D2A8DC1CC}">
      <text>
        <r>
          <rPr>
            <b/>
            <sz val="9"/>
            <color indexed="81"/>
            <rFont val="Tahoma"/>
            <family val="2"/>
          </rPr>
          <t>cmcneil:</t>
        </r>
        <r>
          <rPr>
            <sz val="9"/>
            <color indexed="81"/>
            <rFont val="Tahoma"/>
            <family val="2"/>
          </rPr>
          <t xml:space="preserve">
Any observation about a given sample. Cutting dog bites, dirty layers, ice lenses, etc...</t>
        </r>
      </text>
    </comment>
    <comment ref="U10" authorId="0" shapeId="0" xr:uid="{DEF865DA-7321-408F-9133-A29B3A4F2150}">
      <text>
        <r>
          <rPr>
            <b/>
            <sz val="9"/>
            <color indexed="81"/>
            <rFont val="Tahoma"/>
            <family val="2"/>
          </rPr>
          <t>cmcneil:</t>
        </r>
        <r>
          <rPr>
            <sz val="9"/>
            <color indexed="81"/>
            <rFont val="Tahoma"/>
            <family val="2"/>
          </rPr>
          <t xml:space="preserve">
What was used to measure snow depth</t>
        </r>
      </text>
    </comment>
    <comment ref="V10" authorId="0" shapeId="0" xr:uid="{30AF69BA-6D0D-427B-B786-29568BC62B1F}">
      <text>
        <r>
          <rPr>
            <b/>
            <sz val="9"/>
            <color indexed="81"/>
            <rFont val="Tahoma"/>
            <family val="2"/>
          </rPr>
          <t>cmcneil:</t>
        </r>
        <r>
          <rPr>
            <sz val="9"/>
            <color indexed="81"/>
            <rFont val="Tahoma"/>
            <family val="2"/>
          </rPr>
          <t xml:space="preserve">
snow depth observed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cmcneil</author>
    <author>Author</author>
  </authors>
  <commentList>
    <comment ref="H1" authorId="0" shapeId="0" xr:uid="{6CB78CCF-580E-4288-A428-7EA6C2E604B8}">
      <text>
        <r>
          <rPr>
            <b/>
            <sz val="9"/>
            <color indexed="81"/>
            <rFont val="Tahoma"/>
            <family val="2"/>
          </rPr>
          <t>cmcneil:</t>
        </r>
        <r>
          <rPr>
            <sz val="9"/>
            <color indexed="81"/>
            <rFont val="Tahoma"/>
            <family val="2"/>
          </rPr>
          <t xml:space="preserve">
This value is the total depth on the snowpit--not necessarily the depth of the previous years summer surface. UNITS ARE IN CENTIMETERS</t>
        </r>
      </text>
    </comment>
    <comment ref="H2" authorId="0" shapeId="0" xr:uid="{80FEFB35-217C-4FF7-A14E-72F57E450FCE}">
      <text>
        <r>
          <rPr>
            <b/>
            <sz val="9"/>
            <color indexed="81"/>
            <rFont val="Tahoma"/>
            <family val="2"/>
          </rPr>
          <t>cmcneil:</t>
        </r>
        <r>
          <rPr>
            <sz val="9"/>
            <color indexed="81"/>
            <rFont val="Tahoma"/>
            <family val="2"/>
          </rPr>
          <t xml:space="preserve">
This value is the depth of the previous years' summer surface: the boundary between the winters snow pack and either ice or firn. UNITS ARE IN CM.</t>
        </r>
      </text>
    </comment>
    <comment ref="H3" authorId="0" shapeId="0" xr:uid="{8824D257-3411-42EE-88C9-2DFC0DF1DF03}">
      <text>
        <r>
          <rPr>
            <b/>
            <sz val="9"/>
            <color indexed="81"/>
            <rFont val="Tahoma"/>
            <family val="2"/>
          </rPr>
          <t>cmcneil:</t>
        </r>
        <r>
          <rPr>
            <sz val="9"/>
            <color indexed="81"/>
            <rFont val="Tahoma"/>
            <family val="2"/>
          </rPr>
          <t xml:space="preserve">
This value is the calculated average snow depth at the site. If in the accumulation zone there will likely only be a single value; ablation zone measurements should have additional probe depth in addition to any snowpit measurments. UNITS ARE IN METERS</t>
        </r>
      </text>
    </comment>
    <comment ref="H4" authorId="0" shapeId="0" xr:uid="{FC84F129-245B-43D9-9643-D9C53AC93B22}">
      <text>
        <r>
          <rPr>
            <b/>
            <sz val="9"/>
            <color indexed="81"/>
            <rFont val="Tahoma"/>
            <family val="2"/>
          </rPr>
          <t>cmcneil:</t>
        </r>
        <r>
          <rPr>
            <sz val="9"/>
            <color indexed="81"/>
            <rFont val="Tahoma"/>
            <family val="2"/>
          </rPr>
          <t xml:space="preserve">
This value will be the final value in the cumulative density column (I), for seasonal snow. If additional measurements of firn were made, make sure to change the formula to reflect the correct value.</t>
        </r>
      </text>
    </comment>
    <comment ref="B5" authorId="1" shapeId="0" xr:uid="{2E9D0D50-FA3F-403A-8985-E0A42016D057}">
      <text>
        <r>
          <rPr>
            <sz val="8"/>
            <color indexed="81"/>
            <rFont val="Tahoma"/>
            <family val="2"/>
          </rPr>
          <t xml:space="preserve">Sipre coring auger=45.6cm2 
large tube 41.05 cm2       
small tube 25.6   cm2          
Snow Metrics 1000 cm^3
</t>
        </r>
      </text>
    </comment>
    <comment ref="D9" authorId="0" shapeId="0" xr:uid="{4AD0672E-1F09-4D6B-AF2B-8B970D537DC4}">
      <text>
        <r>
          <rPr>
            <b/>
            <sz val="9"/>
            <color indexed="81"/>
            <rFont val="Tahoma"/>
            <family val="2"/>
          </rPr>
          <t>cmcneil:</t>
        </r>
        <r>
          <rPr>
            <sz val="9"/>
            <color indexed="81"/>
            <rFont val="Tahoma"/>
            <family val="2"/>
          </rPr>
          <t xml:space="preserve">
Measurements of core lengths.</t>
        </r>
      </text>
    </comment>
    <comment ref="H9" authorId="0" shapeId="0" xr:uid="{246F974A-6356-4664-8D09-734C8797EC8C}">
      <text>
        <r>
          <rPr>
            <b/>
            <sz val="9"/>
            <color indexed="81"/>
            <rFont val="Tahoma"/>
            <family val="2"/>
          </rPr>
          <t>cmcneil:</t>
        </r>
        <r>
          <rPr>
            <sz val="9"/>
            <color indexed="81"/>
            <rFont val="Tahoma"/>
            <family val="2"/>
          </rPr>
          <t xml:space="preserve">
Measurements of core diameter</t>
        </r>
      </text>
    </comment>
    <comment ref="A10" authorId="0" shapeId="0" xr:uid="{46C91444-CBC7-4FDF-9406-254DBC876FA6}">
      <text>
        <r>
          <rPr>
            <b/>
            <sz val="9"/>
            <color indexed="81"/>
            <rFont val="Tahoma"/>
            <family val="2"/>
          </rPr>
          <t>cmcneil:</t>
        </r>
        <r>
          <rPr>
            <sz val="9"/>
            <color indexed="81"/>
            <rFont val="Tahoma"/>
            <family val="2"/>
          </rPr>
          <t xml:space="preserve">
Enter Sample weights here. If samples were weight in the sampler, oyu must enter the sampler/container weight in column B.</t>
        </r>
      </text>
    </comment>
    <comment ref="B10" authorId="0" shapeId="0" xr:uid="{041BAB1C-B435-426B-9043-5A60D32F0C1F}">
      <text>
        <r>
          <rPr>
            <b/>
            <sz val="9"/>
            <color indexed="81"/>
            <rFont val="Tahoma"/>
            <family val="2"/>
          </rPr>
          <t>cmcneil:</t>
        </r>
        <r>
          <rPr>
            <sz val="9"/>
            <color indexed="81"/>
            <rFont val="Tahoma"/>
            <family val="2"/>
          </rPr>
          <t xml:space="preserve">
Weight of sample container if scale was not tared. If scale was tared enter zero</t>
        </r>
      </text>
    </comment>
    <comment ref="C10" authorId="0" shapeId="0" xr:uid="{6F9F9805-9BCF-4203-8360-690CE991A935}">
      <text>
        <r>
          <rPr>
            <b/>
            <sz val="9"/>
            <color indexed="81"/>
            <rFont val="Tahoma"/>
            <family val="2"/>
          </rPr>
          <t>cmcneil:</t>
        </r>
        <r>
          <rPr>
            <sz val="9"/>
            <color indexed="81"/>
            <rFont val="Tahoma"/>
            <family val="2"/>
          </rPr>
          <t xml:space="preserve">
Sample Bottom Depth(SBD). This is the depth of the bottom of sample taken, in reference to the snow surface.</t>
        </r>
      </text>
    </comment>
    <comment ref="G10" authorId="0" shapeId="0" xr:uid="{4EEFD22A-51CA-4C30-A2B7-165F66C7AF0B}">
      <text>
        <r>
          <rPr>
            <b/>
            <sz val="9"/>
            <color indexed="81"/>
            <rFont val="Tahoma"/>
            <family val="2"/>
          </rPr>
          <t>cmcneil:</t>
        </r>
        <r>
          <rPr>
            <sz val="9"/>
            <color indexed="81"/>
            <rFont val="Tahoma"/>
            <family val="2"/>
          </rPr>
          <t xml:space="preserve">
Average of all measured lengths of core section</t>
        </r>
      </text>
    </comment>
    <comment ref="L10" authorId="0" shapeId="0" xr:uid="{78D9B265-22FE-4ACA-8E4D-9EF14BD26002}">
      <text>
        <r>
          <rPr>
            <b/>
            <sz val="9"/>
            <color indexed="81"/>
            <rFont val="Tahoma"/>
            <family val="2"/>
          </rPr>
          <t>cmcneil:</t>
        </r>
        <r>
          <rPr>
            <sz val="9"/>
            <color indexed="81"/>
            <rFont val="Tahoma"/>
            <family val="2"/>
          </rPr>
          <t xml:space="preserve">
Average of all diameters measured for each core section</t>
        </r>
      </text>
    </comment>
    <comment ref="M10" authorId="0" shapeId="0" xr:uid="{DAA7E70C-E2EF-471C-8E90-3824DB899964}">
      <text>
        <r>
          <rPr>
            <b/>
            <sz val="9"/>
            <color indexed="81"/>
            <rFont val="Tahoma"/>
            <family val="2"/>
          </rPr>
          <t>cmcneil:</t>
        </r>
        <r>
          <rPr>
            <sz val="9"/>
            <color indexed="81"/>
            <rFont val="Tahoma"/>
            <family val="2"/>
          </rPr>
          <t xml:space="preserve">
Volume of sample taken</t>
        </r>
      </text>
    </comment>
    <comment ref="N10" authorId="0" shapeId="0" xr:uid="{E7021C32-3712-4530-8BF5-DF4915F2EC9C}">
      <text>
        <r>
          <rPr>
            <b/>
            <sz val="9"/>
            <color indexed="81"/>
            <rFont val="Tahoma"/>
            <family val="2"/>
          </rPr>
          <t>cmcneil:</t>
        </r>
        <r>
          <rPr>
            <sz val="9"/>
            <color indexed="81"/>
            <rFont val="Tahoma"/>
            <family val="2"/>
          </rPr>
          <t xml:space="preserve">
Top of layer, caluclated as half way between the bottom of the previous sample and the next.</t>
        </r>
      </text>
    </comment>
    <comment ref="O10" authorId="0" shapeId="0" xr:uid="{0FD2E32E-B19B-4A03-A3AA-D4C04E49CDF8}">
      <text>
        <r>
          <rPr>
            <b/>
            <sz val="9"/>
            <color indexed="81"/>
            <rFont val="Tahoma"/>
            <family val="2"/>
          </rPr>
          <t>cmcneil:</t>
        </r>
        <r>
          <rPr>
            <sz val="9"/>
            <color indexed="81"/>
            <rFont val="Tahoma"/>
            <family val="2"/>
          </rPr>
          <t xml:space="preserve">
Bottom of sample layer, calculated as half way between the bottom of a sample and the top of the next sample.</t>
        </r>
      </text>
    </comment>
    <comment ref="P10" authorId="0" shapeId="0" xr:uid="{8432F6F5-1719-44BB-B35C-67737F881E8E}">
      <text>
        <r>
          <rPr>
            <b/>
            <sz val="9"/>
            <color indexed="81"/>
            <rFont val="Tahoma"/>
            <family val="2"/>
          </rPr>
          <t>cmcneil:</t>
        </r>
        <r>
          <rPr>
            <sz val="9"/>
            <color indexed="81"/>
            <rFont val="Tahoma"/>
            <family val="2"/>
          </rPr>
          <t xml:space="preserve">
Density of sample. Calculated from the mass/volume</t>
        </r>
      </text>
    </comment>
    <comment ref="Q10" authorId="0" shapeId="0" xr:uid="{9C4DAEC4-2D79-4094-91B8-415C8CCB1AC2}">
      <text>
        <r>
          <rPr>
            <b/>
            <sz val="9"/>
            <color indexed="81"/>
            <rFont val="Tahoma"/>
            <family val="2"/>
          </rPr>
          <t>cmcneil:</t>
        </r>
        <r>
          <rPr>
            <sz val="9"/>
            <color indexed="81"/>
            <rFont val="Tahoma"/>
            <family val="2"/>
          </rPr>
          <t xml:space="preserve">
Snow water equivalance of sample layer. Calculated from the thickness of the sample layer multpled by the density</t>
        </r>
      </text>
    </comment>
    <comment ref="R10" authorId="0" shapeId="0" xr:uid="{17A393AC-79B1-49B9-A89F-6AAC8F54EAFA}">
      <text>
        <r>
          <rPr>
            <b/>
            <sz val="9"/>
            <color indexed="81"/>
            <rFont val="Tahoma"/>
            <family val="2"/>
          </rPr>
          <t>cmcneil:</t>
        </r>
        <r>
          <rPr>
            <sz val="9"/>
            <color indexed="81"/>
            <rFont val="Tahoma"/>
            <family val="2"/>
          </rPr>
          <t xml:space="preserve">
Cummulative s.w.e. of from surface to the depth of each sample</t>
        </r>
      </text>
    </comment>
    <comment ref="S10" authorId="0" shapeId="0" xr:uid="{60D84B5F-2073-4B97-95BD-A3C5993AFFC7}">
      <text>
        <r>
          <rPr>
            <b/>
            <sz val="9"/>
            <color indexed="81"/>
            <rFont val="Tahoma"/>
            <family val="2"/>
          </rPr>
          <t>cmcneil:</t>
        </r>
        <r>
          <rPr>
            <sz val="9"/>
            <color indexed="81"/>
            <rFont val="Tahoma"/>
            <family val="2"/>
          </rPr>
          <t xml:space="preserve">
Column average density from the surface to each sample. Calculated by dividing cumulative s.w.e. (column I) by the sample bottom depth.</t>
        </r>
      </text>
    </comment>
    <comment ref="T10" authorId="0" shapeId="0" xr:uid="{B259484A-3D33-4F46-9084-DE11BD4E488B}">
      <text>
        <r>
          <rPr>
            <b/>
            <sz val="9"/>
            <color indexed="81"/>
            <rFont val="Tahoma"/>
            <family val="2"/>
          </rPr>
          <t>cmcneil:</t>
        </r>
        <r>
          <rPr>
            <sz val="9"/>
            <color indexed="81"/>
            <rFont val="Tahoma"/>
            <family val="2"/>
          </rPr>
          <t xml:space="preserve">
Any observation about a given sample. Cutting dog bites, dirty layers, ice lenses, etc...</t>
        </r>
      </text>
    </comment>
    <comment ref="U10" authorId="0" shapeId="0" xr:uid="{408EF594-FF8F-478A-9AD1-F8BDF5684BA4}">
      <text>
        <r>
          <rPr>
            <b/>
            <sz val="9"/>
            <color indexed="81"/>
            <rFont val="Tahoma"/>
            <family val="2"/>
          </rPr>
          <t>cmcneil:</t>
        </r>
        <r>
          <rPr>
            <sz val="9"/>
            <color indexed="81"/>
            <rFont val="Tahoma"/>
            <family val="2"/>
          </rPr>
          <t xml:space="preserve">
What was used to measure snow depth</t>
        </r>
      </text>
    </comment>
    <comment ref="V10" authorId="0" shapeId="0" xr:uid="{9BCBA818-47EE-4BC2-915C-C4A3302C562A}">
      <text>
        <r>
          <rPr>
            <b/>
            <sz val="9"/>
            <color indexed="81"/>
            <rFont val="Tahoma"/>
            <family val="2"/>
          </rPr>
          <t>cmcneil:</t>
        </r>
        <r>
          <rPr>
            <sz val="9"/>
            <color indexed="81"/>
            <rFont val="Tahoma"/>
            <family val="2"/>
          </rPr>
          <t xml:space="preserve">
snow depth observed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cmcneil</author>
    <author>Author</author>
  </authors>
  <commentList>
    <comment ref="H1" authorId="0" shapeId="0" xr:uid="{BDAD9D13-A809-4A72-B4F6-E88D8184C7DF}">
      <text>
        <r>
          <rPr>
            <b/>
            <sz val="9"/>
            <color indexed="81"/>
            <rFont val="Tahoma"/>
            <family val="2"/>
          </rPr>
          <t>cmcneil:</t>
        </r>
        <r>
          <rPr>
            <sz val="9"/>
            <color indexed="81"/>
            <rFont val="Tahoma"/>
            <family val="2"/>
          </rPr>
          <t xml:space="preserve">
This value is the total depth on the snowpit--not necessarily the depth of the previous years summer surface. UNITS ARE IN CENTIMETERS</t>
        </r>
      </text>
    </comment>
    <comment ref="H2" authorId="0" shapeId="0" xr:uid="{A9ACDA87-C222-4C96-A97E-E6CF939AF1EE}">
      <text>
        <r>
          <rPr>
            <b/>
            <sz val="9"/>
            <color indexed="81"/>
            <rFont val="Tahoma"/>
            <family val="2"/>
          </rPr>
          <t>cmcneil:</t>
        </r>
        <r>
          <rPr>
            <sz val="9"/>
            <color indexed="81"/>
            <rFont val="Tahoma"/>
            <family val="2"/>
          </rPr>
          <t xml:space="preserve">
This value is the depth of the previous years' summer surface: the boundary between the winters snow pack and either ice or firn. UNITS ARE IN CM.</t>
        </r>
      </text>
    </comment>
    <comment ref="H3" authorId="0" shapeId="0" xr:uid="{C221E8AF-485F-421C-AB72-D98C3371B48A}">
      <text>
        <r>
          <rPr>
            <b/>
            <sz val="9"/>
            <color indexed="81"/>
            <rFont val="Tahoma"/>
            <family val="2"/>
          </rPr>
          <t>cmcneil:</t>
        </r>
        <r>
          <rPr>
            <sz val="9"/>
            <color indexed="81"/>
            <rFont val="Tahoma"/>
            <family val="2"/>
          </rPr>
          <t xml:space="preserve">
This value is the calculated average snow depth at the site. If in the accumulation zone there will likely only be a single value; ablation zone measurements should have additional probe depth in addition to any snowpit measurments. UNITS ARE IN METERS</t>
        </r>
      </text>
    </comment>
    <comment ref="H4" authorId="0" shapeId="0" xr:uid="{21D3B82A-C7DD-4084-8399-F0CC2B948C33}">
      <text>
        <r>
          <rPr>
            <b/>
            <sz val="9"/>
            <color indexed="81"/>
            <rFont val="Tahoma"/>
            <family val="2"/>
          </rPr>
          <t>cmcneil:</t>
        </r>
        <r>
          <rPr>
            <sz val="9"/>
            <color indexed="81"/>
            <rFont val="Tahoma"/>
            <family val="2"/>
          </rPr>
          <t xml:space="preserve">
This value will be the final value in the cumulative density column (I), for seasonal snow. If additional measurements of firn were made, make sure to change the formula to reflect the correct value.</t>
        </r>
      </text>
    </comment>
    <comment ref="B5" authorId="1" shapeId="0" xr:uid="{840C951A-A9F5-4D08-AEEB-EAC10A53023F}">
      <text>
        <r>
          <rPr>
            <sz val="8"/>
            <color indexed="81"/>
            <rFont val="Tahoma"/>
            <family val="2"/>
          </rPr>
          <t xml:space="preserve">Sipre coring auger=45.6cm2 
large tube 41.05 cm2       
small tube 25.6   cm2          
Snow Metrics 1000 cm^3
</t>
        </r>
      </text>
    </comment>
    <comment ref="A10" authorId="0" shapeId="0" xr:uid="{CE19FAC2-DB0E-4E55-AAC0-28C548B84C6B}">
      <text>
        <r>
          <rPr>
            <b/>
            <sz val="9"/>
            <color indexed="81"/>
            <rFont val="Tahoma"/>
            <family val="2"/>
          </rPr>
          <t>cmcneil:</t>
        </r>
        <r>
          <rPr>
            <sz val="9"/>
            <color indexed="81"/>
            <rFont val="Tahoma"/>
            <family val="2"/>
          </rPr>
          <t xml:space="preserve">
Enter Sample weights here. If samples were weight in the sampler, oyu must enter the sampler/container weight in column B.</t>
        </r>
      </text>
    </comment>
    <comment ref="B10" authorId="0" shapeId="0" xr:uid="{D0AFABF8-A54D-40F8-9D5A-3764E0F757BD}">
      <text>
        <r>
          <rPr>
            <b/>
            <sz val="9"/>
            <color indexed="81"/>
            <rFont val="Tahoma"/>
            <family val="2"/>
          </rPr>
          <t>cmcneil:</t>
        </r>
        <r>
          <rPr>
            <sz val="9"/>
            <color indexed="81"/>
            <rFont val="Tahoma"/>
            <family val="2"/>
          </rPr>
          <t xml:space="preserve">
Weight of sample container if scale was not tared. If scale was tared enter zero</t>
        </r>
      </text>
    </comment>
    <comment ref="C10" authorId="0" shapeId="0" xr:uid="{2DE740D9-CF4E-4D3A-9EFE-2122677ED236}">
      <text>
        <r>
          <rPr>
            <b/>
            <sz val="9"/>
            <color indexed="81"/>
            <rFont val="Tahoma"/>
            <family val="2"/>
          </rPr>
          <t>cmcneil:</t>
        </r>
        <r>
          <rPr>
            <sz val="9"/>
            <color indexed="81"/>
            <rFont val="Tahoma"/>
            <family val="2"/>
          </rPr>
          <t xml:space="preserve">
Sample Bottom Depth(SBD). This is the depth of the bottom of sample taken, in reference to the snow surface.</t>
        </r>
      </text>
    </comment>
    <comment ref="D10" authorId="0" shapeId="0" xr:uid="{DD1A40BC-99DB-43E1-B60C-1CBAE24824EE}">
      <text>
        <r>
          <rPr>
            <b/>
            <sz val="9"/>
            <color indexed="81"/>
            <rFont val="Tahoma"/>
            <family val="2"/>
          </rPr>
          <t>cmcneil:</t>
        </r>
        <r>
          <rPr>
            <sz val="9"/>
            <color indexed="81"/>
            <rFont val="Tahoma"/>
            <family val="2"/>
          </rPr>
          <t xml:space="preserve">
Volume of sample taken</t>
        </r>
      </text>
    </comment>
    <comment ref="E10" authorId="0" shapeId="0" xr:uid="{CA0AA138-4D59-4A5C-B78F-00E014928CF8}">
      <text>
        <r>
          <rPr>
            <b/>
            <sz val="9"/>
            <color indexed="81"/>
            <rFont val="Tahoma"/>
            <family val="2"/>
          </rPr>
          <t>cmcneil:</t>
        </r>
        <r>
          <rPr>
            <sz val="9"/>
            <color indexed="81"/>
            <rFont val="Tahoma"/>
            <family val="2"/>
          </rPr>
          <t xml:space="preserve">
Top of layer, caluclated as half way between the bottom of the previous sample and the next.</t>
        </r>
      </text>
    </comment>
    <comment ref="F10" authorId="0" shapeId="0" xr:uid="{DA1240C1-A1B2-4409-A9C8-29CA9B6675CB}">
      <text>
        <r>
          <rPr>
            <b/>
            <sz val="9"/>
            <color indexed="81"/>
            <rFont val="Tahoma"/>
            <family val="2"/>
          </rPr>
          <t>cmcneil:</t>
        </r>
        <r>
          <rPr>
            <sz val="9"/>
            <color indexed="81"/>
            <rFont val="Tahoma"/>
            <family val="2"/>
          </rPr>
          <t xml:space="preserve">
Bottom of sample layer, calculated as half way between the bottom of a sample and the top of the next sample.</t>
        </r>
      </text>
    </comment>
    <comment ref="G10" authorId="0" shapeId="0" xr:uid="{2B7D0D4B-5A9F-4314-BFCF-CAE33B60C31F}">
      <text>
        <r>
          <rPr>
            <b/>
            <sz val="9"/>
            <color indexed="81"/>
            <rFont val="Tahoma"/>
            <family val="2"/>
          </rPr>
          <t>cmcneil:</t>
        </r>
        <r>
          <rPr>
            <sz val="9"/>
            <color indexed="81"/>
            <rFont val="Tahoma"/>
            <family val="2"/>
          </rPr>
          <t xml:space="preserve">
Density of sample. Calculated from the mass/volume</t>
        </r>
      </text>
    </comment>
    <comment ref="H10" authorId="0" shapeId="0" xr:uid="{05C206B5-3F49-4510-B1DB-05870E6A279B}">
      <text>
        <r>
          <rPr>
            <b/>
            <sz val="9"/>
            <color indexed="81"/>
            <rFont val="Tahoma"/>
            <family val="2"/>
          </rPr>
          <t>cmcneil:</t>
        </r>
        <r>
          <rPr>
            <sz val="9"/>
            <color indexed="81"/>
            <rFont val="Tahoma"/>
            <family val="2"/>
          </rPr>
          <t xml:space="preserve">
Snow water equivalance of sample layer. Calculated from the thickness of the sample layer multpled by the density</t>
        </r>
      </text>
    </comment>
    <comment ref="I10" authorId="0" shapeId="0" xr:uid="{3A8BF915-D624-4CCD-A572-D71DF98496CB}">
      <text>
        <r>
          <rPr>
            <b/>
            <sz val="9"/>
            <color indexed="81"/>
            <rFont val="Tahoma"/>
            <family val="2"/>
          </rPr>
          <t>cmcneil:</t>
        </r>
        <r>
          <rPr>
            <sz val="9"/>
            <color indexed="81"/>
            <rFont val="Tahoma"/>
            <family val="2"/>
          </rPr>
          <t xml:space="preserve">
Cummulative s.w.e. of from surface to the depth of each sample</t>
        </r>
      </text>
    </comment>
    <comment ref="J10" authorId="0" shapeId="0" xr:uid="{C4B05C6E-DBF7-46BF-9FED-DFB30BBEA8C5}">
      <text>
        <r>
          <rPr>
            <b/>
            <sz val="9"/>
            <color indexed="81"/>
            <rFont val="Tahoma"/>
            <family val="2"/>
          </rPr>
          <t>cmcneil:</t>
        </r>
        <r>
          <rPr>
            <sz val="9"/>
            <color indexed="81"/>
            <rFont val="Tahoma"/>
            <family val="2"/>
          </rPr>
          <t xml:space="preserve">
Column average density from the surface to each sample. Calculated by dividing cumulative s.w.e. (column I) by the sample bottom depth.</t>
        </r>
      </text>
    </comment>
    <comment ref="K10" authorId="0" shapeId="0" xr:uid="{F8A6D03C-D935-4B3C-97AB-1AAC2B5DF2FE}">
      <text>
        <r>
          <rPr>
            <b/>
            <sz val="9"/>
            <color indexed="81"/>
            <rFont val="Tahoma"/>
            <family val="2"/>
          </rPr>
          <t>cmcneil:</t>
        </r>
        <r>
          <rPr>
            <sz val="9"/>
            <color indexed="81"/>
            <rFont val="Tahoma"/>
            <family val="2"/>
          </rPr>
          <t xml:space="preserve">
Any observation about a given sample. Cutting dog bites, dirty layers, ice lenses, etc...</t>
        </r>
      </text>
    </comment>
    <comment ref="L10" authorId="0" shapeId="0" xr:uid="{A966DC1D-15CE-4D98-AD04-868024298E6F}">
      <text>
        <r>
          <rPr>
            <b/>
            <sz val="9"/>
            <color indexed="81"/>
            <rFont val="Tahoma"/>
            <family val="2"/>
          </rPr>
          <t>cmcneil:</t>
        </r>
        <r>
          <rPr>
            <sz val="9"/>
            <color indexed="81"/>
            <rFont val="Tahoma"/>
            <family val="2"/>
          </rPr>
          <t xml:space="preserve">
What was used to measure snow depth</t>
        </r>
      </text>
    </comment>
    <comment ref="M10" authorId="0" shapeId="0" xr:uid="{7B4BACEC-9049-43B3-BE65-C655B0D778E8}">
      <text>
        <r>
          <rPr>
            <b/>
            <sz val="9"/>
            <color indexed="81"/>
            <rFont val="Tahoma"/>
            <family val="2"/>
          </rPr>
          <t>cmcneil:</t>
        </r>
        <r>
          <rPr>
            <sz val="9"/>
            <color indexed="81"/>
            <rFont val="Tahoma"/>
            <family val="2"/>
          </rPr>
          <t xml:space="preserve">
snow depth observed</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cmcneil</author>
    <author>Author</author>
  </authors>
  <commentList>
    <comment ref="H1" authorId="0" shapeId="0" xr:uid="{7D554E1F-61B0-4997-9E12-72B93BF15D65}">
      <text>
        <r>
          <rPr>
            <b/>
            <sz val="9"/>
            <color indexed="81"/>
            <rFont val="Tahoma"/>
            <family val="2"/>
          </rPr>
          <t>cmcneil:</t>
        </r>
        <r>
          <rPr>
            <sz val="9"/>
            <color indexed="81"/>
            <rFont val="Tahoma"/>
            <family val="2"/>
          </rPr>
          <t xml:space="preserve">
This value is the total depth on the snowpit--not necessarily the depth of the previous years summer surface. UNITS ARE IN CENTIMETERS</t>
        </r>
      </text>
    </comment>
    <comment ref="H2" authorId="0" shapeId="0" xr:uid="{EBA24F5D-21B2-40AC-86BA-9AAD89A861F4}">
      <text>
        <r>
          <rPr>
            <b/>
            <sz val="9"/>
            <color indexed="81"/>
            <rFont val="Tahoma"/>
            <family val="2"/>
          </rPr>
          <t>cmcneil:</t>
        </r>
        <r>
          <rPr>
            <sz val="9"/>
            <color indexed="81"/>
            <rFont val="Tahoma"/>
            <family val="2"/>
          </rPr>
          <t xml:space="preserve">
This value is the depth of the previous years' summer surface: the boundary between the winters snow pack and either ice or firn. UNITS ARE IN CM.</t>
        </r>
      </text>
    </comment>
    <comment ref="H3" authorId="0" shapeId="0" xr:uid="{EF2C0E03-7A31-46B2-B25D-137165AAEBD8}">
      <text>
        <r>
          <rPr>
            <b/>
            <sz val="9"/>
            <color indexed="81"/>
            <rFont val="Tahoma"/>
            <family val="2"/>
          </rPr>
          <t>cmcneil:</t>
        </r>
        <r>
          <rPr>
            <sz val="9"/>
            <color indexed="81"/>
            <rFont val="Tahoma"/>
            <family val="2"/>
          </rPr>
          <t xml:space="preserve">
This value is the calculated average snow depth at the site. If in the accumulation zone there will likely only be a single value; ablation zone measurements should have additional probe depth in addition to any snowpit measurments. UNITS ARE IN METERS</t>
        </r>
      </text>
    </comment>
    <comment ref="H4" authorId="0" shapeId="0" xr:uid="{567BD706-BDCE-4F73-8BA7-7A436754F488}">
      <text>
        <r>
          <rPr>
            <b/>
            <sz val="9"/>
            <color indexed="81"/>
            <rFont val="Tahoma"/>
            <family val="2"/>
          </rPr>
          <t>cmcneil:</t>
        </r>
        <r>
          <rPr>
            <sz val="9"/>
            <color indexed="81"/>
            <rFont val="Tahoma"/>
            <family val="2"/>
          </rPr>
          <t xml:space="preserve">
This value will be the final value in the cumulative density column (I), for seasonal snow. If additional measurements of firn were made, make sure to change the formula to reflect the correct value.</t>
        </r>
      </text>
    </comment>
    <comment ref="B5" authorId="1" shapeId="0" xr:uid="{10268E4C-FE4D-416E-A821-DF691DA2D9B9}">
      <text>
        <r>
          <rPr>
            <sz val="8"/>
            <color indexed="81"/>
            <rFont val="Tahoma"/>
            <family val="2"/>
          </rPr>
          <t xml:space="preserve">Sipre coring auger=45.6cm2 
large tube 41.05 cm2       
small tube 25.6   cm2          
Snow Metrics 1000 cm^3
</t>
        </r>
      </text>
    </comment>
    <comment ref="A10" authorId="0" shapeId="0" xr:uid="{07B22D37-B309-468A-8AA9-10407B5570EE}">
      <text>
        <r>
          <rPr>
            <b/>
            <sz val="9"/>
            <color indexed="81"/>
            <rFont val="Tahoma"/>
            <family val="2"/>
          </rPr>
          <t>cmcneil:</t>
        </r>
        <r>
          <rPr>
            <sz val="9"/>
            <color indexed="81"/>
            <rFont val="Tahoma"/>
            <family val="2"/>
          </rPr>
          <t xml:space="preserve">
Enter Sample weights here. If samples were weight in the sampler, oyu must enter the sampler/container weight in column B.</t>
        </r>
      </text>
    </comment>
    <comment ref="B10" authorId="0" shapeId="0" xr:uid="{25B751C9-7062-42A1-BFBA-69151F8F5D08}">
      <text>
        <r>
          <rPr>
            <b/>
            <sz val="9"/>
            <color indexed="81"/>
            <rFont val="Tahoma"/>
            <family val="2"/>
          </rPr>
          <t>cmcneil:</t>
        </r>
        <r>
          <rPr>
            <sz val="9"/>
            <color indexed="81"/>
            <rFont val="Tahoma"/>
            <family val="2"/>
          </rPr>
          <t xml:space="preserve">
Weight of sample container if scale was not tared. If scale was tared enter zero</t>
        </r>
      </text>
    </comment>
    <comment ref="C10" authorId="0" shapeId="0" xr:uid="{11D95928-A269-4960-9A90-A96428A6189F}">
      <text>
        <r>
          <rPr>
            <b/>
            <sz val="9"/>
            <color indexed="81"/>
            <rFont val="Tahoma"/>
            <family val="2"/>
          </rPr>
          <t>cmcneil:</t>
        </r>
        <r>
          <rPr>
            <sz val="9"/>
            <color indexed="81"/>
            <rFont val="Tahoma"/>
            <family val="2"/>
          </rPr>
          <t xml:space="preserve">
Sample Bottom Depth(SBD). This is the depth of the bottom of sample taken, in reference to the snow surface.</t>
        </r>
      </text>
    </comment>
    <comment ref="D10" authorId="0" shapeId="0" xr:uid="{CC460170-A1CF-4255-B1F3-88697D2266C2}">
      <text>
        <r>
          <rPr>
            <b/>
            <sz val="9"/>
            <color indexed="81"/>
            <rFont val="Tahoma"/>
            <family val="2"/>
          </rPr>
          <t>cmcneil:</t>
        </r>
        <r>
          <rPr>
            <sz val="9"/>
            <color indexed="81"/>
            <rFont val="Tahoma"/>
            <family val="2"/>
          </rPr>
          <t xml:space="preserve">
Volume of sample taken</t>
        </r>
      </text>
    </comment>
    <comment ref="E10" authorId="0" shapeId="0" xr:uid="{90A5DC81-F6C6-4318-9CDE-D81B7CAF1F05}">
      <text>
        <r>
          <rPr>
            <b/>
            <sz val="9"/>
            <color indexed="81"/>
            <rFont val="Tahoma"/>
            <family val="2"/>
          </rPr>
          <t>cmcneil:</t>
        </r>
        <r>
          <rPr>
            <sz val="9"/>
            <color indexed="81"/>
            <rFont val="Tahoma"/>
            <family val="2"/>
          </rPr>
          <t xml:space="preserve">
Top of layer, caluclated as half way between the bottom of the previous sample and the next.</t>
        </r>
      </text>
    </comment>
    <comment ref="F10" authorId="0" shapeId="0" xr:uid="{D63CCA74-AE79-49F0-BEBF-907D51BE9516}">
      <text>
        <r>
          <rPr>
            <b/>
            <sz val="9"/>
            <color indexed="81"/>
            <rFont val="Tahoma"/>
            <family val="2"/>
          </rPr>
          <t>cmcneil:</t>
        </r>
        <r>
          <rPr>
            <sz val="9"/>
            <color indexed="81"/>
            <rFont val="Tahoma"/>
            <family val="2"/>
          </rPr>
          <t xml:space="preserve">
Bottom of sample layer, calculated as half way between the bottom of a sample and the top of the next sample.</t>
        </r>
      </text>
    </comment>
    <comment ref="G10" authorId="0" shapeId="0" xr:uid="{6E4668A0-9167-459C-9A0C-09238CC68125}">
      <text>
        <r>
          <rPr>
            <b/>
            <sz val="9"/>
            <color indexed="81"/>
            <rFont val="Tahoma"/>
            <family val="2"/>
          </rPr>
          <t>cmcneil:</t>
        </r>
        <r>
          <rPr>
            <sz val="9"/>
            <color indexed="81"/>
            <rFont val="Tahoma"/>
            <family val="2"/>
          </rPr>
          <t xml:space="preserve">
Density of sample. Calculated from the mass/volume</t>
        </r>
      </text>
    </comment>
    <comment ref="H10" authorId="0" shapeId="0" xr:uid="{5D3E5321-3667-40F7-A3BB-E96508A860B4}">
      <text>
        <r>
          <rPr>
            <b/>
            <sz val="9"/>
            <color indexed="81"/>
            <rFont val="Tahoma"/>
            <family val="2"/>
          </rPr>
          <t>cmcneil:</t>
        </r>
        <r>
          <rPr>
            <sz val="9"/>
            <color indexed="81"/>
            <rFont val="Tahoma"/>
            <family val="2"/>
          </rPr>
          <t xml:space="preserve">
Snow water equivalance of sample layer. Calculated from the thickness of the sample layer multpled by the density</t>
        </r>
      </text>
    </comment>
    <comment ref="I10" authorId="0" shapeId="0" xr:uid="{E9CF78A9-D58E-4C5E-8D43-08BFF77291B6}">
      <text>
        <r>
          <rPr>
            <b/>
            <sz val="9"/>
            <color indexed="81"/>
            <rFont val="Tahoma"/>
            <family val="2"/>
          </rPr>
          <t>cmcneil:</t>
        </r>
        <r>
          <rPr>
            <sz val="9"/>
            <color indexed="81"/>
            <rFont val="Tahoma"/>
            <family val="2"/>
          </rPr>
          <t xml:space="preserve">
Cummulative s.w.e. of from surface to the depth of each sample</t>
        </r>
      </text>
    </comment>
    <comment ref="J10" authorId="0" shapeId="0" xr:uid="{53B535C5-8905-4468-B3A3-F4FAB81063E9}">
      <text>
        <r>
          <rPr>
            <b/>
            <sz val="9"/>
            <color indexed="81"/>
            <rFont val="Tahoma"/>
            <family val="2"/>
          </rPr>
          <t>cmcneil:</t>
        </r>
        <r>
          <rPr>
            <sz val="9"/>
            <color indexed="81"/>
            <rFont val="Tahoma"/>
            <family val="2"/>
          </rPr>
          <t xml:space="preserve">
Column average density from the surface to each sample. Calculated by dividing cumulative s.w.e. (column I) by the sample bottom depth.</t>
        </r>
      </text>
    </comment>
    <comment ref="K10" authorId="0" shapeId="0" xr:uid="{5A811234-BA8D-48B8-8BA1-B90D66F45FEA}">
      <text>
        <r>
          <rPr>
            <b/>
            <sz val="9"/>
            <color indexed="81"/>
            <rFont val="Tahoma"/>
            <family val="2"/>
          </rPr>
          <t>cmcneil:</t>
        </r>
        <r>
          <rPr>
            <sz val="9"/>
            <color indexed="81"/>
            <rFont val="Tahoma"/>
            <family val="2"/>
          </rPr>
          <t xml:space="preserve">
Any observation about a given sample. Cutting dog bites, dirty layers, ice lenses, etc...</t>
        </r>
      </text>
    </comment>
    <comment ref="L10" authorId="0" shapeId="0" xr:uid="{75FBED81-BC07-4104-89B4-FAC59C878C12}">
      <text>
        <r>
          <rPr>
            <b/>
            <sz val="9"/>
            <color indexed="81"/>
            <rFont val="Tahoma"/>
            <family val="2"/>
          </rPr>
          <t>cmcneil:</t>
        </r>
        <r>
          <rPr>
            <sz val="9"/>
            <color indexed="81"/>
            <rFont val="Tahoma"/>
            <family val="2"/>
          </rPr>
          <t xml:space="preserve">
What was used to measure snow depth</t>
        </r>
      </text>
    </comment>
    <comment ref="M10" authorId="0" shapeId="0" xr:uid="{DA306502-8E87-47EF-88BC-4B5A901EFEC9}">
      <text>
        <r>
          <rPr>
            <b/>
            <sz val="9"/>
            <color indexed="81"/>
            <rFont val="Tahoma"/>
            <family val="2"/>
          </rPr>
          <t>cmcneil:</t>
        </r>
        <r>
          <rPr>
            <sz val="9"/>
            <color indexed="81"/>
            <rFont val="Tahoma"/>
            <family val="2"/>
          </rPr>
          <t xml:space="preserve">
snow depth observed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cmcneil</author>
    <author>Author</author>
  </authors>
  <commentList>
    <comment ref="H1" authorId="0" shapeId="0" xr:uid="{E7387997-8552-4C9D-A2B1-368E9ABB0C8C}">
      <text>
        <r>
          <rPr>
            <b/>
            <sz val="9"/>
            <color indexed="81"/>
            <rFont val="Tahoma"/>
            <family val="2"/>
          </rPr>
          <t>cmcneil:</t>
        </r>
        <r>
          <rPr>
            <sz val="9"/>
            <color indexed="81"/>
            <rFont val="Tahoma"/>
            <family val="2"/>
          </rPr>
          <t xml:space="preserve">
This value is the total depth on the snowpit--not necessarily the depth of the previous years summer surface. UNITS ARE IN CENTIMETERS</t>
        </r>
      </text>
    </comment>
    <comment ref="H2" authorId="0" shapeId="0" xr:uid="{C6451A67-52DF-4F70-BF8F-D24979228125}">
      <text>
        <r>
          <rPr>
            <b/>
            <sz val="9"/>
            <color indexed="81"/>
            <rFont val="Tahoma"/>
            <family val="2"/>
          </rPr>
          <t>cmcneil:</t>
        </r>
        <r>
          <rPr>
            <sz val="9"/>
            <color indexed="81"/>
            <rFont val="Tahoma"/>
            <family val="2"/>
          </rPr>
          <t xml:space="preserve">
This value is the depth of the previous years' summer surface: the boundary between the winters snow pack and either ice or firn. UNITS ARE IN CM.</t>
        </r>
      </text>
    </comment>
    <comment ref="H3" authorId="0" shapeId="0" xr:uid="{8DC6557E-8119-416E-94C4-9D7F35F45262}">
      <text>
        <r>
          <rPr>
            <b/>
            <sz val="9"/>
            <color indexed="81"/>
            <rFont val="Tahoma"/>
            <family val="2"/>
          </rPr>
          <t>cmcneil:</t>
        </r>
        <r>
          <rPr>
            <sz val="9"/>
            <color indexed="81"/>
            <rFont val="Tahoma"/>
            <family val="2"/>
          </rPr>
          <t xml:space="preserve">
This value is the calculated average snow depth at the site. If in the accumulation zone there will likely only be a single value; ablation zone measurements should have additional probe depth in addition to any snowpit measurments. UNITS ARE IN METERS</t>
        </r>
      </text>
    </comment>
    <comment ref="H4" authorId="0" shapeId="0" xr:uid="{165A3C3A-25BD-45CA-859B-0D88B87001B6}">
      <text>
        <r>
          <rPr>
            <b/>
            <sz val="9"/>
            <color indexed="81"/>
            <rFont val="Tahoma"/>
            <family val="2"/>
          </rPr>
          <t>cmcneil:</t>
        </r>
        <r>
          <rPr>
            <sz val="9"/>
            <color indexed="81"/>
            <rFont val="Tahoma"/>
            <family val="2"/>
          </rPr>
          <t xml:space="preserve">
This value will be the final value in the cumulative density column (I), for seasonal snow. If additional measurements of firn were made, make sure to change the formula to reflect the correct value.</t>
        </r>
      </text>
    </comment>
    <comment ref="B5" authorId="1" shapeId="0" xr:uid="{45610FD4-CB8D-4E78-A8F3-E88BE29FFC82}">
      <text>
        <r>
          <rPr>
            <sz val="8"/>
            <color indexed="81"/>
            <rFont val="Tahoma"/>
            <family val="2"/>
          </rPr>
          <t xml:space="preserve">Sipre coring auger=45.6cm2 
large tube 41.05 cm2       
small tube 25.6   cm2          
Snow Metrics 1000 cm^3
</t>
        </r>
      </text>
    </comment>
    <comment ref="D9" authorId="0" shapeId="0" xr:uid="{0D6E134B-CA18-4102-9C2A-504F78A369B1}">
      <text>
        <r>
          <rPr>
            <b/>
            <sz val="9"/>
            <color indexed="81"/>
            <rFont val="Tahoma"/>
            <family val="2"/>
          </rPr>
          <t>cmcneil:</t>
        </r>
        <r>
          <rPr>
            <sz val="9"/>
            <color indexed="81"/>
            <rFont val="Tahoma"/>
            <family val="2"/>
          </rPr>
          <t xml:space="preserve">
Measurements of core lengths.</t>
        </r>
      </text>
    </comment>
    <comment ref="H9" authorId="0" shapeId="0" xr:uid="{B58B061E-B83D-4C39-B04D-B91DD33A3DB8}">
      <text>
        <r>
          <rPr>
            <b/>
            <sz val="9"/>
            <color indexed="81"/>
            <rFont val="Tahoma"/>
            <family val="2"/>
          </rPr>
          <t>cmcneil:</t>
        </r>
        <r>
          <rPr>
            <sz val="9"/>
            <color indexed="81"/>
            <rFont val="Tahoma"/>
            <family val="2"/>
          </rPr>
          <t xml:space="preserve">
Measurements of core diameter</t>
        </r>
      </text>
    </comment>
    <comment ref="A10" authorId="0" shapeId="0" xr:uid="{D4755FF7-D32A-4089-A6EC-86186CED8826}">
      <text>
        <r>
          <rPr>
            <b/>
            <sz val="9"/>
            <color indexed="81"/>
            <rFont val="Tahoma"/>
            <family val="2"/>
          </rPr>
          <t>cmcneil:</t>
        </r>
        <r>
          <rPr>
            <sz val="9"/>
            <color indexed="81"/>
            <rFont val="Tahoma"/>
            <family val="2"/>
          </rPr>
          <t xml:space="preserve">
Enter Sample weights here. If samples were weight in the sampler, oyu must enter the sampler/container weight in column B.</t>
        </r>
      </text>
    </comment>
    <comment ref="B10" authorId="0" shapeId="0" xr:uid="{C9FB7FA7-B59D-402C-876C-8DCC51418BEC}">
      <text>
        <r>
          <rPr>
            <b/>
            <sz val="9"/>
            <color indexed="81"/>
            <rFont val="Tahoma"/>
            <family val="2"/>
          </rPr>
          <t>cmcneil:</t>
        </r>
        <r>
          <rPr>
            <sz val="9"/>
            <color indexed="81"/>
            <rFont val="Tahoma"/>
            <family val="2"/>
          </rPr>
          <t xml:space="preserve">
Weight of sample container if scale was not tared. If scale was tared enter zero</t>
        </r>
      </text>
    </comment>
    <comment ref="C10" authorId="0" shapeId="0" xr:uid="{B3034D58-505B-4AA1-8A6E-8A04EF98CC6B}">
      <text>
        <r>
          <rPr>
            <b/>
            <sz val="9"/>
            <color indexed="81"/>
            <rFont val="Tahoma"/>
            <family val="2"/>
          </rPr>
          <t>cmcneil:</t>
        </r>
        <r>
          <rPr>
            <sz val="9"/>
            <color indexed="81"/>
            <rFont val="Tahoma"/>
            <family val="2"/>
          </rPr>
          <t xml:space="preserve">
Sample Bottom Depth(SBD). This is the depth of the bottom of sample taken, in reference to the snow surface.</t>
        </r>
      </text>
    </comment>
    <comment ref="G10" authorId="0" shapeId="0" xr:uid="{7EF9D236-9879-422E-BBA2-754F0EE33FD0}">
      <text>
        <r>
          <rPr>
            <b/>
            <sz val="9"/>
            <color indexed="81"/>
            <rFont val="Tahoma"/>
            <family val="2"/>
          </rPr>
          <t>cmcneil:</t>
        </r>
        <r>
          <rPr>
            <sz val="9"/>
            <color indexed="81"/>
            <rFont val="Tahoma"/>
            <family val="2"/>
          </rPr>
          <t xml:space="preserve">
Average of all measured lengths of core section</t>
        </r>
      </text>
    </comment>
    <comment ref="L10" authorId="0" shapeId="0" xr:uid="{B259033D-62B3-4527-A837-085CF52FF9A3}">
      <text>
        <r>
          <rPr>
            <b/>
            <sz val="9"/>
            <color indexed="81"/>
            <rFont val="Tahoma"/>
            <family val="2"/>
          </rPr>
          <t>cmcneil:</t>
        </r>
        <r>
          <rPr>
            <sz val="9"/>
            <color indexed="81"/>
            <rFont val="Tahoma"/>
            <family val="2"/>
          </rPr>
          <t xml:space="preserve">
Average of all diameters measured for each core section</t>
        </r>
      </text>
    </comment>
    <comment ref="M10" authorId="0" shapeId="0" xr:uid="{CF9A78E8-7ACF-4C33-96C1-B92C43A7EE68}">
      <text>
        <r>
          <rPr>
            <b/>
            <sz val="9"/>
            <color indexed="81"/>
            <rFont val="Tahoma"/>
            <family val="2"/>
          </rPr>
          <t>cmcneil:</t>
        </r>
        <r>
          <rPr>
            <sz val="9"/>
            <color indexed="81"/>
            <rFont val="Tahoma"/>
            <family val="2"/>
          </rPr>
          <t xml:space="preserve">
Volume of sample taken</t>
        </r>
      </text>
    </comment>
    <comment ref="N10" authorId="0" shapeId="0" xr:uid="{197A1CAC-7047-4A17-90F3-AABF1CF58B9B}">
      <text>
        <r>
          <rPr>
            <b/>
            <sz val="9"/>
            <color indexed="81"/>
            <rFont val="Tahoma"/>
            <family val="2"/>
          </rPr>
          <t>cmcneil:</t>
        </r>
        <r>
          <rPr>
            <sz val="9"/>
            <color indexed="81"/>
            <rFont val="Tahoma"/>
            <family val="2"/>
          </rPr>
          <t xml:space="preserve">
Top of layer, caluclated as half way between the bottom of the previous sample and the next.</t>
        </r>
      </text>
    </comment>
    <comment ref="O10" authorId="0" shapeId="0" xr:uid="{3231EA85-42AB-43E9-AB89-34EA91AF9471}">
      <text>
        <r>
          <rPr>
            <b/>
            <sz val="9"/>
            <color indexed="81"/>
            <rFont val="Tahoma"/>
            <family val="2"/>
          </rPr>
          <t>cmcneil:</t>
        </r>
        <r>
          <rPr>
            <sz val="9"/>
            <color indexed="81"/>
            <rFont val="Tahoma"/>
            <family val="2"/>
          </rPr>
          <t xml:space="preserve">
Bottom of sample layer, calculated as half way between the bottom of a sample and the top of the next sample.</t>
        </r>
      </text>
    </comment>
    <comment ref="P10" authorId="0" shapeId="0" xr:uid="{C0FA8C01-899B-4803-BB52-E8C4ED8747D6}">
      <text>
        <r>
          <rPr>
            <b/>
            <sz val="9"/>
            <color indexed="81"/>
            <rFont val="Tahoma"/>
            <family val="2"/>
          </rPr>
          <t>cmcneil:</t>
        </r>
        <r>
          <rPr>
            <sz val="9"/>
            <color indexed="81"/>
            <rFont val="Tahoma"/>
            <family val="2"/>
          </rPr>
          <t xml:space="preserve">
Density of sample. Calculated from the mass/volume</t>
        </r>
      </text>
    </comment>
    <comment ref="Q10" authorId="0" shapeId="0" xr:uid="{0A8C6A17-7389-4F25-8A87-ADE306D3C2BC}">
      <text>
        <r>
          <rPr>
            <b/>
            <sz val="9"/>
            <color indexed="81"/>
            <rFont val="Tahoma"/>
            <family val="2"/>
          </rPr>
          <t>cmcneil:</t>
        </r>
        <r>
          <rPr>
            <sz val="9"/>
            <color indexed="81"/>
            <rFont val="Tahoma"/>
            <family val="2"/>
          </rPr>
          <t xml:space="preserve">
Snow water equivalance of sample layer. Calculated from the thickness of the sample layer multpled by the density</t>
        </r>
      </text>
    </comment>
    <comment ref="R10" authorId="0" shapeId="0" xr:uid="{C2C3ED32-339E-4E56-B971-9A447B3AB6DF}">
      <text>
        <r>
          <rPr>
            <b/>
            <sz val="9"/>
            <color indexed="81"/>
            <rFont val="Tahoma"/>
            <family val="2"/>
          </rPr>
          <t>cmcneil:</t>
        </r>
        <r>
          <rPr>
            <sz val="9"/>
            <color indexed="81"/>
            <rFont val="Tahoma"/>
            <family val="2"/>
          </rPr>
          <t xml:space="preserve">
Cummulative s.w.e. of from surface to the depth of each sample</t>
        </r>
      </text>
    </comment>
    <comment ref="S10" authorId="0" shapeId="0" xr:uid="{6C304DED-42F8-4E7D-B74C-BFD8515BEFB1}">
      <text>
        <r>
          <rPr>
            <b/>
            <sz val="9"/>
            <color indexed="81"/>
            <rFont val="Tahoma"/>
            <family val="2"/>
          </rPr>
          <t>cmcneil:</t>
        </r>
        <r>
          <rPr>
            <sz val="9"/>
            <color indexed="81"/>
            <rFont val="Tahoma"/>
            <family val="2"/>
          </rPr>
          <t xml:space="preserve">
Column average density from the surface to each sample. Calculated by dividing cumulative s.w.e. (column I) by the sample bottom depth.</t>
        </r>
      </text>
    </comment>
    <comment ref="T10" authorId="0" shapeId="0" xr:uid="{87ED46F7-4A05-4E8F-9381-1E7C3C2920FF}">
      <text>
        <r>
          <rPr>
            <b/>
            <sz val="9"/>
            <color indexed="81"/>
            <rFont val="Tahoma"/>
            <family val="2"/>
          </rPr>
          <t>cmcneil:</t>
        </r>
        <r>
          <rPr>
            <sz val="9"/>
            <color indexed="81"/>
            <rFont val="Tahoma"/>
            <family val="2"/>
          </rPr>
          <t xml:space="preserve">
Any observation about a given sample. Cutting dog bites, dirty layers, ice lenses, etc...</t>
        </r>
      </text>
    </comment>
    <comment ref="U10" authorId="0" shapeId="0" xr:uid="{EFFD785A-4E02-4B59-A19C-93E5798C80F4}">
      <text>
        <r>
          <rPr>
            <b/>
            <sz val="9"/>
            <color indexed="81"/>
            <rFont val="Tahoma"/>
            <family val="2"/>
          </rPr>
          <t>cmcneil:</t>
        </r>
        <r>
          <rPr>
            <sz val="9"/>
            <color indexed="81"/>
            <rFont val="Tahoma"/>
            <family val="2"/>
          </rPr>
          <t xml:space="preserve">
What was used to measure snow depth</t>
        </r>
      </text>
    </comment>
    <comment ref="V10" authorId="0" shapeId="0" xr:uid="{FEDB9901-ACC3-49F3-8762-BC4005AACE7A}">
      <text>
        <r>
          <rPr>
            <b/>
            <sz val="9"/>
            <color indexed="81"/>
            <rFont val="Tahoma"/>
            <family val="2"/>
          </rPr>
          <t>cmcneil:</t>
        </r>
        <r>
          <rPr>
            <sz val="9"/>
            <color indexed="81"/>
            <rFont val="Tahoma"/>
            <family val="2"/>
          </rPr>
          <t xml:space="preserve">
snow depth observed</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cmcneil</author>
    <author>Author</author>
  </authors>
  <commentList>
    <comment ref="H1" authorId="0" shapeId="0" xr:uid="{848BFA22-CE6B-4E6F-9A07-2D77373A8798}">
      <text>
        <r>
          <rPr>
            <b/>
            <sz val="9"/>
            <color indexed="81"/>
            <rFont val="Tahoma"/>
            <family val="2"/>
          </rPr>
          <t>cmcneil:</t>
        </r>
        <r>
          <rPr>
            <sz val="9"/>
            <color indexed="81"/>
            <rFont val="Tahoma"/>
            <family val="2"/>
          </rPr>
          <t xml:space="preserve">
This value is the total depth on the snowpit--not necessarily the depth of the previous years summer surface. UNITS ARE IN CENTIMETERS</t>
        </r>
      </text>
    </comment>
    <comment ref="I1" authorId="0" shapeId="0" xr:uid="{9C5ED7C7-F0E4-4DD4-B722-DD3B6E410CAB}">
      <text>
        <r>
          <rPr>
            <b/>
            <sz val="9"/>
            <color indexed="81"/>
            <rFont val="Tahoma"/>
            <family val="2"/>
          </rPr>
          <t>cmcneil:</t>
        </r>
        <r>
          <rPr>
            <sz val="9"/>
            <color indexed="81"/>
            <rFont val="Tahoma"/>
            <family val="2"/>
          </rPr>
          <t xml:space="preserve">
Do not enter value. Link it to the last core sample SBD</t>
        </r>
      </text>
    </comment>
    <comment ref="H2" authorId="0" shapeId="0" xr:uid="{C8A3675B-2562-42D4-AEF8-83276E566315}">
      <text>
        <r>
          <rPr>
            <b/>
            <sz val="9"/>
            <color indexed="81"/>
            <rFont val="Tahoma"/>
            <family val="2"/>
          </rPr>
          <t>cmcneil:</t>
        </r>
        <r>
          <rPr>
            <sz val="9"/>
            <color indexed="81"/>
            <rFont val="Tahoma"/>
            <family val="2"/>
          </rPr>
          <t xml:space="preserve">
This value is the depth of the previous years' summer surface: the boundary between the winters snow pack and either ice or firn. UNITS ARE IN CM.</t>
        </r>
      </text>
    </comment>
    <comment ref="H3" authorId="0" shapeId="0" xr:uid="{B073E8DE-0F82-4FE1-9A5E-E6D547CFBEF2}">
      <text>
        <r>
          <rPr>
            <b/>
            <sz val="9"/>
            <color indexed="81"/>
            <rFont val="Tahoma"/>
            <family val="2"/>
          </rPr>
          <t>cmcneil:</t>
        </r>
        <r>
          <rPr>
            <sz val="9"/>
            <color indexed="81"/>
            <rFont val="Tahoma"/>
            <family val="2"/>
          </rPr>
          <t xml:space="preserve">
This value is the calculated average snow depth at the site. If in the accumulation zone there will likely only be a single value; ablation zone measurements should have additional probe depth in addition to any snowpit measurments. UNITS ARE IN METERS</t>
        </r>
      </text>
    </comment>
    <comment ref="H4" authorId="0" shapeId="0" xr:uid="{6A72685C-9962-4954-8056-A36DB15D39FF}">
      <text>
        <r>
          <rPr>
            <b/>
            <sz val="9"/>
            <color indexed="81"/>
            <rFont val="Tahoma"/>
            <family val="2"/>
          </rPr>
          <t>cmcneil:</t>
        </r>
        <r>
          <rPr>
            <sz val="9"/>
            <color indexed="81"/>
            <rFont val="Tahoma"/>
            <family val="2"/>
          </rPr>
          <t xml:space="preserve">
This value will be the final value in the cumulative density column (I), for seasonal snow. If additional measurements of firn were made, make sure to change the formula to reflect the correct value.</t>
        </r>
      </text>
    </comment>
    <comment ref="B5" authorId="1" shapeId="0" xr:uid="{51107E24-5980-4C44-A85E-B8373290566E}">
      <text>
        <r>
          <rPr>
            <sz val="8"/>
            <color indexed="81"/>
            <rFont val="Tahoma"/>
            <family val="2"/>
          </rPr>
          <t xml:space="preserve">Sipre coring auger=45.6cm2 
large tube 41.05 cm2       
small tube 25.6   cm2          
Snow Metrics 1000 cm^3
</t>
        </r>
      </text>
    </comment>
    <comment ref="D9" authorId="0" shapeId="0" xr:uid="{8EE838F8-43D5-48A1-9D8E-2131ADB8E91C}">
      <text>
        <r>
          <rPr>
            <b/>
            <sz val="9"/>
            <color indexed="81"/>
            <rFont val="Tahoma"/>
            <family val="2"/>
          </rPr>
          <t>cmcneil:</t>
        </r>
        <r>
          <rPr>
            <sz val="9"/>
            <color indexed="81"/>
            <rFont val="Tahoma"/>
            <family val="2"/>
          </rPr>
          <t xml:space="preserve">
Measurements of core lengths.</t>
        </r>
      </text>
    </comment>
    <comment ref="H9" authorId="0" shapeId="0" xr:uid="{1CEEBDF2-1FAE-41D1-8228-D50F5A2DEB9F}">
      <text>
        <r>
          <rPr>
            <b/>
            <sz val="9"/>
            <color indexed="81"/>
            <rFont val="Tahoma"/>
            <family val="2"/>
          </rPr>
          <t>cmcneil:</t>
        </r>
        <r>
          <rPr>
            <sz val="9"/>
            <color indexed="81"/>
            <rFont val="Tahoma"/>
            <family val="2"/>
          </rPr>
          <t xml:space="preserve">
Measurements of core diameter</t>
        </r>
      </text>
    </comment>
    <comment ref="A10" authorId="0" shapeId="0" xr:uid="{8611DB63-BE0D-49C0-B4B7-A10AC14A9C8D}">
      <text>
        <r>
          <rPr>
            <b/>
            <sz val="9"/>
            <color indexed="81"/>
            <rFont val="Tahoma"/>
            <family val="2"/>
          </rPr>
          <t>cmcneil:</t>
        </r>
        <r>
          <rPr>
            <sz val="9"/>
            <color indexed="81"/>
            <rFont val="Tahoma"/>
            <family val="2"/>
          </rPr>
          <t xml:space="preserve">
Enter Sample weights here. If samples were weight in the sampler, oyu must enter the sampler/container weight in column B.</t>
        </r>
      </text>
    </comment>
    <comment ref="B10" authorId="0" shapeId="0" xr:uid="{FE039D96-20CC-4026-88D2-74C67C738634}">
      <text>
        <r>
          <rPr>
            <b/>
            <sz val="9"/>
            <color indexed="81"/>
            <rFont val="Tahoma"/>
            <family val="2"/>
          </rPr>
          <t>cmcneil:</t>
        </r>
        <r>
          <rPr>
            <sz val="9"/>
            <color indexed="81"/>
            <rFont val="Tahoma"/>
            <family val="2"/>
          </rPr>
          <t xml:space="preserve">
Weight of sample container if scale was not tared. If scale was tared enter zero</t>
        </r>
      </text>
    </comment>
    <comment ref="C10" authorId="0" shapeId="0" xr:uid="{3ADFF3D7-1B76-4FBC-920F-DEE474327E67}">
      <text>
        <r>
          <rPr>
            <b/>
            <sz val="9"/>
            <color indexed="81"/>
            <rFont val="Tahoma"/>
            <family val="2"/>
          </rPr>
          <t>cmcneil:</t>
        </r>
        <r>
          <rPr>
            <sz val="9"/>
            <color indexed="81"/>
            <rFont val="Tahoma"/>
            <family val="2"/>
          </rPr>
          <t xml:space="preserve">
Sample Bottom Depth(SBD). This is the depth of the bottom of sample taken, in reference to the snow surface.</t>
        </r>
      </text>
    </comment>
    <comment ref="G10" authorId="0" shapeId="0" xr:uid="{4118580D-18D1-4905-B88D-4C21369A00AA}">
      <text>
        <r>
          <rPr>
            <b/>
            <sz val="9"/>
            <color indexed="81"/>
            <rFont val="Tahoma"/>
            <family val="2"/>
          </rPr>
          <t>cmcneil:</t>
        </r>
        <r>
          <rPr>
            <sz val="9"/>
            <color indexed="81"/>
            <rFont val="Tahoma"/>
            <family val="2"/>
          </rPr>
          <t xml:space="preserve">
Average of all measured lengths of core section</t>
        </r>
      </text>
    </comment>
    <comment ref="L10" authorId="0" shapeId="0" xr:uid="{47793262-4734-4098-AC5D-E115D0558FB6}">
      <text>
        <r>
          <rPr>
            <b/>
            <sz val="9"/>
            <color indexed="81"/>
            <rFont val="Tahoma"/>
            <family val="2"/>
          </rPr>
          <t>cmcneil:</t>
        </r>
        <r>
          <rPr>
            <sz val="9"/>
            <color indexed="81"/>
            <rFont val="Tahoma"/>
            <family val="2"/>
          </rPr>
          <t xml:space="preserve">
Average of all diameters measured for each core section</t>
        </r>
      </text>
    </comment>
    <comment ref="M10" authorId="0" shapeId="0" xr:uid="{0A293BD0-35F5-472C-A7E2-E0CDE3EE6740}">
      <text>
        <r>
          <rPr>
            <b/>
            <sz val="9"/>
            <color indexed="81"/>
            <rFont val="Tahoma"/>
            <family val="2"/>
          </rPr>
          <t>cmcneil:</t>
        </r>
        <r>
          <rPr>
            <sz val="9"/>
            <color indexed="81"/>
            <rFont val="Tahoma"/>
            <family val="2"/>
          </rPr>
          <t xml:space="preserve">
Volume of sample taken</t>
        </r>
      </text>
    </comment>
    <comment ref="N10" authorId="0" shapeId="0" xr:uid="{8C0C5E70-EF3D-4F1C-9528-7C449BA085C9}">
      <text>
        <r>
          <rPr>
            <b/>
            <sz val="9"/>
            <color indexed="81"/>
            <rFont val="Tahoma"/>
            <family val="2"/>
          </rPr>
          <t>cmcneil:</t>
        </r>
        <r>
          <rPr>
            <sz val="9"/>
            <color indexed="81"/>
            <rFont val="Tahoma"/>
            <family val="2"/>
          </rPr>
          <t xml:space="preserve">
Top of layer, caluclated as half way between the bottom of the previous sample and the next.</t>
        </r>
      </text>
    </comment>
    <comment ref="O10" authorId="0" shapeId="0" xr:uid="{B75F7EEC-F214-4C90-BBC2-0FE4DEAA5EFC}">
      <text>
        <r>
          <rPr>
            <b/>
            <sz val="9"/>
            <color indexed="81"/>
            <rFont val="Tahoma"/>
            <family val="2"/>
          </rPr>
          <t>cmcneil:</t>
        </r>
        <r>
          <rPr>
            <sz val="9"/>
            <color indexed="81"/>
            <rFont val="Tahoma"/>
            <family val="2"/>
          </rPr>
          <t xml:space="preserve">
Bottom of sample layer, calculated as half way between the bottom of a sample and the top of the next sample.</t>
        </r>
      </text>
    </comment>
    <comment ref="P10" authorId="0" shapeId="0" xr:uid="{E355AA77-D0F8-40BA-8F9C-5CFDFCD2EFF9}">
      <text>
        <r>
          <rPr>
            <b/>
            <sz val="9"/>
            <color indexed="81"/>
            <rFont val="Tahoma"/>
            <family val="2"/>
          </rPr>
          <t>cmcneil:</t>
        </r>
        <r>
          <rPr>
            <sz val="9"/>
            <color indexed="81"/>
            <rFont val="Tahoma"/>
            <family val="2"/>
          </rPr>
          <t xml:space="preserve">
Density of sample. Calculated from the mass/volume</t>
        </r>
      </text>
    </comment>
    <comment ref="Q10" authorId="0" shapeId="0" xr:uid="{A5DB221B-3A03-4E1A-9288-35D0F9907834}">
      <text>
        <r>
          <rPr>
            <b/>
            <sz val="9"/>
            <color indexed="81"/>
            <rFont val="Tahoma"/>
            <family val="2"/>
          </rPr>
          <t>cmcneil:</t>
        </r>
        <r>
          <rPr>
            <sz val="9"/>
            <color indexed="81"/>
            <rFont val="Tahoma"/>
            <family val="2"/>
          </rPr>
          <t xml:space="preserve">
Snow water equivalance of sample layer. Calculated from the thickness of the sample layer multpled by the density</t>
        </r>
      </text>
    </comment>
    <comment ref="R10" authorId="0" shapeId="0" xr:uid="{0B219BAD-AFE3-4B0A-B3F4-9BA89E1EEA99}">
      <text>
        <r>
          <rPr>
            <b/>
            <sz val="9"/>
            <color indexed="81"/>
            <rFont val="Tahoma"/>
            <family val="2"/>
          </rPr>
          <t>cmcneil:</t>
        </r>
        <r>
          <rPr>
            <sz val="9"/>
            <color indexed="81"/>
            <rFont val="Tahoma"/>
            <family val="2"/>
          </rPr>
          <t xml:space="preserve">
Cummulative s.w.e. of from surface to the depth of each sample</t>
        </r>
      </text>
    </comment>
    <comment ref="S10" authorId="0" shapeId="0" xr:uid="{EFA95FEE-421C-4BB1-9624-547F63DDA97E}">
      <text>
        <r>
          <rPr>
            <b/>
            <sz val="9"/>
            <color indexed="81"/>
            <rFont val="Tahoma"/>
            <family val="2"/>
          </rPr>
          <t>cmcneil:</t>
        </r>
        <r>
          <rPr>
            <sz val="9"/>
            <color indexed="81"/>
            <rFont val="Tahoma"/>
            <family val="2"/>
          </rPr>
          <t xml:space="preserve">
Column average density from the surface to each sample. Calculated by dividing cumulative s.w.e. (column I) by the sample bottom depth.</t>
        </r>
      </text>
    </comment>
    <comment ref="T10" authorId="0" shapeId="0" xr:uid="{BE9A713C-763E-4B3D-B38A-69023439141A}">
      <text>
        <r>
          <rPr>
            <b/>
            <sz val="9"/>
            <color indexed="81"/>
            <rFont val="Tahoma"/>
            <family val="2"/>
          </rPr>
          <t>cmcneil:</t>
        </r>
        <r>
          <rPr>
            <sz val="9"/>
            <color indexed="81"/>
            <rFont val="Tahoma"/>
            <family val="2"/>
          </rPr>
          <t xml:space="preserve">
Height of any ice lenses observed in core. If there was more than one, enter closest to bottom of core section and note additional depths in comments (column Z)</t>
        </r>
      </text>
    </comment>
    <comment ref="U10" authorId="0" shapeId="0" xr:uid="{7F44AEDB-A534-4CF6-9888-99ECEEEE885D}">
      <text>
        <r>
          <rPr>
            <b/>
            <sz val="9"/>
            <color indexed="81"/>
            <rFont val="Tahoma"/>
            <family val="2"/>
          </rPr>
          <t>cmcneil:</t>
        </r>
        <r>
          <rPr>
            <sz val="9"/>
            <color indexed="81"/>
            <rFont val="Tahoma"/>
            <family val="2"/>
          </rPr>
          <t xml:space="preserve">
Thickness of ice lenses observed in core. If more than one lense was observed enters total thickness of all ice lenses in core section. Make sure to note additional thicknesses in comments (column Z).</t>
        </r>
      </text>
    </comment>
    <comment ref="V10" authorId="0" shapeId="0" xr:uid="{8F21A9B1-740C-4CC7-89D9-8C0F0093BBDB}">
      <text>
        <r>
          <rPr>
            <b/>
            <sz val="9"/>
            <color indexed="81"/>
            <rFont val="Tahoma"/>
            <family val="2"/>
          </rPr>
          <t>cmcneil:</t>
        </r>
        <r>
          <rPr>
            <sz val="9"/>
            <color indexed="81"/>
            <rFont val="Tahoma"/>
            <family val="2"/>
          </rPr>
          <t xml:space="preserve">
Height of any ice lenses observed in core. If there was more than one, enter closest to bottom of core section and note additional depths in comments (column Z)</t>
        </r>
      </text>
    </comment>
    <comment ref="W10" authorId="0" shapeId="0" xr:uid="{FF8E6DAC-4386-40BD-90D7-5CDDD4474674}">
      <text>
        <r>
          <rPr>
            <b/>
            <sz val="9"/>
            <color indexed="81"/>
            <rFont val="Tahoma"/>
            <family val="2"/>
          </rPr>
          <t>cmcneil:</t>
        </r>
        <r>
          <rPr>
            <sz val="9"/>
            <color indexed="81"/>
            <rFont val="Tahoma"/>
            <family val="2"/>
          </rPr>
          <t xml:space="preserve">
Thickness of ice lenses observed in core. If more than one lense was observed enters total thickness of all ice lenses in core section. Make sure to note additional thicknesses in comments (column Z).</t>
        </r>
      </text>
    </comment>
    <comment ref="X10" authorId="0" shapeId="0" xr:uid="{D8147D05-7E0A-4E0B-9699-9FB51EB08EFF}">
      <text>
        <r>
          <rPr>
            <b/>
            <sz val="9"/>
            <color indexed="81"/>
            <rFont val="Tahoma"/>
            <family val="2"/>
          </rPr>
          <t>cmcneil:</t>
        </r>
        <r>
          <rPr>
            <sz val="9"/>
            <color indexed="81"/>
            <rFont val="Tahoma"/>
            <family val="2"/>
          </rPr>
          <t xml:space="preserve">
Height of any ice lenses observed in core. If there was more than one, enter closest to bottom of core section and note additional depths in comments (column Z)</t>
        </r>
      </text>
    </comment>
    <comment ref="Y10" authorId="0" shapeId="0" xr:uid="{FC1BC9A3-8FC6-4F2B-9C2E-D5E4C6526868}">
      <text>
        <r>
          <rPr>
            <b/>
            <sz val="9"/>
            <color indexed="81"/>
            <rFont val="Tahoma"/>
            <family val="2"/>
          </rPr>
          <t>cmcneil:</t>
        </r>
        <r>
          <rPr>
            <sz val="9"/>
            <color indexed="81"/>
            <rFont val="Tahoma"/>
            <family val="2"/>
          </rPr>
          <t xml:space="preserve">
Thickness of ice lenses observed in core. If more than one lense was observed enters total thickness of all ice lenses in core section. Make sure to note additional thicknesses in comments (column Z).</t>
        </r>
      </text>
    </comment>
    <comment ref="Z10" authorId="0" shapeId="0" xr:uid="{B831208B-E558-4926-9AB0-0E30AB383C6A}">
      <text>
        <r>
          <rPr>
            <b/>
            <sz val="9"/>
            <color indexed="81"/>
            <rFont val="Tahoma"/>
            <family val="2"/>
          </rPr>
          <t>cmcneil:</t>
        </r>
        <r>
          <rPr>
            <sz val="9"/>
            <color indexed="81"/>
            <rFont val="Tahoma"/>
            <family val="2"/>
          </rPr>
          <t xml:space="preserve">
Volume of ice in core</t>
        </r>
      </text>
    </comment>
    <comment ref="AA10" authorId="0" shapeId="0" xr:uid="{EB132A88-F7E1-4B51-8065-93D08D054BCC}">
      <text>
        <r>
          <rPr>
            <b/>
            <sz val="9"/>
            <color indexed="81"/>
            <rFont val="Tahoma"/>
            <family val="2"/>
          </rPr>
          <t>cmcneil:</t>
        </r>
        <r>
          <rPr>
            <sz val="9"/>
            <color indexed="81"/>
            <rFont val="Tahoma"/>
            <family val="2"/>
          </rPr>
          <t xml:space="preserve">
estimated density of core without ice</t>
        </r>
      </text>
    </comment>
    <comment ref="AB10" authorId="0" shapeId="0" xr:uid="{B91E270E-5604-434C-8022-1EFBE8AEB5AD}">
      <text>
        <r>
          <rPr>
            <b/>
            <sz val="9"/>
            <color indexed="81"/>
            <rFont val="Tahoma"/>
            <family val="2"/>
          </rPr>
          <t>cmcneil:</t>
        </r>
        <r>
          <rPr>
            <sz val="9"/>
            <color indexed="81"/>
            <rFont val="Tahoma"/>
            <family val="2"/>
          </rPr>
          <t xml:space="preserve">
height of observed annual layer from bottom of core section</t>
        </r>
      </text>
    </comment>
    <comment ref="AC10" authorId="0" shapeId="0" xr:uid="{368C40EB-6752-4DA7-B5EA-471FE904DF4A}">
      <text>
        <r>
          <rPr>
            <b/>
            <sz val="9"/>
            <color indexed="81"/>
            <rFont val="Tahoma"/>
            <family val="2"/>
          </rPr>
          <t>cmcneil:</t>
        </r>
        <r>
          <rPr>
            <sz val="9"/>
            <color indexed="81"/>
            <rFont val="Tahoma"/>
            <family val="2"/>
          </rPr>
          <t xml:space="preserve">
Depth of annual layer from surface. Calculated by subracting height from SBD(column x) from SBD (column C)</t>
        </r>
      </text>
    </comment>
    <comment ref="AD10" authorId="0" shapeId="0" xr:uid="{9708FED8-1342-4836-BC00-6A83D7F24A21}">
      <text>
        <r>
          <rPr>
            <b/>
            <sz val="9"/>
            <color indexed="81"/>
            <rFont val="Tahoma"/>
            <family val="2"/>
          </rPr>
          <t>cmcneil:</t>
        </r>
        <r>
          <rPr>
            <sz val="9"/>
            <color indexed="81"/>
            <rFont val="Tahoma"/>
            <family val="2"/>
          </rPr>
          <t xml:space="preserve">
Any observation about a given sample. Cutting dog bites, dirty layers, ice lenses, etc...</t>
        </r>
      </text>
    </comment>
    <comment ref="AE10" authorId="0" shapeId="0" xr:uid="{8363548F-377A-466A-85DC-04A43FA4709E}">
      <text>
        <r>
          <rPr>
            <b/>
            <sz val="9"/>
            <color indexed="81"/>
            <rFont val="Tahoma"/>
            <family val="2"/>
          </rPr>
          <t>cmcneil:</t>
        </r>
        <r>
          <rPr>
            <sz val="9"/>
            <color indexed="81"/>
            <rFont val="Tahoma"/>
            <family val="2"/>
          </rPr>
          <t xml:space="preserve">
What was used to measure snow depth</t>
        </r>
      </text>
    </comment>
    <comment ref="AF10" authorId="0" shapeId="0" xr:uid="{C2FF9366-2CFE-4070-B839-49EE67E84E9F}">
      <text>
        <r>
          <rPr>
            <b/>
            <sz val="9"/>
            <color indexed="81"/>
            <rFont val="Tahoma"/>
            <family val="2"/>
          </rPr>
          <t>cmcneil:</t>
        </r>
        <r>
          <rPr>
            <sz val="9"/>
            <color indexed="81"/>
            <rFont val="Tahoma"/>
            <family val="2"/>
          </rPr>
          <t xml:space="preserve">
snow depth observed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cmcneil</author>
    <author>Author</author>
  </authors>
  <commentList>
    <comment ref="H1" authorId="0" shapeId="0" xr:uid="{0CCB6744-DC5A-453A-A269-45BD46FB65BF}">
      <text>
        <r>
          <rPr>
            <b/>
            <sz val="9"/>
            <color indexed="81"/>
            <rFont val="Tahoma"/>
            <family val="2"/>
          </rPr>
          <t>cmcneil:</t>
        </r>
        <r>
          <rPr>
            <sz val="9"/>
            <color indexed="81"/>
            <rFont val="Tahoma"/>
            <family val="2"/>
          </rPr>
          <t xml:space="preserve">
This value is the total depth on the snowpit--not necessarily the depth of the previous years summer surface. UNITS ARE IN CENTIMETERS</t>
        </r>
      </text>
    </comment>
    <comment ref="H2" authorId="0" shapeId="0" xr:uid="{8613A054-D413-4F3D-A125-1730EA359672}">
      <text>
        <r>
          <rPr>
            <b/>
            <sz val="9"/>
            <color indexed="81"/>
            <rFont val="Tahoma"/>
            <family val="2"/>
          </rPr>
          <t>cmcneil:</t>
        </r>
        <r>
          <rPr>
            <sz val="9"/>
            <color indexed="81"/>
            <rFont val="Tahoma"/>
            <family val="2"/>
          </rPr>
          <t xml:space="preserve">
This value is the depth of the previous years' summer surface: the boundary between the winters snow pack and either ice or firn. UNITS ARE IN CM.</t>
        </r>
      </text>
    </comment>
    <comment ref="H3" authorId="0" shapeId="0" xr:uid="{93801199-4537-4E32-991D-55B2AC16AB14}">
      <text>
        <r>
          <rPr>
            <b/>
            <sz val="9"/>
            <color indexed="81"/>
            <rFont val="Tahoma"/>
            <family val="2"/>
          </rPr>
          <t>cmcneil:</t>
        </r>
        <r>
          <rPr>
            <sz val="9"/>
            <color indexed="81"/>
            <rFont val="Tahoma"/>
            <family val="2"/>
          </rPr>
          <t xml:space="preserve">
This value is the calculated average snow depth at the site. If in the accumulation zone there will likely only be a single value; ablation zone measurements should have additional probe depth in addition to any snowpit measurments. UNITS ARE IN METERS</t>
        </r>
      </text>
    </comment>
    <comment ref="H4" authorId="0" shapeId="0" xr:uid="{F3B19D83-9570-4D13-AA91-81A55C5D4168}">
      <text>
        <r>
          <rPr>
            <b/>
            <sz val="9"/>
            <color indexed="81"/>
            <rFont val="Tahoma"/>
            <family val="2"/>
          </rPr>
          <t>cmcneil:</t>
        </r>
        <r>
          <rPr>
            <sz val="9"/>
            <color indexed="81"/>
            <rFont val="Tahoma"/>
            <family val="2"/>
          </rPr>
          <t xml:space="preserve">
This value will be the final value in the cumulative density column (I), for seasonal snow. If additional measurements of firn were made, make sure to change the formula to reflect the correct value.</t>
        </r>
      </text>
    </comment>
    <comment ref="B5" authorId="1" shapeId="0" xr:uid="{F079ACF0-0DF8-45B1-A125-3006164FA550}">
      <text>
        <r>
          <rPr>
            <sz val="8"/>
            <color indexed="81"/>
            <rFont val="Tahoma"/>
            <family val="2"/>
          </rPr>
          <t xml:space="preserve">Sipre coring auger=45.6cm2 
large tube 41.05 cm2       
small tube 25.6   cm2          
Snow Metrics 1000 cm^3
</t>
        </r>
      </text>
    </comment>
    <comment ref="D9" authorId="0" shapeId="0" xr:uid="{3E55D003-DE85-442E-A69B-4E32FBF30C1C}">
      <text>
        <r>
          <rPr>
            <b/>
            <sz val="9"/>
            <color indexed="81"/>
            <rFont val="Tahoma"/>
            <family val="2"/>
          </rPr>
          <t>cmcneil:</t>
        </r>
        <r>
          <rPr>
            <sz val="9"/>
            <color indexed="81"/>
            <rFont val="Tahoma"/>
            <family val="2"/>
          </rPr>
          <t xml:space="preserve">
Measurements of core lengths.</t>
        </r>
      </text>
    </comment>
    <comment ref="H9" authorId="0" shapeId="0" xr:uid="{067B7B25-F756-4C59-9ECD-B49ADB5D0BD2}">
      <text>
        <r>
          <rPr>
            <b/>
            <sz val="9"/>
            <color indexed="81"/>
            <rFont val="Tahoma"/>
            <family val="2"/>
          </rPr>
          <t>cmcneil:</t>
        </r>
        <r>
          <rPr>
            <sz val="9"/>
            <color indexed="81"/>
            <rFont val="Tahoma"/>
            <family val="2"/>
          </rPr>
          <t xml:space="preserve">
Measurements of core diameter</t>
        </r>
      </text>
    </comment>
    <comment ref="A10" authorId="0" shapeId="0" xr:uid="{C1282AE4-F333-441F-8066-0B642C01DB99}">
      <text>
        <r>
          <rPr>
            <b/>
            <sz val="9"/>
            <color indexed="81"/>
            <rFont val="Tahoma"/>
            <family val="2"/>
          </rPr>
          <t>cmcneil:</t>
        </r>
        <r>
          <rPr>
            <sz val="9"/>
            <color indexed="81"/>
            <rFont val="Tahoma"/>
            <family val="2"/>
          </rPr>
          <t xml:space="preserve">
Enter Sample weights here. If samples were weight in the sampler, oyu must enter the sampler/container weight in column B.</t>
        </r>
      </text>
    </comment>
    <comment ref="B10" authorId="0" shapeId="0" xr:uid="{55939627-6D03-4AC0-ADA6-7611FE57220B}">
      <text>
        <r>
          <rPr>
            <b/>
            <sz val="9"/>
            <color indexed="81"/>
            <rFont val="Tahoma"/>
            <family val="2"/>
          </rPr>
          <t>cmcneil:</t>
        </r>
        <r>
          <rPr>
            <sz val="9"/>
            <color indexed="81"/>
            <rFont val="Tahoma"/>
            <family val="2"/>
          </rPr>
          <t xml:space="preserve">
Weight of sample container if scale was not tared. If scale was tared enter zero</t>
        </r>
      </text>
    </comment>
    <comment ref="C10" authorId="0" shapeId="0" xr:uid="{F18B37C2-65E7-4F6A-8B8C-C829E1E59DF9}">
      <text>
        <r>
          <rPr>
            <b/>
            <sz val="9"/>
            <color indexed="81"/>
            <rFont val="Tahoma"/>
            <family val="2"/>
          </rPr>
          <t>cmcneil:</t>
        </r>
        <r>
          <rPr>
            <sz val="9"/>
            <color indexed="81"/>
            <rFont val="Tahoma"/>
            <family val="2"/>
          </rPr>
          <t xml:space="preserve">
Sample Bottom Depth(SBD). This is the depth of the bottom of sample taken, in reference to the snow surface.</t>
        </r>
      </text>
    </comment>
    <comment ref="G10" authorId="0" shapeId="0" xr:uid="{B069D77E-CFF0-4BAF-90A3-5CEEF942AC5D}">
      <text>
        <r>
          <rPr>
            <b/>
            <sz val="9"/>
            <color indexed="81"/>
            <rFont val="Tahoma"/>
            <family val="2"/>
          </rPr>
          <t>cmcneil:</t>
        </r>
        <r>
          <rPr>
            <sz val="9"/>
            <color indexed="81"/>
            <rFont val="Tahoma"/>
            <family val="2"/>
          </rPr>
          <t xml:space="preserve">
Average of all measured lengths of core section</t>
        </r>
      </text>
    </comment>
    <comment ref="L10" authorId="0" shapeId="0" xr:uid="{51787E86-8DA3-4C39-8B94-9FFE3582EEB8}">
      <text>
        <r>
          <rPr>
            <b/>
            <sz val="9"/>
            <color indexed="81"/>
            <rFont val="Tahoma"/>
            <family val="2"/>
          </rPr>
          <t>cmcneil:</t>
        </r>
        <r>
          <rPr>
            <sz val="9"/>
            <color indexed="81"/>
            <rFont val="Tahoma"/>
            <family val="2"/>
          </rPr>
          <t xml:space="preserve">
Average of all diameters measured for each core section</t>
        </r>
      </text>
    </comment>
    <comment ref="M10" authorId="0" shapeId="0" xr:uid="{77B3F8EA-DC9F-4F44-ABDC-FF134743EEB8}">
      <text>
        <r>
          <rPr>
            <b/>
            <sz val="9"/>
            <color indexed="81"/>
            <rFont val="Tahoma"/>
            <family val="2"/>
          </rPr>
          <t>cmcneil:</t>
        </r>
        <r>
          <rPr>
            <sz val="9"/>
            <color indexed="81"/>
            <rFont val="Tahoma"/>
            <family val="2"/>
          </rPr>
          <t xml:space="preserve">
Volume of sample taken</t>
        </r>
      </text>
    </comment>
    <comment ref="N10" authorId="0" shapeId="0" xr:uid="{3ACC3581-7F5F-4211-904B-62D30F279C61}">
      <text>
        <r>
          <rPr>
            <b/>
            <sz val="9"/>
            <color indexed="81"/>
            <rFont val="Tahoma"/>
            <family val="2"/>
          </rPr>
          <t>cmcneil:</t>
        </r>
        <r>
          <rPr>
            <sz val="9"/>
            <color indexed="81"/>
            <rFont val="Tahoma"/>
            <family val="2"/>
          </rPr>
          <t xml:space="preserve">
Top of layer, caluclated as half way between the bottom of the previous sample and the next.</t>
        </r>
      </text>
    </comment>
    <comment ref="O10" authorId="0" shapeId="0" xr:uid="{97D65E0B-DEA3-4FE2-AB6F-3E93720F47D3}">
      <text>
        <r>
          <rPr>
            <b/>
            <sz val="9"/>
            <color indexed="81"/>
            <rFont val="Tahoma"/>
            <family val="2"/>
          </rPr>
          <t>cmcneil:</t>
        </r>
        <r>
          <rPr>
            <sz val="9"/>
            <color indexed="81"/>
            <rFont val="Tahoma"/>
            <family val="2"/>
          </rPr>
          <t xml:space="preserve">
Bottom of sample layer, calculated as half way between the bottom of a sample and the top of the next sample.</t>
        </r>
      </text>
    </comment>
    <comment ref="P10" authorId="0" shapeId="0" xr:uid="{2FE5670E-E11E-475F-830F-4066E3A9452F}">
      <text>
        <r>
          <rPr>
            <b/>
            <sz val="9"/>
            <color indexed="81"/>
            <rFont val="Tahoma"/>
            <family val="2"/>
          </rPr>
          <t>cmcneil:</t>
        </r>
        <r>
          <rPr>
            <sz val="9"/>
            <color indexed="81"/>
            <rFont val="Tahoma"/>
            <family val="2"/>
          </rPr>
          <t xml:space="preserve">
Density of sample. Calculated from the mass/volume</t>
        </r>
      </text>
    </comment>
    <comment ref="Q10" authorId="0" shapeId="0" xr:uid="{427196C0-AB32-40A2-8847-F6204626EE13}">
      <text>
        <r>
          <rPr>
            <b/>
            <sz val="9"/>
            <color indexed="81"/>
            <rFont val="Tahoma"/>
            <family val="2"/>
          </rPr>
          <t>cmcneil:</t>
        </r>
        <r>
          <rPr>
            <sz val="9"/>
            <color indexed="81"/>
            <rFont val="Tahoma"/>
            <family val="2"/>
          </rPr>
          <t xml:space="preserve">
Snow water equivalance of sample layer. Calculated from the thickness of the sample layer multpled by the density</t>
        </r>
      </text>
    </comment>
    <comment ref="R10" authorId="0" shapeId="0" xr:uid="{848DE135-BBD8-4E80-BAB3-EC85E107309B}">
      <text>
        <r>
          <rPr>
            <b/>
            <sz val="9"/>
            <color indexed="81"/>
            <rFont val="Tahoma"/>
            <family val="2"/>
          </rPr>
          <t>cmcneil:</t>
        </r>
        <r>
          <rPr>
            <sz val="9"/>
            <color indexed="81"/>
            <rFont val="Tahoma"/>
            <family val="2"/>
          </rPr>
          <t xml:space="preserve">
Cummulative s.w.e. of from surface to the depth of each sample</t>
        </r>
      </text>
    </comment>
    <comment ref="S10" authorId="0" shapeId="0" xr:uid="{F9EE3287-1FD1-4AF7-96EC-BD8A779E3494}">
      <text>
        <r>
          <rPr>
            <b/>
            <sz val="9"/>
            <color indexed="81"/>
            <rFont val="Tahoma"/>
            <family val="2"/>
          </rPr>
          <t>cmcneil:</t>
        </r>
        <r>
          <rPr>
            <sz val="9"/>
            <color indexed="81"/>
            <rFont val="Tahoma"/>
            <family val="2"/>
          </rPr>
          <t xml:space="preserve">
Column average density from the surface to each sample. Calculated by dividing cumulative s.w.e. (column I) by the sample bottom depth.</t>
        </r>
      </text>
    </comment>
    <comment ref="T10" authorId="0" shapeId="0" xr:uid="{25082EDA-D834-4C3F-94ED-06C290A96062}">
      <text>
        <r>
          <rPr>
            <b/>
            <sz val="9"/>
            <color indexed="81"/>
            <rFont val="Tahoma"/>
            <family val="2"/>
          </rPr>
          <t>cmcneil:</t>
        </r>
        <r>
          <rPr>
            <sz val="9"/>
            <color indexed="81"/>
            <rFont val="Tahoma"/>
            <family val="2"/>
          </rPr>
          <t xml:space="preserve">
Any observation about a given sample. Cutting dog bites, dirty layers, ice lenses, etc...</t>
        </r>
      </text>
    </comment>
    <comment ref="U10" authorId="0" shapeId="0" xr:uid="{A0846EE2-CA62-4D3B-8D97-D14B8D90F3ED}">
      <text>
        <r>
          <rPr>
            <b/>
            <sz val="9"/>
            <color indexed="81"/>
            <rFont val="Tahoma"/>
            <family val="2"/>
          </rPr>
          <t>cmcneil:</t>
        </r>
        <r>
          <rPr>
            <sz val="9"/>
            <color indexed="81"/>
            <rFont val="Tahoma"/>
            <family val="2"/>
          </rPr>
          <t xml:space="preserve">
What was used to measure snow depth</t>
        </r>
      </text>
    </comment>
    <comment ref="V10" authorId="0" shapeId="0" xr:uid="{7163BA92-B66F-4AC7-804E-FCFD72F8A8E3}">
      <text>
        <r>
          <rPr>
            <b/>
            <sz val="9"/>
            <color indexed="81"/>
            <rFont val="Tahoma"/>
            <family val="2"/>
          </rPr>
          <t>cmcneil:</t>
        </r>
        <r>
          <rPr>
            <sz val="9"/>
            <color indexed="81"/>
            <rFont val="Tahoma"/>
            <family val="2"/>
          </rPr>
          <t xml:space="preserve">
snow depth observed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<sst xmlns="http://schemas.openxmlformats.org/spreadsheetml/2006/main" count="2338" uniqueCount="260">
  <si>
    <t>Input table for GUI</t>
  </si>
  <si>
    <t>Site</t>
  </si>
  <si>
    <t>Elevation</t>
  </si>
  <si>
    <t>Spring Date</t>
  </si>
  <si>
    <t>Fall Date</t>
  </si>
  <si>
    <t>bw</t>
  </si>
  <si>
    <t>ba</t>
  </si>
  <si>
    <t>Winter Ablation</t>
  </si>
  <si>
    <t>Summer Accumulation</t>
  </si>
  <si>
    <t>Stake  Location</t>
  </si>
  <si>
    <t>UTM(WGS84)</t>
  </si>
  <si>
    <t>Stake Lengths</t>
  </si>
  <si>
    <t>Zone 6 North</t>
  </si>
  <si>
    <t>Date</t>
  </si>
  <si>
    <t>Notebook</t>
  </si>
  <si>
    <t>Stake Name</t>
  </si>
  <si>
    <t>Surface Type</t>
  </si>
  <si>
    <t>Total</t>
  </si>
  <si>
    <t>Above Surface</t>
  </si>
  <si>
    <t>Below Surface</t>
  </si>
  <si>
    <t>Length Change</t>
  </si>
  <si>
    <t>Stake Snow Depth</t>
  </si>
  <si>
    <t>Average Snow Depth</t>
  </si>
  <si>
    <t>Snow Density</t>
  </si>
  <si>
    <t>Height of Previous Summer Surface</t>
  </si>
  <si>
    <t>Average Height of Previous Summer Surface</t>
  </si>
  <si>
    <t>Firn Density</t>
  </si>
  <si>
    <r>
      <t>b</t>
    </r>
    <r>
      <rPr>
        <b/>
        <vertAlign val="subscript"/>
        <sz val="10"/>
        <color rgb="FF000000"/>
        <rFont val="Arial"/>
        <family val="2"/>
      </rPr>
      <t>s</t>
    </r>
  </si>
  <si>
    <r>
      <t>b</t>
    </r>
    <r>
      <rPr>
        <b/>
        <vertAlign val="subscript"/>
        <sz val="10"/>
        <color rgb="FF000000"/>
        <rFont val="Arial"/>
        <family val="2"/>
      </rPr>
      <t>w</t>
    </r>
  </si>
  <si>
    <r>
      <t>b</t>
    </r>
    <r>
      <rPr>
        <b/>
        <vertAlign val="subscript"/>
        <sz val="10"/>
        <color rgb="FF000000"/>
        <rFont val="Arial"/>
        <family val="2"/>
      </rPr>
      <t>a</t>
    </r>
  </si>
  <si>
    <t>Easting</t>
  </si>
  <si>
    <t>Northing</t>
  </si>
  <si>
    <t>Comments</t>
  </si>
  <si>
    <t>(mm/dd/yyyy)</t>
  </si>
  <si>
    <t>(meters)</t>
  </si>
  <si>
    <t>(g/cm^3)</t>
  </si>
  <si>
    <t>(m w.e.)</t>
  </si>
  <si>
    <t>SUMMARY:</t>
  </si>
  <si>
    <t>Time-systems</t>
  </si>
  <si>
    <t>Time 1</t>
  </si>
  <si>
    <t>Time 2</t>
  </si>
  <si>
    <t>Time 3</t>
  </si>
  <si>
    <t>stratigraphic</t>
  </si>
  <si>
    <t xml:space="preserve">Measurement Interval: </t>
  </si>
  <si>
    <t>:</t>
  </si>
  <si>
    <t>Winter Balance =</t>
  </si>
  <si>
    <t>Summer Balance =</t>
  </si>
  <si>
    <t>Annual Balance =</t>
  </si>
  <si>
    <t>previous summer accumulation=</t>
  </si>
  <si>
    <t>Winter Ablation=</t>
  </si>
  <si>
    <t>Summer Accumulation=</t>
  </si>
  <si>
    <t>C</t>
  </si>
  <si>
    <t>snow</t>
  </si>
  <si>
    <t>ice</t>
  </si>
  <si>
    <t>NaN</t>
  </si>
  <si>
    <t>N</t>
  </si>
  <si>
    <t>B</t>
  </si>
  <si>
    <t>S</t>
  </si>
  <si>
    <t>Y</t>
  </si>
  <si>
    <t>old snow</t>
  </si>
  <si>
    <t>EC</t>
  </si>
  <si>
    <t>not found</t>
  </si>
  <si>
    <t>20CM</t>
  </si>
  <si>
    <t>20LS</t>
  </si>
  <si>
    <t>TU</t>
  </si>
  <si>
    <t>Not Found</t>
  </si>
  <si>
    <t>20EHB</t>
  </si>
  <si>
    <t>20Y</t>
  </si>
  <si>
    <t>Snow</t>
  </si>
  <si>
    <t>20S</t>
  </si>
  <si>
    <t>Year</t>
  </si>
  <si>
    <t>1.5m wand</t>
  </si>
  <si>
    <t>firn</t>
  </si>
  <si>
    <t>21EHB</t>
  </si>
  <si>
    <t>10 degree lean to west</t>
  </si>
  <si>
    <t>21LS</t>
  </si>
  <si>
    <t>21C</t>
  </si>
  <si>
    <t>21Y</t>
  </si>
  <si>
    <t>21N</t>
  </si>
  <si>
    <t>21S</t>
  </si>
  <si>
    <t>21KB</t>
  </si>
  <si>
    <t>21MAX</t>
  </si>
  <si>
    <t>from gps</t>
  </si>
  <si>
    <t>22CM</t>
  </si>
  <si>
    <t>22N</t>
  </si>
  <si>
    <t>22EBH</t>
  </si>
  <si>
    <t>22B</t>
  </si>
  <si>
    <t>22S</t>
  </si>
  <si>
    <t>22C</t>
  </si>
  <si>
    <t>22Y</t>
  </si>
  <si>
    <t>22EC</t>
  </si>
  <si>
    <t>22AUU</t>
  </si>
  <si>
    <t>22LS</t>
  </si>
  <si>
    <t>new snow</t>
  </si>
  <si>
    <t>22EHB</t>
  </si>
  <si>
    <t>23EHB</t>
  </si>
  <si>
    <t>23TU</t>
  </si>
  <si>
    <t>23CM</t>
  </si>
  <si>
    <t>23Y</t>
  </si>
  <si>
    <t>23EC</t>
  </si>
  <si>
    <t>23S</t>
  </si>
  <si>
    <t>23B</t>
  </si>
  <si>
    <t>23N</t>
  </si>
  <si>
    <t>23LS</t>
  </si>
  <si>
    <t>23C</t>
  </si>
  <si>
    <t>AUU</t>
  </si>
  <si>
    <t>23EB</t>
  </si>
  <si>
    <t>24KB</t>
  </si>
  <si>
    <t xml:space="preserve"> Glacier:</t>
  </si>
  <si>
    <t>Total Core Depth(cm):</t>
  </si>
  <si>
    <t>Location:</t>
  </si>
  <si>
    <t>Depth of Previous Year's Summer Surface (cm):</t>
  </si>
  <si>
    <t xml:space="preserve">    Date:</t>
  </si>
  <si>
    <t>Average Snow Depth (m):</t>
  </si>
  <si>
    <t xml:space="preserve">  Notebook:</t>
  </si>
  <si>
    <t>Column Average Density (g/cm^3):</t>
  </si>
  <si>
    <t>Sampler Type</t>
  </si>
  <si>
    <t>Snow Metrics</t>
  </si>
  <si>
    <t>Field Data</t>
  </si>
  <si>
    <t>Analysis</t>
  </si>
  <si>
    <t>Layer Values</t>
  </si>
  <si>
    <t>Cumulative  Values</t>
  </si>
  <si>
    <t>Additional snow depth measurements</t>
  </si>
  <si>
    <t>Core Lengths</t>
  </si>
  <si>
    <t>Core Diameters</t>
  </si>
  <si>
    <t>Layer Boundary</t>
  </si>
  <si>
    <t>C+S</t>
  </si>
  <si>
    <t>SBD</t>
  </si>
  <si>
    <t>Length 1</t>
  </si>
  <si>
    <t>Length 2</t>
  </si>
  <si>
    <t>Length 3</t>
  </si>
  <si>
    <t>Average Length</t>
  </si>
  <si>
    <t>Diameter 1</t>
  </si>
  <si>
    <t>Diameter 2</t>
  </si>
  <si>
    <t>Diameter 3</t>
  </si>
  <si>
    <t>Diameter 4</t>
  </si>
  <si>
    <t>Average Diameter</t>
  </si>
  <si>
    <t>Volume</t>
  </si>
  <si>
    <t>Top</t>
  </si>
  <si>
    <t>Bottom</t>
  </si>
  <si>
    <t>Density</t>
  </si>
  <si>
    <t>SWE</t>
  </si>
  <si>
    <t xml:space="preserve"> Comments</t>
  </si>
  <si>
    <t>Type of meaasurement</t>
  </si>
  <si>
    <t>Snow Depth</t>
  </si>
  <si>
    <t>gm</t>
  </si>
  <si>
    <t>cm</t>
  </si>
  <si>
    <t>(cm)</t>
  </si>
  <si>
    <r>
      <t>cm</t>
    </r>
    <r>
      <rPr>
        <vertAlign val="superscript"/>
        <sz val="8"/>
        <rFont val="Arial"/>
        <family val="2"/>
      </rPr>
      <t>3</t>
    </r>
  </si>
  <si>
    <r>
      <t>gm/cm</t>
    </r>
    <r>
      <rPr>
        <vertAlign val="superscript"/>
        <sz val="8"/>
        <rFont val="Arial"/>
        <family val="2"/>
      </rPr>
      <t>3</t>
    </r>
  </si>
  <si>
    <t>m w.e.</t>
  </si>
  <si>
    <r>
      <t>(g/cm</t>
    </r>
    <r>
      <rPr>
        <vertAlign val="superscript"/>
        <sz val="8"/>
        <rFont val="Arial"/>
        <family val="2"/>
      </rPr>
      <t>3)</t>
    </r>
  </si>
  <si>
    <t>Pit Data</t>
  </si>
  <si>
    <t>—</t>
  </si>
  <si>
    <t>Probe</t>
  </si>
  <si>
    <t xml:space="preserve"> </t>
  </si>
  <si>
    <t>Core Data</t>
  </si>
  <si>
    <t>Average =</t>
  </si>
  <si>
    <t>Stdev. =</t>
  </si>
  <si>
    <t>Only insert/delete rows from within the table above. This maintains the functionality of the spreadsheet</t>
  </si>
  <si>
    <t>Std.Err.Mean =</t>
  </si>
  <si>
    <t>Maximum =</t>
  </si>
  <si>
    <t>Minimum =</t>
  </si>
  <si>
    <t>Wolverine</t>
  </si>
  <si>
    <t>Site C</t>
  </si>
  <si>
    <t>KB24</t>
  </si>
  <si>
    <t>dog marks</t>
  </si>
  <si>
    <t>dog marks on top half</t>
  </si>
  <si>
    <t>dog marks on bottom third</t>
  </si>
  <si>
    <t>large grains followed by clean break</t>
  </si>
  <si>
    <t>suspected firn (small ice lense)</t>
  </si>
  <si>
    <t>summer sfc @473cm</t>
  </si>
  <si>
    <t>core</t>
  </si>
  <si>
    <t>24Y</t>
  </si>
  <si>
    <t>24TU</t>
  </si>
  <si>
    <t>Ice Lenses</t>
  </si>
  <si>
    <t>Annual Layers</t>
  </si>
  <si>
    <t>Height from SBD</t>
  </si>
  <si>
    <t>Ice volume</t>
  </si>
  <si>
    <t>Density w/o ice</t>
  </si>
  <si>
    <t>Depth</t>
  </si>
  <si>
    <r>
      <t>(cm</t>
    </r>
    <r>
      <rPr>
        <vertAlign val="superscript"/>
        <sz val="8"/>
        <color theme="1"/>
        <rFont val="Arial"/>
        <family val="2"/>
      </rPr>
      <t>3</t>
    </r>
    <r>
      <rPr>
        <sz val="8"/>
        <color theme="1"/>
        <rFont val="Arial"/>
        <family val="2"/>
      </rPr>
      <t>)</t>
    </r>
  </si>
  <si>
    <r>
      <t>(cm</t>
    </r>
    <r>
      <rPr>
        <vertAlign val="superscript"/>
        <sz val="8"/>
        <rFont val="Arial"/>
        <family val="2"/>
      </rPr>
      <t>3</t>
    </r>
    <r>
      <rPr>
        <sz val="8"/>
        <rFont val="Arial"/>
        <family val="2"/>
      </rPr>
      <t>)</t>
    </r>
  </si>
  <si>
    <r>
      <t>(g/cm</t>
    </r>
    <r>
      <rPr>
        <vertAlign val="superscript"/>
        <sz val="8"/>
        <rFont val="Arial"/>
        <family val="2"/>
      </rPr>
      <t>3</t>
    </r>
    <r>
      <rPr>
        <sz val="8"/>
        <rFont val="Arial"/>
        <family val="2"/>
      </rPr>
      <t>)</t>
    </r>
  </si>
  <si>
    <t>Site EC</t>
  </si>
  <si>
    <t>2023 ss - change in density</t>
  </si>
  <si>
    <t>Height from SBD 1</t>
  </si>
  <si>
    <t>Thickness 1</t>
  </si>
  <si>
    <t>Height from SBD 2</t>
  </si>
  <si>
    <t>Thickness 2</t>
  </si>
  <si>
    <t>Height from SBD 3</t>
  </si>
  <si>
    <t>Thickness 3</t>
  </si>
  <si>
    <t>dog scratches</t>
  </si>
  <si>
    <t>Total snowpit depth(cm):</t>
  </si>
  <si>
    <t>Depth of previous years' summer surface (cm):</t>
  </si>
  <si>
    <t>Average snow Depth (m):</t>
  </si>
  <si>
    <t>Column average density (g/cm^3):</t>
  </si>
  <si>
    <t>Pit</t>
  </si>
  <si>
    <t>dense with crusty dark layer</t>
  </si>
  <si>
    <t>big rounded grains</t>
  </si>
  <si>
    <t>very wet at ice sfc</t>
  </si>
  <si>
    <t>Site B</t>
  </si>
  <si>
    <t>24CM</t>
  </si>
  <si>
    <t>ice at 302cm</t>
  </si>
  <si>
    <t>Probe 24B N</t>
  </si>
  <si>
    <t>Probe 24B W</t>
  </si>
  <si>
    <t>Probe 24B S</t>
  </si>
  <si>
    <t>Probe 24B E</t>
  </si>
  <si>
    <t>24B</t>
  </si>
  <si>
    <t>24N</t>
  </si>
  <si>
    <t>24S</t>
  </si>
  <si>
    <t>24C</t>
  </si>
  <si>
    <t>Site Y</t>
  </si>
  <si>
    <t>very soft bottom 30cm</t>
  </si>
  <si>
    <t>Site TU</t>
  </si>
  <si>
    <t>very soft large grains</t>
  </si>
  <si>
    <t>24AUU</t>
  </si>
  <si>
    <t>Probe 22AUU N</t>
  </si>
  <si>
    <t>Probe 22AUU W</t>
  </si>
  <si>
    <t>Probe 22AUU  S</t>
  </si>
  <si>
    <t>Probe 22AUU E</t>
  </si>
  <si>
    <t>Probe 24AUU N</t>
  </si>
  <si>
    <t>Probe 24AUU W</t>
  </si>
  <si>
    <t>Probe 24AUU S</t>
  </si>
  <si>
    <t>Probe 24AUU E</t>
  </si>
  <si>
    <t>24EB</t>
  </si>
  <si>
    <t>Probe 23B W</t>
  </si>
  <si>
    <t>Probe 23B N</t>
  </si>
  <si>
    <t>Probe 23B E</t>
  </si>
  <si>
    <t>Probe 23B S</t>
  </si>
  <si>
    <t>Probe 23B</t>
  </si>
  <si>
    <t>Probe 22B N</t>
  </si>
  <si>
    <t>Probe 22B E</t>
  </si>
  <si>
    <t>Probe 22B S</t>
  </si>
  <si>
    <t>Probe 22B W</t>
  </si>
  <si>
    <t>Probe 22B</t>
  </si>
  <si>
    <t>24EC</t>
  </si>
  <si>
    <t>Probe 20B N</t>
  </si>
  <si>
    <t>Probe 20B E</t>
  </si>
  <si>
    <t>Probe 20B S</t>
  </si>
  <si>
    <t>Probe 20B W</t>
  </si>
  <si>
    <t>2023 ss at 87cm--dirty layer</t>
  </si>
  <si>
    <t>melted out</t>
  </si>
  <si>
    <t>probe 1m north 24S</t>
  </si>
  <si>
    <t>probe 1m west 24S</t>
  </si>
  <si>
    <t>probe 1m south 24S</t>
  </si>
  <si>
    <t>probe 1m east 24S</t>
  </si>
  <si>
    <t>probe 1m north 23S</t>
  </si>
  <si>
    <t>probe 1m west 23S</t>
  </si>
  <si>
    <t>probe 1m south 23S</t>
  </si>
  <si>
    <t>probe 1m east 23S</t>
  </si>
  <si>
    <t>probe 1m north 20S</t>
  </si>
  <si>
    <t>probe 1m west 20S</t>
  </si>
  <si>
    <t>probe 1m south 20S</t>
  </si>
  <si>
    <t>probe 1m east 20S</t>
  </si>
  <si>
    <t>firn (2024)</t>
  </si>
  <si>
    <t>not measured</t>
  </si>
  <si>
    <t>bent at extreme (~70* angle)</t>
  </si>
  <si>
    <t>2023 ss @94cm SBD</t>
  </si>
  <si>
    <t>using average density from TU and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</si>
</sst>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dd/yyyy"/>
    <numFmt numFmtId="165" formatCode="?,??0.00"/>
    <numFmt numFmtId="166" formatCode="0.000"/>
    <numFmt numFmtId="167" formatCode="??0"/>
    <numFmt numFmtId="168" formatCode="0.0"/>
    <numFmt numFmtId="169" formatCode="??0.0"/>
  </numFmts>
  <fonts count="50" x14ac:knownFonts="1">
    <font>
      <sz val="11"/>
      <color theme="1"/>
      <name val="Calibri"/>
      <family val="2"/>
      <scheme val="minor"/>
    </font>
    <font>
      <sz val="11"/>
      <color theme="1"/>
      <name val="Calibri"/>
      <family val="2"/>
      <scheme val="minor"/>
    </font>
    <font>
      <b/>
      <sz val="10"/>
      <name val="Arial"/>
      <family val="2"/>
    </font>
    <font>
      <b/>
      <sz val="10"/>
      <color rgb="FF00FFFF"/>
      <name val="Arial"/>
      <family val="2"/>
    </font>
    <font>
      <b/>
      <sz val="10"/>
      <color rgb="FF000000"/>
      <name val="Arial"/>
      <family val="2"/>
    </font>
    <font>
      <sz val="10"/>
      <color rgb="FF000000"/>
      <name val="Arial"/>
      <family val="2"/>
    </font>
    <font>
      <b/>
      <u/>
      <sz val="10"/>
      <color rgb="FF000000"/>
      <name val="Arial"/>
      <family val="2"/>
    </font>
    <font>
      <b/>
      <sz val="10"/>
      <color theme="1"/>
      <name val="Arial"/>
      <family val="2"/>
    </font>
    <font>
      <b/>
      <u/>
      <sz val="10"/>
      <name val="Arial"/>
      <family val="2"/>
    </font>
    <font>
      <b/>
      <vertAlign val="subscript"/>
      <sz val="10"/>
      <color rgb="FF000000"/>
      <name val="Arial"/>
      <family val="2"/>
    </font>
    <font>
      <sz val="10"/>
      <color theme="1"/>
      <name val="Arial"/>
      <family val="2"/>
    </font>
    <font>
      <sz val="10"/>
      <name val="Arial"/>
      <family val="2"/>
    </font>
    <font>
      <sz val="10"/>
      <color rgb="FF000000"/>
      <name val="Calibri"/>
      <family val="2"/>
    </font>
    <font>
      <b/>
      <u/>
      <sz val="18"/>
      <color rgb="FF000000"/>
      <name val="Calibri"/>
      <family val="2"/>
    </font>
    <font>
      <b/>
      <sz val="10"/>
      <color rgb="FF000000"/>
      <name val="Calibri"/>
      <family val="2"/>
    </font>
    <font>
      <sz val="10"/>
      <color theme="1"/>
      <name val="Calibri"/>
      <family val="2"/>
      <scheme val="minor"/>
    </font>
    <font>
      <b/>
      <sz val="9"/>
      <color indexed="81"/>
      <name val="Tahoma"/>
      <family val="2"/>
    </font>
    <font>
      <sz val="9"/>
      <color indexed="81"/>
      <name val="Tahoma"/>
      <family val="2"/>
    </font>
    <font>
      <b/>
      <sz val="8"/>
      <name val="Arial"/>
      <family val="2"/>
    </font>
    <font>
      <sz val="8"/>
      <name val="Arial"/>
      <family val="2"/>
    </font>
    <font>
      <sz val="8"/>
      <color indexed="12"/>
      <name val="Arial"/>
      <family val="2"/>
    </font>
    <font>
      <sz val="8"/>
      <name val="Helv"/>
    </font>
    <font>
      <sz val="8"/>
      <color indexed="8"/>
      <name val="Arial"/>
      <family val="2"/>
    </font>
    <font>
      <sz val="10"/>
      <name val="Arial"/>
      <family val="2"/>
    </font>
    <font>
      <sz val="11"/>
      <name val="Calibri"/>
      <family val="2"/>
      <scheme val="minor"/>
    </font>
    <font>
      <b/>
      <sz val="11"/>
      <color theme="1"/>
      <name val="Calibri"/>
      <family val="2"/>
      <scheme val="minor"/>
    </font>
    <font>
      <sz val="10"/>
      <name val="Calibri"/>
      <family val="2"/>
    </font>
    <font>
      <sz val="10"/>
      <color theme="1"/>
      <name val="Segoe UI"/>
      <family val="2"/>
    </font>
    <font>
      <sz val="10"/>
      <color rgb="FF000000"/>
      <name val="Segoe UI"/>
      <family val="2"/>
    </font>
    <font>
      <sz val="9"/>
      <color indexed="81"/>
      <name val="Tahoma"/>
      <charset val="1"/>
    </font>
    <font>
      <b/>
      <sz val="9"/>
      <color indexed="81"/>
      <name val="Tahoma"/>
      <charset val="1"/>
    </font>
    <font>
      <sz val="10"/>
      <color indexed="12"/>
      <name val="Arial"/>
      <family val="2"/>
    </font>
    <font>
      <sz val="10"/>
      <color rgb="FF0066FF"/>
      <name val="Arial"/>
      <family val="2"/>
    </font>
    <font>
      <b/>
      <u/>
      <sz val="8"/>
      <name val="Arial"/>
      <family val="2"/>
    </font>
    <font>
      <i/>
      <sz val="8"/>
      <name val="Arial"/>
      <family val="2"/>
    </font>
    <font>
      <b/>
      <u/>
      <sz val="8"/>
      <color theme="1"/>
      <name val="Arial"/>
      <family val="2"/>
    </font>
    <font>
      <b/>
      <sz val="8"/>
      <color theme="1"/>
      <name val="Arial"/>
      <family val="2"/>
    </font>
    <font>
      <sz val="8"/>
      <color theme="1"/>
      <name val="Arial"/>
      <family val="2"/>
    </font>
    <font>
      <vertAlign val="superscript"/>
      <sz val="8"/>
      <name val="Arial"/>
      <family val="2"/>
    </font>
    <font>
      <sz val="8"/>
      <name val="Calibri"/>
      <family val="2"/>
    </font>
    <font>
      <sz val="8"/>
      <color indexed="16"/>
      <name val="Arial"/>
      <family val="2"/>
    </font>
    <font>
      <b/>
      <sz val="8"/>
      <color theme="5"/>
      <name val="Arial"/>
      <family val="2"/>
    </font>
    <font>
      <sz val="8"/>
      <color theme="5"/>
      <name val="Arial"/>
      <family val="2"/>
    </font>
    <font>
      <sz val="8"/>
      <color indexed="81"/>
      <name val="Tahoma"/>
      <family val="2"/>
    </font>
    <font>
      <u/>
      <sz val="8"/>
      <color indexed="12"/>
      <name val="Arial"/>
      <family val="2"/>
    </font>
    <font>
      <vertAlign val="superscript"/>
      <sz val="8"/>
      <color theme="1"/>
      <name val="Arial"/>
      <family val="2"/>
    </font>
    <font>
      <b/>
      <sz val="8"/>
      <color indexed="12"/>
      <name val="Arial"/>
      <family val="2"/>
    </font>
    <font>
      <sz val="11"/>
      <color theme="1"/>
      <name val="Segoe UI"/>
      <family val="2"/>
    </font>
    <font>
      <sz val="11"/>
      <color rgb="FF000000"/>
      <name val="Segoe UI"/>
      <family val="2"/>
    </font>
    <font>
      <sz val="11"/>
      <name val="Segoe UI"/>
      <family val="2"/>
    </font>
  </fonts>
  <fills count="15">
    <fill>
      <patternFill patternType="none"/>
    </fill>
    <fill>
      <patternFill patternType="gray125"/>
    </fill>
    <fill>
      <patternFill patternType="solid">
        <fgColor theme="4" tint="0.59999389629810485"/>
        <bgColor indexed="64"/>
      </patternFill>
    </fill>
    <fill>
      <patternFill patternType="solid">
        <fgColor rgb="FFFFFF00"/>
        <bgColor rgb="FFFFFF00"/>
      </patternFill>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CC99FF"/>
        <bgColor indexed="64"/>
      </patternFill>
    </fill>
    <fill>
      <patternFill patternType="solid">
        <fgColor rgb="FFFFCCFF"/>
        <bgColor indexed="64"/>
      </patternFill>
    </fill>
    <fill>
      <patternFill patternType="solid">
        <fgColor rgb="FFFFCCCC"/>
        <bgColor indexed="64"/>
      </patternFill>
    </fill>
    <fill>
      <patternFill patternType="solid">
        <fgColor theme="0" tint="-0.14999847407452621"/>
        <bgColor indexed="64"/>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medium">
        <color indexed="64"/>
      </left>
      <right style="medium">
        <color indexed="64"/>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s>
  <cellStyleXfs count="14">
    <xf numFmtId="0" fontId="0" fillId="0" borderId="0"/>
    <xf numFmtId="0" fontId="18" fillId="0" borderId="0" applyNumberFormat="0" applyFill="0" applyBorder="0" applyAlignment="0" applyProtection="0">
      <alignment horizontal="left"/>
      <protection locked="0"/>
    </xf>
    <xf numFmtId="0" fontId="19" fillId="0" borderId="0" applyNumberFormat="0" applyFill="0" applyBorder="0" applyAlignment="0" applyProtection="0">
      <protection locked="0"/>
    </xf>
    <xf numFmtId="0" fontId="20" fillId="0" borderId="0" applyNumberFormat="0" applyFill="0" applyBorder="0" applyAlignment="0" applyProtection="0">
      <alignment horizontal="left"/>
      <protection locked="0"/>
    </xf>
    <xf numFmtId="166" fontId="21" fillId="0" borderId="0" applyFont="0" applyFill="0" applyBorder="0" applyAlignment="0" applyProtection="0"/>
    <xf numFmtId="0" fontId="19" fillId="0" borderId="0" applyNumberFormat="0" applyFill="0" applyBorder="0" applyAlignment="0" applyProtection="0">
      <alignment horizontal="left" vertical="top" wrapText="1"/>
      <protection locked="0"/>
    </xf>
    <xf numFmtId="0" fontId="19" fillId="0" borderId="0" applyNumberFormat="0" applyFill="0" applyBorder="0" applyAlignment="0" applyProtection="0">
      <alignment horizontal="left" vertical="top" wrapText="1"/>
      <protection locked="0"/>
    </xf>
    <xf numFmtId="0" fontId="1" fillId="0" borderId="0"/>
    <xf numFmtId="167" fontId="21" fillId="0" borderId="0" applyFont="0" applyFill="0" applyBorder="0" applyAlignment="0" applyProtection="0">
      <alignment horizontal="left"/>
      <protection locked="0"/>
    </xf>
    <xf numFmtId="0" fontId="22" fillId="0" borderId="0" applyNumberFormat="0" applyFill="0" applyBorder="0" applyAlignment="0" applyProtection="0">
      <alignment horizontal="center" vertical="top" wrapText="1"/>
      <protection locked="0"/>
    </xf>
    <xf numFmtId="0" fontId="20" fillId="0" borderId="0" applyNumberFormat="0" applyFill="0" applyBorder="0" applyAlignment="0" applyProtection="0">
      <alignment horizontal="center" vertical="top" wrapText="1"/>
    </xf>
    <xf numFmtId="0" fontId="23" fillId="0" borderId="0"/>
    <xf numFmtId="0" fontId="1" fillId="0" borderId="0"/>
    <xf numFmtId="0" fontId="19" fillId="0" borderId="0" applyNumberFormat="0" applyFill="0" applyBorder="0" applyAlignment="0" applyProtection="0">
      <protection locked="0"/>
    </xf>
  </cellStyleXfs>
  <cellXfs count="903">
    <xf numFmtId="0" fontId="0" fillId="0" borderId="0" xfId="0"/>
    <xf numFmtId="0" fontId="0" fillId="0" borderId="4" xfId="0" applyBorder="1"/>
    <xf numFmtId="0" fontId="0" fillId="0" borderId="0" xfId="0" applyBorder="1"/>
    <xf numFmtId="2" fontId="0" fillId="0" borderId="0" xfId="0" applyNumberFormat="1" applyBorder="1"/>
    <xf numFmtId="0" fontId="0" fillId="0" borderId="5" xfId="0" applyBorder="1"/>
    <xf numFmtId="164" fontId="3" fillId="0" borderId="1" xfId="0" applyNumberFormat="1" applyFont="1" applyBorder="1" applyAlignment="1">
      <alignment horizontal="center" vertical="top"/>
    </xf>
    <xf numFmtId="0" fontId="4" fillId="0" borderId="2" xfId="0" applyFont="1" applyBorder="1" applyAlignment="1">
      <alignment horizontal="center" vertical="top"/>
    </xf>
    <xf numFmtId="0" fontId="4" fillId="0" borderId="9" xfId="0" applyFont="1" applyBorder="1" applyAlignment="1">
      <alignment horizontal="center" vertical="top"/>
    </xf>
    <xf numFmtId="0" fontId="5" fillId="0" borderId="10" xfId="0" applyFont="1" applyBorder="1" applyAlignment="1">
      <alignment horizontal="center"/>
    </xf>
    <xf numFmtId="0" fontId="5" fillId="0" borderId="11" xfId="0" applyFont="1" applyBorder="1" applyAlignment="1">
      <alignment horizontal="center"/>
    </xf>
    <xf numFmtId="0" fontId="5" fillId="0" borderId="2" xfId="0" applyFont="1" applyBorder="1" applyAlignment="1">
      <alignment horizontal="center"/>
    </xf>
    <xf numFmtId="4" fontId="4" fillId="0" borderId="2" xfId="0" applyNumberFormat="1" applyFont="1" applyBorder="1" applyAlignment="1">
      <alignment horizontal="center" vertical="top"/>
    </xf>
    <xf numFmtId="4" fontId="4" fillId="0" borderId="12" xfId="0" applyNumberFormat="1" applyFont="1" applyBorder="1" applyAlignment="1">
      <alignment horizontal="center" vertical="top"/>
    </xf>
    <xf numFmtId="4" fontId="6" fillId="0" borderId="2" xfId="0" applyNumberFormat="1" applyFont="1" applyBorder="1" applyAlignment="1">
      <alignment horizontal="center"/>
    </xf>
    <xf numFmtId="0" fontId="0" fillId="0" borderId="13" xfId="0" applyBorder="1"/>
    <xf numFmtId="0" fontId="2" fillId="0" borderId="0" xfId="0" applyFont="1" applyBorder="1" applyAlignment="1">
      <alignment horizontal="center"/>
    </xf>
    <xf numFmtId="4" fontId="4" fillId="0" borderId="1" xfId="0" applyNumberFormat="1" applyFont="1" applyBorder="1" applyAlignment="1">
      <alignment horizontal="center" vertical="top"/>
    </xf>
    <xf numFmtId="4" fontId="5" fillId="0" borderId="2" xfId="0" applyNumberFormat="1" applyFont="1" applyBorder="1" applyAlignment="1">
      <alignment horizontal="center"/>
    </xf>
    <xf numFmtId="4" fontId="4" fillId="0" borderId="3" xfId="0" applyNumberFormat="1" applyFont="1" applyBorder="1" applyAlignment="1">
      <alignment horizontal="center"/>
    </xf>
    <xf numFmtId="0" fontId="5" fillId="0" borderId="9" xfId="0" applyFont="1" applyBorder="1" applyAlignment="1">
      <alignment horizontal="center"/>
    </xf>
    <xf numFmtId="164" fontId="3" fillId="0" borderId="4" xfId="0" applyNumberFormat="1" applyFont="1" applyBorder="1" applyAlignment="1">
      <alignment horizontal="center" vertical="top"/>
    </xf>
    <xf numFmtId="0" fontId="4" fillId="0" borderId="0" xfId="0" applyFont="1" applyBorder="1" applyAlignment="1">
      <alignment horizontal="center" vertical="top"/>
    </xf>
    <xf numFmtId="0" fontId="4" fillId="0" borderId="14" xfId="0" applyFont="1" applyBorder="1" applyAlignment="1">
      <alignment horizontal="center" vertical="top"/>
    </xf>
    <xf numFmtId="0" fontId="5" fillId="0" borderId="15" xfId="0" applyFont="1" applyBorder="1" applyAlignment="1">
      <alignment horizontal="center"/>
    </xf>
    <xf numFmtId="4" fontId="4" fillId="0" borderId="0" xfId="0" applyNumberFormat="1" applyFont="1" applyBorder="1" applyAlignment="1">
      <alignment horizontal="center" vertical="top"/>
    </xf>
    <xf numFmtId="4" fontId="4" fillId="0" borderId="16" xfId="0" applyNumberFormat="1" applyFont="1" applyBorder="1" applyAlignment="1">
      <alignment horizontal="center" vertical="top"/>
    </xf>
    <xf numFmtId="4" fontId="4" fillId="0" borderId="0" xfId="0" applyNumberFormat="1" applyFont="1" applyBorder="1" applyAlignment="1">
      <alignment horizontal="center"/>
    </xf>
    <xf numFmtId="0" fontId="5" fillId="0" borderId="0" xfId="0" applyFont="1" applyBorder="1" applyAlignment="1">
      <alignment horizontal="center"/>
    </xf>
    <xf numFmtId="4" fontId="6" fillId="0" borderId="13" xfId="0" applyNumberFormat="1" applyFont="1" applyBorder="1" applyAlignment="1">
      <alignment horizontal="center" vertical="top"/>
    </xf>
    <xf numFmtId="4" fontId="6" fillId="0" borderId="0" xfId="0" applyNumberFormat="1" applyFont="1" applyBorder="1" applyAlignment="1">
      <alignment horizontal="center" vertical="top"/>
    </xf>
    <xf numFmtId="0" fontId="5" fillId="0" borderId="14" xfId="0" applyFont="1" applyBorder="1" applyAlignment="1">
      <alignment horizontal="center"/>
    </xf>
    <xf numFmtId="0" fontId="4" fillId="0" borderId="15" xfId="0" applyFont="1" applyBorder="1" applyAlignment="1">
      <alignment horizontal="center"/>
    </xf>
    <xf numFmtId="0" fontId="4" fillId="0" borderId="16" xfId="0" applyFont="1" applyBorder="1" applyAlignment="1">
      <alignment horizontal="center"/>
    </xf>
    <xf numFmtId="4" fontId="6" fillId="0" borderId="13" xfId="0" applyNumberFormat="1" applyFont="1" applyBorder="1" applyAlignment="1">
      <alignment horizontal="center"/>
    </xf>
    <xf numFmtId="4" fontId="6" fillId="0" borderId="0" xfId="0" applyNumberFormat="1" applyFont="1" applyBorder="1" applyAlignment="1">
      <alignment horizontal="center"/>
    </xf>
    <xf numFmtId="4" fontId="4" fillId="0" borderId="4" xfId="0" applyNumberFormat="1" applyFont="1" applyBorder="1" applyAlignment="1">
      <alignment horizontal="center"/>
    </xf>
    <xf numFmtId="4" fontId="7" fillId="0" borderId="0" xfId="0" applyNumberFormat="1" applyFont="1" applyBorder="1" applyAlignment="1">
      <alignment horizontal="center"/>
    </xf>
    <xf numFmtId="4" fontId="7" fillId="0" borderId="5" xfId="0" applyNumberFormat="1" applyFont="1" applyBorder="1" applyAlignment="1">
      <alignment horizontal="center"/>
    </xf>
    <xf numFmtId="0" fontId="4" fillId="0" borderId="14" xfId="0" applyFont="1" applyBorder="1" applyAlignment="1">
      <alignment horizontal="center"/>
    </xf>
    <xf numFmtId="164" fontId="4" fillId="0" borderId="4" xfId="0" applyNumberFormat="1" applyFont="1" applyBorder="1" applyAlignment="1">
      <alignment horizontal="center" vertical="center"/>
    </xf>
    <xf numFmtId="0" fontId="4" fillId="0" borderId="0"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3" xfId="0" applyFont="1" applyBorder="1" applyAlignment="1">
      <alignment horizontal="center" vertical="center"/>
    </xf>
    <xf numFmtId="4" fontId="4" fillId="0" borderId="0" xfId="0" applyNumberFormat="1" applyFont="1" applyBorder="1" applyAlignment="1">
      <alignment horizontal="center" vertical="center"/>
    </xf>
    <xf numFmtId="4" fontId="4" fillId="0" borderId="16" xfId="0" applyNumberFormat="1" applyFont="1" applyBorder="1" applyAlignment="1">
      <alignment horizontal="center" vertical="center"/>
    </xf>
    <xf numFmtId="4" fontId="6" fillId="0" borderId="13" xfId="0" applyNumberFormat="1" applyFont="1" applyBorder="1" applyAlignment="1">
      <alignment horizontal="center" vertical="center" wrapText="1"/>
    </xf>
    <xf numFmtId="4" fontId="4" fillId="0" borderId="4" xfId="0" applyNumberFormat="1" applyFont="1" applyBorder="1" applyAlignment="1">
      <alignment horizontal="center" vertical="center"/>
    </xf>
    <xf numFmtId="4" fontId="7" fillId="0" borderId="0" xfId="0" applyNumberFormat="1" applyFont="1" applyBorder="1" applyAlignment="1">
      <alignment horizontal="center" vertical="center"/>
    </xf>
    <xf numFmtId="4" fontId="7" fillId="0" borderId="5" xfId="0" applyNumberFormat="1" applyFont="1" applyBorder="1" applyAlignment="1">
      <alignment horizontal="center" vertical="center"/>
    </xf>
    <xf numFmtId="2" fontId="2" fillId="0" borderId="0" xfId="0" applyNumberFormat="1" applyFont="1" applyBorder="1" applyAlignment="1">
      <alignment horizontal="center" vertical="center"/>
    </xf>
    <xf numFmtId="165" fontId="2" fillId="0" borderId="5" xfId="0" applyNumberFormat="1" applyFont="1" applyBorder="1" applyAlignment="1">
      <alignment horizontal="center" vertical="center"/>
    </xf>
    <xf numFmtId="0" fontId="0" fillId="0" borderId="0" xfId="0" applyBorder="1" applyAlignment="1">
      <alignment vertical="center"/>
    </xf>
    <xf numFmtId="164" fontId="5" fillId="0" borderId="6" xfId="0" applyNumberFormat="1" applyFont="1" applyBorder="1" applyAlignment="1">
      <alignment horizontal="center" vertical="top"/>
    </xf>
    <xf numFmtId="0" fontId="5" fillId="0" borderId="7" xfId="0" applyFont="1" applyBorder="1" applyAlignment="1">
      <alignment horizontal="center" vertical="top"/>
    </xf>
    <xf numFmtId="0" fontId="5" fillId="0" borderId="17" xfId="0" applyFont="1" applyBorder="1" applyAlignment="1">
      <alignment horizontal="center" vertical="top"/>
    </xf>
    <xf numFmtId="0" fontId="5" fillId="0" borderId="18" xfId="0" applyFont="1" applyBorder="1" applyAlignment="1">
      <alignment horizontal="center"/>
    </xf>
    <xf numFmtId="4" fontId="0" fillId="0" borderId="7" xfId="0" applyNumberFormat="1" applyFont="1" applyBorder="1" applyAlignment="1">
      <alignment horizontal="center"/>
    </xf>
    <xf numFmtId="0" fontId="5" fillId="0" borderId="7" xfId="0" applyFont="1" applyBorder="1" applyAlignment="1">
      <alignment horizontal="center"/>
    </xf>
    <xf numFmtId="4" fontId="5" fillId="0" borderId="19" xfId="0" applyNumberFormat="1" applyFont="1" applyBorder="1" applyAlignment="1">
      <alignment horizontal="center" vertical="top"/>
    </xf>
    <xf numFmtId="4" fontId="5" fillId="0" borderId="7" xfId="0" applyNumberFormat="1" applyFont="1" applyBorder="1" applyAlignment="1">
      <alignment horizontal="center" vertical="top"/>
    </xf>
    <xf numFmtId="4" fontId="5" fillId="0" borderId="6" xfId="0" applyNumberFormat="1" applyFont="1" applyBorder="1" applyAlignment="1">
      <alignment horizontal="center"/>
    </xf>
    <xf numFmtId="4" fontId="5" fillId="0" borderId="7" xfId="0" applyNumberFormat="1" applyFont="1" applyBorder="1" applyAlignment="1">
      <alignment horizontal="center"/>
    </xf>
    <xf numFmtId="4" fontId="10" fillId="0" borderId="7" xfId="0" applyNumberFormat="1" applyFont="1" applyBorder="1" applyAlignment="1">
      <alignment horizontal="center"/>
    </xf>
    <xf numFmtId="4" fontId="10" fillId="0" borderId="8" xfId="0" applyNumberFormat="1" applyFont="1" applyBorder="1" applyAlignment="1">
      <alignment horizontal="center"/>
    </xf>
    <xf numFmtId="2" fontId="0" fillId="0" borderId="7" xfId="0" applyNumberFormat="1" applyFont="1" applyBorder="1" applyAlignment="1">
      <alignment horizontal="center"/>
    </xf>
    <xf numFmtId="0" fontId="5" fillId="0" borderId="8" xfId="0" applyFont="1" applyBorder="1" applyAlignment="1">
      <alignment horizontal="center"/>
    </xf>
    <xf numFmtId="0" fontId="5" fillId="0" borderId="17" xfId="0" applyFont="1" applyBorder="1" applyAlignment="1">
      <alignment horizontal="center"/>
    </xf>
    <xf numFmtId="0" fontId="12" fillId="0" borderId="0" xfId="0" applyFont="1" applyFill="1" applyBorder="1"/>
    <xf numFmtId="0" fontId="0" fillId="0" borderId="0" xfId="0" applyFill="1" applyBorder="1"/>
    <xf numFmtId="0" fontId="12" fillId="0" borderId="0" xfId="0" applyFont="1" applyBorder="1" applyAlignment="1">
      <alignment horizontal="center"/>
    </xf>
    <xf numFmtId="2" fontId="12" fillId="0" borderId="0" xfId="0" applyNumberFormat="1" applyFont="1" applyBorder="1" applyAlignment="1">
      <alignment horizontal="center"/>
    </xf>
    <xf numFmtId="0" fontId="12" fillId="0" borderId="0" xfId="0" applyFont="1" applyBorder="1"/>
    <xf numFmtId="4" fontId="2" fillId="4" borderId="2" xfId="0" applyNumberFormat="1" applyFont="1" applyFill="1" applyBorder="1" applyAlignment="1">
      <alignment horizontal="center"/>
    </xf>
    <xf numFmtId="0" fontId="2" fillId="4" borderId="2" xfId="0" applyFont="1" applyFill="1" applyBorder="1"/>
    <xf numFmtId="4" fontId="2" fillId="4" borderId="3" xfId="0" applyNumberFormat="1" applyFont="1" applyFill="1" applyBorder="1" applyAlignment="1">
      <alignment horizontal="center"/>
    </xf>
    <xf numFmtId="0" fontId="14" fillId="3" borderId="23" xfId="0" applyFont="1" applyFill="1" applyBorder="1"/>
    <xf numFmtId="164" fontId="14" fillId="3" borderId="23" xfId="0" applyNumberFormat="1" applyFont="1" applyFill="1" applyBorder="1"/>
    <xf numFmtId="0" fontId="14" fillId="3" borderId="23" xfId="0" applyFont="1" applyFill="1" applyBorder="1" applyAlignment="1">
      <alignment horizontal="center"/>
    </xf>
    <xf numFmtId="164" fontId="2" fillId="4" borderId="23" xfId="0" applyNumberFormat="1" applyFont="1" applyFill="1" applyBorder="1"/>
    <xf numFmtId="14" fontId="14" fillId="3" borderId="24" xfId="0" applyNumberFormat="1" applyFont="1" applyFill="1" applyBorder="1"/>
    <xf numFmtId="0" fontId="5" fillId="0" borderId="0" xfId="0" applyFont="1" applyFill="1" applyBorder="1"/>
    <xf numFmtId="0" fontId="5" fillId="3" borderId="4" xfId="0" applyFont="1" applyFill="1" applyBorder="1"/>
    <xf numFmtId="0" fontId="5" fillId="3" borderId="14" xfId="0" applyFont="1" applyFill="1" applyBorder="1" applyAlignment="1">
      <alignment horizontal="right"/>
    </xf>
    <xf numFmtId="2" fontId="5" fillId="3" borderId="0" xfId="0" applyNumberFormat="1" applyFont="1" applyFill="1" applyBorder="1"/>
    <xf numFmtId="0" fontId="5" fillId="3" borderId="0" xfId="0" applyFont="1" applyFill="1" applyBorder="1"/>
    <xf numFmtId="0" fontId="0" fillId="4" borderId="0" xfId="0" applyFill="1" applyBorder="1"/>
    <xf numFmtId="0" fontId="5" fillId="3" borderId="5" xfId="0" applyFont="1" applyFill="1" applyBorder="1"/>
    <xf numFmtId="0" fontId="10" fillId="4" borderId="14" xfId="0" applyFont="1" applyFill="1" applyBorder="1" applyAlignment="1">
      <alignment horizontal="right"/>
    </xf>
    <xf numFmtId="0" fontId="15" fillId="4" borderId="14" xfId="0" applyFont="1" applyFill="1" applyBorder="1" applyAlignment="1">
      <alignment horizontal="right"/>
    </xf>
    <xf numFmtId="0" fontId="5" fillId="3" borderId="6" xfId="0" applyFont="1" applyFill="1" applyBorder="1"/>
    <xf numFmtId="0" fontId="15" fillId="4" borderId="17" xfId="0" applyFont="1" applyFill="1" applyBorder="1" applyAlignment="1">
      <alignment horizontal="right"/>
    </xf>
    <xf numFmtId="2" fontId="5" fillId="3" borderId="7" xfId="0" applyNumberFormat="1" applyFont="1" applyFill="1" applyBorder="1"/>
    <xf numFmtId="0" fontId="5" fillId="3" borderId="7" xfId="0" applyFont="1" applyFill="1" applyBorder="1"/>
    <xf numFmtId="4" fontId="5" fillId="3" borderId="7" xfId="0" applyNumberFormat="1" applyFont="1" applyFill="1" applyBorder="1"/>
    <xf numFmtId="0" fontId="5" fillId="3" borderId="8" xfId="0" applyFont="1" applyFill="1" applyBorder="1"/>
    <xf numFmtId="2" fontId="4" fillId="0" borderId="2" xfId="0" applyNumberFormat="1" applyFont="1" applyBorder="1" applyAlignment="1">
      <alignment horizontal="center" vertical="top"/>
    </xf>
    <xf numFmtId="2" fontId="4" fillId="0" borderId="0" xfId="0" applyNumberFormat="1" applyFont="1" applyBorder="1" applyAlignment="1">
      <alignment horizontal="center" vertical="top"/>
    </xf>
    <xf numFmtId="2" fontId="4" fillId="0" borderId="0" xfId="0" applyNumberFormat="1" applyFont="1" applyBorder="1" applyAlignment="1">
      <alignment horizontal="center"/>
    </xf>
    <xf numFmtId="2" fontId="4" fillId="0" borderId="0" xfId="0" applyNumberFormat="1" applyFont="1" applyBorder="1" applyAlignment="1">
      <alignment horizontal="center" vertical="center"/>
    </xf>
    <xf numFmtId="2" fontId="2" fillId="4" borderId="3" xfId="0" applyNumberFormat="1" applyFont="1" applyFill="1" applyBorder="1" applyAlignment="1">
      <alignment horizontal="center"/>
    </xf>
    <xf numFmtId="2" fontId="5" fillId="3" borderId="5" xfId="0" applyNumberFormat="1" applyFont="1" applyFill="1" applyBorder="1"/>
    <xf numFmtId="2" fontId="5" fillId="3" borderId="8" xfId="0" applyNumberFormat="1" applyFont="1" applyFill="1" applyBorder="1"/>
    <xf numFmtId="2" fontId="12" fillId="0" borderId="0" xfId="0" applyNumberFormat="1" applyFont="1" applyBorder="1"/>
    <xf numFmtId="0" fontId="0" fillId="0" borderId="13" xfId="0" applyBorder="1" applyAlignment="1">
      <alignment horizontal="center"/>
    </xf>
    <xf numFmtId="0" fontId="0" fillId="0" borderId="0"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Border="1" applyAlignment="1">
      <alignment horizontal="center" vertical="center"/>
    </xf>
    <xf numFmtId="0" fontId="12" fillId="0" borderId="0" xfId="0" applyFont="1" applyFill="1" applyBorder="1" applyAlignment="1">
      <alignment horizontal="center"/>
    </xf>
    <xf numFmtId="0" fontId="0" fillId="0" borderId="0" xfId="0" applyFill="1" applyBorder="1" applyAlignment="1">
      <alignment horizontal="center"/>
    </xf>
    <xf numFmtId="0" fontId="12" fillId="2" borderId="5" xfId="0" applyFont="1" applyFill="1" applyBorder="1" applyAlignment="1">
      <alignment horizontal="center"/>
    </xf>
    <xf numFmtId="0" fontId="2" fillId="4" borderId="2" xfId="0" applyFont="1" applyFill="1" applyBorder="1" applyAlignment="1">
      <alignment horizontal="center"/>
    </xf>
    <xf numFmtId="164" fontId="2" fillId="4" borderId="23" xfId="0" applyNumberFormat="1" applyFont="1" applyFill="1" applyBorder="1" applyAlignment="1">
      <alignment horizontal="center"/>
    </xf>
    <xf numFmtId="14" fontId="14" fillId="3" borderId="24" xfId="0" applyNumberFormat="1" applyFont="1" applyFill="1" applyBorder="1" applyAlignment="1">
      <alignment horizontal="center"/>
    </xf>
    <xf numFmtId="0" fontId="5" fillId="0" borderId="0" xfId="0" applyFont="1" applyFill="1" applyBorder="1" applyAlignment="1">
      <alignment horizontal="center"/>
    </xf>
    <xf numFmtId="0" fontId="5" fillId="3" borderId="4" xfId="0" applyFont="1" applyFill="1" applyBorder="1" applyAlignment="1">
      <alignment horizontal="center"/>
    </xf>
    <xf numFmtId="2" fontId="5" fillId="3" borderId="0" xfId="0" applyNumberFormat="1" applyFont="1" applyFill="1" applyBorder="1" applyAlignment="1">
      <alignment horizontal="center"/>
    </xf>
    <xf numFmtId="0" fontId="5" fillId="3" borderId="0" xfId="0" applyFont="1" applyFill="1" applyBorder="1" applyAlignment="1">
      <alignment horizontal="center"/>
    </xf>
    <xf numFmtId="0" fontId="0" fillId="4" borderId="0" xfId="0" applyFill="1" applyBorder="1" applyAlignment="1">
      <alignment horizontal="center"/>
    </xf>
    <xf numFmtId="0" fontId="5" fillId="3" borderId="5" xfId="0" applyFont="1" applyFill="1" applyBorder="1" applyAlignment="1">
      <alignment horizontal="center"/>
    </xf>
    <xf numFmtId="0" fontId="5" fillId="3" borderId="6" xfId="0" applyFont="1" applyFill="1" applyBorder="1" applyAlignment="1">
      <alignment horizontal="center"/>
    </xf>
    <xf numFmtId="2" fontId="5" fillId="3" borderId="7" xfId="0" applyNumberFormat="1" applyFont="1" applyFill="1" applyBorder="1" applyAlignment="1">
      <alignment horizontal="center"/>
    </xf>
    <xf numFmtId="0" fontId="5" fillId="3" borderId="7" xfId="0" applyFont="1" applyFill="1" applyBorder="1" applyAlignment="1">
      <alignment horizontal="center"/>
    </xf>
    <xf numFmtId="4" fontId="5" fillId="3" borderId="7" xfId="0" applyNumberFormat="1" applyFont="1" applyFill="1" applyBorder="1" applyAlignment="1">
      <alignment horizontal="center"/>
    </xf>
    <xf numFmtId="0" fontId="5" fillId="3" borderId="8" xfId="0" applyFont="1" applyFill="1" applyBorder="1" applyAlignment="1">
      <alignment horizontal="center"/>
    </xf>
    <xf numFmtId="0" fontId="4" fillId="0" borderId="13" xfId="0" applyFont="1" applyBorder="1" applyAlignment="1">
      <alignment horizontal="center"/>
    </xf>
    <xf numFmtId="0" fontId="4" fillId="0" borderId="0" xfId="0" applyFont="1" applyBorder="1" applyAlignment="1">
      <alignment horizontal="center"/>
    </xf>
    <xf numFmtId="0" fontId="4" fillId="0" borderId="5" xfId="0" applyFont="1" applyBorder="1" applyAlignment="1">
      <alignment horizontal="center"/>
    </xf>
    <xf numFmtId="2" fontId="5" fillId="0" borderId="11" xfId="0" applyNumberFormat="1" applyFont="1" applyBorder="1" applyAlignment="1">
      <alignment horizontal="center"/>
    </xf>
    <xf numFmtId="2" fontId="4" fillId="0" borderId="13" xfId="0" applyNumberFormat="1" applyFont="1" applyBorder="1" applyAlignment="1">
      <alignment horizontal="center"/>
    </xf>
    <xf numFmtId="2" fontId="4" fillId="0" borderId="13" xfId="0" applyNumberFormat="1" applyFont="1" applyBorder="1" applyAlignment="1">
      <alignment horizontal="center" vertical="center"/>
    </xf>
    <xf numFmtId="2" fontId="2" fillId="4" borderId="2" xfId="0" applyNumberFormat="1" applyFont="1" applyFill="1" applyBorder="1" applyAlignment="1">
      <alignment horizontal="center"/>
    </xf>
    <xf numFmtId="14" fontId="14" fillId="3" borderId="23" xfId="0" applyNumberFormat="1" applyFont="1" applyFill="1" applyBorder="1"/>
    <xf numFmtId="14" fontId="0" fillId="7" borderId="0" xfId="0" applyNumberFormat="1" applyFill="1" applyBorder="1" applyAlignment="1">
      <alignment horizontal="center"/>
    </xf>
    <xf numFmtId="0" fontId="0" fillId="7" borderId="0" xfId="0" applyFill="1" applyBorder="1" applyAlignment="1">
      <alignment horizontal="center"/>
    </xf>
    <xf numFmtId="2" fontId="0" fillId="7" borderId="0" xfId="0" applyNumberFormat="1" applyFill="1" applyBorder="1" applyAlignment="1">
      <alignment horizontal="center"/>
    </xf>
    <xf numFmtId="4" fontId="0" fillId="0" borderId="6" xfId="0" applyNumberFormat="1" applyFont="1" applyBorder="1" applyAlignment="1">
      <alignment horizontal="center"/>
    </xf>
    <xf numFmtId="2" fontId="0" fillId="0" borderId="6" xfId="0" applyNumberFormat="1" applyFont="1" applyBorder="1" applyAlignment="1">
      <alignment horizontal="center"/>
    </xf>
    <xf numFmtId="4" fontId="0" fillId="0" borderId="8" xfId="0" applyNumberFormat="1" applyFont="1" applyBorder="1" applyAlignment="1">
      <alignment horizontal="center"/>
    </xf>
    <xf numFmtId="4" fontId="0" fillId="0" borderId="20" xfId="0" applyNumberFormat="1" applyFont="1" applyBorder="1" applyAlignment="1">
      <alignment horizontal="center"/>
    </xf>
    <xf numFmtId="4" fontId="5" fillId="0" borderId="18" xfId="0" applyNumberFormat="1" applyFont="1" applyBorder="1" applyAlignment="1">
      <alignment horizontal="center" vertical="top"/>
    </xf>
    <xf numFmtId="0" fontId="12" fillId="0" borderId="0" xfId="0" applyFont="1" applyBorder="1" applyAlignment="1">
      <alignment horizontal="center" vertical="center"/>
    </xf>
    <xf numFmtId="2" fontId="12" fillId="0" borderId="0" xfId="0" applyNumberFormat="1" applyFont="1" applyBorder="1" applyAlignment="1">
      <alignment horizontal="center" vertical="center"/>
    </xf>
    <xf numFmtId="164" fontId="5" fillId="0" borderId="6" xfId="0" applyNumberFormat="1" applyFont="1" applyBorder="1" applyAlignment="1">
      <alignment horizontal="center" vertical="center"/>
    </xf>
    <xf numFmtId="0" fontId="5" fillId="0" borderId="7"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4" fontId="0" fillId="0" borderId="7" xfId="0" applyNumberFormat="1" applyFont="1" applyBorder="1" applyAlignment="1">
      <alignment horizontal="center" vertical="center"/>
    </xf>
    <xf numFmtId="4" fontId="0" fillId="0" borderId="8" xfId="0" applyNumberFormat="1" applyFont="1" applyBorder="1" applyAlignment="1">
      <alignment horizontal="center" vertical="center"/>
    </xf>
    <xf numFmtId="4" fontId="0" fillId="0" borderId="20" xfId="0" applyNumberFormat="1" applyFont="1" applyBorder="1" applyAlignment="1">
      <alignment horizontal="center" vertical="center"/>
    </xf>
    <xf numFmtId="4" fontId="5" fillId="0" borderId="18" xfId="0" applyNumberFormat="1" applyFont="1" applyBorder="1" applyAlignment="1">
      <alignment horizontal="center" vertical="center"/>
    </xf>
    <xf numFmtId="4" fontId="5" fillId="0" borderId="7" xfId="0" applyNumberFormat="1" applyFont="1" applyBorder="1" applyAlignment="1">
      <alignment horizontal="center" vertical="center"/>
    </xf>
    <xf numFmtId="4" fontId="5" fillId="0" borderId="6" xfId="0" applyNumberFormat="1" applyFont="1" applyBorder="1" applyAlignment="1">
      <alignment horizontal="center" vertical="center"/>
    </xf>
    <xf numFmtId="4" fontId="10" fillId="0" borderId="7" xfId="0" applyNumberFormat="1" applyFont="1" applyBorder="1" applyAlignment="1">
      <alignment horizontal="center" vertical="center"/>
    </xf>
    <xf numFmtId="4" fontId="10" fillId="0" borderId="8" xfId="0" applyNumberFormat="1" applyFont="1" applyBorder="1" applyAlignment="1">
      <alignment horizontal="center" vertical="center"/>
    </xf>
    <xf numFmtId="2" fontId="0" fillId="0" borderId="7" xfId="0" applyNumberFormat="1" applyFont="1" applyBorder="1" applyAlignment="1">
      <alignment horizontal="center" vertical="center"/>
    </xf>
    <xf numFmtId="0" fontId="5" fillId="0" borderId="8" xfId="0" applyFont="1" applyBorder="1" applyAlignment="1">
      <alignment horizontal="center" vertical="center"/>
    </xf>
    <xf numFmtId="0" fontId="0" fillId="7" borderId="5" xfId="0" applyFill="1" applyBorder="1" applyAlignment="1">
      <alignment horizontal="center"/>
    </xf>
    <xf numFmtId="0" fontId="0" fillId="7" borderId="16" xfId="0" applyFill="1" applyBorder="1" applyAlignment="1">
      <alignment horizontal="center"/>
    </xf>
    <xf numFmtId="0" fontId="0" fillId="0" borderId="14" xfId="0" applyBorder="1" applyAlignment="1">
      <alignment horizontal="center"/>
    </xf>
    <xf numFmtId="0" fontId="0" fillId="7" borderId="14" xfId="0" applyFill="1" applyBorder="1" applyAlignment="1">
      <alignment horizontal="center"/>
    </xf>
    <xf numFmtId="0" fontId="0" fillId="0" borderId="15" xfId="0" applyBorder="1" applyAlignment="1">
      <alignment horizontal="center"/>
    </xf>
    <xf numFmtId="0" fontId="0" fillId="7" borderId="15" xfId="0" applyFill="1" applyBorder="1" applyAlignment="1">
      <alignment horizontal="center"/>
    </xf>
    <xf numFmtId="2" fontId="0" fillId="7" borderId="14" xfId="0" applyNumberFormat="1" applyFill="1" applyBorder="1" applyAlignment="1">
      <alignment horizontal="center"/>
    </xf>
    <xf numFmtId="2" fontId="0" fillId="0" borderId="0" xfId="0" applyNumberFormat="1" applyBorder="1" applyAlignment="1">
      <alignment horizontal="center"/>
    </xf>
    <xf numFmtId="0" fontId="0" fillId="9" borderId="0" xfId="0" applyFill="1" applyBorder="1"/>
    <xf numFmtId="0" fontId="12" fillId="0" borderId="0" xfId="0" applyFont="1" applyFill="1" applyBorder="1" applyAlignment="1">
      <alignment horizontal="center" vertical="center"/>
    </xf>
    <xf numFmtId="0" fontId="12" fillId="0" borderId="14" xfId="0" applyFont="1" applyFill="1" applyBorder="1" applyAlignment="1">
      <alignment horizontal="center" vertical="center"/>
    </xf>
    <xf numFmtId="0" fontId="12" fillId="0" borderId="15" xfId="0" applyFont="1" applyFill="1" applyBorder="1" applyAlignment="1">
      <alignment horizontal="center" vertical="center"/>
    </xf>
    <xf numFmtId="2" fontId="12" fillId="0" borderId="0" xfId="0" applyNumberFormat="1" applyFont="1" applyFill="1" applyBorder="1" applyAlignment="1">
      <alignment horizontal="center" vertical="center"/>
    </xf>
    <xf numFmtId="2" fontId="12" fillId="0" borderId="5" xfId="0" applyNumberFormat="1" applyFont="1" applyFill="1" applyBorder="1" applyAlignment="1">
      <alignment horizontal="center" vertical="center"/>
    </xf>
    <xf numFmtId="0" fontId="12" fillId="0" borderId="16" xfId="0" applyFont="1" applyFill="1" applyBorder="1" applyAlignment="1">
      <alignment horizontal="center" vertical="center"/>
    </xf>
    <xf numFmtId="0" fontId="12" fillId="0" borderId="5" xfId="0" applyFont="1" applyFill="1" applyBorder="1" applyAlignment="1">
      <alignment horizontal="center" vertical="center"/>
    </xf>
    <xf numFmtId="0" fontId="0" fillId="0" borderId="5" xfId="0" applyFill="1" applyBorder="1" applyAlignment="1">
      <alignment horizontal="center" vertical="center"/>
    </xf>
    <xf numFmtId="0" fontId="0" fillId="0" borderId="0" xfId="0" applyFill="1" applyBorder="1" applyAlignment="1">
      <alignment horizontal="center" vertical="center"/>
    </xf>
    <xf numFmtId="0" fontId="12" fillId="10" borderId="0" xfId="0" applyFont="1" applyFill="1" applyBorder="1" applyAlignment="1">
      <alignment horizontal="center"/>
    </xf>
    <xf numFmtId="2" fontId="12" fillId="10" borderId="0" xfId="0" applyNumberFormat="1" applyFont="1" applyFill="1" applyBorder="1" applyAlignment="1">
      <alignment horizontal="center"/>
    </xf>
    <xf numFmtId="0" fontId="12" fillId="10" borderId="0" xfId="0" applyFont="1" applyFill="1" applyBorder="1"/>
    <xf numFmtId="0" fontId="0" fillId="10" borderId="0" xfId="0" applyFill="1" applyBorder="1"/>
    <xf numFmtId="14" fontId="12" fillId="10" borderId="0" xfId="0" applyNumberFormat="1" applyFont="1" applyFill="1" applyBorder="1" applyAlignment="1">
      <alignment horizontal="center"/>
    </xf>
    <xf numFmtId="0" fontId="2" fillId="0" borderId="0" xfId="0" applyFont="1" applyFill="1" applyBorder="1" applyAlignment="1"/>
    <xf numFmtId="0" fontId="11" fillId="0" borderId="0" xfId="0" applyFont="1" applyBorder="1"/>
    <xf numFmtId="0" fontId="11" fillId="0" borderId="0" xfId="0" applyFont="1" applyBorder="1" applyAlignment="1">
      <alignment horizontal="center"/>
    </xf>
    <xf numFmtId="14" fontId="0" fillId="0" borderId="0" xfId="0" applyNumberFormat="1" applyBorder="1" applyAlignment="1">
      <alignment horizontal="center"/>
    </xf>
    <xf numFmtId="4" fontId="0" fillId="0" borderId="0" xfId="0" applyNumberFormat="1" applyBorder="1" applyAlignment="1">
      <alignment horizontal="center"/>
    </xf>
    <xf numFmtId="0" fontId="25" fillId="0" borderId="13" xfId="0" applyFont="1" applyBorder="1" applyAlignment="1">
      <alignment horizontal="center"/>
    </xf>
    <xf numFmtId="0" fontId="2" fillId="0" borderId="14" xfId="0" applyFont="1" applyBorder="1" applyAlignment="1">
      <alignment horizontal="center"/>
    </xf>
    <xf numFmtId="2" fontId="0" fillId="0" borderId="14" xfId="0" applyNumberFormat="1" applyBorder="1" applyAlignment="1">
      <alignment horizontal="center"/>
    </xf>
    <xf numFmtId="0" fontId="0" fillId="0" borderId="23" xfId="0" applyBorder="1" applyAlignment="1">
      <alignment horizontal="center"/>
    </xf>
    <xf numFmtId="14" fontId="0" fillId="0" borderId="23" xfId="0" applyNumberFormat="1" applyBorder="1" applyAlignment="1">
      <alignment horizontal="center"/>
    </xf>
    <xf numFmtId="2" fontId="0" fillId="0" borderId="23" xfId="0" applyNumberFormat="1" applyBorder="1" applyAlignment="1">
      <alignment horizontal="center"/>
    </xf>
    <xf numFmtId="2" fontId="0" fillId="0" borderId="22" xfId="0" applyNumberFormat="1" applyBorder="1" applyAlignment="1">
      <alignment horizontal="center"/>
    </xf>
    <xf numFmtId="14" fontId="26" fillId="9" borderId="0" xfId="0" applyNumberFormat="1" applyFont="1" applyFill="1" applyBorder="1" applyAlignment="1">
      <alignment horizontal="center"/>
    </xf>
    <xf numFmtId="0" fontId="26" fillId="9" borderId="0" xfId="0" applyFont="1" applyFill="1" applyBorder="1" applyAlignment="1">
      <alignment horizontal="center"/>
    </xf>
    <xf numFmtId="2" fontId="26" fillId="9" borderId="0" xfId="0" applyNumberFormat="1" applyFont="1" applyFill="1" applyBorder="1" applyAlignment="1">
      <alignment horizontal="center"/>
    </xf>
    <xf numFmtId="0" fontId="26" fillId="9" borderId="0" xfId="0" applyFont="1" applyFill="1" applyBorder="1"/>
    <xf numFmtId="0" fontId="24" fillId="9" borderId="0" xfId="0" applyFont="1" applyFill="1" applyBorder="1"/>
    <xf numFmtId="0" fontId="26" fillId="9" borderId="15" xfId="0" applyFont="1" applyFill="1" applyBorder="1" applyAlignment="1">
      <alignment horizontal="center"/>
    </xf>
    <xf numFmtId="0" fontId="26" fillId="9" borderId="14" xfId="0" applyFont="1" applyFill="1" applyBorder="1" applyAlignment="1">
      <alignment horizontal="center"/>
    </xf>
    <xf numFmtId="2" fontId="26" fillId="9" borderId="5" xfId="0" applyNumberFormat="1" applyFont="1" applyFill="1" applyBorder="1" applyAlignment="1">
      <alignment horizontal="center"/>
    </xf>
    <xf numFmtId="0" fontId="26" fillId="9" borderId="16" xfId="0" applyFont="1" applyFill="1" applyBorder="1" applyAlignment="1">
      <alignment horizontal="center"/>
    </xf>
    <xf numFmtId="0" fontId="26" fillId="9" borderId="5" xfId="0" applyFont="1" applyFill="1" applyBorder="1" applyAlignment="1">
      <alignment horizontal="center"/>
    </xf>
    <xf numFmtId="2" fontId="26" fillId="9" borderId="15" xfId="0" applyNumberFormat="1" applyFont="1" applyFill="1" applyBorder="1" applyAlignment="1">
      <alignment horizontal="center"/>
    </xf>
    <xf numFmtId="0" fontId="26" fillId="9" borderId="5" xfId="0" applyFont="1" applyFill="1" applyBorder="1"/>
    <xf numFmtId="0" fontId="0" fillId="0" borderId="5" xfId="0" applyFill="1" applyBorder="1"/>
    <xf numFmtId="14" fontId="0" fillId="2" borderId="0" xfId="0" applyNumberFormat="1" applyFill="1" applyBorder="1" applyAlignment="1">
      <alignment horizontal="center"/>
    </xf>
    <xf numFmtId="0" fontId="0" fillId="2" borderId="0"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0" fillId="2" borderId="5" xfId="0" applyFill="1" applyBorder="1" applyAlignment="1">
      <alignment horizontal="center"/>
    </xf>
    <xf numFmtId="0" fontId="0" fillId="2" borderId="16" xfId="0" applyFill="1" applyBorder="1" applyAlignment="1">
      <alignment horizontal="center"/>
    </xf>
    <xf numFmtId="2" fontId="0" fillId="2" borderId="14" xfId="0" applyNumberFormat="1" applyFill="1" applyBorder="1" applyAlignment="1">
      <alignment horizontal="center"/>
    </xf>
    <xf numFmtId="2" fontId="0" fillId="2" borderId="0" xfId="0" applyNumberFormat="1" applyFill="1" applyBorder="1" applyAlignment="1">
      <alignment horizontal="center"/>
    </xf>
    <xf numFmtId="0" fontId="0" fillId="2" borderId="0" xfId="0" applyFill="1" applyBorder="1"/>
    <xf numFmtId="0" fontId="12" fillId="0" borderId="5" xfId="0" applyFont="1" applyBorder="1" applyAlignment="1">
      <alignment horizontal="center"/>
    </xf>
    <xf numFmtId="0" fontId="12" fillId="10" borderId="5" xfId="0" applyFont="1" applyFill="1" applyBorder="1" applyAlignment="1">
      <alignment horizontal="center"/>
    </xf>
    <xf numFmtId="2" fontId="12" fillId="10" borderId="5" xfId="0" applyNumberFormat="1" applyFont="1" applyFill="1" applyBorder="1" applyAlignment="1">
      <alignment horizontal="center"/>
    </xf>
    <xf numFmtId="0" fontId="12" fillId="0" borderId="16" xfId="0" applyFont="1" applyBorder="1" applyAlignment="1">
      <alignment horizontal="center"/>
    </xf>
    <xf numFmtId="0" fontId="12" fillId="10" borderId="16" xfId="0" applyFont="1" applyFill="1" applyBorder="1" applyAlignment="1">
      <alignment horizontal="center"/>
    </xf>
    <xf numFmtId="0" fontId="12" fillId="0" borderId="5" xfId="0" applyFont="1" applyBorder="1"/>
    <xf numFmtId="0" fontId="0" fillId="10" borderId="5" xfId="0" applyFill="1" applyBorder="1"/>
    <xf numFmtId="0" fontId="12" fillId="0" borderId="14" xfId="0" applyFont="1" applyBorder="1" applyAlignment="1">
      <alignment horizontal="center"/>
    </xf>
    <xf numFmtId="0" fontId="12" fillId="10" borderId="14" xfId="0" applyFont="1" applyFill="1" applyBorder="1" applyAlignment="1">
      <alignment horizontal="center"/>
    </xf>
    <xf numFmtId="0" fontId="12" fillId="0" borderId="15" xfId="0" applyFont="1" applyBorder="1" applyAlignment="1">
      <alignment horizontal="center"/>
    </xf>
    <xf numFmtId="0" fontId="12" fillId="10" borderId="15" xfId="0" applyFont="1" applyFill="1" applyBorder="1" applyAlignment="1">
      <alignment horizontal="center"/>
    </xf>
    <xf numFmtId="2" fontId="12" fillId="10" borderId="14" xfId="0" applyNumberFormat="1" applyFont="1" applyFill="1" applyBorder="1" applyAlignment="1">
      <alignment horizontal="center"/>
    </xf>
    <xf numFmtId="14" fontId="10" fillId="8" borderId="0" xfId="0" applyNumberFormat="1" applyFont="1" applyFill="1" applyBorder="1" applyAlignment="1">
      <alignment horizontal="center"/>
    </xf>
    <xf numFmtId="0" fontId="10" fillId="8" borderId="0" xfId="0" applyFont="1" applyFill="1" applyBorder="1" applyAlignment="1">
      <alignment horizontal="center"/>
    </xf>
    <xf numFmtId="4" fontId="10" fillId="8" borderId="0" xfId="0" applyNumberFormat="1" applyFont="1" applyFill="1" applyBorder="1" applyAlignment="1">
      <alignment horizontal="center"/>
    </xf>
    <xf numFmtId="0" fontId="0" fillId="8" borderId="0" xfId="0" applyFill="1" applyBorder="1" applyAlignment="1">
      <alignment horizontal="center"/>
    </xf>
    <xf numFmtId="0" fontId="10" fillId="8" borderId="5" xfId="0" applyFont="1" applyFill="1" applyBorder="1" applyAlignment="1">
      <alignment horizontal="center"/>
    </xf>
    <xf numFmtId="4" fontId="10" fillId="8" borderId="5" xfId="0" applyNumberFormat="1" applyFont="1" applyFill="1" applyBorder="1" applyAlignment="1">
      <alignment horizontal="center"/>
    </xf>
    <xf numFmtId="4" fontId="10" fillId="8" borderId="16" xfId="0" applyNumberFormat="1" applyFont="1" applyFill="1" applyBorder="1" applyAlignment="1">
      <alignment horizontal="center"/>
    </xf>
    <xf numFmtId="0" fontId="12" fillId="8" borderId="5" xfId="0" applyFont="1" applyFill="1" applyBorder="1" applyAlignment="1">
      <alignment horizontal="center"/>
    </xf>
    <xf numFmtId="0" fontId="10" fillId="8" borderId="14" xfId="0" applyFont="1" applyFill="1" applyBorder="1" applyAlignment="1">
      <alignment horizontal="center"/>
    </xf>
    <xf numFmtId="0" fontId="10" fillId="8" borderId="15" xfId="0" applyFont="1" applyFill="1" applyBorder="1" applyAlignment="1">
      <alignment horizontal="center"/>
    </xf>
    <xf numFmtId="4" fontId="10" fillId="8" borderId="14" xfId="0" applyNumberFormat="1" applyFont="1" applyFill="1" applyBorder="1" applyAlignment="1">
      <alignment horizontal="center"/>
    </xf>
    <xf numFmtId="14" fontId="0" fillId="0" borderId="0" xfId="0" applyNumberFormat="1" applyFill="1" applyBorder="1" applyAlignment="1">
      <alignment horizontal="center"/>
    </xf>
    <xf numFmtId="2" fontId="0" fillId="0" borderId="0" xfId="0" applyNumberFormat="1" applyFill="1" applyBorder="1" applyAlignment="1">
      <alignment horizontal="center"/>
    </xf>
    <xf numFmtId="14" fontId="0" fillId="11" borderId="0" xfId="0" applyNumberFormat="1" applyFill="1" applyBorder="1" applyAlignment="1">
      <alignment horizontal="center"/>
    </xf>
    <xf numFmtId="0" fontId="0" fillId="11" borderId="0" xfId="0" applyFill="1" applyBorder="1" applyAlignment="1">
      <alignment horizontal="center"/>
    </xf>
    <xf numFmtId="2" fontId="0" fillId="11" borderId="0" xfId="0" applyNumberFormat="1" applyFill="1" applyBorder="1" applyAlignment="1">
      <alignment horizontal="center"/>
    </xf>
    <xf numFmtId="0" fontId="0" fillId="11" borderId="0" xfId="0" applyFill="1" applyBorder="1"/>
    <xf numFmtId="0" fontId="0" fillId="0" borderId="14" xfId="0" applyFill="1" applyBorder="1" applyAlignment="1">
      <alignment horizontal="center"/>
    </xf>
    <xf numFmtId="0" fontId="0" fillId="11" borderId="14" xfId="0" applyFill="1" applyBorder="1" applyAlignment="1">
      <alignment horizontal="center"/>
    </xf>
    <xf numFmtId="0" fontId="0" fillId="0" borderId="15" xfId="0" applyFill="1" applyBorder="1" applyAlignment="1">
      <alignment horizontal="center"/>
    </xf>
    <xf numFmtId="0" fontId="0" fillId="11" borderId="15" xfId="0" applyFill="1" applyBorder="1" applyAlignment="1">
      <alignment horizontal="center"/>
    </xf>
    <xf numFmtId="2" fontId="0" fillId="0" borderId="14" xfId="0" applyNumberFormat="1" applyFill="1" applyBorder="1" applyAlignment="1">
      <alignment horizontal="center"/>
    </xf>
    <xf numFmtId="2" fontId="0" fillId="11" borderId="14" xfId="0" applyNumberFormat="1" applyFill="1" applyBorder="1" applyAlignment="1">
      <alignment horizontal="center"/>
    </xf>
    <xf numFmtId="0" fontId="0" fillId="0" borderId="5" xfId="0" applyFill="1" applyBorder="1" applyAlignment="1">
      <alignment horizontal="center"/>
    </xf>
    <xf numFmtId="0" fontId="0" fillId="11" borderId="5" xfId="0" applyFill="1" applyBorder="1" applyAlignment="1">
      <alignment horizontal="center"/>
    </xf>
    <xf numFmtId="0" fontId="0" fillId="0" borderId="16" xfId="0" applyFill="1" applyBorder="1" applyAlignment="1">
      <alignment horizontal="center"/>
    </xf>
    <xf numFmtId="0" fontId="0" fillId="11" borderId="16" xfId="0" applyFill="1" applyBorder="1" applyAlignment="1">
      <alignment horizontal="center"/>
    </xf>
    <xf numFmtId="14" fontId="0" fillId="12" borderId="0" xfId="0" applyNumberFormat="1" applyFill="1" applyBorder="1" applyAlignment="1">
      <alignment horizontal="center"/>
    </xf>
    <xf numFmtId="0" fontId="0" fillId="12" borderId="0" xfId="0" applyFill="1" applyBorder="1" applyAlignment="1">
      <alignment horizontal="center"/>
    </xf>
    <xf numFmtId="0" fontId="0" fillId="12" borderId="0" xfId="0" applyFill="1" applyBorder="1"/>
    <xf numFmtId="4" fontId="4" fillId="0" borderId="5" xfId="0" applyNumberFormat="1" applyFont="1" applyBorder="1" applyAlignment="1">
      <alignment horizontal="center" vertical="center"/>
    </xf>
    <xf numFmtId="0" fontId="0" fillId="12" borderId="5" xfId="0" applyFill="1" applyBorder="1" applyAlignment="1">
      <alignment horizontal="center"/>
    </xf>
    <xf numFmtId="0" fontId="0" fillId="0" borderId="16" xfId="0" applyFill="1" applyBorder="1"/>
    <xf numFmtId="0" fontId="0" fillId="12" borderId="16" xfId="0" applyFill="1" applyBorder="1"/>
    <xf numFmtId="0" fontId="0" fillId="12" borderId="5" xfId="0" applyFill="1" applyBorder="1"/>
    <xf numFmtId="0" fontId="0" fillId="12" borderId="14" xfId="0" applyFill="1" applyBorder="1" applyAlignment="1">
      <alignment horizontal="center"/>
    </xf>
    <xf numFmtId="0" fontId="0" fillId="12" borderId="15" xfId="0" applyFill="1" applyBorder="1" applyAlignment="1">
      <alignment horizontal="center"/>
    </xf>
    <xf numFmtId="4" fontId="4" fillId="0" borderId="14" xfId="0" applyNumberFormat="1" applyFont="1" applyBorder="1" applyAlignment="1">
      <alignment horizontal="center"/>
    </xf>
    <xf numFmtId="4" fontId="4" fillId="0" borderId="14" xfId="0" applyNumberFormat="1" applyFont="1" applyBorder="1" applyAlignment="1">
      <alignment horizontal="center" vertical="center"/>
    </xf>
    <xf numFmtId="4" fontId="5" fillId="0" borderId="17" xfId="0" applyNumberFormat="1" applyFont="1" applyBorder="1" applyAlignment="1">
      <alignment horizontal="center"/>
    </xf>
    <xf numFmtId="2" fontId="0" fillId="0" borderId="5" xfId="0" applyNumberFormat="1" applyFill="1" applyBorder="1" applyAlignment="1">
      <alignment horizontal="center"/>
    </xf>
    <xf numFmtId="2" fontId="0" fillId="12" borderId="0" xfId="0" applyNumberFormat="1" applyFill="1" applyBorder="1" applyAlignment="1">
      <alignment horizontal="center"/>
    </xf>
    <xf numFmtId="2" fontId="0" fillId="12" borderId="14" xfId="0" applyNumberFormat="1" applyFill="1" applyBorder="1" applyAlignment="1">
      <alignment horizontal="center"/>
    </xf>
    <xf numFmtId="2" fontId="0" fillId="12" borderId="5" xfId="0" applyNumberFormat="1" applyFill="1" applyBorder="1" applyAlignment="1">
      <alignment horizontal="center"/>
    </xf>
    <xf numFmtId="0" fontId="0" fillId="13" borderId="5" xfId="0" applyFill="1" applyBorder="1" applyAlignment="1">
      <alignment horizontal="center"/>
    </xf>
    <xf numFmtId="2" fontId="26" fillId="9" borderId="16" xfId="0" applyNumberFormat="1" applyFont="1" applyFill="1" applyBorder="1" applyAlignment="1">
      <alignment horizontal="center"/>
    </xf>
    <xf numFmtId="0" fontId="28" fillId="10" borderId="0" xfId="0" applyFont="1" applyFill="1" applyBorder="1" applyAlignment="1">
      <alignment horizontal="center"/>
    </xf>
    <xf numFmtId="0" fontId="28" fillId="0" borderId="0" xfId="0" applyFont="1" applyBorder="1" applyAlignment="1">
      <alignment horizontal="center"/>
    </xf>
    <xf numFmtId="0" fontId="28" fillId="0" borderId="0" xfId="0" applyFont="1" applyFill="1" applyBorder="1" applyAlignment="1">
      <alignment horizontal="center"/>
    </xf>
    <xf numFmtId="0" fontId="27" fillId="10" borderId="5" xfId="0" applyFont="1" applyFill="1" applyBorder="1" applyAlignment="1">
      <alignment horizontal="center"/>
    </xf>
    <xf numFmtId="0" fontId="27" fillId="10" borderId="0" xfId="0" applyFont="1" applyFill="1" applyAlignment="1">
      <alignment horizontal="center"/>
    </xf>
    <xf numFmtId="0" fontId="27" fillId="0" borderId="0" xfId="0" applyFont="1" applyBorder="1" applyAlignment="1">
      <alignment horizontal="center"/>
    </xf>
    <xf numFmtId="0" fontId="27" fillId="0" borderId="5" xfId="0" applyFont="1" applyBorder="1" applyAlignment="1">
      <alignment horizontal="center"/>
    </xf>
    <xf numFmtId="0" fontId="27" fillId="2" borderId="0" xfId="0" applyFont="1" applyFill="1" applyBorder="1" applyAlignment="1">
      <alignment horizontal="center"/>
    </xf>
    <xf numFmtId="0" fontId="27" fillId="2" borderId="5" xfId="0" applyFont="1" applyFill="1" applyBorder="1" applyAlignment="1">
      <alignment horizontal="center"/>
    </xf>
    <xf numFmtId="14" fontId="0" fillId="5" borderId="0" xfId="0" applyNumberFormat="1" applyFill="1" applyBorder="1" applyAlignment="1">
      <alignment horizontal="center"/>
    </xf>
    <xf numFmtId="0" fontId="0" fillId="5" borderId="0"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xf numFmtId="2" fontId="0" fillId="5" borderId="0" xfId="0" applyNumberFormat="1" applyFill="1" applyBorder="1" applyAlignment="1">
      <alignment horizontal="center"/>
    </xf>
    <xf numFmtId="2" fontId="0" fillId="5" borderId="14" xfId="0" applyNumberFormat="1" applyFill="1" applyBorder="1" applyAlignment="1">
      <alignment horizontal="center"/>
    </xf>
    <xf numFmtId="2" fontId="0" fillId="5" borderId="5" xfId="0" applyNumberFormat="1" applyFill="1" applyBorder="1" applyAlignment="1">
      <alignment horizontal="center"/>
    </xf>
    <xf numFmtId="0" fontId="0" fillId="5" borderId="5" xfId="0" applyFill="1" applyBorder="1"/>
    <xf numFmtId="0" fontId="0" fillId="5" borderId="0" xfId="0" applyFill="1" applyBorder="1"/>
    <xf numFmtId="0" fontId="12" fillId="6" borderId="0" xfId="0" applyFont="1" applyFill="1" applyBorder="1" applyAlignment="1">
      <alignment horizontal="center"/>
    </xf>
    <xf numFmtId="2" fontId="12" fillId="6" borderId="0" xfId="0" applyNumberFormat="1" applyFont="1" applyFill="1" applyBorder="1" applyAlignment="1">
      <alignment horizontal="center"/>
    </xf>
    <xf numFmtId="0" fontId="0" fillId="6" borderId="0" xfId="0" applyFill="1" applyBorder="1" applyAlignment="1">
      <alignment horizontal="center"/>
    </xf>
    <xf numFmtId="0" fontId="12" fillId="8" borderId="0" xfId="0" applyFont="1" applyFill="1" applyBorder="1" applyAlignment="1">
      <alignment horizontal="center"/>
    </xf>
    <xf numFmtId="14" fontId="12" fillId="6" borderId="0" xfId="0" applyNumberFormat="1" applyFont="1" applyFill="1" applyBorder="1" applyAlignment="1">
      <alignment horizontal="center"/>
    </xf>
    <xf numFmtId="0" fontId="12" fillId="2" borderId="0" xfId="0" applyFont="1" applyFill="1" applyBorder="1" applyAlignment="1">
      <alignment horizontal="center"/>
    </xf>
    <xf numFmtId="2" fontId="12" fillId="2" borderId="0" xfId="0" applyNumberFormat="1" applyFont="1" applyFill="1" applyBorder="1" applyAlignment="1">
      <alignment horizontal="center"/>
    </xf>
    <xf numFmtId="14" fontId="12" fillId="2" borderId="0" xfId="0" applyNumberFormat="1" applyFont="1" applyFill="1" applyBorder="1" applyAlignment="1">
      <alignment horizontal="center"/>
    </xf>
    <xf numFmtId="2" fontId="12" fillId="2" borderId="0" xfId="0" applyNumberFormat="1" applyFont="1" applyFill="1" applyBorder="1"/>
    <xf numFmtId="2" fontId="10" fillId="8" borderId="0" xfId="0" applyNumberFormat="1" applyFont="1" applyFill="1" applyBorder="1" applyAlignment="1">
      <alignment horizontal="center"/>
    </xf>
    <xf numFmtId="2" fontId="10" fillId="8" borderId="5" xfId="0" applyNumberFormat="1" applyFont="1" applyFill="1" applyBorder="1" applyAlignment="1">
      <alignment horizontal="center"/>
    </xf>
    <xf numFmtId="2" fontId="26" fillId="9" borderId="14" xfId="0" applyNumberFormat="1" applyFont="1" applyFill="1" applyBorder="1" applyAlignment="1">
      <alignment horizontal="center"/>
    </xf>
    <xf numFmtId="2" fontId="26" fillId="9" borderId="0" xfId="0" applyNumberFormat="1" applyFont="1" applyFill="1" applyBorder="1"/>
    <xf numFmtId="2" fontId="26" fillId="9" borderId="5" xfId="0" applyNumberFormat="1" applyFont="1" applyFill="1" applyBorder="1"/>
    <xf numFmtId="0" fontId="12" fillId="5" borderId="0" xfId="0" applyFont="1" applyFill="1" applyBorder="1" applyAlignment="1">
      <alignment horizontal="center"/>
    </xf>
    <xf numFmtId="2" fontId="12" fillId="5" borderId="0" xfId="0" applyNumberFormat="1" applyFont="1" applyFill="1" applyBorder="1" applyAlignment="1">
      <alignment horizontal="center"/>
    </xf>
    <xf numFmtId="0" fontId="28" fillId="5" borderId="0" xfId="0" applyFont="1" applyFill="1" applyBorder="1" applyAlignment="1">
      <alignment horizontal="center"/>
    </xf>
    <xf numFmtId="0" fontId="27" fillId="2" borderId="0" xfId="0" applyFont="1" applyFill="1" applyBorder="1" applyAlignment="1">
      <alignment horizontal="center" vertical="center"/>
    </xf>
    <xf numFmtId="0" fontId="27" fillId="2" borderId="5" xfId="0" applyFont="1" applyFill="1" applyBorder="1" applyAlignment="1">
      <alignment horizontal="center" vertical="center"/>
    </xf>
    <xf numFmtId="14" fontId="0" fillId="2" borderId="0" xfId="0" applyNumberFormat="1" applyFill="1" applyBorder="1" applyAlignment="1">
      <alignment horizontal="center" vertical="center"/>
    </xf>
    <xf numFmtId="0" fontId="0" fillId="2" borderId="0"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5" xfId="0" applyFill="1" applyBorder="1" applyAlignment="1">
      <alignment horizontal="center" vertical="center"/>
    </xf>
    <xf numFmtId="0" fontId="0" fillId="2" borderId="16" xfId="0" applyFill="1" applyBorder="1" applyAlignment="1">
      <alignment horizontal="center" vertical="center"/>
    </xf>
    <xf numFmtId="2" fontId="0" fillId="2" borderId="0" xfId="0" applyNumberFormat="1" applyFill="1" applyBorder="1" applyAlignment="1">
      <alignment horizontal="center" vertical="center"/>
    </xf>
    <xf numFmtId="2" fontId="0" fillId="2" borderId="14" xfId="0" applyNumberFormat="1" applyFill="1" applyBorder="1" applyAlignment="1">
      <alignment horizontal="center" vertical="center"/>
    </xf>
    <xf numFmtId="14" fontId="12" fillId="5" borderId="0" xfId="0" applyNumberFormat="1" applyFont="1" applyFill="1" applyBorder="1" applyAlignment="1">
      <alignment horizontal="center"/>
    </xf>
    <xf numFmtId="2" fontId="0" fillId="2" borderId="5" xfId="0" applyNumberFormat="1" applyFill="1" applyBorder="1" applyAlignment="1">
      <alignment horizontal="center"/>
    </xf>
    <xf numFmtId="2" fontId="0" fillId="2" borderId="5" xfId="0" applyNumberFormat="1" applyFill="1" applyBorder="1" applyAlignment="1">
      <alignment horizontal="center" vertical="center"/>
    </xf>
    <xf numFmtId="2" fontId="12" fillId="5" borderId="0" xfId="0" applyNumberFormat="1" applyFont="1" applyFill="1" applyBorder="1"/>
    <xf numFmtId="0" fontId="4" fillId="0" borderId="0" xfId="0" applyFont="1" applyBorder="1" applyAlignment="1">
      <alignment horizontal="center"/>
    </xf>
    <xf numFmtId="0" fontId="4" fillId="0" borderId="5" xfId="0" applyFont="1" applyBorder="1" applyAlignment="1">
      <alignment horizontal="center"/>
    </xf>
    <xf numFmtId="2" fontId="0" fillId="7" borderId="5" xfId="0" applyNumberFormat="1" applyFill="1" applyBorder="1" applyAlignment="1">
      <alignment horizontal="center"/>
    </xf>
    <xf numFmtId="2" fontId="0" fillId="7" borderId="16" xfId="0" applyNumberFormat="1" applyFill="1" applyBorder="1" applyAlignment="1">
      <alignment horizontal="center"/>
    </xf>
    <xf numFmtId="2" fontId="0" fillId="11" borderId="5" xfId="0" applyNumberFormat="1" applyFill="1" applyBorder="1" applyAlignment="1">
      <alignment horizontal="center"/>
    </xf>
    <xf numFmtId="2" fontId="12" fillId="5" borderId="5" xfId="0" applyNumberFormat="1" applyFont="1" applyFill="1" applyBorder="1" applyAlignment="1">
      <alignment horizontal="center"/>
    </xf>
    <xf numFmtId="0" fontId="12" fillId="5" borderId="5" xfId="0" applyFont="1" applyFill="1" applyBorder="1" applyAlignment="1">
      <alignment horizontal="center"/>
    </xf>
    <xf numFmtId="0" fontId="12" fillId="5" borderId="16" xfId="0" applyFont="1" applyFill="1" applyBorder="1" applyAlignment="1">
      <alignment horizontal="center"/>
    </xf>
    <xf numFmtId="2" fontId="12" fillId="0" borderId="5" xfId="0" applyNumberFormat="1" applyFont="1" applyBorder="1"/>
    <xf numFmtId="2" fontId="12" fillId="5" borderId="5" xfId="0" applyNumberFormat="1" applyFont="1" applyFill="1" applyBorder="1"/>
    <xf numFmtId="0" fontId="27" fillId="5" borderId="5" xfId="0" applyFont="1" applyFill="1" applyBorder="1" applyAlignment="1">
      <alignment horizontal="center"/>
    </xf>
    <xf numFmtId="2" fontId="12" fillId="5" borderId="14" xfId="0" applyNumberFormat="1" applyFont="1" applyFill="1" applyBorder="1" applyAlignment="1">
      <alignment horizontal="center"/>
    </xf>
    <xf numFmtId="0" fontId="12" fillId="5" borderId="14" xfId="0" applyFont="1" applyFill="1" applyBorder="1" applyAlignment="1">
      <alignment horizontal="center"/>
    </xf>
    <xf numFmtId="0" fontId="12" fillId="5" borderId="15" xfId="0" applyFont="1" applyFill="1" applyBorder="1" applyAlignment="1">
      <alignment horizontal="center"/>
    </xf>
    <xf numFmtId="2" fontId="12" fillId="2" borderId="14" xfId="0" applyNumberFormat="1" applyFont="1" applyFill="1" applyBorder="1" applyAlignment="1">
      <alignment horizontal="center"/>
    </xf>
    <xf numFmtId="0" fontId="12" fillId="2" borderId="14" xfId="0" applyFont="1" applyFill="1" applyBorder="1" applyAlignment="1">
      <alignment horizontal="center"/>
    </xf>
    <xf numFmtId="2" fontId="12" fillId="2" borderId="15" xfId="0" applyNumberFormat="1" applyFont="1" applyFill="1" applyBorder="1" applyAlignment="1">
      <alignment horizontal="center"/>
    </xf>
    <xf numFmtId="0" fontId="12" fillId="2" borderId="15" xfId="0" applyFont="1" applyFill="1" applyBorder="1" applyAlignment="1">
      <alignment horizontal="center"/>
    </xf>
    <xf numFmtId="2" fontId="12" fillId="2" borderId="5" xfId="0" applyNumberFormat="1" applyFont="1" applyFill="1" applyBorder="1" applyAlignment="1">
      <alignment horizontal="center"/>
    </xf>
    <xf numFmtId="0" fontId="12" fillId="2" borderId="16" xfId="0" applyFont="1" applyFill="1" applyBorder="1" applyAlignment="1">
      <alignment horizontal="center"/>
    </xf>
    <xf numFmtId="2" fontId="12" fillId="2" borderId="5" xfId="0" applyNumberFormat="1" applyFont="1" applyFill="1" applyBorder="1"/>
    <xf numFmtId="0" fontId="0" fillId="2" borderId="5" xfId="0" applyFill="1" applyBorder="1"/>
    <xf numFmtId="0" fontId="12" fillId="0" borderId="14" xfId="0" applyFont="1" applyBorder="1"/>
    <xf numFmtId="0" fontId="12" fillId="2" borderId="14" xfId="0" applyFont="1" applyFill="1" applyBorder="1"/>
    <xf numFmtId="2" fontId="0" fillId="11" borderId="16" xfId="0" applyNumberFormat="1" applyFill="1" applyBorder="1" applyAlignment="1">
      <alignment horizontal="center"/>
    </xf>
    <xf numFmtId="2" fontId="12" fillId="2" borderId="16" xfId="0" applyNumberFormat="1" applyFont="1" applyFill="1" applyBorder="1" applyAlignment="1">
      <alignment horizontal="center"/>
    </xf>
    <xf numFmtId="0" fontId="12" fillId="9" borderId="0" xfId="0" applyFont="1" applyFill="1" applyBorder="1" applyAlignment="1">
      <alignment horizontal="center" vertical="center"/>
    </xf>
    <xf numFmtId="2" fontId="12" fillId="9" borderId="0" xfId="0" applyNumberFormat="1" applyFont="1" applyFill="1" applyBorder="1" applyAlignment="1">
      <alignment horizontal="center" vertical="center"/>
    </xf>
    <xf numFmtId="0" fontId="0" fillId="9" borderId="0" xfId="0" applyFill="1" applyBorder="1" applyAlignment="1">
      <alignment horizontal="center" vertical="center"/>
    </xf>
    <xf numFmtId="0" fontId="12" fillId="9" borderId="14" xfId="0" applyFont="1" applyFill="1" applyBorder="1" applyAlignment="1">
      <alignment horizontal="center" vertical="center"/>
    </xf>
    <xf numFmtId="0" fontId="12" fillId="9" borderId="15" xfId="0" applyFont="1" applyFill="1" applyBorder="1" applyAlignment="1">
      <alignment horizontal="center" vertical="center"/>
    </xf>
    <xf numFmtId="0" fontId="12" fillId="9" borderId="5" xfId="0" applyFont="1" applyFill="1" applyBorder="1" applyAlignment="1">
      <alignment horizontal="center" vertical="center"/>
    </xf>
    <xf numFmtId="0" fontId="12" fillId="9" borderId="16" xfId="0" applyFont="1" applyFill="1" applyBorder="1" applyAlignment="1">
      <alignment horizontal="center" vertical="center"/>
    </xf>
    <xf numFmtId="2" fontId="12" fillId="9" borderId="5" xfId="0" applyNumberFormat="1" applyFont="1" applyFill="1" applyBorder="1" applyAlignment="1">
      <alignment horizontal="center" vertical="center"/>
    </xf>
    <xf numFmtId="0" fontId="12" fillId="9" borderId="0" xfId="0" applyFont="1" applyFill="1" applyBorder="1" applyAlignment="1">
      <alignment horizontal="center"/>
    </xf>
    <xf numFmtId="2" fontId="12" fillId="9" borderId="0" xfId="0" applyNumberFormat="1" applyFont="1" applyFill="1" applyBorder="1" applyAlignment="1">
      <alignment horizontal="center"/>
    </xf>
    <xf numFmtId="0" fontId="28" fillId="9" borderId="0" xfId="0" applyFont="1" applyFill="1" applyBorder="1" applyAlignment="1">
      <alignment horizontal="center"/>
    </xf>
    <xf numFmtId="14" fontId="12" fillId="9" borderId="0" xfId="0" applyNumberFormat="1" applyFont="1" applyFill="1" applyBorder="1" applyAlignment="1">
      <alignment horizontal="center"/>
    </xf>
    <xf numFmtId="0" fontId="12" fillId="12" borderId="0" xfId="0" applyFont="1" applyFill="1" applyBorder="1" applyAlignment="1">
      <alignment horizontal="center"/>
    </xf>
    <xf numFmtId="2" fontId="12" fillId="12" borderId="0" xfId="0" applyNumberFormat="1" applyFont="1" applyFill="1" applyBorder="1" applyAlignment="1">
      <alignment horizontal="center"/>
    </xf>
    <xf numFmtId="0" fontId="12" fillId="12" borderId="0" xfId="0" applyFont="1" applyFill="1" applyBorder="1"/>
    <xf numFmtId="14" fontId="12" fillId="12" borderId="0" xfId="0" applyNumberFormat="1" applyFont="1" applyFill="1" applyBorder="1" applyAlignment="1">
      <alignment horizontal="center"/>
    </xf>
    <xf numFmtId="0" fontId="12" fillId="12" borderId="14" xfId="0" applyFont="1" applyFill="1" applyBorder="1" applyAlignment="1">
      <alignment horizontal="center"/>
    </xf>
    <xf numFmtId="0" fontId="12" fillId="12" borderId="5" xfId="0" applyFont="1" applyFill="1" applyBorder="1" applyAlignment="1">
      <alignment horizontal="center"/>
    </xf>
    <xf numFmtId="0" fontId="12" fillId="12" borderId="16" xfId="0" applyFont="1" applyFill="1" applyBorder="1" applyAlignment="1">
      <alignment horizontal="center"/>
    </xf>
    <xf numFmtId="0" fontId="12" fillId="12" borderId="15" xfId="0" applyFont="1" applyFill="1" applyBorder="1" applyAlignment="1">
      <alignment horizontal="center"/>
    </xf>
    <xf numFmtId="0" fontId="12" fillId="12" borderId="5" xfId="0" applyFont="1" applyFill="1" applyBorder="1"/>
    <xf numFmtId="2" fontId="12" fillId="12" borderId="5" xfId="0" applyNumberFormat="1" applyFont="1" applyFill="1" applyBorder="1" applyAlignment="1">
      <alignment horizontal="center"/>
    </xf>
    <xf numFmtId="2" fontId="12" fillId="12" borderId="14" xfId="0" applyNumberFormat="1" applyFont="1" applyFill="1" applyBorder="1" applyAlignment="1">
      <alignment horizontal="center"/>
    </xf>
    <xf numFmtId="14" fontId="12" fillId="9" borderId="0" xfId="0" applyNumberFormat="1" applyFont="1" applyFill="1" applyBorder="1" applyAlignment="1">
      <alignment horizontal="center" vertical="center"/>
    </xf>
    <xf numFmtId="2" fontId="12" fillId="9" borderId="14" xfId="0" applyNumberFormat="1" applyFont="1" applyFill="1" applyBorder="1" applyAlignment="1">
      <alignment horizontal="center" vertical="center"/>
    </xf>
    <xf numFmtId="2" fontId="0" fillId="12" borderId="5" xfId="0" applyNumberFormat="1" applyFill="1" applyBorder="1"/>
    <xf numFmtId="1" fontId="0" fillId="0" borderId="0" xfId="0" applyNumberFormat="1" applyFill="1" applyBorder="1" applyAlignment="1">
      <alignment horizontal="center"/>
    </xf>
    <xf numFmtId="1" fontId="0" fillId="0" borderId="23" xfId="0" applyNumberFormat="1" applyFill="1" applyBorder="1" applyAlignment="1">
      <alignment horizontal="center"/>
    </xf>
    <xf numFmtId="2" fontId="12" fillId="9" borderId="15" xfId="0" applyNumberFormat="1" applyFont="1" applyFill="1" applyBorder="1" applyAlignment="1">
      <alignment horizontal="center" vertical="center"/>
    </xf>
    <xf numFmtId="2" fontId="5" fillId="0" borderId="2" xfId="0" applyNumberFormat="1" applyFont="1" applyBorder="1" applyAlignment="1">
      <alignment horizontal="center"/>
    </xf>
    <xf numFmtId="2" fontId="5" fillId="0" borderId="7" xfId="0" applyNumberFormat="1" applyFont="1" applyBorder="1" applyAlignment="1">
      <alignment horizontal="center"/>
    </xf>
    <xf numFmtId="2" fontId="12" fillId="0" borderId="0" xfId="0" applyNumberFormat="1" applyFont="1" applyFill="1" applyBorder="1" applyAlignment="1">
      <alignment horizontal="center"/>
    </xf>
    <xf numFmtId="14" fontId="2" fillId="4" borderId="2" xfId="0" applyNumberFormat="1" applyFont="1" applyFill="1" applyBorder="1" applyAlignment="1">
      <alignment horizontal="center"/>
    </xf>
    <xf numFmtId="14" fontId="5" fillId="3" borderId="0" xfId="0" applyNumberFormat="1" applyFont="1" applyFill="1" applyBorder="1"/>
    <xf numFmtId="14" fontId="5" fillId="3" borderId="7" xfId="0" applyNumberFormat="1" applyFont="1" applyFill="1" applyBorder="1"/>
    <xf numFmtId="14" fontId="14" fillId="3" borderId="23" xfId="0" applyNumberFormat="1" applyFont="1" applyFill="1" applyBorder="1" applyAlignment="1">
      <alignment horizontal="center"/>
    </xf>
    <xf numFmtId="2" fontId="0" fillId="0" borderId="0" xfId="0" applyNumberFormat="1" applyFill="1" applyBorder="1"/>
    <xf numFmtId="2" fontId="12" fillId="0" borderId="0" xfId="0" applyNumberFormat="1" applyFont="1" applyFill="1" applyBorder="1"/>
    <xf numFmtId="2" fontId="6" fillId="0" borderId="2" xfId="0" applyNumberFormat="1" applyFont="1" applyBorder="1" applyAlignment="1">
      <alignment horizontal="center"/>
    </xf>
    <xf numFmtId="2" fontId="12" fillId="12" borderId="15" xfId="0" applyNumberFormat="1" applyFont="1" applyFill="1" applyBorder="1" applyAlignment="1">
      <alignment horizontal="center"/>
    </xf>
    <xf numFmtId="2" fontId="0" fillId="0" borderId="5" xfId="0" applyNumberFormat="1" applyBorder="1" applyAlignment="1">
      <alignment horizontal="center"/>
    </xf>
    <xf numFmtId="2" fontId="12" fillId="0" borderId="5" xfId="0" applyNumberFormat="1" applyFont="1" applyBorder="1" applyAlignment="1">
      <alignment horizontal="center"/>
    </xf>
    <xf numFmtId="2" fontId="12" fillId="5" borderId="16" xfId="0" applyNumberFormat="1" applyFont="1" applyFill="1" applyBorder="1" applyAlignment="1">
      <alignment horizontal="center"/>
    </xf>
    <xf numFmtId="2" fontId="12" fillId="12" borderId="16" xfId="0" applyNumberFormat="1" applyFont="1" applyFill="1" applyBorder="1" applyAlignment="1">
      <alignment horizontal="center"/>
    </xf>
    <xf numFmtId="2" fontId="12" fillId="9" borderId="16" xfId="0" applyNumberFormat="1" applyFont="1" applyFill="1" applyBorder="1" applyAlignment="1">
      <alignment horizontal="center" vertical="center"/>
    </xf>
    <xf numFmtId="0" fontId="2" fillId="0" borderId="2" xfId="1" applyFont="1" applyBorder="1" applyAlignment="1" applyProtection="1">
      <alignment horizontal="right"/>
    </xf>
    <xf numFmtId="0" fontId="2" fillId="0" borderId="0" xfId="2" applyFont="1" applyProtection="1"/>
    <xf numFmtId="1" fontId="31" fillId="0" borderId="2" xfId="3" applyNumberFormat="1" applyFont="1" applyBorder="1" applyAlignment="1" applyProtection="1">
      <alignment horizontal="left"/>
      <protection locked="0"/>
    </xf>
    <xf numFmtId="1" fontId="31" fillId="0" borderId="2" xfId="3" applyNumberFormat="1" applyFont="1" applyBorder="1" applyAlignment="1" applyProtection="1">
      <alignment horizontal="left"/>
    </xf>
    <xf numFmtId="166" fontId="11" fillId="0" borderId="2" xfId="4" applyFont="1" applyBorder="1"/>
    <xf numFmtId="1" fontId="2" fillId="0" borderId="2" xfId="5" applyNumberFormat="1" applyFont="1" applyBorder="1" applyAlignment="1" applyProtection="1">
      <alignment horizontal="right"/>
    </xf>
    <xf numFmtId="1" fontId="11" fillId="0" borderId="2" xfId="5" applyNumberFormat="1" applyFont="1" applyBorder="1" applyAlignment="1" applyProtection="1">
      <alignment horizontal="center"/>
      <protection locked="0"/>
    </xf>
    <xf numFmtId="166" fontId="11" fillId="0" borderId="2" xfId="4" applyFont="1" applyFill="1" applyBorder="1" applyAlignment="1" applyProtection="1">
      <alignment horizontal="center"/>
    </xf>
    <xf numFmtId="0" fontId="18" fillId="0" borderId="0" xfId="2" applyFont="1" applyProtection="1"/>
    <xf numFmtId="0" fontId="18" fillId="0" borderId="0" xfId="2" applyFont="1" applyBorder="1" applyProtection="1"/>
    <xf numFmtId="2" fontId="18" fillId="0" borderId="0" xfId="2" applyNumberFormat="1" applyFont="1" applyProtection="1"/>
    <xf numFmtId="0" fontId="2" fillId="0" borderId="0" xfId="1" applyFont="1" applyBorder="1" applyAlignment="1" applyProtection="1">
      <alignment horizontal="right"/>
    </xf>
    <xf numFmtId="1" fontId="31" fillId="0" borderId="0" xfId="3" applyNumberFormat="1" applyFont="1" applyBorder="1" applyAlignment="1" applyProtection="1">
      <alignment horizontal="left"/>
      <protection locked="0"/>
    </xf>
    <xf numFmtId="1" fontId="31" fillId="0" borderId="0" xfId="3" applyNumberFormat="1" applyFont="1" applyBorder="1" applyAlignment="1" applyProtection="1">
      <alignment horizontal="left"/>
    </xf>
    <xf numFmtId="166" fontId="11" fillId="0" borderId="0" xfId="4" applyFont="1" applyBorder="1"/>
    <xf numFmtId="1" fontId="2" fillId="0" borderId="0" xfId="5" applyNumberFormat="1" applyFont="1" applyBorder="1" applyAlignment="1" applyProtection="1">
      <alignment horizontal="right"/>
    </xf>
    <xf numFmtId="1" fontId="11" fillId="0" borderId="0" xfId="5" applyNumberFormat="1" applyFont="1" applyAlignment="1" applyProtection="1">
      <alignment horizontal="center"/>
    </xf>
    <xf numFmtId="166" fontId="11" fillId="0" borderId="0" xfId="4" applyFont="1" applyFill="1" applyBorder="1" applyAlignment="1" applyProtection="1">
      <alignment horizontal="center"/>
    </xf>
    <xf numFmtId="0" fontId="18" fillId="0" borderId="0" xfId="2" applyFont="1" applyBorder="1" applyAlignment="1" applyProtection="1">
      <alignment horizontal="left"/>
    </xf>
    <xf numFmtId="2" fontId="2" fillId="0" borderId="0" xfId="1" applyNumberFormat="1" applyFont="1" applyBorder="1" applyAlignment="1" applyProtection="1">
      <alignment horizontal="right"/>
    </xf>
    <xf numFmtId="0" fontId="2" fillId="0" borderId="0" xfId="2" applyFont="1" applyBorder="1" applyProtection="1"/>
    <xf numFmtId="0" fontId="11" fillId="0" borderId="0" xfId="5" applyFont="1" applyAlignment="1" applyProtection="1">
      <alignment horizontal="center"/>
    </xf>
    <xf numFmtId="0" fontId="19" fillId="0" borderId="0" xfId="6" applyAlignment="1" applyProtection="1">
      <alignment vertical="top"/>
    </xf>
    <xf numFmtId="0" fontId="19" fillId="0" borderId="0" xfId="6" applyBorder="1" applyAlignment="1" applyProtection="1">
      <alignment vertical="top"/>
    </xf>
    <xf numFmtId="2" fontId="19" fillId="0" borderId="0" xfId="6" applyNumberFormat="1" applyAlignment="1" applyProtection="1">
      <alignment vertical="top"/>
    </xf>
    <xf numFmtId="2" fontId="11" fillId="0" borderId="0" xfId="5" applyNumberFormat="1" applyFont="1" applyAlignment="1" applyProtection="1">
      <alignment horizontal="center"/>
    </xf>
    <xf numFmtId="0" fontId="32" fillId="0" borderId="0" xfId="3" applyFont="1" applyFill="1" applyBorder="1" applyAlignment="1" applyProtection="1">
      <alignment horizontal="left"/>
      <protection locked="0"/>
    </xf>
    <xf numFmtId="0" fontId="10" fillId="0" borderId="0" xfId="7" applyFont="1" applyAlignment="1">
      <alignment horizontal="center"/>
    </xf>
    <xf numFmtId="0" fontId="18" fillId="0" borderId="0" xfId="1" applyBorder="1" applyAlignment="1" applyProtection="1"/>
    <xf numFmtId="0" fontId="18" fillId="0" borderId="0" xfId="1" applyAlignment="1" applyProtection="1"/>
    <xf numFmtId="2" fontId="18" fillId="0" borderId="0" xfId="1" applyNumberFormat="1" applyAlignment="1" applyProtection="1"/>
    <xf numFmtId="0" fontId="2" fillId="0" borderId="0" xfId="6" applyFont="1" applyBorder="1" applyAlignment="1" applyProtection="1">
      <alignment horizontal="right" vertical="top"/>
    </xf>
    <xf numFmtId="0" fontId="11" fillId="0" borderId="0" xfId="6" applyFont="1" applyAlignment="1" applyProtection="1">
      <alignment vertical="top"/>
    </xf>
    <xf numFmtId="1" fontId="31" fillId="0" borderId="0" xfId="6" applyNumberFormat="1" applyFont="1" applyBorder="1" applyAlignment="1" applyProtection="1">
      <alignment vertical="top"/>
      <protection locked="0"/>
    </xf>
    <xf numFmtId="1" fontId="11" fillId="0" borderId="0" xfId="6" applyNumberFormat="1" applyFont="1" applyBorder="1" applyAlignment="1" applyProtection="1">
      <alignment vertical="top"/>
    </xf>
    <xf numFmtId="166" fontId="11" fillId="0" borderId="0" xfId="6" applyNumberFormat="1" applyFont="1" applyBorder="1" applyAlignment="1" applyProtection="1">
      <alignment vertical="top"/>
    </xf>
    <xf numFmtId="2" fontId="11" fillId="0" borderId="0" xfId="6" applyNumberFormat="1" applyFont="1" applyBorder="1" applyAlignment="1" applyProtection="1">
      <alignment vertical="top"/>
    </xf>
    <xf numFmtId="0" fontId="11" fillId="0" borderId="0" xfId="6" applyFont="1" applyBorder="1" applyAlignment="1" applyProtection="1">
      <alignment vertical="top"/>
      <protection locked="0"/>
    </xf>
    <xf numFmtId="0" fontId="18" fillId="0" borderId="0" xfId="1" applyBorder="1" applyAlignment="1" applyProtection="1">
      <alignment horizontal="centerContinuous"/>
    </xf>
    <xf numFmtId="2" fontId="18" fillId="0" borderId="0" xfId="1" applyNumberFormat="1" applyBorder="1" applyAlignment="1" applyProtection="1"/>
    <xf numFmtId="2" fontId="33" fillId="0" borderId="2" xfId="4" applyNumberFormat="1" applyFont="1" applyBorder="1" applyAlignment="1" applyProtection="1">
      <alignment horizontal="centerContinuous"/>
    </xf>
    <xf numFmtId="2" fontId="33" fillId="0" borderId="3" xfId="4" applyNumberFormat="1" applyFont="1" applyBorder="1" applyAlignment="1" applyProtection="1">
      <alignment horizontal="centerContinuous"/>
    </xf>
    <xf numFmtId="0" fontId="34" fillId="0" borderId="12" xfId="2" applyFont="1" applyBorder="1" applyAlignment="1" applyProtection="1">
      <alignment horizontal="right"/>
    </xf>
    <xf numFmtId="0" fontId="33" fillId="0" borderId="4" xfId="1" applyFont="1" applyBorder="1" applyAlignment="1" applyProtection="1">
      <alignment horizontal="centerContinuous"/>
    </xf>
    <xf numFmtId="1" fontId="18" fillId="0" borderId="0" xfId="1" applyNumberFormat="1" applyBorder="1" applyAlignment="1" applyProtection="1">
      <alignment horizontal="centerContinuous"/>
    </xf>
    <xf numFmtId="0" fontId="35" fillId="0" borderId="13" xfId="13" applyFont="1" applyBorder="1" applyAlignment="1" applyProtection="1">
      <alignment horizontal="centerContinuous"/>
    </xf>
    <xf numFmtId="0" fontId="35" fillId="0" borderId="0" xfId="13" applyFont="1" applyBorder="1" applyAlignment="1" applyProtection="1">
      <alignment horizontal="centerContinuous"/>
    </xf>
    <xf numFmtId="0" fontId="35" fillId="0" borderId="14" xfId="13" applyFont="1" applyBorder="1" applyAlignment="1" applyProtection="1">
      <alignment horizontal="centerContinuous"/>
    </xf>
    <xf numFmtId="0" fontId="35" fillId="0" borderId="15" xfId="13" applyFont="1" applyBorder="1" applyAlignment="1" applyProtection="1">
      <alignment horizontal="center"/>
    </xf>
    <xf numFmtId="168" fontId="35" fillId="0" borderId="0" xfId="13" applyNumberFormat="1" applyFont="1" applyBorder="1" applyAlignment="1" applyProtection="1">
      <alignment horizontal="centerContinuous"/>
    </xf>
    <xf numFmtId="168" fontId="35" fillId="0" borderId="13" xfId="13" applyNumberFormat="1" applyFont="1" applyBorder="1" applyAlignment="1" applyProtection="1">
      <alignment horizontal="centerContinuous"/>
    </xf>
    <xf numFmtId="168" fontId="35" fillId="0" borderId="4" xfId="13" applyNumberFormat="1" applyFont="1" applyBorder="1" applyAlignment="1" applyProtection="1">
      <alignment horizontal="centerContinuous"/>
    </xf>
    <xf numFmtId="1" fontId="18" fillId="0" borderId="13" xfId="1" applyNumberFormat="1" applyBorder="1" applyAlignment="1" applyProtection="1">
      <alignment horizontal="centerContinuous"/>
    </xf>
    <xf numFmtId="1" fontId="18" fillId="0" borderId="5" xfId="1" applyNumberFormat="1" applyBorder="1" applyAlignment="1" applyProtection="1">
      <alignment horizontal="centerContinuous"/>
    </xf>
    <xf numFmtId="2" fontId="18" fillId="0" borderId="0" xfId="4" applyNumberFormat="1" applyFont="1" applyBorder="1" applyAlignment="1" applyProtection="1">
      <alignment horizontal="center"/>
    </xf>
    <xf numFmtId="2" fontId="18" fillId="0" borderId="5" xfId="4" applyNumberFormat="1" applyFont="1" applyBorder="1" applyAlignment="1" applyProtection="1">
      <alignment horizontal="center"/>
    </xf>
    <xf numFmtId="0" fontId="34" fillId="0" borderId="16" xfId="1" applyFont="1" applyBorder="1" applyAlignment="1" applyProtection="1">
      <alignment horizontal="right"/>
    </xf>
    <xf numFmtId="0" fontId="18" fillId="0" borderId="5" xfId="1" applyBorder="1" applyAlignment="1" applyProtection="1"/>
    <xf numFmtId="2" fontId="18" fillId="0" borderId="0" xfId="1" applyNumberFormat="1" applyBorder="1" applyAlignment="1" applyProtection="1">
      <alignment horizontal="center" vertical="center" wrapText="1"/>
    </xf>
    <xf numFmtId="0" fontId="18" fillId="0" borderId="0" xfId="1" applyBorder="1" applyAlignment="1" applyProtection="1">
      <alignment vertical="center"/>
    </xf>
    <xf numFmtId="0" fontId="18" fillId="0" borderId="4" xfId="1" applyBorder="1" applyAlignment="1" applyProtection="1"/>
    <xf numFmtId="1" fontId="18" fillId="0" borderId="0" xfId="1" applyNumberFormat="1" applyBorder="1" applyAlignment="1" applyProtection="1"/>
    <xf numFmtId="168" fontId="36" fillId="0" borderId="15" xfId="13" applyNumberFormat="1" applyFont="1" applyBorder="1" applyAlignment="1" applyProtection="1">
      <alignment horizontal="center"/>
    </xf>
    <xf numFmtId="168" fontId="36" fillId="0" borderId="13" xfId="13" applyNumberFormat="1" applyFont="1" applyBorder="1" applyAlignment="1" applyProtection="1">
      <alignment horizontal="center"/>
    </xf>
    <xf numFmtId="168" fontId="36" fillId="0" borderId="4" xfId="13" applyNumberFormat="1" applyFont="1" applyBorder="1" applyAlignment="1" applyProtection="1">
      <alignment horizontal="center"/>
    </xf>
    <xf numFmtId="2" fontId="19" fillId="0" borderId="0" xfId="2" applyNumberFormat="1" applyBorder="1" applyProtection="1"/>
    <xf numFmtId="0" fontId="18" fillId="0" borderId="5" xfId="1" applyBorder="1" applyAlignment="1" applyProtection="1">
      <alignment horizontal="center"/>
    </xf>
    <xf numFmtId="14" fontId="18" fillId="0" borderId="5" xfId="1" applyNumberFormat="1" applyBorder="1" applyAlignment="1" applyProtection="1">
      <alignment horizontal="centerContinuous"/>
    </xf>
    <xf numFmtId="2" fontId="19" fillId="0" borderId="0" xfId="2" applyNumberFormat="1" applyBorder="1" applyAlignment="1" applyProtection="1">
      <alignment horizontal="center" vertical="center" wrapText="1"/>
    </xf>
    <xf numFmtId="0" fontId="19" fillId="0" borderId="0" xfId="2" applyBorder="1" applyAlignment="1" applyProtection="1">
      <alignment vertical="center" wrapText="1"/>
    </xf>
    <xf numFmtId="0" fontId="19" fillId="0" borderId="0" xfId="2" applyAlignment="1" applyProtection="1">
      <alignment vertical="center" wrapText="1"/>
    </xf>
    <xf numFmtId="0" fontId="18" fillId="0" borderId="4" xfId="1" applyBorder="1" applyAlignment="1" applyProtection="1">
      <alignment horizontal="center"/>
    </xf>
    <xf numFmtId="0" fontId="18" fillId="0" borderId="0" xfId="1" applyBorder="1" applyAlignment="1" applyProtection="1">
      <alignment horizontal="center"/>
    </xf>
    <xf numFmtId="167" fontId="18" fillId="0" borderId="0" xfId="8" applyFont="1" applyBorder="1" applyAlignment="1" applyProtection="1">
      <alignment horizontal="center"/>
    </xf>
    <xf numFmtId="0" fontId="36" fillId="0" borderId="13" xfId="13" applyFont="1" applyBorder="1" applyAlignment="1" applyProtection="1"/>
    <xf numFmtId="0" fontId="36" fillId="0" borderId="0" xfId="13" applyFont="1" applyBorder="1" applyAlignment="1" applyProtection="1"/>
    <xf numFmtId="0" fontId="36" fillId="0" borderId="14" xfId="13" applyFont="1" applyBorder="1" applyAlignment="1" applyProtection="1"/>
    <xf numFmtId="168" fontId="36" fillId="0" borderId="0" xfId="13" applyNumberFormat="1" applyFont="1" applyBorder="1" applyAlignment="1" applyProtection="1">
      <alignment horizontal="center"/>
    </xf>
    <xf numFmtId="167" fontId="18" fillId="0" borderId="4" xfId="8" applyFont="1" applyBorder="1" applyAlignment="1" applyProtection="1">
      <alignment horizontal="center"/>
    </xf>
    <xf numFmtId="167" fontId="18" fillId="0" borderId="13" xfId="8" applyFont="1" applyBorder="1" applyAlignment="1" applyProtection="1">
      <alignment horizontal="center"/>
    </xf>
    <xf numFmtId="167" fontId="18" fillId="0" borderId="5" xfId="8" applyFont="1" applyBorder="1" applyAlignment="1" applyProtection="1">
      <alignment horizontal="center"/>
    </xf>
    <xf numFmtId="166" fontId="18" fillId="0" borderId="0" xfId="4" applyFont="1" applyBorder="1" applyAlignment="1" applyProtection="1">
      <alignment horizontal="center"/>
    </xf>
    <xf numFmtId="0" fontId="18" fillId="0" borderId="16" xfId="1" applyBorder="1" applyAlignment="1" applyProtection="1">
      <alignment horizontal="center" vertical="center"/>
    </xf>
    <xf numFmtId="2" fontId="22" fillId="0" borderId="0" xfId="9" applyNumberFormat="1" applyBorder="1" applyAlignment="1" applyProtection="1">
      <alignment horizontal="center" vertical="center"/>
    </xf>
    <xf numFmtId="0" fontId="19" fillId="0" borderId="6" xfId="1" applyFont="1" applyBorder="1" applyAlignment="1" applyProtection="1">
      <alignment horizontal="center" vertical="center"/>
    </xf>
    <xf numFmtId="0" fontId="19" fillId="0" borderId="7" xfId="1" applyFont="1" applyBorder="1" applyAlignment="1" applyProtection="1">
      <alignment horizontal="center" vertical="center"/>
    </xf>
    <xf numFmtId="167" fontId="19" fillId="0" borderId="7" xfId="8" applyFont="1" applyBorder="1" applyAlignment="1" applyProtection="1">
      <alignment horizontal="center" vertical="center"/>
    </xf>
    <xf numFmtId="0" fontId="37" fillId="0" borderId="13" xfId="13" applyFont="1" applyBorder="1" applyAlignment="1" applyProtection="1">
      <alignment horizontal="center"/>
    </xf>
    <xf numFmtId="0" fontId="37" fillId="0" borderId="0" xfId="13" applyFont="1" applyBorder="1" applyAlignment="1" applyProtection="1">
      <alignment horizontal="center"/>
    </xf>
    <xf numFmtId="0" fontId="37" fillId="0" borderId="14" xfId="13" applyFont="1" applyBorder="1" applyAlignment="1" applyProtection="1">
      <alignment horizontal="center"/>
    </xf>
    <xf numFmtId="168" fontId="37" fillId="0" borderId="15" xfId="13" applyNumberFormat="1" applyFont="1" applyBorder="1" applyAlignment="1" applyProtection="1">
      <alignment horizontal="center"/>
    </xf>
    <xf numFmtId="168" fontId="37" fillId="0" borderId="0" xfId="13" applyNumberFormat="1" applyFont="1" applyBorder="1" applyAlignment="1" applyProtection="1">
      <alignment horizontal="center"/>
    </xf>
    <xf numFmtId="168" fontId="37" fillId="0" borderId="13" xfId="13" applyNumberFormat="1" applyFont="1" applyBorder="1" applyAlignment="1" applyProtection="1">
      <alignment horizontal="center"/>
    </xf>
    <xf numFmtId="167" fontId="19" fillId="0" borderId="6" xfId="8" applyFont="1" applyBorder="1" applyAlignment="1" applyProtection="1">
      <alignment horizontal="center" vertical="center"/>
    </xf>
    <xf numFmtId="167" fontId="19" fillId="0" borderId="19" xfId="8" applyFont="1" applyBorder="1" applyAlignment="1" applyProtection="1">
      <alignment horizontal="center" vertical="center"/>
    </xf>
    <xf numFmtId="167" fontId="19" fillId="0" borderId="8" xfId="8" applyFont="1" applyBorder="1" applyAlignment="1" applyProtection="1">
      <alignment horizontal="center" vertical="center"/>
    </xf>
    <xf numFmtId="166" fontId="19" fillId="0" borderId="7" xfId="4" applyFont="1" applyBorder="1" applyAlignment="1" applyProtection="1">
      <alignment horizontal="center" vertical="center"/>
    </xf>
    <xf numFmtId="2" fontId="19" fillId="0" borderId="8" xfId="4" applyNumberFormat="1" applyFont="1" applyBorder="1" applyAlignment="1" applyProtection="1">
      <alignment horizontal="center" vertical="center"/>
    </xf>
    <xf numFmtId="2" fontId="19" fillId="0" borderId="7" xfId="4" applyNumberFormat="1" applyFont="1" applyBorder="1" applyAlignment="1" applyProtection="1">
      <alignment horizontal="center" vertical="center"/>
    </xf>
    <xf numFmtId="0" fontId="19" fillId="0" borderId="20" xfId="2" applyBorder="1" applyAlignment="1" applyProtection="1">
      <alignment vertical="center" wrapText="1"/>
    </xf>
    <xf numFmtId="0" fontId="18" fillId="0" borderId="8" xfId="1" applyBorder="1" applyAlignment="1" applyProtection="1">
      <alignment horizontal="center" vertical="center" wrapText="1"/>
    </xf>
    <xf numFmtId="0" fontId="19" fillId="0" borderId="8" xfId="1" applyFont="1" applyBorder="1" applyAlignment="1" applyProtection="1">
      <alignment horizontal="center" vertical="center"/>
    </xf>
    <xf numFmtId="0" fontId="18" fillId="0" borderId="1" xfId="3" applyFont="1" applyBorder="1" applyAlignment="1" applyProtection="1">
      <alignment horizontal="center" vertical="center" wrapText="1"/>
      <protection locked="0"/>
    </xf>
    <xf numFmtId="0" fontId="19" fillId="0" borderId="2" xfId="3" applyFont="1" applyBorder="1" applyAlignment="1" applyProtection="1">
      <alignment horizontal="center" vertical="center" wrapText="1"/>
      <protection locked="0"/>
    </xf>
    <xf numFmtId="167" fontId="19" fillId="0" borderId="2" xfId="8" applyFont="1" applyBorder="1" applyAlignment="1" applyProtection="1">
      <alignment horizontal="center" vertical="center" wrapText="1"/>
      <protection locked="0"/>
    </xf>
    <xf numFmtId="167" fontId="39" fillId="0" borderId="11" xfId="8" applyFont="1" applyBorder="1" applyAlignment="1" applyProtection="1">
      <alignment horizontal="center" vertical="center" wrapText="1"/>
      <protection locked="0"/>
    </xf>
    <xf numFmtId="167" fontId="39" fillId="0" borderId="2" xfId="8" applyFont="1" applyBorder="1" applyAlignment="1" applyProtection="1">
      <alignment horizontal="center" vertical="center" wrapText="1"/>
      <protection locked="0"/>
    </xf>
    <xf numFmtId="167" fontId="39" fillId="0" borderId="9" xfId="8" applyFont="1" applyBorder="1" applyAlignment="1" applyProtection="1">
      <alignment horizontal="center" vertical="center" wrapText="1"/>
      <protection locked="0"/>
    </xf>
    <xf numFmtId="167" fontId="39" fillId="0" borderId="10" xfId="8" applyFont="1" applyBorder="1" applyAlignment="1" applyProtection="1">
      <alignment horizontal="center" vertical="center" wrapText="1"/>
      <protection locked="0"/>
    </xf>
    <xf numFmtId="167" fontId="39" fillId="0" borderId="29" xfId="8" applyFont="1" applyBorder="1" applyAlignment="1" applyProtection="1">
      <alignment horizontal="center" vertical="center" wrapText="1"/>
      <protection locked="0"/>
    </xf>
    <xf numFmtId="167" fontId="19" fillId="0" borderId="0" xfId="8" applyFont="1" applyBorder="1" applyAlignment="1" applyProtection="1">
      <alignment horizontal="center" vertical="center" wrapText="1"/>
      <protection locked="0"/>
    </xf>
    <xf numFmtId="167" fontId="20" fillId="0" borderId="13" xfId="8" applyFont="1" applyBorder="1" applyAlignment="1" applyProtection="1">
      <alignment horizontal="center" vertical="center" wrapText="1"/>
    </xf>
    <xf numFmtId="167" fontId="20" fillId="0" borderId="0" xfId="8" applyFont="1" applyBorder="1" applyAlignment="1" applyProtection="1">
      <alignment horizontal="center" vertical="center" wrapText="1"/>
    </xf>
    <xf numFmtId="2" fontId="20" fillId="0" borderId="1" xfId="4" applyNumberFormat="1" applyFont="1" applyBorder="1" applyAlignment="1" applyProtection="1">
      <alignment horizontal="center" vertical="center" wrapText="1"/>
    </xf>
    <xf numFmtId="2" fontId="19" fillId="0" borderId="2" xfId="4" applyNumberFormat="1" applyFont="1" applyBorder="1" applyAlignment="1" applyProtection="1">
      <alignment horizontal="center" vertical="center" wrapText="1"/>
    </xf>
    <xf numFmtId="2" fontId="19" fillId="0" borderId="1" xfId="4" applyNumberFormat="1" applyFont="1" applyBorder="1" applyAlignment="1" applyProtection="1">
      <alignment horizontal="center" vertical="center" wrapText="1"/>
    </xf>
    <xf numFmtId="2" fontId="19" fillId="0" borderId="3" xfId="4" applyNumberFormat="1" applyFont="1" applyBorder="1" applyAlignment="1" applyProtection="1">
      <alignment horizontal="center" vertical="center" wrapText="1"/>
    </xf>
    <xf numFmtId="0" fontId="20" fillId="0" borderId="3" xfId="2" applyFont="1" applyBorder="1" applyAlignment="1" applyProtection="1">
      <alignment horizontal="left" vertical="center" wrapText="1"/>
      <protection locked="0"/>
    </xf>
    <xf numFmtId="0" fontId="22" fillId="0" borderId="9" xfId="9" applyNumberFormat="1" applyBorder="1" applyAlignment="1" applyProtection="1">
      <alignment horizontal="center" vertical="center" wrapText="1"/>
      <protection locked="0"/>
    </xf>
    <xf numFmtId="167" fontId="19" fillId="0" borderId="3" xfId="2" applyNumberFormat="1" applyBorder="1" applyAlignment="1" applyProtection="1">
      <alignment horizontal="center" vertical="center" wrapText="1"/>
    </xf>
    <xf numFmtId="2" fontId="20" fillId="0" borderId="0" xfId="10" applyNumberFormat="1" applyBorder="1" applyAlignment="1">
      <alignment horizontal="center" vertical="center" wrapText="1"/>
    </xf>
    <xf numFmtId="0" fontId="19" fillId="0" borderId="4" xfId="3" applyFont="1" applyBorder="1" applyAlignment="1" applyProtection="1">
      <alignment horizontal="center" vertical="center" wrapText="1"/>
      <protection locked="0"/>
    </xf>
    <xf numFmtId="0" fontId="19" fillId="0" borderId="0" xfId="3" applyFont="1" applyBorder="1" applyAlignment="1" applyProtection="1">
      <alignment horizontal="center" vertical="center" wrapText="1"/>
      <protection locked="0"/>
    </xf>
    <xf numFmtId="167" fontId="39" fillId="0" borderId="13" xfId="8" applyFont="1" applyBorder="1" applyAlignment="1" applyProtection="1">
      <alignment horizontal="center" vertical="center" wrapText="1"/>
      <protection locked="0"/>
    </xf>
    <xf numFmtId="167" fontId="39" fillId="0" borderId="0" xfId="8" applyFont="1" applyBorder="1" applyAlignment="1" applyProtection="1">
      <alignment horizontal="center" vertical="center" wrapText="1"/>
      <protection locked="0"/>
    </xf>
    <xf numFmtId="167" fontId="39" fillId="0" borderId="14" xfId="8" applyFont="1" applyBorder="1" applyAlignment="1" applyProtection="1">
      <alignment horizontal="center" vertical="center" wrapText="1"/>
      <protection locked="0"/>
    </xf>
    <xf numFmtId="167" fontId="39" fillId="0" borderId="15" xfId="8" applyFont="1" applyBorder="1" applyAlignment="1" applyProtection="1">
      <alignment horizontal="center" vertical="center" wrapText="1"/>
      <protection locked="0"/>
    </xf>
    <xf numFmtId="167" fontId="39" fillId="0" borderId="25" xfId="8" applyFont="1" applyBorder="1" applyAlignment="1" applyProtection="1">
      <alignment horizontal="center" vertical="center" wrapText="1"/>
      <protection locked="0"/>
    </xf>
    <xf numFmtId="167" fontId="19" fillId="0" borderId="13" xfId="6" applyNumberFormat="1" applyBorder="1" applyAlignment="1" applyProtection="1">
      <alignment horizontal="center" vertical="center" wrapText="1"/>
    </xf>
    <xf numFmtId="167" fontId="19" fillId="0" borderId="0" xfId="6" applyNumberFormat="1" applyBorder="1" applyAlignment="1" applyProtection="1">
      <alignment horizontal="center" vertical="center" wrapText="1"/>
    </xf>
    <xf numFmtId="2" fontId="22" fillId="0" borderId="4" xfId="4" applyNumberFormat="1" applyFont="1" applyBorder="1" applyAlignment="1" applyProtection="1">
      <alignment horizontal="center" vertical="center" wrapText="1"/>
    </xf>
    <xf numFmtId="2" fontId="19" fillId="0" borderId="0" xfId="4" applyNumberFormat="1" applyFont="1" applyBorder="1" applyAlignment="1" applyProtection="1">
      <alignment horizontal="center" vertical="center" wrapText="1"/>
    </xf>
    <xf numFmtId="2" fontId="19" fillId="0" borderId="4" xfId="4" applyNumberFormat="1" applyFont="1" applyBorder="1" applyAlignment="1" applyProtection="1">
      <alignment horizontal="center" vertical="center" wrapText="1"/>
    </xf>
    <xf numFmtId="2" fontId="19" fillId="0" borderId="5" xfId="6" applyNumberFormat="1" applyBorder="1" applyAlignment="1" applyProtection="1">
      <alignment horizontal="center" vertical="center" wrapText="1"/>
    </xf>
    <xf numFmtId="0" fontId="20" fillId="0" borderId="5" xfId="2" applyFont="1" applyBorder="1" applyAlignment="1" applyProtection="1">
      <alignment horizontal="left" vertical="center" wrapText="1"/>
      <protection locked="0"/>
    </xf>
    <xf numFmtId="0" fontId="22" fillId="0" borderId="14" xfId="9" applyNumberFormat="1" applyBorder="1" applyAlignment="1" applyProtection="1">
      <alignment horizontal="center" vertical="center" wrapText="1"/>
      <protection locked="0"/>
    </xf>
    <xf numFmtId="167" fontId="19" fillId="0" borderId="5" xfId="2" applyNumberFormat="1" applyBorder="1" applyAlignment="1" applyProtection="1">
      <alignment horizontal="center" vertical="center"/>
    </xf>
    <xf numFmtId="167" fontId="19" fillId="0" borderId="5" xfId="2" applyNumberFormat="1" applyBorder="1" applyAlignment="1" applyProtection="1">
      <alignment horizontal="center" vertical="center" wrapText="1"/>
    </xf>
    <xf numFmtId="0" fontId="19" fillId="0" borderId="4" xfId="3" applyFont="1" applyFill="1" applyBorder="1" applyAlignment="1" applyProtection="1">
      <alignment horizontal="center" vertical="center" wrapText="1"/>
      <protection locked="0"/>
    </xf>
    <xf numFmtId="0" fontId="19" fillId="0" borderId="5" xfId="2" applyBorder="1" applyAlignment="1" applyProtection="1">
      <alignment horizontal="left" vertical="center" wrapText="1"/>
    </xf>
    <xf numFmtId="2" fontId="19" fillId="0" borderId="0" xfId="10" applyNumberFormat="1" applyFont="1" applyBorder="1" applyAlignment="1">
      <alignment horizontal="center" vertical="center" wrapText="1"/>
    </xf>
    <xf numFmtId="2" fontId="19" fillId="0" borderId="0" xfId="10" applyNumberFormat="1" applyFont="1" applyBorder="1" applyAlignment="1">
      <alignment horizontal="center" vertical="center"/>
    </xf>
    <xf numFmtId="169" fontId="19" fillId="0" borderId="5" xfId="6" applyNumberFormat="1" applyBorder="1" applyAlignment="1" applyProtection="1">
      <alignment horizontal="left" vertical="center" wrapText="1"/>
      <protection locked="0"/>
    </xf>
    <xf numFmtId="0" fontId="19" fillId="0" borderId="0" xfId="2" applyAlignment="1" applyProtection="1">
      <alignment vertical="center"/>
    </xf>
    <xf numFmtId="0" fontId="40" fillId="0" borderId="5" xfId="2" applyNumberFormat="1" applyFont="1" applyBorder="1" applyAlignment="1" applyProtection="1">
      <alignment horizontal="left" vertical="center"/>
    </xf>
    <xf numFmtId="167" fontId="19" fillId="0" borderId="5" xfId="10" applyNumberFormat="1" applyFont="1" applyBorder="1" applyAlignment="1">
      <alignment horizontal="center" vertical="center" wrapText="1"/>
    </xf>
    <xf numFmtId="0" fontId="19" fillId="0" borderId="6" xfId="3" applyFont="1" applyFill="1" applyBorder="1" applyAlignment="1" applyProtection="1">
      <alignment horizontal="center" vertical="center" wrapText="1"/>
      <protection locked="0"/>
    </xf>
    <xf numFmtId="0" fontId="19" fillId="0" borderId="7" xfId="3" applyFont="1" applyBorder="1" applyAlignment="1" applyProtection="1">
      <alignment horizontal="center" vertical="center" wrapText="1"/>
      <protection locked="0"/>
    </xf>
    <xf numFmtId="167" fontId="19" fillId="0" borderId="7" xfId="8" applyFont="1" applyBorder="1" applyAlignment="1" applyProtection="1">
      <alignment horizontal="center" vertical="center" wrapText="1"/>
      <protection locked="0"/>
    </xf>
    <xf numFmtId="167" fontId="19" fillId="0" borderId="19" xfId="8" applyFont="1" applyBorder="1" applyAlignment="1" applyProtection="1">
      <alignment horizontal="center" vertical="center" wrapText="1"/>
      <protection locked="0"/>
    </xf>
    <xf numFmtId="167" fontId="19" fillId="0" borderId="17" xfId="8" applyFont="1" applyBorder="1" applyAlignment="1" applyProtection="1">
      <alignment horizontal="center" vertical="center" wrapText="1"/>
      <protection locked="0"/>
    </xf>
    <xf numFmtId="167" fontId="19" fillId="0" borderId="18" xfId="8" applyFont="1" applyBorder="1" applyAlignment="1" applyProtection="1">
      <alignment horizontal="center" vertical="center" wrapText="1"/>
      <protection locked="0"/>
    </xf>
    <xf numFmtId="167" fontId="19" fillId="0" borderId="30" xfId="8" applyFont="1" applyBorder="1" applyAlignment="1" applyProtection="1">
      <alignment horizontal="center" vertical="center" wrapText="1"/>
      <protection locked="0"/>
    </xf>
    <xf numFmtId="167" fontId="19" fillId="0" borderId="19" xfId="6" applyNumberFormat="1" applyBorder="1" applyAlignment="1" applyProtection="1">
      <alignment horizontal="center" vertical="center" wrapText="1"/>
    </xf>
    <xf numFmtId="167" fontId="19" fillId="0" borderId="7" xfId="6" applyNumberFormat="1" applyBorder="1" applyAlignment="1" applyProtection="1">
      <alignment horizontal="center" vertical="center" wrapText="1"/>
    </xf>
    <xf numFmtId="2" fontId="22" fillId="0" borderId="6" xfId="4" applyNumberFormat="1" applyFont="1" applyBorder="1" applyAlignment="1" applyProtection="1">
      <alignment horizontal="center" vertical="center" wrapText="1"/>
    </xf>
    <xf numFmtId="2" fontId="19" fillId="0" borderId="7" xfId="4" applyNumberFormat="1" applyFont="1" applyBorder="1" applyAlignment="1" applyProtection="1">
      <alignment horizontal="center" vertical="center" wrapText="1"/>
    </xf>
    <xf numFmtId="2" fontId="19" fillId="0" borderId="6" xfId="4" applyNumberFormat="1" applyFont="1" applyBorder="1" applyAlignment="1" applyProtection="1">
      <alignment horizontal="center" vertical="center" wrapText="1"/>
    </xf>
    <xf numFmtId="2" fontId="19" fillId="0" borderId="8" xfId="6" applyNumberFormat="1" applyBorder="1" applyAlignment="1" applyProtection="1">
      <alignment horizontal="center" vertical="center" wrapText="1"/>
    </xf>
    <xf numFmtId="0" fontId="40" fillId="0" borderId="8" xfId="2" applyNumberFormat="1" applyFont="1" applyBorder="1" applyAlignment="1" applyProtection="1">
      <alignment horizontal="left" vertical="center"/>
    </xf>
    <xf numFmtId="167" fontId="19" fillId="0" borderId="5" xfId="10" applyNumberFormat="1" applyFont="1" applyBorder="1" applyAlignment="1">
      <alignment horizontal="center" vertical="center"/>
    </xf>
    <xf numFmtId="2" fontId="19" fillId="0" borderId="0" xfId="2" applyNumberFormat="1" applyBorder="1" applyAlignment="1" applyProtection="1">
      <alignment horizontal="center" vertical="center"/>
    </xf>
    <xf numFmtId="0" fontId="18" fillId="0" borderId="4" xfId="3" applyFont="1" applyFill="1" applyBorder="1" applyAlignment="1" applyProtection="1">
      <alignment horizontal="center" vertical="center" wrapText="1"/>
      <protection locked="0"/>
    </xf>
    <xf numFmtId="167" fontId="19" fillId="0" borderId="13" xfId="8" applyFont="1" applyBorder="1" applyAlignment="1" applyProtection="1">
      <alignment horizontal="center" vertical="center" wrapText="1"/>
      <protection locked="0"/>
    </xf>
    <xf numFmtId="167" fontId="19" fillId="0" borderId="14" xfId="8" applyFont="1" applyBorder="1" applyAlignment="1" applyProtection="1">
      <alignment horizontal="center" vertical="center" wrapText="1"/>
      <protection locked="0"/>
    </xf>
    <xf numFmtId="167" fontId="19" fillId="0" borderId="15" xfId="8" applyFont="1" applyBorder="1" applyAlignment="1" applyProtection="1">
      <alignment horizontal="center" vertical="center" wrapText="1"/>
      <protection locked="0"/>
    </xf>
    <xf numFmtId="167" fontId="19" fillId="0" borderId="25" xfId="8" applyFont="1" applyBorder="1" applyAlignment="1" applyProtection="1">
      <alignment horizontal="center" vertical="center" wrapText="1"/>
      <protection locked="0"/>
    </xf>
    <xf numFmtId="168" fontId="19" fillId="0" borderId="13" xfId="8" applyNumberFormat="1" applyFont="1" applyBorder="1" applyAlignment="1" applyProtection="1">
      <alignment horizontal="center" vertical="center" wrapText="1"/>
      <protection locked="0"/>
    </xf>
    <xf numFmtId="168" fontId="19" fillId="0" borderId="0" xfId="8" applyNumberFormat="1" applyFont="1" applyBorder="1" applyAlignment="1" applyProtection="1">
      <alignment horizontal="center" vertical="center" wrapText="1"/>
      <protection locked="0"/>
    </xf>
    <xf numFmtId="168" fontId="19" fillId="0" borderId="14" xfId="8" applyNumberFormat="1" applyFont="1" applyBorder="1" applyAlignment="1" applyProtection="1">
      <alignment horizontal="center" vertical="center" wrapText="1"/>
      <protection locked="0"/>
    </xf>
    <xf numFmtId="168" fontId="19" fillId="0" borderId="15" xfId="8" applyNumberFormat="1" applyFont="1" applyBorder="1" applyAlignment="1" applyProtection="1">
      <alignment horizontal="center" vertical="center" wrapText="1"/>
      <protection locked="0"/>
    </xf>
    <xf numFmtId="168" fontId="19" fillId="0" borderId="25" xfId="8" applyNumberFormat="1" applyFont="1" applyBorder="1" applyAlignment="1" applyProtection="1">
      <alignment horizontal="center" vertical="center" wrapText="1"/>
      <protection locked="0"/>
    </xf>
    <xf numFmtId="0" fontId="19" fillId="0" borderId="0" xfId="2" applyProtection="1"/>
    <xf numFmtId="4" fontId="19" fillId="0" borderId="0" xfId="2" applyNumberFormat="1" applyBorder="1" applyAlignment="1" applyProtection="1">
      <alignment horizontal="center"/>
    </xf>
    <xf numFmtId="4" fontId="18" fillId="0" borderId="0" xfId="2" applyNumberFormat="1" applyFont="1" applyFill="1" applyBorder="1" applyAlignment="1" applyProtection="1">
      <alignment horizontal="center"/>
    </xf>
    <xf numFmtId="0" fontId="19" fillId="0" borderId="0" xfId="2" applyFill="1" applyProtection="1"/>
    <xf numFmtId="0" fontId="18" fillId="0" borderId="0" xfId="2" applyFont="1" applyFill="1" applyProtection="1"/>
    <xf numFmtId="2" fontId="18" fillId="0" borderId="0" xfId="2" applyNumberFormat="1" applyFont="1" applyFill="1" applyAlignment="1" applyProtection="1">
      <alignment horizontal="center"/>
    </xf>
    <xf numFmtId="2" fontId="19" fillId="0" borderId="0" xfId="2" applyNumberFormat="1" applyFill="1" applyBorder="1" applyAlignment="1" applyProtection="1">
      <alignment horizontal="center"/>
    </xf>
    <xf numFmtId="2" fontId="19" fillId="0" borderId="0" xfId="2" applyNumberFormat="1" applyBorder="1" applyAlignment="1" applyProtection="1">
      <alignment horizontal="center"/>
    </xf>
    <xf numFmtId="2" fontId="19" fillId="0" borderId="0" xfId="2" applyNumberFormat="1" applyAlignment="1" applyProtection="1">
      <alignment horizontal="center"/>
    </xf>
    <xf numFmtId="167" fontId="19" fillId="0" borderId="5" xfId="2" applyNumberFormat="1" applyBorder="1" applyAlignment="1" applyProtection="1">
      <alignment horizontal="center"/>
    </xf>
    <xf numFmtId="0" fontId="18" fillId="0" borderId="2" xfId="2" applyFont="1" applyBorder="1" applyProtection="1"/>
    <xf numFmtId="167" fontId="18" fillId="0" borderId="3" xfId="2" applyNumberFormat="1" applyFont="1" applyFill="1" applyBorder="1" applyAlignment="1" applyProtection="1">
      <alignment horizontal="center"/>
    </xf>
    <xf numFmtId="0" fontId="19" fillId="0" borderId="0" xfId="2" applyBorder="1" applyProtection="1"/>
    <xf numFmtId="0" fontId="41" fillId="14" borderId="4" xfId="3" applyFont="1" applyFill="1" applyBorder="1" applyAlignment="1" applyProtection="1">
      <alignment horizontal="left" vertical="center"/>
      <protection locked="0"/>
    </xf>
    <xf numFmtId="0" fontId="42" fillId="14" borderId="0" xfId="3" applyFont="1" applyFill="1" applyBorder="1" applyAlignment="1" applyProtection="1">
      <alignment horizontal="center" vertical="center" wrapText="1"/>
      <protection locked="0"/>
    </xf>
    <xf numFmtId="167" fontId="42" fillId="14" borderId="0" xfId="8" applyFont="1" applyFill="1" applyBorder="1" applyAlignment="1" applyProtection="1">
      <alignment horizontal="center" vertical="center" wrapText="1"/>
      <protection locked="0"/>
    </xf>
    <xf numFmtId="167" fontId="42" fillId="14" borderId="15" xfId="8" applyFont="1" applyFill="1" applyBorder="1" applyAlignment="1" applyProtection="1">
      <alignment horizontal="center" vertical="center" wrapText="1"/>
      <protection locked="0"/>
    </xf>
    <xf numFmtId="167" fontId="42" fillId="14" borderId="25" xfId="8" applyFont="1" applyFill="1" applyBorder="1" applyAlignment="1" applyProtection="1">
      <alignment horizontal="center" vertical="center" wrapText="1"/>
      <protection locked="0"/>
    </xf>
    <xf numFmtId="167" fontId="19" fillId="14" borderId="13" xfId="6" applyNumberFormat="1" applyFill="1" applyBorder="1" applyAlignment="1" applyProtection="1">
      <alignment horizontal="center" vertical="center" wrapText="1"/>
    </xf>
    <xf numFmtId="167" fontId="19" fillId="14" borderId="0" xfId="6" applyNumberFormat="1" applyFill="1" applyBorder="1" applyAlignment="1" applyProtection="1">
      <alignment horizontal="center" vertical="center" wrapText="1"/>
    </xf>
    <xf numFmtId="2" fontId="22" fillId="14" borderId="4" xfId="4" applyNumberFormat="1" applyFont="1" applyFill="1" applyBorder="1" applyAlignment="1" applyProtection="1">
      <alignment horizontal="center" vertical="center" wrapText="1"/>
    </xf>
    <xf numFmtId="2" fontId="19" fillId="14" borderId="0" xfId="4" applyNumberFormat="1" applyFont="1" applyFill="1" applyBorder="1" applyAlignment="1" applyProtection="1">
      <alignment horizontal="center" vertical="center" wrapText="1"/>
    </xf>
    <xf numFmtId="2" fontId="19" fillId="14" borderId="4" xfId="4" applyNumberFormat="1" applyFont="1" applyFill="1" applyBorder="1" applyAlignment="1" applyProtection="1">
      <alignment horizontal="center" vertical="center" wrapText="1"/>
    </xf>
    <xf numFmtId="2" fontId="19" fillId="14" borderId="5" xfId="6" applyNumberFormat="1" applyFill="1" applyBorder="1" applyAlignment="1" applyProtection="1">
      <alignment horizontal="center" vertical="center" wrapText="1"/>
    </xf>
    <xf numFmtId="0" fontId="40" fillId="14" borderId="5" xfId="2" applyNumberFormat="1" applyFont="1" applyFill="1" applyBorder="1" applyAlignment="1" applyProtection="1">
      <alignment horizontal="left" vertical="center"/>
    </xf>
    <xf numFmtId="0" fontId="20" fillId="14" borderId="4" xfId="3" applyFill="1" applyBorder="1" applyAlignment="1" applyProtection="1">
      <alignment horizontal="center" vertical="center"/>
    </xf>
    <xf numFmtId="0" fontId="20" fillId="14" borderId="0" xfId="3" applyFill="1" applyBorder="1" applyAlignment="1" applyProtection="1">
      <alignment horizontal="center" vertical="center"/>
    </xf>
    <xf numFmtId="167" fontId="20" fillId="14" borderId="0" xfId="8" applyFont="1" applyFill="1" applyBorder="1" applyAlignment="1" applyProtection="1">
      <alignment horizontal="center" vertical="center"/>
    </xf>
    <xf numFmtId="167" fontId="20" fillId="14" borderId="15" xfId="8" applyFont="1" applyFill="1" applyBorder="1" applyAlignment="1" applyProtection="1">
      <alignment horizontal="center" vertical="center"/>
    </xf>
    <xf numFmtId="167" fontId="20" fillId="14" borderId="25" xfId="8" applyFont="1" applyFill="1" applyBorder="1" applyAlignment="1" applyProtection="1">
      <alignment horizontal="center" vertical="center"/>
    </xf>
    <xf numFmtId="167" fontId="19" fillId="14" borderId="13" xfId="6" applyNumberFormat="1" applyFill="1" applyBorder="1" applyAlignment="1" applyProtection="1">
      <alignment horizontal="center" vertical="center"/>
    </xf>
    <xf numFmtId="167" fontId="19" fillId="14" borderId="0" xfId="6" applyNumberFormat="1" applyFill="1" applyBorder="1" applyAlignment="1" applyProtection="1">
      <alignment horizontal="center" vertical="center"/>
    </xf>
    <xf numFmtId="2" fontId="20" fillId="14" borderId="4" xfId="4" applyNumberFormat="1" applyFont="1" applyFill="1" applyBorder="1" applyAlignment="1" applyProtection="1">
      <alignment horizontal="center" vertical="center"/>
    </xf>
    <xf numFmtId="2" fontId="19" fillId="14" borderId="0" xfId="4" applyNumberFormat="1" applyFont="1" applyFill="1" applyBorder="1" applyAlignment="1" applyProtection="1">
      <alignment horizontal="center" vertical="center"/>
    </xf>
    <xf numFmtId="2" fontId="19" fillId="14" borderId="4" xfId="4" applyNumberFormat="1" applyFont="1" applyFill="1" applyBorder="1" applyAlignment="1" applyProtection="1">
      <alignment horizontal="center" vertical="center"/>
    </xf>
    <xf numFmtId="2" fontId="19" fillId="14" borderId="5" xfId="4" applyNumberFormat="1" applyFont="1" applyFill="1" applyBorder="1" applyAlignment="1" applyProtection="1">
      <alignment horizontal="center" vertical="center"/>
    </xf>
    <xf numFmtId="0" fontId="19" fillId="14" borderId="5" xfId="2" applyFill="1" applyBorder="1" applyAlignment="1" applyProtection="1">
      <alignment horizontal="left" vertical="center"/>
    </xf>
    <xf numFmtId="0" fontId="20" fillId="14" borderId="6" xfId="3" applyFill="1" applyBorder="1" applyAlignment="1" applyProtection="1">
      <alignment horizontal="center" vertical="center"/>
    </xf>
    <xf numFmtId="0" fontId="20" fillId="14" borderId="7" xfId="3" applyFill="1" applyBorder="1" applyAlignment="1" applyProtection="1">
      <alignment horizontal="center" vertical="center"/>
    </xf>
    <xf numFmtId="167" fontId="20" fillId="14" borderId="7" xfId="8" applyFont="1" applyFill="1" applyBorder="1" applyAlignment="1" applyProtection="1">
      <alignment horizontal="center" vertical="center"/>
    </xf>
    <xf numFmtId="167" fontId="20" fillId="14" borderId="18" xfId="8" applyFont="1" applyFill="1" applyBorder="1" applyAlignment="1" applyProtection="1">
      <alignment horizontal="center" vertical="center"/>
    </xf>
    <xf numFmtId="167" fontId="20" fillId="14" borderId="30" xfId="8" applyFont="1" applyFill="1" applyBorder="1" applyAlignment="1" applyProtection="1">
      <alignment horizontal="center" vertical="center"/>
    </xf>
    <xf numFmtId="167" fontId="19" fillId="14" borderId="19" xfId="6" applyNumberFormat="1" applyFill="1" applyBorder="1" applyAlignment="1" applyProtection="1">
      <alignment horizontal="center" vertical="center"/>
    </xf>
    <xf numFmtId="167" fontId="19" fillId="14" borderId="7" xfId="6" applyNumberFormat="1" applyFill="1" applyBorder="1" applyAlignment="1" applyProtection="1">
      <alignment horizontal="center" vertical="center"/>
    </xf>
    <xf numFmtId="2" fontId="20" fillId="14" borderId="6" xfId="4" applyNumberFormat="1" applyFont="1" applyFill="1" applyBorder="1" applyAlignment="1" applyProtection="1">
      <alignment horizontal="center" vertical="center"/>
    </xf>
    <xf numFmtId="2" fontId="19" fillId="14" borderId="7" xfId="4" applyNumberFormat="1" applyFont="1" applyFill="1" applyBorder="1" applyAlignment="1" applyProtection="1">
      <alignment horizontal="center" vertical="center"/>
    </xf>
    <xf numFmtId="2" fontId="19" fillId="14" borderId="6" xfId="4" applyNumberFormat="1" applyFont="1" applyFill="1" applyBorder="1" applyAlignment="1" applyProtection="1">
      <alignment horizontal="center" vertical="center"/>
    </xf>
    <xf numFmtId="2" fontId="19" fillId="14" borderId="8" xfId="4" applyNumberFormat="1" applyFont="1" applyFill="1" applyBorder="1" applyAlignment="1" applyProtection="1">
      <alignment horizontal="center" vertical="center"/>
    </xf>
    <xf numFmtId="0" fontId="19" fillId="14" borderId="8" xfId="2" applyFill="1" applyBorder="1" applyAlignment="1" applyProtection="1">
      <alignment horizontal="left" vertical="center"/>
    </xf>
    <xf numFmtId="0" fontId="18" fillId="0" borderId="7" xfId="2" applyFont="1" applyBorder="1" applyAlignment="1" applyProtection="1">
      <alignment horizontal="left"/>
    </xf>
    <xf numFmtId="167" fontId="19" fillId="0" borderId="8" xfId="2" applyNumberFormat="1" applyBorder="1" applyAlignment="1" applyProtection="1">
      <alignment horizontal="center"/>
    </xf>
    <xf numFmtId="0" fontId="20" fillId="0" borderId="0" xfId="3" applyBorder="1" applyAlignment="1" applyProtection="1">
      <alignment horizontal="center"/>
    </xf>
    <xf numFmtId="167" fontId="20" fillId="0" borderId="0" xfId="8" applyFont="1" applyBorder="1" applyAlignment="1" applyProtection="1">
      <alignment horizontal="center"/>
    </xf>
    <xf numFmtId="167" fontId="19" fillId="0" borderId="0" xfId="6" applyNumberFormat="1" applyBorder="1" applyAlignment="1" applyProtection="1">
      <alignment horizontal="center"/>
    </xf>
    <xf numFmtId="166" fontId="20" fillId="0" borderId="0" xfId="4" applyFont="1" applyBorder="1" applyAlignment="1" applyProtection="1">
      <alignment horizontal="center"/>
    </xf>
    <xf numFmtId="2" fontId="19" fillId="0" borderId="0" xfId="4" applyNumberFormat="1" applyFont="1" applyBorder="1" applyAlignment="1" applyProtection="1">
      <alignment horizontal="center"/>
    </xf>
    <xf numFmtId="166" fontId="19" fillId="0" borderId="0" xfId="4" applyFont="1" applyBorder="1" applyAlignment="1" applyProtection="1">
      <alignment horizontal="center"/>
    </xf>
    <xf numFmtId="167" fontId="19" fillId="0" borderId="0" xfId="8" applyFont="1" applyAlignment="1" applyProtection="1">
      <alignment horizontal="center"/>
    </xf>
    <xf numFmtId="0" fontId="19" fillId="0" borderId="0" xfId="2" applyBorder="1" applyAlignment="1" applyProtection="1">
      <alignment horizontal="left"/>
    </xf>
    <xf numFmtId="0" fontId="18" fillId="0" borderId="0" xfId="2" applyFont="1" applyAlignment="1" applyProtection="1">
      <alignment horizontal="right"/>
    </xf>
    <xf numFmtId="2" fontId="19" fillId="0" borderId="0" xfId="2" applyNumberFormat="1" applyProtection="1"/>
    <xf numFmtId="1" fontId="19" fillId="0" borderId="0" xfId="2" applyNumberFormat="1" applyBorder="1" applyProtection="1"/>
    <xf numFmtId="0" fontId="19" fillId="0" borderId="0" xfId="2" applyBorder="1" applyAlignment="1" applyProtection="1">
      <alignment horizontal="center"/>
    </xf>
    <xf numFmtId="166" fontId="19" fillId="0" borderId="0" xfId="4" applyFont="1" applyAlignment="1" applyProtection="1">
      <alignment horizontal="center"/>
    </xf>
    <xf numFmtId="0" fontId="19" fillId="0" borderId="0" xfId="2" applyAlignment="1" applyProtection="1">
      <alignment horizontal="center"/>
    </xf>
    <xf numFmtId="166" fontId="18" fillId="0" borderId="0" xfId="4" applyFont="1" applyAlignment="1" applyProtection="1">
      <alignment horizontal="center"/>
    </xf>
    <xf numFmtId="2" fontId="19" fillId="0" borderId="0" xfId="4" applyNumberFormat="1" applyFont="1" applyAlignment="1" applyProtection="1">
      <alignment horizontal="center"/>
    </xf>
    <xf numFmtId="1" fontId="19" fillId="0" borderId="0" xfId="2" applyNumberFormat="1" applyProtection="1"/>
    <xf numFmtId="0" fontId="12" fillId="11" borderId="0" xfId="0" applyFont="1" applyFill="1" applyBorder="1" applyAlignment="1">
      <alignment horizontal="center"/>
    </xf>
    <xf numFmtId="2" fontId="12" fillId="11" borderId="0" xfId="0" applyNumberFormat="1" applyFont="1" applyFill="1" applyBorder="1" applyAlignment="1">
      <alignment horizontal="center"/>
    </xf>
    <xf numFmtId="0" fontId="28" fillId="11" borderId="0" xfId="0" applyFont="1" applyFill="1" applyBorder="1" applyAlignment="1">
      <alignment horizontal="center"/>
    </xf>
    <xf numFmtId="14" fontId="12" fillId="11" borderId="0" xfId="0" applyNumberFormat="1" applyFont="1" applyFill="1" applyBorder="1" applyAlignment="1">
      <alignment horizontal="center"/>
    </xf>
    <xf numFmtId="0" fontId="12" fillId="11" borderId="0" xfId="0" applyFont="1" applyFill="1" applyBorder="1" applyAlignment="1">
      <alignment horizontal="center" vertical="center"/>
    </xf>
    <xf numFmtId="2" fontId="12" fillId="11" borderId="0" xfId="0" applyNumberFormat="1" applyFont="1" applyFill="1" applyBorder="1" applyAlignment="1">
      <alignment horizontal="center" vertical="center"/>
    </xf>
    <xf numFmtId="0" fontId="0" fillId="11" borderId="0" xfId="0" applyFill="1" applyBorder="1" applyAlignment="1">
      <alignment horizontal="center" vertical="center"/>
    </xf>
    <xf numFmtId="14" fontId="12" fillId="11" borderId="0" xfId="0" applyNumberFormat="1" applyFont="1" applyFill="1" applyBorder="1" applyAlignment="1">
      <alignment horizontal="center" vertical="center"/>
    </xf>
    <xf numFmtId="0" fontId="33" fillId="0" borderId="2" xfId="1" applyFont="1" applyBorder="1" applyAlignment="1" applyProtection="1">
      <alignment horizontal="center"/>
    </xf>
    <xf numFmtId="1" fontId="33" fillId="0" borderId="2" xfId="3" applyNumberFormat="1" applyFont="1" applyBorder="1" applyAlignment="1" applyProtection="1">
      <alignment horizontal="centerContinuous"/>
    </xf>
    <xf numFmtId="1" fontId="44" fillId="0" borderId="2" xfId="3" applyNumberFormat="1" applyFont="1" applyBorder="1" applyAlignment="1" applyProtection="1">
      <alignment horizontal="centerContinuous"/>
    </xf>
    <xf numFmtId="2" fontId="33" fillId="0" borderId="1" xfId="4" applyNumberFormat="1" applyFont="1" applyBorder="1" applyAlignment="1" applyProtection="1">
      <alignment horizontal="centerContinuous"/>
    </xf>
    <xf numFmtId="0" fontId="34" fillId="0" borderId="3" xfId="2" applyFont="1" applyBorder="1" applyAlignment="1" applyProtection="1">
      <alignment horizontal="right"/>
    </xf>
    <xf numFmtId="168" fontId="35" fillId="0" borderId="25" xfId="13" applyNumberFormat="1" applyFont="1" applyBorder="1" applyAlignment="1" applyProtection="1">
      <alignment horizontal="centerContinuous"/>
    </xf>
    <xf numFmtId="2" fontId="18" fillId="0" borderId="4" xfId="4" applyNumberFormat="1" applyFont="1" applyBorder="1" applyAlignment="1" applyProtection="1">
      <alignment horizontal="center"/>
    </xf>
    <xf numFmtId="0" fontId="34" fillId="0" borderId="5" xfId="1" applyFont="1" applyBorder="1" applyAlignment="1" applyProtection="1">
      <alignment horizontal="right"/>
    </xf>
    <xf numFmtId="2" fontId="19" fillId="0" borderId="4" xfId="2" applyNumberFormat="1" applyBorder="1" applyProtection="1"/>
    <xf numFmtId="2" fontId="19" fillId="0" borderId="5" xfId="2" applyNumberFormat="1" applyBorder="1" applyProtection="1"/>
    <xf numFmtId="0" fontId="19" fillId="0" borderId="4" xfId="1" applyFont="1" applyBorder="1" applyAlignment="1" applyProtection="1">
      <alignment horizontal="center" vertical="center"/>
    </xf>
    <xf numFmtId="0" fontId="19" fillId="0" borderId="0" xfId="1" applyFont="1" applyBorder="1" applyAlignment="1" applyProtection="1">
      <alignment horizontal="center" vertical="center"/>
    </xf>
    <xf numFmtId="167" fontId="19" fillId="0" borderId="0" xfId="8" applyFont="1" applyBorder="1" applyAlignment="1" applyProtection="1">
      <alignment horizontal="center" vertical="center"/>
    </xf>
    <xf numFmtId="168" fontId="37" fillId="0" borderId="25" xfId="13" applyNumberFormat="1" applyFont="1" applyBorder="1" applyAlignment="1" applyProtection="1">
      <alignment horizontal="center"/>
    </xf>
    <xf numFmtId="168" fontId="37" fillId="0" borderId="7" xfId="13" applyNumberFormat="1" applyFont="1" applyBorder="1" applyAlignment="1" applyProtection="1">
      <alignment horizontal="center"/>
    </xf>
    <xf numFmtId="2" fontId="19" fillId="0" borderId="6" xfId="4" applyNumberFormat="1" applyFont="1" applyBorder="1" applyAlignment="1" applyProtection="1">
      <alignment horizontal="center" vertical="center"/>
    </xf>
    <xf numFmtId="0" fontId="19" fillId="0" borderId="8" xfId="2" applyBorder="1" applyAlignment="1" applyProtection="1">
      <alignment vertical="center" wrapText="1"/>
    </xf>
    <xf numFmtId="167" fontId="20" fillId="0" borderId="11" xfId="8" applyFont="1" applyBorder="1" applyAlignment="1" applyProtection="1">
      <alignment horizontal="center" vertical="center" wrapText="1"/>
    </xf>
    <xf numFmtId="167" fontId="20" fillId="0" borderId="2" xfId="8" applyFont="1" applyBorder="1" applyAlignment="1" applyProtection="1">
      <alignment horizontal="center" vertical="center" wrapText="1"/>
    </xf>
    <xf numFmtId="2" fontId="19" fillId="0" borderId="12" xfId="4" applyNumberFormat="1" applyFont="1" applyBorder="1" applyAlignment="1" applyProtection="1">
      <alignment horizontal="center" vertical="center" wrapText="1"/>
    </xf>
    <xf numFmtId="2" fontId="19" fillId="0" borderId="5" xfId="4" applyNumberFormat="1" applyFont="1" applyBorder="1" applyAlignment="1" applyProtection="1">
      <alignment horizontal="center" vertical="center" wrapText="1"/>
    </xf>
    <xf numFmtId="2" fontId="19" fillId="0" borderId="16" xfId="6" applyNumberFormat="1" applyBorder="1" applyAlignment="1" applyProtection="1">
      <alignment horizontal="center" vertical="center" wrapText="1"/>
    </xf>
    <xf numFmtId="2" fontId="19" fillId="0" borderId="20" xfId="6" applyNumberFormat="1" applyBorder="1" applyAlignment="1" applyProtection="1">
      <alignment horizontal="center" vertical="center" wrapText="1"/>
    </xf>
    <xf numFmtId="14" fontId="2" fillId="0" borderId="0" xfId="2" applyNumberFormat="1" applyFont="1" applyBorder="1" applyProtection="1"/>
    <xf numFmtId="168" fontId="36" fillId="0" borderId="13" xfId="13" applyNumberFormat="1" applyFont="1" applyBorder="1" applyAlignment="1" applyProtection="1">
      <alignment horizontal="center"/>
    </xf>
    <xf numFmtId="168" fontId="36" fillId="0" borderId="0" xfId="13" applyNumberFormat="1" applyFont="1" applyBorder="1" applyAlignment="1" applyProtection="1">
      <alignment horizontal="center"/>
    </xf>
    <xf numFmtId="2" fontId="19" fillId="0" borderId="16" xfId="2" applyNumberFormat="1" applyBorder="1" applyProtection="1"/>
    <xf numFmtId="0" fontId="2" fillId="0" borderId="1" xfId="1" applyFont="1" applyBorder="1" applyAlignment="1" applyProtection="1">
      <alignment horizontal="right"/>
    </xf>
    <xf numFmtId="0" fontId="2" fillId="0" borderId="2" xfId="2" applyFont="1" applyBorder="1" applyProtection="1"/>
    <xf numFmtId="0" fontId="18" fillId="0" borderId="3" xfId="2" applyFont="1" applyBorder="1" applyProtection="1"/>
    <xf numFmtId="0" fontId="2" fillId="0" borderId="4" xfId="1" applyFont="1" applyBorder="1" applyAlignment="1" applyProtection="1">
      <alignment horizontal="right"/>
    </xf>
    <xf numFmtId="1" fontId="11" fillId="0" borderId="0" xfId="5" applyNumberFormat="1" applyFont="1" applyBorder="1" applyAlignment="1" applyProtection="1">
      <alignment horizontal="center"/>
    </xf>
    <xf numFmtId="0" fontId="18" fillId="0" borderId="5" xfId="2" applyFont="1" applyBorder="1" applyProtection="1"/>
    <xf numFmtId="2" fontId="2" fillId="0" borderId="4" xfId="1" applyNumberFormat="1" applyFont="1" applyBorder="1" applyAlignment="1" applyProtection="1">
      <alignment horizontal="right"/>
    </xf>
    <xf numFmtId="2" fontId="11" fillId="0" borderId="0" xfId="5" applyNumberFormat="1" applyFont="1" applyBorder="1" applyAlignment="1" applyProtection="1">
      <alignment horizontal="center"/>
    </xf>
    <xf numFmtId="0" fontId="19" fillId="0" borderId="5" xfId="6" applyBorder="1" applyAlignment="1" applyProtection="1">
      <alignment vertical="top"/>
    </xf>
    <xf numFmtId="0" fontId="2" fillId="0" borderId="6" xfId="6" applyFont="1" applyBorder="1" applyAlignment="1" applyProtection="1">
      <alignment horizontal="right" vertical="top"/>
    </xf>
    <xf numFmtId="0" fontId="11" fillId="0" borderId="7" xfId="6" applyFont="1" applyBorder="1" applyAlignment="1" applyProtection="1">
      <alignment vertical="top"/>
    </xf>
    <xf numFmtId="1" fontId="31" fillId="0" borderId="7" xfId="6" applyNumberFormat="1" applyFont="1" applyBorder="1" applyAlignment="1" applyProtection="1">
      <alignment vertical="top"/>
      <protection locked="0"/>
    </xf>
    <xf numFmtId="1" fontId="11" fillId="0" borderId="7" xfId="6" applyNumberFormat="1" applyFont="1" applyBorder="1" applyAlignment="1" applyProtection="1">
      <alignment vertical="top"/>
    </xf>
    <xf numFmtId="166" fontId="11" fillId="0" borderId="7" xfId="6" applyNumberFormat="1" applyFont="1" applyBorder="1" applyAlignment="1" applyProtection="1">
      <alignment vertical="top"/>
    </xf>
    <xf numFmtId="2" fontId="11" fillId="0" borderId="7" xfId="6" applyNumberFormat="1" applyFont="1" applyBorder="1" applyAlignment="1" applyProtection="1">
      <alignment vertical="top"/>
    </xf>
    <xf numFmtId="0" fontId="11" fillId="0" borderId="7" xfId="6" applyFont="1" applyBorder="1" applyAlignment="1" applyProtection="1">
      <alignment vertical="top"/>
      <protection locked="0"/>
    </xf>
    <xf numFmtId="0" fontId="11" fillId="0" borderId="0" xfId="6" applyFont="1" applyBorder="1" applyAlignment="1" applyProtection="1">
      <alignment vertical="top"/>
    </xf>
    <xf numFmtId="0" fontId="18" fillId="0" borderId="8" xfId="1" applyBorder="1" applyAlignment="1" applyProtection="1">
      <alignment horizontal="centerContinuous"/>
    </xf>
    <xf numFmtId="0" fontId="33" fillId="0" borderId="1" xfId="1" applyFont="1" applyBorder="1" applyAlignment="1" applyProtection="1">
      <alignment horizontal="centerContinuous"/>
    </xf>
    <xf numFmtId="1" fontId="44" fillId="0" borderId="3" xfId="3" applyNumberFormat="1" applyFont="1" applyBorder="1" applyAlignment="1" applyProtection="1">
      <alignment horizontal="centerContinuous"/>
    </xf>
    <xf numFmtId="1" fontId="44" fillId="0" borderId="2" xfId="3" applyNumberFormat="1" applyFont="1" applyBorder="1" applyAlignment="1" applyProtection="1">
      <alignment horizontal="centerContinuous"/>
      <protection locked="0"/>
    </xf>
    <xf numFmtId="1" fontId="44" fillId="0" borderId="3" xfId="3" applyNumberFormat="1" applyFont="1" applyBorder="1" applyAlignment="1" applyProtection="1">
      <alignment horizontal="centerContinuous"/>
      <protection locked="0"/>
    </xf>
    <xf numFmtId="1" fontId="33" fillId="0" borderId="1" xfId="3" applyNumberFormat="1" applyFont="1" applyBorder="1" applyAlignment="1" applyProtection="1">
      <alignment horizontal="centerContinuous"/>
    </xf>
    <xf numFmtId="166" fontId="33" fillId="0" borderId="2" xfId="4" applyFont="1" applyBorder="1" applyAlignment="1" applyProtection="1">
      <alignment horizontal="centerContinuous"/>
    </xf>
    <xf numFmtId="1" fontId="18" fillId="0" borderId="4" xfId="1" applyNumberFormat="1" applyBorder="1" applyAlignment="1" applyProtection="1">
      <alignment horizontal="centerContinuous"/>
    </xf>
    <xf numFmtId="166" fontId="18" fillId="0" borderId="4" xfId="4" applyFont="1" applyBorder="1" applyAlignment="1" applyProtection="1">
      <alignment horizontal="center"/>
    </xf>
    <xf numFmtId="1" fontId="18" fillId="0" borderId="5" xfId="1" applyNumberFormat="1" applyBorder="1" applyAlignment="1" applyProtection="1"/>
    <xf numFmtId="166" fontId="19" fillId="0" borderId="6" xfId="4" applyFont="1" applyBorder="1" applyAlignment="1" applyProtection="1">
      <alignment horizontal="center" vertical="center"/>
    </xf>
    <xf numFmtId="167" fontId="19" fillId="0" borderId="5" xfId="8" applyFont="1" applyBorder="1" applyAlignment="1" applyProtection="1">
      <alignment horizontal="center" vertical="center" wrapText="1"/>
      <protection locked="0"/>
    </xf>
    <xf numFmtId="167" fontId="20" fillId="0" borderId="4" xfId="8" applyFont="1" applyBorder="1" applyAlignment="1" applyProtection="1">
      <alignment horizontal="center" vertical="center" wrapText="1"/>
    </xf>
    <xf numFmtId="167" fontId="20" fillId="0" borderId="5" xfId="8" applyFont="1" applyBorder="1" applyAlignment="1" applyProtection="1">
      <alignment horizontal="center" vertical="center" wrapText="1"/>
    </xf>
    <xf numFmtId="166" fontId="20" fillId="0" borderId="4" xfId="4" applyFont="1" applyBorder="1" applyAlignment="1" applyProtection="1">
      <alignment horizontal="center" vertical="center" wrapText="1"/>
    </xf>
    <xf numFmtId="166" fontId="19" fillId="0" borderId="1" xfId="4" applyFont="1" applyBorder="1" applyAlignment="1" applyProtection="1">
      <alignment horizontal="center" vertical="center" wrapText="1"/>
    </xf>
    <xf numFmtId="166" fontId="19" fillId="0" borderId="3" xfId="4" applyFont="1" applyBorder="1" applyAlignment="1" applyProtection="1">
      <alignment horizontal="center" vertical="center" wrapText="1"/>
    </xf>
    <xf numFmtId="167" fontId="19" fillId="0" borderId="4" xfId="6" applyNumberFormat="1" applyBorder="1" applyAlignment="1" applyProtection="1">
      <alignment horizontal="center" vertical="center" wrapText="1"/>
    </xf>
    <xf numFmtId="167" fontId="19" fillId="0" borderId="5" xfId="6" applyNumberFormat="1" applyBorder="1" applyAlignment="1" applyProtection="1">
      <alignment horizontal="center" vertical="center" wrapText="1"/>
    </xf>
    <xf numFmtId="166" fontId="19" fillId="0" borderId="0" xfId="4" applyFont="1" applyBorder="1" applyAlignment="1" applyProtection="1">
      <alignment horizontal="center" vertical="center" wrapText="1"/>
    </xf>
    <xf numFmtId="166" fontId="19" fillId="0" borderId="4" xfId="4" applyFont="1" applyBorder="1" applyAlignment="1" applyProtection="1">
      <alignment horizontal="center" vertical="center" wrapText="1"/>
    </xf>
    <xf numFmtId="0" fontId="46" fillId="0" borderId="5" xfId="2" applyFont="1" applyBorder="1" applyAlignment="1" applyProtection="1">
      <alignment horizontal="left" vertical="center" wrapText="1"/>
      <protection locked="0"/>
    </xf>
    <xf numFmtId="0" fontId="19" fillId="0" borderId="5" xfId="2" applyBorder="1" applyAlignment="1" applyProtection="1">
      <alignment horizontal="left" vertical="center" wrapText="1"/>
      <protection locked="0"/>
    </xf>
    <xf numFmtId="0" fontId="40" fillId="0" borderId="5" xfId="2" applyFont="1" applyBorder="1" applyAlignment="1" applyProtection="1">
      <alignment horizontal="left" vertical="center"/>
      <protection locked="0"/>
    </xf>
    <xf numFmtId="167" fontId="42" fillId="14" borderId="5" xfId="8" applyFont="1" applyFill="1" applyBorder="1" applyAlignment="1" applyProtection="1">
      <alignment horizontal="center" vertical="center" wrapText="1"/>
      <protection locked="0"/>
    </xf>
    <xf numFmtId="167" fontId="19" fillId="14" borderId="4" xfId="6" applyNumberFormat="1" applyFill="1" applyBorder="1" applyAlignment="1" applyProtection="1">
      <alignment horizontal="center" vertical="center" wrapText="1"/>
    </xf>
    <xf numFmtId="167" fontId="19" fillId="14" borderId="5" xfId="6" applyNumberFormat="1" applyFill="1" applyBorder="1" applyAlignment="1" applyProtection="1">
      <alignment horizontal="center" vertical="center" wrapText="1"/>
    </xf>
    <xf numFmtId="166" fontId="19" fillId="14" borderId="0" xfId="4" applyFont="1" applyFill="1" applyBorder="1" applyAlignment="1" applyProtection="1">
      <alignment horizontal="center" vertical="center" wrapText="1"/>
    </xf>
    <xf numFmtId="166" fontId="19" fillId="14" borderId="4" xfId="4" applyFont="1" applyFill="1" applyBorder="1" applyAlignment="1" applyProtection="1">
      <alignment horizontal="center" vertical="center" wrapText="1"/>
    </xf>
    <xf numFmtId="167" fontId="20" fillId="14" borderId="5" xfId="8" applyFont="1" applyFill="1" applyBorder="1" applyAlignment="1" applyProtection="1">
      <alignment horizontal="center" vertical="center"/>
    </xf>
    <xf numFmtId="167" fontId="19" fillId="14" borderId="4" xfId="6" applyNumberFormat="1" applyFill="1" applyBorder="1" applyAlignment="1" applyProtection="1">
      <alignment horizontal="center" vertical="center"/>
    </xf>
    <xf numFmtId="167" fontId="19" fillId="14" borderId="5" xfId="6" applyNumberFormat="1" applyFill="1" applyBorder="1" applyAlignment="1" applyProtection="1">
      <alignment horizontal="center" vertical="center"/>
    </xf>
    <xf numFmtId="166" fontId="20" fillId="14" borderId="4" xfId="4" applyFont="1" applyFill="1" applyBorder="1" applyAlignment="1" applyProtection="1">
      <alignment horizontal="center" vertical="center"/>
    </xf>
    <xf numFmtId="166" fontId="19" fillId="14" borderId="4" xfId="4" applyFont="1" applyFill="1" applyBorder="1" applyAlignment="1" applyProtection="1">
      <alignment horizontal="center" vertical="center"/>
    </xf>
    <xf numFmtId="166" fontId="19" fillId="14" borderId="5" xfId="4" applyFont="1" applyFill="1" applyBorder="1" applyAlignment="1" applyProtection="1">
      <alignment horizontal="center" vertical="center"/>
    </xf>
    <xf numFmtId="167" fontId="20" fillId="14" borderId="8" xfId="8" applyFont="1" applyFill="1" applyBorder="1" applyAlignment="1" applyProtection="1">
      <alignment horizontal="center" vertical="center"/>
    </xf>
    <xf numFmtId="167" fontId="19" fillId="14" borderId="6" xfId="6" applyNumberFormat="1" applyFill="1" applyBorder="1" applyAlignment="1" applyProtection="1">
      <alignment horizontal="center" vertical="center"/>
    </xf>
    <xf numFmtId="167" fontId="19" fillId="14" borderId="8" xfId="6" applyNumberFormat="1" applyFill="1" applyBorder="1" applyAlignment="1" applyProtection="1">
      <alignment horizontal="center" vertical="center"/>
    </xf>
    <xf numFmtId="166" fontId="20" fillId="14" borderId="6" xfId="4" applyFont="1" applyFill="1" applyBorder="1" applyAlignment="1" applyProtection="1">
      <alignment horizontal="center" vertical="center"/>
    </xf>
    <xf numFmtId="166" fontId="19" fillId="14" borderId="6" xfId="4" applyFont="1" applyFill="1" applyBorder="1" applyAlignment="1" applyProtection="1">
      <alignment horizontal="center" vertical="center"/>
    </xf>
    <xf numFmtId="166" fontId="19" fillId="14" borderId="8" xfId="4" applyFont="1" applyFill="1" applyBorder="1" applyAlignment="1" applyProtection="1">
      <alignment horizontal="center" vertical="center"/>
    </xf>
    <xf numFmtId="2" fontId="12" fillId="8" borderId="0" xfId="0" applyNumberFormat="1" applyFont="1" applyFill="1" applyBorder="1" applyAlignment="1">
      <alignment horizontal="center"/>
    </xf>
    <xf numFmtId="0" fontId="12" fillId="8" borderId="0" xfId="0" applyFont="1" applyFill="1" applyBorder="1"/>
    <xf numFmtId="0" fontId="0" fillId="8" borderId="0" xfId="0" applyFill="1" applyBorder="1"/>
    <xf numFmtId="14" fontId="12" fillId="8" borderId="0" xfId="0" applyNumberFormat="1" applyFont="1" applyFill="1" applyBorder="1" applyAlignment="1">
      <alignment horizontal="center"/>
    </xf>
    <xf numFmtId="0" fontId="12" fillId="13" borderId="0" xfId="0" applyFont="1" applyFill="1" applyBorder="1" applyAlignment="1">
      <alignment horizontal="center"/>
    </xf>
    <xf numFmtId="2" fontId="12" fillId="13" borderId="0" xfId="0" applyNumberFormat="1" applyFont="1" applyFill="1" applyBorder="1" applyAlignment="1">
      <alignment horizontal="center"/>
    </xf>
    <xf numFmtId="0" fontId="12" fillId="13" borderId="0" xfId="0" applyFont="1" applyFill="1" applyBorder="1"/>
    <xf numFmtId="0" fontId="0" fillId="13" borderId="0" xfId="0" applyFill="1" applyBorder="1"/>
    <xf numFmtId="14" fontId="12" fillId="13" borderId="0" xfId="0" applyNumberFormat="1" applyFont="1" applyFill="1" applyBorder="1" applyAlignment="1">
      <alignment horizontal="center"/>
    </xf>
    <xf numFmtId="0" fontId="12" fillId="8" borderId="14" xfId="0" applyFont="1" applyFill="1" applyBorder="1" applyAlignment="1">
      <alignment horizontal="center"/>
    </xf>
    <xf numFmtId="0" fontId="12" fillId="8" borderId="16" xfId="0" applyFont="1" applyFill="1" applyBorder="1" applyAlignment="1">
      <alignment horizontal="center"/>
    </xf>
    <xf numFmtId="0" fontId="12" fillId="8" borderId="5" xfId="0" applyFont="1" applyFill="1" applyBorder="1"/>
    <xf numFmtId="2" fontId="12" fillId="8" borderId="5" xfId="0" applyNumberFormat="1" applyFont="1" applyFill="1" applyBorder="1" applyAlignment="1">
      <alignment horizontal="center"/>
    </xf>
    <xf numFmtId="2" fontId="12" fillId="8" borderId="14" xfId="0" applyNumberFormat="1" applyFont="1" applyFill="1" applyBorder="1" applyAlignment="1">
      <alignment horizontal="center"/>
    </xf>
    <xf numFmtId="2" fontId="5" fillId="0" borderId="0" xfId="0" applyNumberFormat="1" applyFont="1" applyBorder="1" applyAlignment="1">
      <alignment horizontal="center"/>
    </xf>
    <xf numFmtId="0" fontId="12" fillId="12" borderId="14" xfId="0" applyFont="1" applyFill="1" applyBorder="1"/>
    <xf numFmtId="2" fontId="12" fillId="0" borderId="14" xfId="0" applyNumberFormat="1" applyFont="1" applyBorder="1" applyAlignment="1">
      <alignment horizontal="center"/>
    </xf>
    <xf numFmtId="2" fontId="4" fillId="0" borderId="5" xfId="0" applyNumberFormat="1" applyFont="1" applyBorder="1" applyAlignment="1">
      <alignment horizontal="center"/>
    </xf>
    <xf numFmtId="2" fontId="2" fillId="0" borderId="5" xfId="0" applyNumberFormat="1" applyFont="1" applyBorder="1" applyAlignment="1">
      <alignment horizontal="center" vertical="center"/>
    </xf>
    <xf numFmtId="2" fontId="5" fillId="0" borderId="8" xfId="0" applyNumberFormat="1" applyFont="1" applyBorder="1" applyAlignment="1">
      <alignment horizontal="center"/>
    </xf>
    <xf numFmtId="2" fontId="12" fillId="12" borderId="0" xfId="0" applyNumberFormat="1" applyFont="1" applyFill="1" applyBorder="1"/>
    <xf numFmtId="2" fontId="0" fillId="0" borderId="5" xfId="0" applyNumberFormat="1" applyBorder="1"/>
    <xf numFmtId="2" fontId="0" fillId="2" borderId="5" xfId="0" applyNumberFormat="1" applyFill="1" applyBorder="1"/>
    <xf numFmtId="2" fontId="0" fillId="8" borderId="5" xfId="0" applyNumberFormat="1" applyFill="1" applyBorder="1" applyAlignment="1">
      <alignment horizontal="center"/>
    </xf>
    <xf numFmtId="2" fontId="12" fillId="13" borderId="5" xfId="0" applyNumberFormat="1" applyFont="1" applyFill="1" applyBorder="1" applyAlignment="1">
      <alignment horizontal="center"/>
    </xf>
    <xf numFmtId="0" fontId="12" fillId="13" borderId="16" xfId="0" applyFont="1" applyFill="1" applyBorder="1" applyAlignment="1">
      <alignment horizontal="center"/>
    </xf>
    <xf numFmtId="0" fontId="12" fillId="13" borderId="5" xfId="0" applyFont="1" applyFill="1" applyBorder="1" applyAlignment="1">
      <alignment horizontal="center"/>
    </xf>
    <xf numFmtId="0" fontId="12" fillId="13" borderId="5" xfId="0" applyFont="1" applyFill="1" applyBorder="1"/>
    <xf numFmtId="2" fontId="5" fillId="0" borderId="9" xfId="0" applyNumberFormat="1" applyFont="1" applyBorder="1" applyAlignment="1">
      <alignment horizontal="center"/>
    </xf>
    <xf numFmtId="2" fontId="0" fillId="0" borderId="14" xfId="0" applyNumberFormat="1" applyBorder="1"/>
    <xf numFmtId="2" fontId="4" fillId="0" borderId="14" xfId="0" applyNumberFormat="1" applyFont="1" applyBorder="1" applyAlignment="1">
      <alignment horizontal="center"/>
    </xf>
    <xf numFmtId="2" fontId="4" fillId="0" borderId="14" xfId="0" applyNumberFormat="1" applyFont="1" applyBorder="1" applyAlignment="1">
      <alignment horizontal="center" vertical="center"/>
    </xf>
    <xf numFmtId="2" fontId="5" fillId="0" borderId="17" xfId="0" applyNumberFormat="1" applyFont="1" applyBorder="1" applyAlignment="1">
      <alignment horizontal="center"/>
    </xf>
    <xf numFmtId="2" fontId="12" fillId="13" borderId="14" xfId="0" applyNumberFormat="1" applyFont="1" applyFill="1" applyBorder="1" applyAlignment="1">
      <alignment horizontal="center"/>
    </xf>
    <xf numFmtId="0" fontId="12" fillId="13" borderId="14" xfId="0" applyFont="1" applyFill="1" applyBorder="1" applyAlignment="1">
      <alignment horizontal="center"/>
    </xf>
    <xf numFmtId="0" fontId="12" fillId="2" borderId="5" xfId="0" applyFont="1" applyFill="1" applyBorder="1"/>
    <xf numFmtId="2" fontId="0" fillId="7" borderId="13" xfId="0" applyNumberFormat="1" applyFill="1" applyBorder="1" applyAlignment="1">
      <alignment horizontal="center"/>
    </xf>
    <xf numFmtId="2" fontId="0" fillId="0" borderId="13" xfId="0" applyNumberFormat="1" applyFill="1" applyBorder="1" applyAlignment="1">
      <alignment horizontal="center"/>
    </xf>
    <xf numFmtId="2" fontId="0" fillId="11" borderId="13" xfId="0" applyNumberFormat="1" applyFill="1" applyBorder="1" applyAlignment="1">
      <alignment horizontal="center"/>
    </xf>
    <xf numFmtId="2" fontId="12" fillId="0" borderId="13" xfId="0" applyNumberFormat="1" applyFont="1" applyBorder="1"/>
    <xf numFmtId="2" fontId="12" fillId="2" borderId="13" xfId="0" applyNumberFormat="1" applyFont="1" applyFill="1" applyBorder="1"/>
    <xf numFmtId="0" fontId="0" fillId="7" borderId="4" xfId="0" applyFill="1" applyBorder="1" applyAlignment="1">
      <alignment horizontal="center"/>
    </xf>
    <xf numFmtId="0" fontId="0" fillId="0" borderId="4" xfId="0" applyFill="1" applyBorder="1" applyAlignment="1">
      <alignment horizontal="center"/>
    </xf>
    <xf numFmtId="0" fontId="0" fillId="11" borderId="4" xfId="0" applyFill="1" applyBorder="1" applyAlignment="1">
      <alignment horizontal="center"/>
    </xf>
    <xf numFmtId="0" fontId="12" fillId="0" borderId="4" xfId="0" applyFont="1" applyBorder="1"/>
    <xf numFmtId="0" fontId="12" fillId="2" borderId="4" xfId="0" applyFont="1" applyFill="1" applyBorder="1"/>
    <xf numFmtId="0" fontId="12" fillId="12" borderId="4" xfId="0" applyFont="1" applyFill="1" applyBorder="1"/>
    <xf numFmtId="0" fontId="12" fillId="12" borderId="4" xfId="0" applyFont="1" applyFill="1" applyBorder="1" applyAlignment="1">
      <alignment horizontal="center"/>
    </xf>
    <xf numFmtId="0" fontId="12" fillId="9" borderId="14" xfId="0" applyFont="1" applyFill="1" applyBorder="1" applyAlignment="1">
      <alignment horizontal="center"/>
    </xf>
    <xf numFmtId="0" fontId="12" fillId="11" borderId="14" xfId="0" applyFont="1" applyFill="1" applyBorder="1" applyAlignment="1">
      <alignment horizontal="center"/>
    </xf>
    <xf numFmtId="2" fontId="12" fillId="9" borderId="14" xfId="0" applyNumberFormat="1" applyFont="1" applyFill="1" applyBorder="1" applyAlignment="1">
      <alignment horizontal="center"/>
    </xf>
    <xf numFmtId="2" fontId="12" fillId="11" borderId="14" xfId="0" applyNumberFormat="1" applyFont="1" applyFill="1" applyBorder="1" applyAlignment="1">
      <alignment horizontal="center"/>
    </xf>
    <xf numFmtId="0" fontId="12" fillId="9" borderId="5" xfId="0" applyFont="1" applyFill="1" applyBorder="1" applyAlignment="1">
      <alignment horizontal="center"/>
    </xf>
    <xf numFmtId="0" fontId="12" fillId="11" borderId="5" xfId="0" applyFont="1" applyFill="1" applyBorder="1" applyAlignment="1">
      <alignment horizontal="center"/>
    </xf>
    <xf numFmtId="0" fontId="27" fillId="9" borderId="5" xfId="0" applyFont="1" applyFill="1" applyBorder="1" applyAlignment="1">
      <alignment horizontal="center"/>
    </xf>
    <xf numFmtId="0" fontId="27" fillId="11" borderId="5" xfId="0" applyFont="1" applyFill="1" applyBorder="1" applyAlignment="1">
      <alignment horizontal="center"/>
    </xf>
    <xf numFmtId="2" fontId="12" fillId="9" borderId="5" xfId="0" applyNumberFormat="1" applyFont="1" applyFill="1" applyBorder="1" applyAlignment="1">
      <alignment horizontal="center"/>
    </xf>
    <xf numFmtId="2" fontId="12" fillId="11" borderId="5" xfId="0" applyNumberFormat="1" applyFont="1" applyFill="1" applyBorder="1" applyAlignment="1">
      <alignment horizontal="center"/>
    </xf>
    <xf numFmtId="2" fontId="12" fillId="6" borderId="3" xfId="0" applyNumberFormat="1" applyFont="1" applyFill="1" applyBorder="1" applyAlignment="1">
      <alignment horizontal="center"/>
    </xf>
    <xf numFmtId="2" fontId="12" fillId="6" borderId="5" xfId="0" applyNumberFormat="1" applyFont="1" applyFill="1" applyBorder="1" applyAlignment="1">
      <alignment horizontal="center"/>
    </xf>
    <xf numFmtId="0" fontId="12" fillId="6" borderId="5" xfId="0" applyFont="1" applyFill="1" applyBorder="1" applyAlignment="1">
      <alignment horizontal="center"/>
    </xf>
    <xf numFmtId="0" fontId="12" fillId="0" borderId="8" xfId="0" applyFont="1" applyBorder="1" applyAlignment="1">
      <alignment horizontal="center"/>
    </xf>
    <xf numFmtId="0" fontId="12" fillId="6" borderId="12" xfId="0" applyFont="1" applyFill="1" applyBorder="1" applyAlignment="1">
      <alignment horizontal="center"/>
    </xf>
    <xf numFmtId="0" fontId="12" fillId="6" borderId="16" xfId="0" applyFont="1" applyFill="1" applyBorder="1" applyAlignment="1">
      <alignment horizontal="center"/>
    </xf>
    <xf numFmtId="2" fontId="12" fillId="6" borderId="16" xfId="0" applyNumberFormat="1" applyFont="1" applyFill="1" applyBorder="1" applyAlignment="1">
      <alignment horizontal="center"/>
    </xf>
    <xf numFmtId="0" fontId="12" fillId="0" borderId="20" xfId="0" applyFont="1" applyBorder="1" applyAlignment="1">
      <alignment horizontal="center"/>
    </xf>
    <xf numFmtId="0" fontId="12" fillId="6" borderId="3" xfId="0" applyFont="1" applyFill="1" applyBorder="1" applyAlignment="1">
      <alignment horizontal="center"/>
    </xf>
    <xf numFmtId="0" fontId="12" fillId="6" borderId="9" xfId="0" applyFont="1" applyFill="1" applyBorder="1" applyAlignment="1">
      <alignment horizontal="center"/>
    </xf>
    <xf numFmtId="0" fontId="12" fillId="6" borderId="14" xfId="0" applyFont="1" applyFill="1" applyBorder="1" applyAlignment="1">
      <alignment horizontal="center"/>
    </xf>
    <xf numFmtId="0" fontId="12" fillId="0" borderId="17" xfId="0" applyFont="1" applyBorder="1" applyAlignment="1">
      <alignment horizontal="center"/>
    </xf>
    <xf numFmtId="0" fontId="0" fillId="6" borderId="9" xfId="0" applyFill="1" applyBorder="1"/>
    <xf numFmtId="0" fontId="0" fillId="6" borderId="14" xfId="0" applyFill="1" applyBorder="1"/>
    <xf numFmtId="0" fontId="0" fillId="0" borderId="14" xfId="0" applyBorder="1"/>
    <xf numFmtId="0" fontId="0" fillId="12" borderId="14" xfId="0" applyFill="1" applyBorder="1"/>
    <xf numFmtId="0" fontId="0" fillId="8" borderId="14" xfId="0" applyFill="1" applyBorder="1"/>
    <xf numFmtId="0" fontId="0" fillId="6" borderId="3" xfId="0" applyFill="1" applyBorder="1" applyAlignment="1">
      <alignment horizontal="center"/>
    </xf>
    <xf numFmtId="4" fontId="7" fillId="0" borderId="0" xfId="0" applyNumberFormat="1" applyFont="1" applyBorder="1" applyAlignment="1">
      <alignment horizontal="center" vertical="center" wrapText="1"/>
    </xf>
    <xf numFmtId="4" fontId="7" fillId="0" borderId="5" xfId="0" applyNumberFormat="1" applyFont="1" applyBorder="1" applyAlignment="1">
      <alignment horizontal="center" vertical="center" wrapText="1"/>
    </xf>
    <xf numFmtId="2" fontId="0" fillId="6" borderId="5" xfId="0" applyNumberFormat="1" applyFill="1" applyBorder="1" applyAlignment="1">
      <alignment horizontal="center"/>
    </xf>
    <xf numFmtId="168" fontId="36" fillId="0" borderId="13" xfId="13" applyNumberFormat="1" applyFont="1" applyBorder="1" applyAlignment="1" applyProtection="1">
      <alignment horizontal="center"/>
    </xf>
    <xf numFmtId="168" fontId="36" fillId="0" borderId="0" xfId="13" applyNumberFormat="1" applyFont="1" applyBorder="1" applyAlignment="1" applyProtection="1">
      <alignment horizontal="center"/>
    </xf>
    <xf numFmtId="2" fontId="12" fillId="8" borderId="15" xfId="0" applyNumberFormat="1" applyFont="1" applyFill="1" applyBorder="1" applyAlignment="1">
      <alignment horizontal="center"/>
    </xf>
    <xf numFmtId="0" fontId="20" fillId="0" borderId="4" xfId="2" applyFont="1" applyBorder="1" applyAlignment="1" applyProtection="1">
      <alignment horizontal="left" vertical="center" wrapText="1"/>
      <protection locked="0"/>
    </xf>
    <xf numFmtId="0" fontId="22" fillId="0" borderId="4" xfId="9" applyNumberFormat="1" applyBorder="1" applyAlignment="1" applyProtection="1">
      <alignment horizontal="center" vertical="center" wrapText="1"/>
      <protection locked="0"/>
    </xf>
    <xf numFmtId="167" fontId="19" fillId="0" borderId="25" xfId="2" applyNumberFormat="1" applyBorder="1" applyAlignment="1" applyProtection="1">
      <alignment horizontal="center" vertical="center"/>
    </xf>
    <xf numFmtId="2" fontId="4" fillId="0" borderId="3" xfId="0" applyNumberFormat="1" applyFont="1" applyBorder="1" applyAlignment="1">
      <alignment horizontal="center"/>
    </xf>
    <xf numFmtId="2" fontId="7" fillId="0" borderId="5" xfId="0" applyNumberFormat="1" applyFont="1" applyBorder="1" applyAlignment="1">
      <alignment horizontal="center"/>
    </xf>
    <xf numFmtId="2" fontId="7" fillId="0" borderId="5" xfId="0" applyNumberFormat="1" applyFont="1" applyBorder="1" applyAlignment="1">
      <alignment horizontal="center" vertical="center"/>
    </xf>
    <xf numFmtId="2" fontId="10" fillId="0" borderId="8" xfId="0" applyNumberFormat="1" applyFont="1" applyBorder="1" applyAlignment="1">
      <alignment horizontal="center"/>
    </xf>
    <xf numFmtId="2" fontId="12" fillId="10" borderId="5" xfId="0" applyNumberFormat="1" applyFont="1" applyFill="1" applyBorder="1"/>
    <xf numFmtId="2" fontId="5" fillId="0" borderId="0" xfId="0" applyNumberFormat="1" applyFont="1" applyFill="1" applyBorder="1"/>
    <xf numFmtId="2" fontId="0" fillId="5" borderId="16" xfId="0" applyNumberFormat="1" applyFill="1" applyBorder="1"/>
    <xf numFmtId="4" fontId="0" fillId="0" borderId="0" xfId="0" applyNumberFormat="1"/>
    <xf numFmtId="2" fontId="47" fillId="12" borderId="0" xfId="0" applyNumberFormat="1" applyFont="1" applyFill="1" applyBorder="1" applyAlignment="1">
      <alignment horizontal="center"/>
    </xf>
    <xf numFmtId="2" fontId="47" fillId="12" borderId="5" xfId="0" applyNumberFormat="1" applyFont="1" applyFill="1" applyBorder="1" applyAlignment="1">
      <alignment horizontal="center"/>
    </xf>
    <xf numFmtId="2" fontId="47" fillId="0" borderId="0" xfId="0" applyNumberFormat="1" applyFont="1" applyFill="1" applyBorder="1" applyAlignment="1">
      <alignment horizontal="center"/>
    </xf>
    <xf numFmtId="2" fontId="47" fillId="0" borderId="5" xfId="0" applyNumberFormat="1" applyFont="1" applyFill="1" applyBorder="1" applyAlignment="1">
      <alignment horizontal="center"/>
    </xf>
    <xf numFmtId="2" fontId="47" fillId="5" borderId="0" xfId="0" applyNumberFormat="1" applyFont="1" applyFill="1" applyBorder="1" applyAlignment="1">
      <alignment horizontal="center"/>
    </xf>
    <xf numFmtId="2" fontId="47" fillId="5" borderId="5" xfId="0" applyNumberFormat="1" applyFont="1" applyFill="1" applyBorder="1" applyAlignment="1">
      <alignment horizontal="center"/>
    </xf>
    <xf numFmtId="2" fontId="47" fillId="8" borderId="0" xfId="0" applyNumberFormat="1" applyFont="1" applyFill="1" applyBorder="1" applyAlignment="1">
      <alignment horizontal="center"/>
    </xf>
    <xf numFmtId="2" fontId="48" fillId="8" borderId="5" xfId="0" applyNumberFormat="1" applyFont="1" applyFill="1" applyBorder="1" applyAlignment="1">
      <alignment horizontal="center"/>
    </xf>
    <xf numFmtId="2" fontId="48" fillId="8" borderId="0" xfId="0" applyNumberFormat="1" applyFont="1" applyFill="1" applyBorder="1" applyAlignment="1">
      <alignment horizontal="center"/>
    </xf>
    <xf numFmtId="2" fontId="48" fillId="0" borderId="0" xfId="0" applyNumberFormat="1" applyFont="1" applyBorder="1" applyAlignment="1">
      <alignment horizontal="center"/>
    </xf>
    <xf numFmtId="2" fontId="48" fillId="6" borderId="0" xfId="0" applyNumberFormat="1" applyFont="1" applyFill="1" applyBorder="1" applyAlignment="1">
      <alignment horizontal="center"/>
    </xf>
    <xf numFmtId="2" fontId="48" fillId="12" borderId="0" xfId="0" applyNumberFormat="1" applyFont="1" applyFill="1" applyBorder="1" applyAlignment="1">
      <alignment horizontal="center"/>
    </xf>
    <xf numFmtId="2" fontId="48" fillId="11" borderId="0" xfId="0" applyNumberFormat="1" applyFont="1" applyFill="1" applyBorder="1" applyAlignment="1">
      <alignment horizontal="center"/>
    </xf>
    <xf numFmtId="2" fontId="0" fillId="6" borderId="14" xfId="0" applyNumberFormat="1" applyFill="1" applyBorder="1" applyAlignment="1">
      <alignment horizontal="center"/>
    </xf>
    <xf numFmtId="0" fontId="0" fillId="6" borderId="14" xfId="0" applyFill="1" applyBorder="1" applyAlignment="1">
      <alignment horizontal="center"/>
    </xf>
    <xf numFmtId="0" fontId="12" fillId="11" borderId="16" xfId="0" applyFont="1" applyFill="1" applyBorder="1" applyAlignment="1">
      <alignment horizontal="center"/>
    </xf>
    <xf numFmtId="2" fontId="47" fillId="0" borderId="5" xfId="0" applyNumberFormat="1" applyFont="1" applyBorder="1" applyAlignment="1">
      <alignment horizontal="center"/>
    </xf>
    <xf numFmtId="2" fontId="47" fillId="6" borderId="5" xfId="0" applyNumberFormat="1" applyFont="1" applyFill="1" applyBorder="1" applyAlignment="1">
      <alignment horizontal="center"/>
    </xf>
    <xf numFmtId="2" fontId="47" fillId="11" borderId="5" xfId="0" applyNumberFormat="1" applyFont="1" applyFill="1" applyBorder="1" applyAlignment="1">
      <alignment horizontal="center"/>
    </xf>
    <xf numFmtId="0" fontId="12" fillId="8" borderId="15" xfId="0" applyFont="1" applyFill="1" applyBorder="1" applyAlignment="1">
      <alignment horizontal="center"/>
    </xf>
    <xf numFmtId="2" fontId="49" fillId="9" borderId="5" xfId="0" applyNumberFormat="1" applyFont="1" applyFill="1" applyBorder="1"/>
    <xf numFmtId="2" fontId="49" fillId="9" borderId="5" xfId="0" applyNumberFormat="1" applyFont="1" applyFill="1" applyBorder="1" applyAlignment="1">
      <alignment horizontal="center"/>
    </xf>
    <xf numFmtId="2" fontId="47" fillId="2" borderId="5" xfId="0" applyNumberFormat="1" applyFont="1" applyFill="1" applyBorder="1" applyAlignment="1">
      <alignment horizontal="center"/>
    </xf>
    <xf numFmtId="2" fontId="47" fillId="0" borderId="5" xfId="0" applyNumberFormat="1" applyFont="1" applyBorder="1"/>
    <xf numFmtId="2" fontId="47" fillId="8" borderId="5" xfId="0" applyNumberFormat="1" applyFont="1" applyFill="1" applyBorder="1" applyAlignment="1">
      <alignment horizontal="center"/>
    </xf>
    <xf numFmtId="2" fontId="49" fillId="9" borderId="0" xfId="0" applyNumberFormat="1" applyFont="1" applyFill="1" applyBorder="1"/>
    <xf numFmtId="2" fontId="49" fillId="9" borderId="0" xfId="0" applyNumberFormat="1" applyFont="1" applyFill="1" applyBorder="1" applyAlignment="1">
      <alignment horizontal="center"/>
    </xf>
    <xf numFmtId="2" fontId="48" fillId="2" borderId="0" xfId="0" applyNumberFormat="1" applyFont="1" applyFill="1" applyBorder="1" applyAlignment="1">
      <alignment horizontal="center"/>
    </xf>
    <xf numFmtId="2" fontId="48" fillId="0" borderId="0" xfId="0" applyNumberFormat="1" applyFont="1" applyBorder="1"/>
    <xf numFmtId="2" fontId="12" fillId="11" borderId="14" xfId="0" applyNumberFormat="1" applyFont="1" applyFill="1" applyBorder="1" applyAlignment="1">
      <alignment horizontal="center" vertical="center"/>
    </xf>
    <xf numFmtId="0" fontId="12" fillId="11" borderId="14" xfId="0" applyFont="1" applyFill="1" applyBorder="1" applyAlignment="1">
      <alignment horizontal="center" vertical="center"/>
    </xf>
    <xf numFmtId="2" fontId="12" fillId="11" borderId="5" xfId="0" applyNumberFormat="1" applyFont="1" applyFill="1" applyBorder="1" applyAlignment="1">
      <alignment horizontal="center" vertical="center"/>
    </xf>
    <xf numFmtId="0" fontId="12" fillId="11" borderId="16" xfId="0" applyFont="1" applyFill="1" applyBorder="1" applyAlignment="1">
      <alignment horizontal="center" vertical="center"/>
    </xf>
    <xf numFmtId="0" fontId="12" fillId="11" borderId="5" xfId="0" applyFont="1" applyFill="1" applyBorder="1" applyAlignment="1">
      <alignment horizontal="center" vertical="center"/>
    </xf>
    <xf numFmtId="2" fontId="48" fillId="0" borderId="0" xfId="0" applyNumberFormat="1" applyFont="1" applyFill="1" applyBorder="1" applyAlignment="1">
      <alignment horizontal="center" vertical="center"/>
    </xf>
    <xf numFmtId="2" fontId="47" fillId="0" borderId="5" xfId="0" applyNumberFormat="1" applyFont="1" applyFill="1" applyBorder="1" applyAlignment="1">
      <alignment horizontal="center" vertical="center"/>
    </xf>
    <xf numFmtId="2" fontId="48" fillId="9" borderId="0" xfId="0" applyNumberFormat="1" applyFont="1" applyFill="1" applyBorder="1" applyAlignment="1">
      <alignment horizontal="center" vertical="center"/>
    </xf>
    <xf numFmtId="2" fontId="47" fillId="9" borderId="5" xfId="0" applyNumberFormat="1" applyFont="1" applyFill="1" applyBorder="1" applyAlignment="1">
      <alignment horizontal="center" vertical="center"/>
    </xf>
    <xf numFmtId="2" fontId="48" fillId="11" borderId="0" xfId="0" applyNumberFormat="1" applyFont="1" applyFill="1" applyBorder="1" applyAlignment="1">
      <alignment horizontal="center" vertical="center"/>
    </xf>
    <xf numFmtId="2" fontId="47" fillId="11" borderId="5" xfId="0" applyNumberFormat="1" applyFont="1" applyFill="1" applyBorder="1" applyAlignment="1">
      <alignment horizontal="center" vertical="center"/>
    </xf>
    <xf numFmtId="0" fontId="2" fillId="0" borderId="26" xfId="0" applyFont="1" applyFill="1" applyBorder="1" applyAlignment="1">
      <alignment horizontal="center"/>
    </xf>
    <xf numFmtId="0" fontId="2" fillId="0" borderId="27" xfId="0" applyFont="1" applyFill="1" applyBorder="1" applyAlignment="1">
      <alignment horizontal="center"/>
    </xf>
    <xf numFmtId="0" fontId="2" fillId="0" borderId="28" xfId="0" applyFont="1" applyFill="1" applyBorder="1" applyAlignment="1">
      <alignment horizontal="center"/>
    </xf>
    <xf numFmtId="0" fontId="4" fillId="0" borderId="13" xfId="0" applyFont="1" applyBorder="1" applyAlignment="1">
      <alignment horizontal="center"/>
    </xf>
    <xf numFmtId="0" fontId="4" fillId="0" borderId="0" xfId="0" applyFont="1" applyBorder="1" applyAlignment="1">
      <alignment horizontal="center"/>
    </xf>
    <xf numFmtId="0" fontId="4" fillId="0" borderId="5" xfId="0" applyFont="1" applyBorder="1" applyAlignment="1">
      <alignment horizontal="center"/>
    </xf>
    <xf numFmtId="165" fontId="8" fillId="0" borderId="4" xfId="0" applyNumberFormat="1" applyFont="1" applyBorder="1" applyAlignment="1">
      <alignment horizontal="center"/>
    </xf>
    <xf numFmtId="165" fontId="8" fillId="0" borderId="0" xfId="0" applyNumberFormat="1" applyFont="1" applyBorder="1" applyAlignment="1">
      <alignment horizontal="center"/>
    </xf>
    <xf numFmtId="0" fontId="13" fillId="3" borderId="1" xfId="0" applyFont="1" applyFill="1" applyBorder="1" applyAlignment="1">
      <alignment horizontal="center" vertical="center"/>
    </xf>
    <xf numFmtId="0" fontId="13" fillId="3" borderId="9"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22" xfId="0" applyFont="1" applyFill="1" applyBorder="1" applyAlignment="1">
      <alignment horizontal="center" vertical="center"/>
    </xf>
    <xf numFmtId="0" fontId="8" fillId="4" borderId="11" xfId="0" applyFont="1" applyFill="1" applyBorder="1" applyAlignment="1">
      <alignment horizontal="center"/>
    </xf>
    <xf numFmtId="0" fontId="8" fillId="4" borderId="2" xfId="0" applyFont="1" applyFill="1" applyBorder="1" applyAlignment="1">
      <alignment horizontal="center"/>
    </xf>
    <xf numFmtId="0" fontId="6" fillId="0" borderId="1"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0" xfId="0" applyFont="1" applyBorder="1" applyAlignment="1">
      <alignment horizontal="center"/>
    </xf>
    <xf numFmtId="2" fontId="6" fillId="0" borderId="1" xfId="0" applyNumberFormat="1" applyFont="1" applyBorder="1" applyAlignment="1">
      <alignment horizontal="center"/>
    </xf>
    <xf numFmtId="2" fontId="6" fillId="0" borderId="2" xfId="0" applyNumberFormat="1" applyFont="1" applyBorder="1" applyAlignment="1">
      <alignment horizontal="center"/>
    </xf>
    <xf numFmtId="2" fontId="6" fillId="0" borderId="3" xfId="0" applyNumberFormat="1" applyFont="1" applyBorder="1" applyAlignment="1">
      <alignment horizontal="center"/>
    </xf>
    <xf numFmtId="2" fontId="6" fillId="0" borderId="4" xfId="0" applyNumberFormat="1" applyFont="1" applyBorder="1" applyAlignment="1">
      <alignment horizontal="center"/>
    </xf>
    <xf numFmtId="2" fontId="6" fillId="0" borderId="0" xfId="0" applyNumberFormat="1" applyFont="1" applyBorder="1" applyAlignment="1">
      <alignment horizontal="center"/>
    </xf>
    <xf numFmtId="2" fontId="8" fillId="0" borderId="4" xfId="0" applyNumberFormat="1" applyFont="1" applyBorder="1" applyAlignment="1">
      <alignment horizontal="center"/>
    </xf>
    <xf numFmtId="2" fontId="8" fillId="0" borderId="0" xfId="0" applyNumberFormat="1" applyFont="1" applyBorder="1" applyAlignment="1">
      <alignment horizontal="center"/>
    </xf>
    <xf numFmtId="0" fontId="18" fillId="0" borderId="2" xfId="2" applyFont="1" applyBorder="1" applyAlignment="1" applyProtection="1">
      <alignment horizontal="center"/>
    </xf>
    <xf numFmtId="0" fontId="18" fillId="0" borderId="3" xfId="2" applyFont="1" applyBorder="1" applyAlignment="1" applyProtection="1">
      <alignment horizontal="center"/>
    </xf>
    <xf numFmtId="0" fontId="33" fillId="0" borderId="1" xfId="1" applyFont="1" applyBorder="1" applyAlignment="1" applyProtection="1">
      <alignment horizontal="center"/>
    </xf>
    <xf numFmtId="0" fontId="33" fillId="0" borderId="2" xfId="1" applyFont="1" applyBorder="1" applyAlignment="1" applyProtection="1">
      <alignment horizontal="center"/>
    </xf>
    <xf numFmtId="1" fontId="33" fillId="0" borderId="1" xfId="3" applyNumberFormat="1" applyFont="1" applyBorder="1" applyAlignment="1" applyProtection="1">
      <alignment horizontal="center"/>
    </xf>
    <xf numFmtId="1" fontId="33" fillId="0" borderId="2" xfId="3" applyNumberFormat="1" applyFont="1" applyBorder="1" applyAlignment="1" applyProtection="1">
      <alignment horizontal="center"/>
    </xf>
    <xf numFmtId="1" fontId="33" fillId="0" borderId="3" xfId="3" applyNumberFormat="1" applyFont="1" applyBorder="1" applyAlignment="1" applyProtection="1">
      <alignment horizontal="center"/>
    </xf>
    <xf numFmtId="0" fontId="36" fillId="0" borderId="13" xfId="13" applyFont="1" applyBorder="1" applyAlignment="1" applyProtection="1">
      <alignment horizontal="center"/>
    </xf>
    <xf numFmtId="0" fontId="36" fillId="0" borderId="0" xfId="13" applyFont="1" applyBorder="1" applyAlignment="1" applyProtection="1">
      <alignment horizontal="center"/>
    </xf>
    <xf numFmtId="0" fontId="36" fillId="0" borderId="14" xfId="13" applyFont="1" applyBorder="1" applyAlignment="1" applyProtection="1">
      <alignment horizontal="center"/>
    </xf>
    <xf numFmtId="168" fontId="36" fillId="0" borderId="13" xfId="13" applyNumberFormat="1" applyFont="1" applyBorder="1" applyAlignment="1" applyProtection="1">
      <alignment horizontal="center"/>
    </xf>
    <xf numFmtId="168" fontId="36" fillId="0" borderId="0" xfId="13" applyNumberFormat="1" applyFont="1" applyBorder="1" applyAlignment="1" applyProtection="1">
      <alignment horizontal="center"/>
    </xf>
    <xf numFmtId="168" fontId="36" fillId="0" borderId="14" xfId="13" applyNumberFormat="1" applyFont="1" applyBorder="1" applyAlignment="1" applyProtection="1">
      <alignment horizontal="center"/>
    </xf>
    <xf numFmtId="2" fontId="33" fillId="0" borderId="1" xfId="4" applyNumberFormat="1" applyFont="1" applyBorder="1" applyAlignment="1" applyProtection="1">
      <alignment horizontal="center"/>
    </xf>
    <xf numFmtId="2" fontId="33" fillId="0" borderId="3" xfId="4" applyNumberFormat="1" applyFont="1" applyBorder="1" applyAlignment="1" applyProtection="1">
      <alignment horizontal="center"/>
    </xf>
    <xf numFmtId="0" fontId="33" fillId="0" borderId="3" xfId="1" applyFont="1" applyBorder="1" applyAlignment="1" applyProtection="1">
      <alignment horizontal="center"/>
    </xf>
    <xf numFmtId="2" fontId="33" fillId="0" borderId="2" xfId="4" applyNumberFormat="1" applyFont="1" applyBorder="1" applyAlignment="1" applyProtection="1">
      <alignment horizontal="center"/>
    </xf>
  </cellXfs>
  <cellStyles count="14">
    <cellStyle name="??0" xfId="8" xr:uid="{00000000-0005-0000-0000-000000000000}"/>
    <cellStyle name="0.000" xfId="4" xr:uid="{00000000-0005-0000-0000-000001000000}"/>
    <cellStyle name="hel8" xfId="5" xr:uid="{00000000-0005-0000-0000-000002000000}"/>
    <cellStyle name="hel8 2" xfId="6" xr:uid="{00000000-0005-0000-0000-000003000000}"/>
    <cellStyle name="hel8 blue" xfId="3" xr:uid="{00000000-0005-0000-0000-000004000000}"/>
    <cellStyle name="hel8b_Snow Pit1" xfId="1" xr:uid="{00000000-0005-0000-0000-000005000000}"/>
    <cellStyle name="McCall" xfId="10" xr:uid="{00000000-0005-0000-0000-000006000000}"/>
    <cellStyle name="Normal" xfId="0" builtinId="0"/>
    <cellStyle name="Normal 2" xfId="11" xr:uid="{8FE63DF2-758E-47F3-8640-7CA91A3FCAA4}"/>
    <cellStyle name="Normal 2 3" xfId="2" xr:uid="{00000000-0005-0000-0000-000008000000}"/>
    <cellStyle name="Normal 4" xfId="7" xr:uid="{00000000-0005-0000-0000-000009000000}"/>
    <cellStyle name="Normal 4 2" xfId="12" xr:uid="{C8F82B9C-A566-49A0-87BF-52C81F8028A8}"/>
    <cellStyle name="Normal_C-snowpits" xfId="13" xr:uid="{43231EDC-EA03-4DA3-A045-3BE72EE39230}"/>
    <cellStyle name="Probes" xfId="9" xr:uid="{00000000-0005-0000-0000-00000B000000}"/>
  </cellStyles>
  <dxfs count="12">
    <dxf>
      <font>
        <b/>
        <i val="0"/>
        <color rgb="FFC00000"/>
      </font>
    </dxf>
    <dxf>
      <font>
        <b/>
        <i val="0"/>
        <color rgb="FF0000FF"/>
      </font>
    </dxf>
    <dxf>
      <font>
        <b/>
        <i val="0"/>
        <color rgb="FFC00000"/>
      </font>
    </dxf>
    <dxf>
      <font>
        <b/>
        <i val="0"/>
        <color rgb="FF0000FF"/>
      </font>
    </dxf>
    <dxf>
      <font>
        <b/>
        <i val="0"/>
        <color rgb="FFC00000"/>
      </font>
    </dxf>
    <dxf>
      <font>
        <b/>
        <i val="0"/>
        <color rgb="FF0000FF"/>
      </font>
    </dxf>
    <dxf>
      <font>
        <b/>
        <i val="0"/>
        <color rgb="FFC00000"/>
      </font>
    </dxf>
    <dxf>
      <font>
        <b/>
        <i val="0"/>
        <color rgb="FF0000FF"/>
      </font>
    </dxf>
    <dxf>
      <font>
        <b/>
        <i val="0"/>
        <color rgb="FFC00000"/>
      </font>
    </dxf>
    <dxf>
      <font>
        <b/>
        <i val="0"/>
        <color rgb="FF0000FF"/>
      </font>
    </dxf>
    <dxf>
      <font>
        <b/>
        <i val="0"/>
        <color rgb="FFC00000"/>
      </font>
    </dxf>
    <dxf>
      <font>
        <b/>
        <i val="0"/>
        <color rgb="FF0000FF"/>
      </font>
    </dxf>
  </dxfs>
  <tableStyles count="0" defaultTableStyle="TableStyleMedium2" defaultPivotStyle="PivotStyleLight16"/>
  <colors>
    <mruColors>
      <color rgb="FFFFCCCC"/>
      <color rgb="FFCC99FF"/>
      <color rgb="FFFFCC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 Id="rId27"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1664260717410319E-2"/>
          <c:y val="2.5428331875182269E-2"/>
          <c:w val="0.8585579615048119"/>
          <c:h val="0.8416746864975212"/>
        </c:manualLayout>
      </c:layout>
      <c:scatterChart>
        <c:scatterStyle val="lineMarker"/>
        <c:varyColors val="0"/>
        <c:ser>
          <c:idx val="0"/>
          <c:order val="0"/>
          <c:tx>
            <c:v>bw</c:v>
          </c:tx>
          <c:spPr>
            <a:ln w="25400" cap="rnd">
              <a:noFill/>
              <a:round/>
            </a:ln>
            <a:effectLst/>
          </c:spPr>
          <c:marker>
            <c:symbol val="circle"/>
            <c:size val="5"/>
            <c:spPr>
              <a:solidFill>
                <a:schemeClr val="accent1"/>
              </a:solidFill>
              <a:ln w="9525">
                <a:solidFill>
                  <a:schemeClr val="accent1"/>
                </a:solidFill>
              </a:ln>
              <a:effectLst/>
            </c:spPr>
          </c:marker>
          <c:xVal>
            <c:numRef>
              <c:f>'Stake Summary'!$E$4:$E$12</c:f>
              <c:numCache>
                <c:formatCode>0</c:formatCode>
                <c:ptCount val="9"/>
                <c:pt idx="0">
                  <c:v>649.23450000000003</c:v>
                </c:pt>
                <c:pt idx="1">
                  <c:v>993.50274999999999</c:v>
                </c:pt>
                <c:pt idx="2">
                  <c:v>1050.7671666666668</c:v>
                </c:pt>
                <c:pt idx="3">
                  <c:v>1231.0920000000001</c:v>
                </c:pt>
                <c:pt idx="4">
                  <c:v>1292.85625</c:v>
                </c:pt>
                <c:pt idx="5">
                  <c:v>1347.8404999999998</c:v>
                </c:pt>
                <c:pt idx="6">
                  <c:v>1368.4267499999999</c:v>
                </c:pt>
                <c:pt idx="7">
                  <c:v>1365.9090000000001</c:v>
                </c:pt>
              </c:numCache>
            </c:numRef>
          </c:xVal>
          <c:yVal>
            <c:numRef>
              <c:f>'Stake Summary'!$F$4:$F$12</c:f>
              <c:numCache>
                <c:formatCode>0.00</c:formatCode>
                <c:ptCount val="9"/>
                <c:pt idx="0">
                  <c:v>0.90523052605801568</c:v>
                </c:pt>
                <c:pt idx="1">
                  <c:v>1.0590921399693825</c:v>
                </c:pt>
                <c:pt idx="2">
                  <c:v>1.2532177490529783</c:v>
                </c:pt>
                <c:pt idx="3" formatCode="#,##0.00">
                  <c:v>2.3504535631893995</c:v>
                </c:pt>
                <c:pt idx="4">
                  <c:v>2.1016342823980834</c:v>
                </c:pt>
                <c:pt idx="5">
                  <c:v>2.6022898370826288</c:v>
                </c:pt>
                <c:pt idx="6">
                  <c:v>1.8942352356044505</c:v>
                </c:pt>
                <c:pt idx="7">
                  <c:v>2.4497827908565033</c:v>
                </c:pt>
              </c:numCache>
            </c:numRef>
          </c:yVal>
          <c:smooth val="0"/>
          <c:extLst>
            <c:ext xmlns:c16="http://schemas.microsoft.com/office/drawing/2014/chart" uri="{C3380CC4-5D6E-409C-BE32-E72D297353CC}">
              <c16:uniqueId val="{00000000-3A88-4653-815C-2FE376187603}"/>
            </c:ext>
          </c:extLst>
        </c:ser>
        <c:ser>
          <c:idx val="1"/>
          <c:order val="1"/>
          <c:tx>
            <c:v>ba</c:v>
          </c:tx>
          <c:spPr>
            <a:ln w="25400" cap="rnd">
              <a:noFill/>
              <a:round/>
            </a:ln>
            <a:effectLst/>
          </c:spPr>
          <c:marker>
            <c:symbol val="circle"/>
            <c:size val="5"/>
            <c:spPr>
              <a:solidFill>
                <a:schemeClr val="accent2"/>
              </a:solidFill>
              <a:ln w="9525">
                <a:solidFill>
                  <a:schemeClr val="accent2"/>
                </a:solidFill>
              </a:ln>
              <a:effectLst/>
            </c:spPr>
          </c:marker>
          <c:xVal>
            <c:numRef>
              <c:f>'Stake Summary'!$E$4:$E$11</c:f>
              <c:numCache>
                <c:formatCode>0</c:formatCode>
                <c:ptCount val="8"/>
                <c:pt idx="0">
                  <c:v>649.23450000000003</c:v>
                </c:pt>
                <c:pt idx="1">
                  <c:v>993.50274999999999</c:v>
                </c:pt>
                <c:pt idx="2">
                  <c:v>1050.7671666666668</c:v>
                </c:pt>
                <c:pt idx="3">
                  <c:v>1231.0920000000001</c:v>
                </c:pt>
                <c:pt idx="4">
                  <c:v>1292.85625</c:v>
                </c:pt>
                <c:pt idx="5">
                  <c:v>1347.8404999999998</c:v>
                </c:pt>
                <c:pt idx="6">
                  <c:v>1368.4267499999999</c:v>
                </c:pt>
                <c:pt idx="7">
                  <c:v>1365.9090000000001</c:v>
                </c:pt>
              </c:numCache>
            </c:numRef>
          </c:xVal>
          <c:yVal>
            <c:numRef>
              <c:f>'Stake Summary'!$G$4:$G$11</c:f>
              <c:numCache>
                <c:formatCode>0.00</c:formatCode>
                <c:ptCount val="8"/>
                <c:pt idx="0" formatCode="#,##0.00">
                  <c:v>-4.4505000000000008</c:v>
                </c:pt>
                <c:pt idx="1">
                  <c:v>-2.3546250000000004</c:v>
                </c:pt>
                <c:pt idx="2">
                  <c:v>-1.8528000000000002</c:v>
                </c:pt>
                <c:pt idx="3" formatCode="#,##0.00">
                  <c:v>7.7773018252778367E-2</c:v>
                </c:pt>
                <c:pt idx="4">
                  <c:v>0.57363961189603085</c:v>
                </c:pt>
                <c:pt idx="5">
                  <c:v>1.2198000000000002</c:v>
                </c:pt>
                <c:pt idx="6">
                  <c:v>0.461335403726708</c:v>
                </c:pt>
                <c:pt idx="7">
                  <c:v>1.4933999999999998</c:v>
                </c:pt>
              </c:numCache>
            </c:numRef>
          </c:yVal>
          <c:smooth val="0"/>
          <c:extLst>
            <c:ext xmlns:c16="http://schemas.microsoft.com/office/drawing/2014/chart" uri="{C3380CC4-5D6E-409C-BE32-E72D297353CC}">
              <c16:uniqueId val="{00000000-0850-486B-B5B6-D1D40E7BBD72}"/>
            </c:ext>
          </c:extLst>
        </c:ser>
        <c:dLbls>
          <c:showLegendKey val="0"/>
          <c:showVal val="0"/>
          <c:showCatName val="0"/>
          <c:showSerName val="0"/>
          <c:showPercent val="0"/>
          <c:showBubbleSize val="0"/>
        </c:dLbls>
        <c:axId val="641114016"/>
        <c:axId val="641108768"/>
      </c:scatterChart>
      <c:valAx>
        <c:axId val="6411140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108768"/>
        <c:crosses val="autoZero"/>
        <c:crossBetween val="midCat"/>
      </c:valAx>
      <c:valAx>
        <c:axId val="6411087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1140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title>
    <c:autoTitleDeleted val="0"/>
    <c:plotArea>
      <c:layout>
        <c:manualLayout>
          <c:layoutTarget val="inner"/>
          <c:xMode val="edge"/>
          <c:yMode val="edge"/>
          <c:x val="0.14497462817147858"/>
          <c:y val="0.1771143190434529"/>
          <c:w val="0.66843460192475945"/>
          <c:h val="0.77148512685914261"/>
        </c:manualLayout>
      </c:layout>
      <c:scatterChart>
        <c:scatterStyle val="smoothMarker"/>
        <c:varyColors val="0"/>
        <c:ser>
          <c:idx val="0"/>
          <c:order val="0"/>
          <c:tx>
            <c:v>pit</c:v>
          </c:tx>
          <c:spPr>
            <a:ln w="12700">
              <a:solidFill>
                <a:schemeClr val="tx1"/>
              </a:solidFill>
            </a:ln>
          </c:spPr>
          <c:marker>
            <c:symbol val="circle"/>
            <c:size val="5"/>
            <c:spPr>
              <a:solidFill>
                <a:schemeClr val="tx1"/>
              </a:solidFill>
              <a:ln>
                <a:noFill/>
              </a:ln>
            </c:spPr>
          </c:marker>
          <c:xVal>
            <c:numRef>
              <c:f>SiteAUU_Pit_20240427!$G$13:$G$27</c:f>
              <c:numCache>
                <c:formatCode>0.00</c:formatCode>
                <c:ptCount val="15"/>
                <c:pt idx="0">
                  <c:v>0.50207039337474124</c:v>
                </c:pt>
                <c:pt idx="1">
                  <c:v>0.59523809523809523</c:v>
                </c:pt>
                <c:pt idx="2">
                  <c:v>0.50207039337474124</c:v>
                </c:pt>
                <c:pt idx="3">
                  <c:v>0.46583850931677018</c:v>
                </c:pt>
                <c:pt idx="4">
                  <c:v>0.46066252587991718</c:v>
                </c:pt>
                <c:pt idx="5">
                  <c:v>0.55900621118012417</c:v>
                </c:pt>
                <c:pt idx="6">
                  <c:v>0.48654244306418221</c:v>
                </c:pt>
                <c:pt idx="7">
                  <c:v>0.50724637681159424</c:v>
                </c:pt>
                <c:pt idx="8">
                  <c:v>0.55900621118012417</c:v>
                </c:pt>
                <c:pt idx="9">
                  <c:v>0.48654244306418221</c:v>
                </c:pt>
                <c:pt idx="10">
                  <c:v>0.56935817805383027</c:v>
                </c:pt>
                <c:pt idx="11">
                  <c:v>0.52795031055900621</c:v>
                </c:pt>
                <c:pt idx="12">
                  <c:v>0.55383022774327118</c:v>
                </c:pt>
                <c:pt idx="13">
                  <c:v>0.41407867494824019</c:v>
                </c:pt>
                <c:pt idx="14">
                  <c:v>0.55900621118012417</c:v>
                </c:pt>
              </c:numCache>
            </c:numRef>
          </c:xVal>
          <c:yVal>
            <c:numRef>
              <c:f>SiteAUU_Pit_20240427!$C$13:$C$27</c:f>
              <c:numCache>
                <c:formatCode>??0</c:formatCode>
                <c:ptCount val="15"/>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numCache>
            </c:numRef>
          </c:yVal>
          <c:smooth val="1"/>
          <c:extLst>
            <c:ext xmlns:c16="http://schemas.microsoft.com/office/drawing/2014/chart" uri="{C3380CC4-5D6E-409C-BE32-E72D297353CC}">
              <c16:uniqueId val="{00000000-5A4B-4433-B43B-F264BDED588A}"/>
            </c:ext>
          </c:extLst>
        </c:ser>
        <c:dLbls>
          <c:showLegendKey val="0"/>
          <c:showVal val="0"/>
          <c:showCatName val="0"/>
          <c:showSerName val="0"/>
          <c:showPercent val="0"/>
          <c:showBubbleSize val="0"/>
        </c:dLbls>
        <c:axId val="134765952"/>
        <c:axId val="134805376"/>
      </c:scatterChart>
      <c:valAx>
        <c:axId val="134765952"/>
        <c:scaling>
          <c:orientation val="minMax"/>
        </c:scaling>
        <c:delete val="0"/>
        <c:axPos val="t"/>
        <c:title>
          <c:tx>
            <c:rich>
              <a:bodyPr/>
              <a:lstStyle/>
              <a:p>
                <a:pPr>
                  <a:defRPr sz="1200"/>
                </a:pPr>
                <a:r>
                  <a:rPr lang="en-US" sz="1200"/>
                  <a:t>Density (g/cm^3)</a:t>
                </a:r>
              </a:p>
            </c:rich>
          </c:tx>
          <c:layout>
            <c:manualLayout>
              <c:xMode val="edge"/>
              <c:yMode val="edge"/>
              <c:x val="0.41898359580052491"/>
              <c:y val="1.3888888888888888E-2"/>
            </c:manualLayout>
          </c:layout>
          <c:overlay val="0"/>
        </c:title>
        <c:numFmt formatCode="0.00" sourceLinked="1"/>
        <c:majorTickMark val="in"/>
        <c:minorTickMark val="none"/>
        <c:tickLblPos val="nextTo"/>
        <c:crossAx val="134805376"/>
        <c:crosses val="autoZero"/>
        <c:crossBetween val="midCat"/>
      </c:valAx>
      <c:valAx>
        <c:axId val="134805376"/>
        <c:scaling>
          <c:orientation val="maxMin"/>
        </c:scaling>
        <c:delete val="0"/>
        <c:axPos val="l"/>
        <c:majorGridlines>
          <c:spPr>
            <a:ln>
              <a:prstDash val="sysDash"/>
            </a:ln>
          </c:spPr>
        </c:majorGridlines>
        <c:title>
          <c:tx>
            <c:rich>
              <a:bodyPr rot="-5400000" vert="horz"/>
              <a:lstStyle/>
              <a:p>
                <a:pPr>
                  <a:defRPr sz="1200"/>
                </a:pPr>
                <a:r>
                  <a:rPr lang="en-US" sz="1200"/>
                  <a:t>Depth (cm)</a:t>
                </a:r>
              </a:p>
            </c:rich>
          </c:tx>
          <c:overlay val="0"/>
        </c:title>
        <c:numFmt formatCode="??0" sourceLinked="1"/>
        <c:majorTickMark val="in"/>
        <c:minorTickMark val="none"/>
        <c:tickLblPos val="nextTo"/>
        <c:crossAx val="134765952"/>
        <c:crosses val="autoZero"/>
        <c:crossBetween val="midCat"/>
      </c:valAx>
      <c:spPr>
        <a:ln>
          <a:solidFill>
            <a:schemeClr val="tx1"/>
          </a:solidFill>
          <a:prstDash val="solid"/>
        </a:ln>
      </c:spPr>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4497462817147858"/>
          <c:y val="0.1771143190434529"/>
          <c:w val="0.66843460192475945"/>
          <c:h val="0.77148512685914261"/>
        </c:manualLayout>
      </c:layout>
      <c:scatterChart>
        <c:scatterStyle val="smoothMarker"/>
        <c:varyColors val="0"/>
        <c:ser>
          <c:idx val="0"/>
          <c:order val="0"/>
          <c:tx>
            <c:v>pit</c:v>
          </c:tx>
          <c:spPr>
            <a:ln w="12700">
              <a:solidFill>
                <a:schemeClr val="tx1"/>
              </a:solidFill>
            </a:ln>
          </c:spPr>
          <c:marker>
            <c:symbol val="circle"/>
            <c:size val="5"/>
            <c:spPr>
              <a:solidFill>
                <a:schemeClr val="tx1"/>
              </a:solidFill>
              <a:ln>
                <a:noFill/>
              </a:ln>
            </c:spPr>
          </c:marker>
          <c:xVal>
            <c:numRef>
              <c:f>SiteB_PitCore_20240424!$P$13:$P$22</c:f>
              <c:numCache>
                <c:formatCode>0.00</c:formatCode>
                <c:ptCount val="10"/>
                <c:pt idx="0">
                  <c:v>0.31573498964803315</c:v>
                </c:pt>
                <c:pt idx="1">
                  <c:v>0.28467908902691513</c:v>
                </c:pt>
                <c:pt idx="2">
                  <c:v>0.35196687370600416</c:v>
                </c:pt>
                <c:pt idx="3">
                  <c:v>0.36231884057971014</c:v>
                </c:pt>
                <c:pt idx="4">
                  <c:v>0.36231884057971014</c:v>
                </c:pt>
                <c:pt idx="5">
                  <c:v>0.39855072463768115</c:v>
                </c:pt>
              </c:numCache>
            </c:numRef>
          </c:xVal>
          <c:yVal>
            <c:numRef>
              <c:f>SiteB_PitCore_20240424!$C$13:$C$22</c:f>
              <c:numCache>
                <c:formatCode>??0</c:formatCode>
                <c:ptCount val="10"/>
                <c:pt idx="0">
                  <c:v>10</c:v>
                </c:pt>
                <c:pt idx="1">
                  <c:v>20</c:v>
                </c:pt>
                <c:pt idx="2">
                  <c:v>30</c:v>
                </c:pt>
                <c:pt idx="3">
                  <c:v>40</c:v>
                </c:pt>
                <c:pt idx="4">
                  <c:v>50</c:v>
                </c:pt>
                <c:pt idx="5">
                  <c:v>60</c:v>
                </c:pt>
              </c:numCache>
            </c:numRef>
          </c:yVal>
          <c:smooth val="1"/>
          <c:extLst>
            <c:ext xmlns:c16="http://schemas.microsoft.com/office/drawing/2014/chart" uri="{C3380CC4-5D6E-409C-BE32-E72D297353CC}">
              <c16:uniqueId val="{00000000-57DA-41A4-B2A2-3F072D6DEBA2}"/>
            </c:ext>
          </c:extLst>
        </c:ser>
        <c:ser>
          <c:idx val="1"/>
          <c:order val="1"/>
          <c:tx>
            <c:v>core</c:v>
          </c:tx>
          <c:xVal>
            <c:numRef>
              <c:f>SiteB_PitCore_20240424!$P$25:$P$54</c:f>
              <c:numCache>
                <c:formatCode>0.00</c:formatCode>
                <c:ptCount val="30"/>
                <c:pt idx="0">
                  <c:v>0.42680718186210498</c:v>
                </c:pt>
                <c:pt idx="1">
                  <c:v>0.41030861364327076</c:v>
                </c:pt>
                <c:pt idx="2">
                  <c:v>0.44696742893162839</c:v>
                </c:pt>
                <c:pt idx="3">
                  <c:v>0.46004078456045872</c:v>
                </c:pt>
                <c:pt idx="4">
                  <c:v>0.46958824656442727</c:v>
                </c:pt>
              </c:numCache>
            </c:numRef>
          </c:xVal>
          <c:yVal>
            <c:numRef>
              <c:f>SiteB_PitCore_20240424!$C$25:$C$54</c:f>
              <c:numCache>
                <c:formatCode>??0</c:formatCode>
                <c:ptCount val="30"/>
                <c:pt idx="0">
                  <c:v>105.2</c:v>
                </c:pt>
                <c:pt idx="1">
                  <c:v>152</c:v>
                </c:pt>
                <c:pt idx="2">
                  <c:v>194</c:v>
                </c:pt>
                <c:pt idx="3">
                  <c:v>240</c:v>
                </c:pt>
                <c:pt idx="4">
                  <c:v>302</c:v>
                </c:pt>
              </c:numCache>
            </c:numRef>
          </c:yVal>
          <c:smooth val="1"/>
          <c:extLst>
            <c:ext xmlns:c16="http://schemas.microsoft.com/office/drawing/2014/chart" uri="{C3380CC4-5D6E-409C-BE32-E72D297353CC}">
              <c16:uniqueId val="{00000001-57DA-41A4-B2A2-3F072D6DEBA2}"/>
            </c:ext>
          </c:extLst>
        </c:ser>
        <c:ser>
          <c:idx val="2"/>
          <c:order val="2"/>
          <c:tx>
            <c:v>firn</c:v>
          </c:tx>
          <c:xVal>
            <c:numRef>
              <c:f>SiteB_PitCore_20240424!$P$52:$P$54</c:f>
              <c:numCache>
                <c:formatCode>0.00</c:formatCode>
                <c:ptCount val="3"/>
              </c:numCache>
            </c:numRef>
          </c:xVal>
          <c:yVal>
            <c:numRef>
              <c:f>SiteB_PitCore_20240424!$C$52:$C$54</c:f>
              <c:numCache>
                <c:formatCode>??0</c:formatCode>
                <c:ptCount val="3"/>
              </c:numCache>
            </c:numRef>
          </c:yVal>
          <c:smooth val="1"/>
          <c:extLst>
            <c:ext xmlns:c16="http://schemas.microsoft.com/office/drawing/2014/chart" uri="{C3380CC4-5D6E-409C-BE32-E72D297353CC}">
              <c16:uniqueId val="{00000002-57DA-41A4-B2A2-3F072D6DEBA2}"/>
            </c:ext>
          </c:extLst>
        </c:ser>
        <c:dLbls>
          <c:showLegendKey val="0"/>
          <c:showVal val="0"/>
          <c:showCatName val="0"/>
          <c:showSerName val="0"/>
          <c:showPercent val="0"/>
          <c:showBubbleSize val="0"/>
        </c:dLbls>
        <c:axId val="169062400"/>
        <c:axId val="169064320"/>
      </c:scatterChart>
      <c:valAx>
        <c:axId val="169062400"/>
        <c:scaling>
          <c:orientation val="minMax"/>
        </c:scaling>
        <c:delete val="0"/>
        <c:axPos val="t"/>
        <c:title>
          <c:tx>
            <c:rich>
              <a:bodyPr/>
              <a:lstStyle/>
              <a:p>
                <a:pPr>
                  <a:defRPr sz="1200"/>
                </a:pPr>
                <a:r>
                  <a:rPr lang="en-US" sz="1200"/>
                  <a:t>Density (g/cm^3)</a:t>
                </a:r>
              </a:p>
            </c:rich>
          </c:tx>
          <c:layout>
            <c:manualLayout>
              <c:xMode val="edge"/>
              <c:yMode val="edge"/>
              <c:x val="0.41898359580052491"/>
              <c:y val="1.3888888888888888E-2"/>
            </c:manualLayout>
          </c:layout>
          <c:overlay val="0"/>
        </c:title>
        <c:numFmt formatCode="0.00" sourceLinked="1"/>
        <c:majorTickMark val="in"/>
        <c:minorTickMark val="none"/>
        <c:tickLblPos val="nextTo"/>
        <c:crossAx val="169064320"/>
        <c:crosses val="autoZero"/>
        <c:crossBetween val="midCat"/>
      </c:valAx>
      <c:valAx>
        <c:axId val="169064320"/>
        <c:scaling>
          <c:orientation val="maxMin"/>
        </c:scaling>
        <c:delete val="0"/>
        <c:axPos val="l"/>
        <c:majorGridlines>
          <c:spPr>
            <a:ln>
              <a:prstDash val="sysDash"/>
            </a:ln>
          </c:spPr>
        </c:majorGridlines>
        <c:title>
          <c:tx>
            <c:rich>
              <a:bodyPr rot="-5400000" vert="horz"/>
              <a:lstStyle/>
              <a:p>
                <a:pPr>
                  <a:defRPr sz="1200"/>
                </a:pPr>
                <a:r>
                  <a:rPr lang="en-US" sz="1200"/>
                  <a:t>Depth (cm)</a:t>
                </a:r>
              </a:p>
            </c:rich>
          </c:tx>
          <c:overlay val="0"/>
        </c:title>
        <c:numFmt formatCode="??0" sourceLinked="1"/>
        <c:majorTickMark val="in"/>
        <c:minorTickMark val="none"/>
        <c:tickLblPos val="nextTo"/>
        <c:crossAx val="169062400"/>
        <c:crosses val="autoZero"/>
        <c:crossBetween val="midCat"/>
      </c:valAx>
      <c:spPr>
        <a:ln>
          <a:solidFill>
            <a:schemeClr val="tx1"/>
          </a:solidFill>
          <a:prstDash val="solid"/>
        </a:ln>
      </c:spPr>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4497462817147858"/>
          <c:y val="0.1771143190434529"/>
          <c:w val="0.66843460192475945"/>
          <c:h val="0.77148512685914261"/>
        </c:manualLayout>
      </c:layout>
      <c:scatterChart>
        <c:scatterStyle val="smoothMarker"/>
        <c:varyColors val="0"/>
        <c:ser>
          <c:idx val="0"/>
          <c:order val="0"/>
          <c:tx>
            <c:v>pit</c:v>
          </c:tx>
          <c:spPr>
            <a:ln w="12700">
              <a:solidFill>
                <a:schemeClr val="tx1"/>
              </a:solidFill>
            </a:ln>
          </c:spPr>
          <c:marker>
            <c:symbol val="circle"/>
            <c:size val="5"/>
            <c:spPr>
              <a:solidFill>
                <a:schemeClr val="tx1"/>
              </a:solidFill>
              <a:ln>
                <a:noFill/>
              </a:ln>
            </c:spPr>
          </c:marker>
          <c:xVal>
            <c:numRef>
              <c:f>SiteTU_PitCore_20240425!$P$13:$P$22</c:f>
              <c:numCache>
                <c:formatCode>0.00</c:formatCode>
                <c:ptCount val="10"/>
                <c:pt idx="0">
                  <c:v>0.32091097308488614</c:v>
                </c:pt>
                <c:pt idx="1">
                  <c:v>0.32608695652173914</c:v>
                </c:pt>
                <c:pt idx="2">
                  <c:v>0.2691511387163561</c:v>
                </c:pt>
                <c:pt idx="3">
                  <c:v>0.34161490683229812</c:v>
                </c:pt>
                <c:pt idx="4">
                  <c:v>0.34679089026915116</c:v>
                </c:pt>
              </c:numCache>
            </c:numRef>
          </c:xVal>
          <c:yVal>
            <c:numRef>
              <c:f>SiteTU_PitCore_20240425!$C$13:$C$22</c:f>
              <c:numCache>
                <c:formatCode>??0</c:formatCode>
                <c:ptCount val="10"/>
                <c:pt idx="0">
                  <c:v>10</c:v>
                </c:pt>
                <c:pt idx="1">
                  <c:v>20</c:v>
                </c:pt>
                <c:pt idx="2">
                  <c:v>30</c:v>
                </c:pt>
                <c:pt idx="3">
                  <c:v>40</c:v>
                </c:pt>
                <c:pt idx="4">
                  <c:v>50</c:v>
                </c:pt>
              </c:numCache>
            </c:numRef>
          </c:yVal>
          <c:smooth val="1"/>
          <c:extLst>
            <c:ext xmlns:c16="http://schemas.microsoft.com/office/drawing/2014/chart" uri="{C3380CC4-5D6E-409C-BE32-E72D297353CC}">
              <c16:uniqueId val="{00000000-FC1D-40EE-8476-EFF6F78F7F5F}"/>
            </c:ext>
          </c:extLst>
        </c:ser>
        <c:ser>
          <c:idx val="1"/>
          <c:order val="1"/>
          <c:tx>
            <c:v>core</c:v>
          </c:tx>
          <c:xVal>
            <c:numRef>
              <c:f>SiteTU_PitCore_20240425!$P$25:$P$54</c:f>
              <c:numCache>
                <c:formatCode>0.00</c:formatCode>
                <c:ptCount val="30"/>
                <c:pt idx="0">
                  <c:v>0.39188659425520544</c:v>
                </c:pt>
                <c:pt idx="1">
                  <c:v>0.42770418620326195</c:v>
                </c:pt>
                <c:pt idx="2">
                  <c:v>0.45720102663107309</c:v>
                </c:pt>
                <c:pt idx="3">
                  <c:v>0.44087241853710618</c:v>
                </c:pt>
                <c:pt idx="4">
                  <c:v>0.50253692675079298</c:v>
                </c:pt>
                <c:pt idx="5">
                  <c:v>0.4923703363719249</c:v>
                </c:pt>
                <c:pt idx="6">
                  <c:v>0.46762938138016125</c:v>
                </c:pt>
                <c:pt idx="7">
                  <c:v>0.50714735727144233</c:v>
                </c:pt>
              </c:numCache>
            </c:numRef>
          </c:xVal>
          <c:yVal>
            <c:numRef>
              <c:f>SiteTU_PitCore_20240425!$C$25:$C$54</c:f>
              <c:numCache>
                <c:formatCode>??0</c:formatCode>
                <c:ptCount val="30"/>
                <c:pt idx="0">
                  <c:v>127</c:v>
                </c:pt>
                <c:pt idx="1">
                  <c:v>219</c:v>
                </c:pt>
                <c:pt idx="2">
                  <c:v>258</c:v>
                </c:pt>
                <c:pt idx="3">
                  <c:v>298</c:v>
                </c:pt>
                <c:pt idx="4">
                  <c:v>338</c:v>
                </c:pt>
                <c:pt idx="5">
                  <c:v>377</c:v>
                </c:pt>
                <c:pt idx="6">
                  <c:v>439</c:v>
                </c:pt>
                <c:pt idx="7">
                  <c:v>456</c:v>
                </c:pt>
              </c:numCache>
            </c:numRef>
          </c:yVal>
          <c:smooth val="1"/>
          <c:extLst>
            <c:ext xmlns:c16="http://schemas.microsoft.com/office/drawing/2014/chart" uri="{C3380CC4-5D6E-409C-BE32-E72D297353CC}">
              <c16:uniqueId val="{00000001-FC1D-40EE-8476-EFF6F78F7F5F}"/>
            </c:ext>
          </c:extLst>
        </c:ser>
        <c:ser>
          <c:idx val="2"/>
          <c:order val="2"/>
          <c:tx>
            <c:v>firn</c:v>
          </c:tx>
          <c:xVal>
            <c:numRef>
              <c:f>SiteTU_PitCore_20240425!$P$52:$P$54</c:f>
              <c:numCache>
                <c:formatCode>0.00</c:formatCode>
                <c:ptCount val="3"/>
              </c:numCache>
            </c:numRef>
          </c:xVal>
          <c:yVal>
            <c:numRef>
              <c:f>SiteTU_PitCore_20240425!$C$52:$C$54</c:f>
              <c:numCache>
                <c:formatCode>??0</c:formatCode>
                <c:ptCount val="3"/>
              </c:numCache>
            </c:numRef>
          </c:yVal>
          <c:smooth val="1"/>
          <c:extLst>
            <c:ext xmlns:c16="http://schemas.microsoft.com/office/drawing/2014/chart" uri="{C3380CC4-5D6E-409C-BE32-E72D297353CC}">
              <c16:uniqueId val="{00000002-FC1D-40EE-8476-EFF6F78F7F5F}"/>
            </c:ext>
          </c:extLst>
        </c:ser>
        <c:dLbls>
          <c:showLegendKey val="0"/>
          <c:showVal val="0"/>
          <c:showCatName val="0"/>
          <c:showSerName val="0"/>
          <c:showPercent val="0"/>
          <c:showBubbleSize val="0"/>
        </c:dLbls>
        <c:axId val="169062400"/>
        <c:axId val="169064320"/>
      </c:scatterChart>
      <c:valAx>
        <c:axId val="169062400"/>
        <c:scaling>
          <c:orientation val="minMax"/>
        </c:scaling>
        <c:delete val="0"/>
        <c:axPos val="t"/>
        <c:title>
          <c:tx>
            <c:rich>
              <a:bodyPr/>
              <a:lstStyle/>
              <a:p>
                <a:pPr>
                  <a:defRPr sz="1200"/>
                </a:pPr>
                <a:r>
                  <a:rPr lang="en-US" sz="1200"/>
                  <a:t>Density (g/cm^3)</a:t>
                </a:r>
              </a:p>
            </c:rich>
          </c:tx>
          <c:layout>
            <c:manualLayout>
              <c:xMode val="edge"/>
              <c:yMode val="edge"/>
              <c:x val="0.41898359580052491"/>
              <c:y val="1.3888888888888888E-2"/>
            </c:manualLayout>
          </c:layout>
          <c:overlay val="0"/>
        </c:title>
        <c:numFmt formatCode="0.00" sourceLinked="1"/>
        <c:majorTickMark val="in"/>
        <c:minorTickMark val="none"/>
        <c:tickLblPos val="nextTo"/>
        <c:crossAx val="169064320"/>
        <c:crosses val="autoZero"/>
        <c:crossBetween val="midCat"/>
      </c:valAx>
      <c:valAx>
        <c:axId val="169064320"/>
        <c:scaling>
          <c:orientation val="maxMin"/>
        </c:scaling>
        <c:delete val="0"/>
        <c:axPos val="l"/>
        <c:majorGridlines>
          <c:spPr>
            <a:ln>
              <a:prstDash val="sysDash"/>
            </a:ln>
          </c:spPr>
        </c:majorGridlines>
        <c:title>
          <c:tx>
            <c:rich>
              <a:bodyPr rot="-5400000" vert="horz"/>
              <a:lstStyle/>
              <a:p>
                <a:pPr>
                  <a:defRPr sz="1200"/>
                </a:pPr>
                <a:r>
                  <a:rPr lang="en-US" sz="1200"/>
                  <a:t>Depth (cm)</a:t>
                </a:r>
              </a:p>
            </c:rich>
          </c:tx>
          <c:overlay val="0"/>
        </c:title>
        <c:numFmt formatCode="??0" sourceLinked="1"/>
        <c:majorTickMark val="in"/>
        <c:minorTickMark val="none"/>
        <c:tickLblPos val="nextTo"/>
        <c:crossAx val="169062400"/>
        <c:crosses val="autoZero"/>
        <c:crossBetween val="midCat"/>
      </c:valAx>
      <c:spPr>
        <a:ln>
          <a:solidFill>
            <a:schemeClr val="tx1"/>
          </a:solidFill>
          <a:prstDash val="solid"/>
        </a:ln>
      </c:spPr>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4497462817147858"/>
          <c:y val="0.1771143190434529"/>
          <c:w val="0.66843460192475945"/>
          <c:h val="0.77148512685914261"/>
        </c:manualLayout>
      </c:layout>
      <c:scatterChart>
        <c:scatterStyle val="smoothMarker"/>
        <c:varyColors val="0"/>
        <c:ser>
          <c:idx val="0"/>
          <c:order val="0"/>
          <c:tx>
            <c:v>pit</c:v>
          </c:tx>
          <c:spPr>
            <a:ln w="12700">
              <a:solidFill>
                <a:schemeClr val="tx1"/>
              </a:solidFill>
            </a:ln>
          </c:spPr>
          <c:marker>
            <c:symbol val="circle"/>
            <c:size val="5"/>
            <c:spPr>
              <a:solidFill>
                <a:schemeClr val="tx1"/>
              </a:solidFill>
              <a:ln>
                <a:noFill/>
              </a:ln>
            </c:spPr>
          </c:marker>
          <c:xVal>
            <c:numRef>
              <c:f>SiteC_PitCore_20240425!$P$13:$P$22</c:f>
              <c:numCache>
                <c:formatCode>0.00</c:formatCode>
                <c:ptCount val="10"/>
                <c:pt idx="0">
                  <c:v>0.2691511387163561</c:v>
                </c:pt>
                <c:pt idx="1">
                  <c:v>0.34679089026915116</c:v>
                </c:pt>
                <c:pt idx="2">
                  <c:v>0.30020703933747411</c:v>
                </c:pt>
                <c:pt idx="3">
                  <c:v>0.33643892339544512</c:v>
                </c:pt>
                <c:pt idx="4">
                  <c:v>0.35196687370600416</c:v>
                </c:pt>
                <c:pt idx="5">
                  <c:v>0.37784679089026912</c:v>
                </c:pt>
                <c:pt idx="6">
                  <c:v>0.40372670807453415</c:v>
                </c:pt>
                <c:pt idx="7">
                  <c:v>0.4451345755693582</c:v>
                </c:pt>
              </c:numCache>
            </c:numRef>
          </c:xVal>
          <c:yVal>
            <c:numRef>
              <c:f>SiteC_PitCore_20240425!$C$13:$C$22</c:f>
              <c:numCache>
                <c:formatCode>??0</c:formatCode>
                <c:ptCount val="10"/>
                <c:pt idx="0">
                  <c:v>10</c:v>
                </c:pt>
                <c:pt idx="1">
                  <c:v>20</c:v>
                </c:pt>
                <c:pt idx="2">
                  <c:v>30</c:v>
                </c:pt>
                <c:pt idx="3">
                  <c:v>40</c:v>
                </c:pt>
                <c:pt idx="4">
                  <c:v>50</c:v>
                </c:pt>
                <c:pt idx="5">
                  <c:v>60</c:v>
                </c:pt>
                <c:pt idx="6">
                  <c:v>70</c:v>
                </c:pt>
                <c:pt idx="7">
                  <c:v>80</c:v>
                </c:pt>
              </c:numCache>
            </c:numRef>
          </c:yVal>
          <c:smooth val="1"/>
          <c:extLst>
            <c:ext xmlns:c16="http://schemas.microsoft.com/office/drawing/2014/chart" uri="{C3380CC4-5D6E-409C-BE32-E72D297353CC}">
              <c16:uniqueId val="{00000000-8400-4234-B1AA-2EE08875C986}"/>
            </c:ext>
          </c:extLst>
        </c:ser>
        <c:ser>
          <c:idx val="1"/>
          <c:order val="1"/>
          <c:tx>
            <c:v>core</c:v>
          </c:tx>
          <c:xVal>
            <c:numRef>
              <c:f>SiteC_PitCore_20240425!$P$25:$P$54</c:f>
              <c:numCache>
                <c:formatCode>0.00</c:formatCode>
                <c:ptCount val="30"/>
                <c:pt idx="0">
                  <c:v>0.3918865942552055</c:v>
                </c:pt>
                <c:pt idx="1">
                  <c:v>0.43270811449012275</c:v>
                </c:pt>
                <c:pt idx="2">
                  <c:v>0.4280607414172245</c:v>
                </c:pt>
                <c:pt idx="3">
                  <c:v>0.46445818578394732</c:v>
                </c:pt>
                <c:pt idx="4">
                  <c:v>0.45556816582167636</c:v>
                </c:pt>
                <c:pt idx="5">
                  <c:v>0.46279940654900453</c:v>
                </c:pt>
                <c:pt idx="6">
                  <c:v>0.4838106101916117</c:v>
                </c:pt>
                <c:pt idx="7">
                  <c:v>0.50500849775155343</c:v>
                </c:pt>
                <c:pt idx="8">
                  <c:v>0.50241871058359688</c:v>
                </c:pt>
                <c:pt idx="9">
                  <c:v>0.44164997130348549</c:v>
                </c:pt>
                <c:pt idx="10">
                  <c:v>0.44268670832532475</c:v>
                </c:pt>
                <c:pt idx="11">
                  <c:v>0.49965540767538702</c:v>
                </c:pt>
                <c:pt idx="12">
                  <c:v>0.60089277785798179</c:v>
                </c:pt>
                <c:pt idx="13">
                  <c:v>0.63393419658930295</c:v>
                </c:pt>
              </c:numCache>
            </c:numRef>
          </c:xVal>
          <c:yVal>
            <c:numRef>
              <c:f>SiteC_PitCore_20240425!$C$25:$C$54</c:f>
              <c:numCache>
                <c:formatCode>??0</c:formatCode>
                <c:ptCount val="30"/>
                <c:pt idx="0">
                  <c:v>116</c:v>
                </c:pt>
                <c:pt idx="1">
                  <c:v>140</c:v>
                </c:pt>
                <c:pt idx="2">
                  <c:v>172</c:v>
                </c:pt>
                <c:pt idx="3">
                  <c:v>199</c:v>
                </c:pt>
                <c:pt idx="4">
                  <c:v>239</c:v>
                </c:pt>
                <c:pt idx="5">
                  <c:v>290.5</c:v>
                </c:pt>
                <c:pt idx="6">
                  <c:v>331</c:v>
                </c:pt>
                <c:pt idx="7">
                  <c:v>389</c:v>
                </c:pt>
                <c:pt idx="8">
                  <c:v>428</c:v>
                </c:pt>
                <c:pt idx="9">
                  <c:v>446</c:v>
                </c:pt>
                <c:pt idx="10">
                  <c:v>473</c:v>
                </c:pt>
                <c:pt idx="11">
                  <c:v>493</c:v>
                </c:pt>
                <c:pt idx="12">
                  <c:v>556</c:v>
                </c:pt>
                <c:pt idx="13">
                  <c:v>593</c:v>
                </c:pt>
              </c:numCache>
            </c:numRef>
          </c:yVal>
          <c:smooth val="1"/>
          <c:extLst>
            <c:ext xmlns:c16="http://schemas.microsoft.com/office/drawing/2014/chart" uri="{C3380CC4-5D6E-409C-BE32-E72D297353CC}">
              <c16:uniqueId val="{00000001-8400-4234-B1AA-2EE08875C986}"/>
            </c:ext>
          </c:extLst>
        </c:ser>
        <c:ser>
          <c:idx val="2"/>
          <c:order val="2"/>
          <c:tx>
            <c:v>firn</c:v>
          </c:tx>
          <c:xVal>
            <c:numRef>
              <c:f>SiteC_PitCore_20240425!$P$52:$P$54</c:f>
              <c:numCache>
                <c:formatCode>0.00</c:formatCode>
                <c:ptCount val="3"/>
              </c:numCache>
            </c:numRef>
          </c:xVal>
          <c:yVal>
            <c:numRef>
              <c:f>SiteC_PitCore_20240425!$C$52:$C$54</c:f>
              <c:numCache>
                <c:formatCode>??0</c:formatCode>
                <c:ptCount val="3"/>
              </c:numCache>
            </c:numRef>
          </c:yVal>
          <c:smooth val="1"/>
          <c:extLst>
            <c:ext xmlns:c16="http://schemas.microsoft.com/office/drawing/2014/chart" uri="{C3380CC4-5D6E-409C-BE32-E72D297353CC}">
              <c16:uniqueId val="{00000002-8400-4234-B1AA-2EE08875C986}"/>
            </c:ext>
          </c:extLst>
        </c:ser>
        <c:dLbls>
          <c:showLegendKey val="0"/>
          <c:showVal val="0"/>
          <c:showCatName val="0"/>
          <c:showSerName val="0"/>
          <c:showPercent val="0"/>
          <c:showBubbleSize val="0"/>
        </c:dLbls>
        <c:axId val="169062400"/>
        <c:axId val="169064320"/>
      </c:scatterChart>
      <c:valAx>
        <c:axId val="169062400"/>
        <c:scaling>
          <c:orientation val="minMax"/>
        </c:scaling>
        <c:delete val="0"/>
        <c:axPos val="t"/>
        <c:title>
          <c:tx>
            <c:rich>
              <a:bodyPr/>
              <a:lstStyle/>
              <a:p>
                <a:pPr>
                  <a:defRPr sz="1200"/>
                </a:pPr>
                <a:r>
                  <a:rPr lang="en-US" sz="1200"/>
                  <a:t>Density (g/cm^3)</a:t>
                </a:r>
              </a:p>
            </c:rich>
          </c:tx>
          <c:layout>
            <c:manualLayout>
              <c:xMode val="edge"/>
              <c:yMode val="edge"/>
              <c:x val="0.41898359580052491"/>
              <c:y val="1.3888888888888888E-2"/>
            </c:manualLayout>
          </c:layout>
          <c:overlay val="0"/>
        </c:title>
        <c:numFmt formatCode="0.00" sourceLinked="1"/>
        <c:majorTickMark val="in"/>
        <c:minorTickMark val="none"/>
        <c:tickLblPos val="nextTo"/>
        <c:crossAx val="169064320"/>
        <c:crosses val="autoZero"/>
        <c:crossBetween val="midCat"/>
      </c:valAx>
      <c:valAx>
        <c:axId val="169064320"/>
        <c:scaling>
          <c:orientation val="maxMin"/>
        </c:scaling>
        <c:delete val="0"/>
        <c:axPos val="l"/>
        <c:majorGridlines>
          <c:spPr>
            <a:ln>
              <a:prstDash val="sysDash"/>
            </a:ln>
          </c:spPr>
        </c:majorGridlines>
        <c:title>
          <c:tx>
            <c:rich>
              <a:bodyPr rot="-5400000" vert="horz"/>
              <a:lstStyle/>
              <a:p>
                <a:pPr>
                  <a:defRPr sz="1200"/>
                </a:pPr>
                <a:r>
                  <a:rPr lang="en-US" sz="1200"/>
                  <a:t>Depth (cm)</a:t>
                </a:r>
              </a:p>
            </c:rich>
          </c:tx>
          <c:overlay val="0"/>
        </c:title>
        <c:numFmt formatCode="??0" sourceLinked="1"/>
        <c:majorTickMark val="in"/>
        <c:minorTickMark val="none"/>
        <c:tickLblPos val="nextTo"/>
        <c:crossAx val="169062400"/>
        <c:crosses val="autoZero"/>
        <c:crossBetween val="midCat"/>
      </c:valAx>
      <c:spPr>
        <a:ln>
          <a:solidFill>
            <a:schemeClr val="tx1"/>
          </a:solidFill>
          <a:prstDash val="solid"/>
        </a:ln>
      </c:spPr>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title>
    <c:autoTitleDeleted val="0"/>
    <c:plotArea>
      <c:layout>
        <c:manualLayout>
          <c:layoutTarget val="inner"/>
          <c:xMode val="edge"/>
          <c:yMode val="edge"/>
          <c:x val="0.14497462817147858"/>
          <c:y val="0.1771143190434529"/>
          <c:w val="0.66843460192475945"/>
          <c:h val="0.77148512685914261"/>
        </c:manualLayout>
      </c:layout>
      <c:scatterChart>
        <c:scatterStyle val="smoothMarker"/>
        <c:varyColors val="0"/>
        <c:ser>
          <c:idx val="0"/>
          <c:order val="0"/>
          <c:tx>
            <c:v>pit</c:v>
          </c:tx>
          <c:spPr>
            <a:ln w="12700">
              <a:solidFill>
                <a:schemeClr val="tx1"/>
              </a:solidFill>
            </a:ln>
          </c:spPr>
          <c:marker>
            <c:symbol val="circle"/>
            <c:size val="5"/>
            <c:spPr>
              <a:solidFill>
                <a:schemeClr val="tx1"/>
              </a:solidFill>
              <a:ln>
                <a:noFill/>
              </a:ln>
            </c:spPr>
          </c:marker>
          <c:xVal>
            <c:numRef>
              <c:f>SiteAUU_Pit_20240427!$G$13:$G$27</c:f>
              <c:numCache>
                <c:formatCode>0.00</c:formatCode>
                <c:ptCount val="15"/>
                <c:pt idx="0">
                  <c:v>0.50207039337474124</c:v>
                </c:pt>
                <c:pt idx="1">
                  <c:v>0.59523809523809523</c:v>
                </c:pt>
                <c:pt idx="2">
                  <c:v>0.50207039337474124</c:v>
                </c:pt>
                <c:pt idx="3">
                  <c:v>0.46583850931677018</c:v>
                </c:pt>
                <c:pt idx="4">
                  <c:v>0.46066252587991718</c:v>
                </c:pt>
                <c:pt idx="5">
                  <c:v>0.55900621118012417</c:v>
                </c:pt>
                <c:pt idx="6">
                  <c:v>0.48654244306418221</c:v>
                </c:pt>
                <c:pt idx="7">
                  <c:v>0.50724637681159424</c:v>
                </c:pt>
                <c:pt idx="8">
                  <c:v>0.55900621118012417</c:v>
                </c:pt>
                <c:pt idx="9">
                  <c:v>0.48654244306418221</c:v>
                </c:pt>
                <c:pt idx="10">
                  <c:v>0.56935817805383027</c:v>
                </c:pt>
                <c:pt idx="11">
                  <c:v>0.52795031055900621</c:v>
                </c:pt>
                <c:pt idx="12">
                  <c:v>0.55383022774327118</c:v>
                </c:pt>
                <c:pt idx="13">
                  <c:v>0.41407867494824019</c:v>
                </c:pt>
                <c:pt idx="14">
                  <c:v>0.55900621118012417</c:v>
                </c:pt>
              </c:numCache>
            </c:numRef>
          </c:xVal>
          <c:yVal>
            <c:numRef>
              <c:f>SiteAUU_Pit_20240427!$C$13:$C$27</c:f>
              <c:numCache>
                <c:formatCode>??0</c:formatCode>
                <c:ptCount val="15"/>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numCache>
            </c:numRef>
          </c:yVal>
          <c:smooth val="1"/>
          <c:extLst>
            <c:ext xmlns:c16="http://schemas.microsoft.com/office/drawing/2014/chart" uri="{C3380CC4-5D6E-409C-BE32-E72D297353CC}">
              <c16:uniqueId val="{00000000-B311-4743-9CC7-F2F5FD95EFEB}"/>
            </c:ext>
          </c:extLst>
        </c:ser>
        <c:dLbls>
          <c:showLegendKey val="0"/>
          <c:showVal val="0"/>
          <c:showCatName val="0"/>
          <c:showSerName val="0"/>
          <c:showPercent val="0"/>
          <c:showBubbleSize val="0"/>
        </c:dLbls>
        <c:axId val="134765952"/>
        <c:axId val="134805376"/>
      </c:scatterChart>
      <c:valAx>
        <c:axId val="134765952"/>
        <c:scaling>
          <c:orientation val="minMax"/>
        </c:scaling>
        <c:delete val="0"/>
        <c:axPos val="t"/>
        <c:title>
          <c:tx>
            <c:rich>
              <a:bodyPr/>
              <a:lstStyle/>
              <a:p>
                <a:pPr>
                  <a:defRPr sz="1200"/>
                </a:pPr>
                <a:r>
                  <a:rPr lang="en-US" sz="1200"/>
                  <a:t>Density (g/cm^3)</a:t>
                </a:r>
              </a:p>
            </c:rich>
          </c:tx>
          <c:layout>
            <c:manualLayout>
              <c:xMode val="edge"/>
              <c:yMode val="edge"/>
              <c:x val="0.41898359580052491"/>
              <c:y val="1.3888888888888888E-2"/>
            </c:manualLayout>
          </c:layout>
          <c:overlay val="0"/>
        </c:title>
        <c:numFmt formatCode="0.00" sourceLinked="1"/>
        <c:majorTickMark val="in"/>
        <c:minorTickMark val="none"/>
        <c:tickLblPos val="nextTo"/>
        <c:crossAx val="134805376"/>
        <c:crosses val="autoZero"/>
        <c:crossBetween val="midCat"/>
      </c:valAx>
      <c:valAx>
        <c:axId val="134805376"/>
        <c:scaling>
          <c:orientation val="maxMin"/>
        </c:scaling>
        <c:delete val="0"/>
        <c:axPos val="l"/>
        <c:majorGridlines>
          <c:spPr>
            <a:ln>
              <a:prstDash val="sysDash"/>
            </a:ln>
          </c:spPr>
        </c:majorGridlines>
        <c:title>
          <c:tx>
            <c:rich>
              <a:bodyPr rot="-5400000" vert="horz"/>
              <a:lstStyle/>
              <a:p>
                <a:pPr>
                  <a:defRPr sz="1200"/>
                </a:pPr>
                <a:r>
                  <a:rPr lang="en-US" sz="1200"/>
                  <a:t>Depth (cm)</a:t>
                </a:r>
              </a:p>
            </c:rich>
          </c:tx>
          <c:overlay val="0"/>
        </c:title>
        <c:numFmt formatCode="??0" sourceLinked="1"/>
        <c:majorTickMark val="in"/>
        <c:minorTickMark val="none"/>
        <c:tickLblPos val="nextTo"/>
        <c:crossAx val="134765952"/>
        <c:crosses val="autoZero"/>
        <c:crossBetween val="midCat"/>
      </c:valAx>
      <c:spPr>
        <a:ln>
          <a:solidFill>
            <a:schemeClr val="tx1"/>
          </a:solidFill>
          <a:prstDash val="solid"/>
        </a:ln>
      </c:spPr>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title>
    <c:autoTitleDeleted val="0"/>
    <c:plotArea>
      <c:layout>
        <c:manualLayout>
          <c:layoutTarget val="inner"/>
          <c:xMode val="edge"/>
          <c:yMode val="edge"/>
          <c:x val="0.14497462817147858"/>
          <c:y val="0.1771143190434529"/>
          <c:w val="0.66843460192475945"/>
          <c:h val="0.77148512685914261"/>
        </c:manualLayout>
      </c:layout>
      <c:scatterChart>
        <c:scatterStyle val="smoothMarker"/>
        <c:varyColors val="0"/>
        <c:ser>
          <c:idx val="0"/>
          <c:order val="0"/>
          <c:tx>
            <c:v>pit</c:v>
          </c:tx>
          <c:spPr>
            <a:ln w="12700">
              <a:solidFill>
                <a:schemeClr val="tx1"/>
              </a:solidFill>
            </a:ln>
          </c:spPr>
          <c:marker>
            <c:symbol val="circle"/>
            <c:size val="5"/>
            <c:spPr>
              <a:solidFill>
                <a:schemeClr val="tx1"/>
              </a:solidFill>
              <a:ln>
                <a:noFill/>
              </a:ln>
            </c:spPr>
          </c:marker>
          <c:xVal>
            <c:numRef>
              <c:f>SiteAUU_Pit_20240427!$G$13:$G$27</c:f>
              <c:numCache>
                <c:formatCode>0.00</c:formatCode>
                <c:ptCount val="15"/>
                <c:pt idx="0">
                  <c:v>0.50207039337474124</c:v>
                </c:pt>
                <c:pt idx="1">
                  <c:v>0.59523809523809523</c:v>
                </c:pt>
                <c:pt idx="2">
                  <c:v>0.50207039337474124</c:v>
                </c:pt>
                <c:pt idx="3">
                  <c:v>0.46583850931677018</c:v>
                </c:pt>
                <c:pt idx="4">
                  <c:v>0.46066252587991718</c:v>
                </c:pt>
                <c:pt idx="5">
                  <c:v>0.55900621118012417</c:v>
                </c:pt>
                <c:pt idx="6">
                  <c:v>0.48654244306418221</c:v>
                </c:pt>
                <c:pt idx="7">
                  <c:v>0.50724637681159424</c:v>
                </c:pt>
                <c:pt idx="8">
                  <c:v>0.55900621118012417</c:v>
                </c:pt>
                <c:pt idx="9">
                  <c:v>0.48654244306418221</c:v>
                </c:pt>
                <c:pt idx="10">
                  <c:v>0.56935817805383027</c:v>
                </c:pt>
                <c:pt idx="11">
                  <c:v>0.52795031055900621</c:v>
                </c:pt>
                <c:pt idx="12">
                  <c:v>0.55383022774327118</c:v>
                </c:pt>
                <c:pt idx="13">
                  <c:v>0.41407867494824019</c:v>
                </c:pt>
                <c:pt idx="14">
                  <c:v>0.55900621118012417</c:v>
                </c:pt>
              </c:numCache>
            </c:numRef>
          </c:xVal>
          <c:yVal>
            <c:numRef>
              <c:f>SiteAUU_Pit_20240427!$C$13:$C$27</c:f>
              <c:numCache>
                <c:formatCode>??0</c:formatCode>
                <c:ptCount val="15"/>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numCache>
            </c:numRef>
          </c:yVal>
          <c:smooth val="1"/>
          <c:extLst>
            <c:ext xmlns:c16="http://schemas.microsoft.com/office/drawing/2014/chart" uri="{C3380CC4-5D6E-409C-BE32-E72D297353CC}">
              <c16:uniqueId val="{00000000-227C-4609-957F-9B55A658DE65}"/>
            </c:ext>
          </c:extLst>
        </c:ser>
        <c:dLbls>
          <c:showLegendKey val="0"/>
          <c:showVal val="0"/>
          <c:showCatName val="0"/>
          <c:showSerName val="0"/>
          <c:showPercent val="0"/>
          <c:showBubbleSize val="0"/>
        </c:dLbls>
        <c:axId val="134765952"/>
        <c:axId val="134805376"/>
      </c:scatterChart>
      <c:valAx>
        <c:axId val="134765952"/>
        <c:scaling>
          <c:orientation val="minMax"/>
        </c:scaling>
        <c:delete val="0"/>
        <c:axPos val="t"/>
        <c:title>
          <c:tx>
            <c:rich>
              <a:bodyPr/>
              <a:lstStyle/>
              <a:p>
                <a:pPr>
                  <a:defRPr sz="1200"/>
                </a:pPr>
                <a:r>
                  <a:rPr lang="en-US" sz="1200"/>
                  <a:t>Density (g/cm^3)</a:t>
                </a:r>
              </a:p>
            </c:rich>
          </c:tx>
          <c:layout>
            <c:manualLayout>
              <c:xMode val="edge"/>
              <c:yMode val="edge"/>
              <c:x val="0.41898359580052491"/>
              <c:y val="1.3888888888888888E-2"/>
            </c:manualLayout>
          </c:layout>
          <c:overlay val="0"/>
        </c:title>
        <c:numFmt formatCode="0.00" sourceLinked="1"/>
        <c:majorTickMark val="in"/>
        <c:minorTickMark val="none"/>
        <c:tickLblPos val="nextTo"/>
        <c:crossAx val="134805376"/>
        <c:crosses val="autoZero"/>
        <c:crossBetween val="midCat"/>
      </c:valAx>
      <c:valAx>
        <c:axId val="134805376"/>
        <c:scaling>
          <c:orientation val="maxMin"/>
        </c:scaling>
        <c:delete val="0"/>
        <c:axPos val="l"/>
        <c:majorGridlines>
          <c:spPr>
            <a:ln>
              <a:prstDash val="sysDash"/>
            </a:ln>
          </c:spPr>
        </c:majorGridlines>
        <c:title>
          <c:tx>
            <c:rich>
              <a:bodyPr rot="-5400000" vert="horz"/>
              <a:lstStyle/>
              <a:p>
                <a:pPr>
                  <a:defRPr sz="1200"/>
                </a:pPr>
                <a:r>
                  <a:rPr lang="en-US" sz="1200"/>
                  <a:t>Depth (cm)</a:t>
                </a:r>
              </a:p>
            </c:rich>
          </c:tx>
          <c:overlay val="0"/>
        </c:title>
        <c:numFmt formatCode="??0" sourceLinked="1"/>
        <c:majorTickMark val="in"/>
        <c:minorTickMark val="none"/>
        <c:tickLblPos val="nextTo"/>
        <c:crossAx val="134765952"/>
        <c:crosses val="autoZero"/>
        <c:crossBetween val="midCat"/>
      </c:valAx>
      <c:spPr>
        <a:ln>
          <a:solidFill>
            <a:schemeClr val="tx1"/>
          </a:solidFill>
          <a:prstDash val="solid"/>
        </a:ln>
      </c:spPr>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4497462817147858"/>
          <c:y val="0.1771143190434529"/>
          <c:w val="0.66843460192475945"/>
          <c:h val="0.77148512685914261"/>
        </c:manualLayout>
      </c:layout>
      <c:scatterChart>
        <c:scatterStyle val="smoothMarker"/>
        <c:varyColors val="0"/>
        <c:ser>
          <c:idx val="0"/>
          <c:order val="0"/>
          <c:tx>
            <c:v>pit</c:v>
          </c:tx>
          <c:spPr>
            <a:ln w="12700">
              <a:solidFill>
                <a:schemeClr val="tx1"/>
              </a:solidFill>
            </a:ln>
          </c:spPr>
          <c:marker>
            <c:symbol val="circle"/>
            <c:size val="5"/>
            <c:spPr>
              <a:solidFill>
                <a:schemeClr val="tx1"/>
              </a:solidFill>
              <a:ln>
                <a:noFill/>
              </a:ln>
            </c:spPr>
          </c:marker>
          <c:xVal>
            <c:numRef>
              <c:f>SiteC_PitCore_20240425!$P$13:$P$22</c:f>
              <c:numCache>
                <c:formatCode>0.00</c:formatCode>
                <c:ptCount val="10"/>
                <c:pt idx="0">
                  <c:v>0.2691511387163561</c:v>
                </c:pt>
                <c:pt idx="1">
                  <c:v>0.34679089026915116</c:v>
                </c:pt>
                <c:pt idx="2">
                  <c:v>0.30020703933747411</c:v>
                </c:pt>
                <c:pt idx="3">
                  <c:v>0.33643892339544512</c:v>
                </c:pt>
                <c:pt idx="4">
                  <c:v>0.35196687370600416</c:v>
                </c:pt>
                <c:pt idx="5">
                  <c:v>0.37784679089026912</c:v>
                </c:pt>
                <c:pt idx="6">
                  <c:v>0.40372670807453415</c:v>
                </c:pt>
                <c:pt idx="7">
                  <c:v>0.4451345755693582</c:v>
                </c:pt>
              </c:numCache>
            </c:numRef>
          </c:xVal>
          <c:yVal>
            <c:numRef>
              <c:f>SiteC_PitCore_20240425!$C$13:$C$22</c:f>
              <c:numCache>
                <c:formatCode>??0</c:formatCode>
                <c:ptCount val="10"/>
                <c:pt idx="0">
                  <c:v>10</c:v>
                </c:pt>
                <c:pt idx="1">
                  <c:v>20</c:v>
                </c:pt>
                <c:pt idx="2">
                  <c:v>30</c:v>
                </c:pt>
                <c:pt idx="3">
                  <c:v>40</c:v>
                </c:pt>
                <c:pt idx="4">
                  <c:v>50</c:v>
                </c:pt>
                <c:pt idx="5">
                  <c:v>60</c:v>
                </c:pt>
                <c:pt idx="6">
                  <c:v>70</c:v>
                </c:pt>
                <c:pt idx="7">
                  <c:v>80</c:v>
                </c:pt>
              </c:numCache>
            </c:numRef>
          </c:yVal>
          <c:smooth val="1"/>
          <c:extLst>
            <c:ext xmlns:c16="http://schemas.microsoft.com/office/drawing/2014/chart" uri="{C3380CC4-5D6E-409C-BE32-E72D297353CC}">
              <c16:uniqueId val="{00000000-B8BD-4A95-937A-D3B9240D7C51}"/>
            </c:ext>
          </c:extLst>
        </c:ser>
        <c:ser>
          <c:idx val="1"/>
          <c:order val="1"/>
          <c:tx>
            <c:v>core</c:v>
          </c:tx>
          <c:xVal>
            <c:numRef>
              <c:f>SiteC_PitCore_20240425!$P$25:$P$54</c:f>
              <c:numCache>
                <c:formatCode>0.00</c:formatCode>
                <c:ptCount val="30"/>
                <c:pt idx="0">
                  <c:v>0.3918865942552055</c:v>
                </c:pt>
                <c:pt idx="1">
                  <c:v>0.43270811449012275</c:v>
                </c:pt>
                <c:pt idx="2">
                  <c:v>0.4280607414172245</c:v>
                </c:pt>
                <c:pt idx="3">
                  <c:v>0.46445818578394732</c:v>
                </c:pt>
                <c:pt idx="4">
                  <c:v>0.45556816582167636</c:v>
                </c:pt>
                <c:pt idx="5">
                  <c:v>0.46279940654900453</c:v>
                </c:pt>
                <c:pt idx="6">
                  <c:v>0.4838106101916117</c:v>
                </c:pt>
                <c:pt idx="7">
                  <c:v>0.50500849775155343</c:v>
                </c:pt>
                <c:pt idx="8">
                  <c:v>0.50241871058359688</c:v>
                </c:pt>
                <c:pt idx="9">
                  <c:v>0.44164997130348549</c:v>
                </c:pt>
                <c:pt idx="10">
                  <c:v>0.44268670832532475</c:v>
                </c:pt>
                <c:pt idx="11">
                  <c:v>0.49965540767538702</c:v>
                </c:pt>
                <c:pt idx="12">
                  <c:v>0.60089277785798179</c:v>
                </c:pt>
                <c:pt idx="13">
                  <c:v>0.63393419658930295</c:v>
                </c:pt>
              </c:numCache>
            </c:numRef>
          </c:xVal>
          <c:yVal>
            <c:numRef>
              <c:f>SiteC_PitCore_20240425!$C$25:$C$54</c:f>
              <c:numCache>
                <c:formatCode>??0</c:formatCode>
                <c:ptCount val="30"/>
                <c:pt idx="0">
                  <c:v>116</c:v>
                </c:pt>
                <c:pt idx="1">
                  <c:v>140</c:v>
                </c:pt>
                <c:pt idx="2">
                  <c:v>172</c:v>
                </c:pt>
                <c:pt idx="3">
                  <c:v>199</c:v>
                </c:pt>
                <c:pt idx="4">
                  <c:v>239</c:v>
                </c:pt>
                <c:pt idx="5">
                  <c:v>290.5</c:v>
                </c:pt>
                <c:pt idx="6">
                  <c:v>331</c:v>
                </c:pt>
                <c:pt idx="7">
                  <c:v>389</c:v>
                </c:pt>
                <c:pt idx="8">
                  <c:v>428</c:v>
                </c:pt>
                <c:pt idx="9">
                  <c:v>446</c:v>
                </c:pt>
                <c:pt idx="10">
                  <c:v>473</c:v>
                </c:pt>
                <c:pt idx="11">
                  <c:v>493</c:v>
                </c:pt>
                <c:pt idx="12">
                  <c:v>556</c:v>
                </c:pt>
                <c:pt idx="13">
                  <c:v>593</c:v>
                </c:pt>
              </c:numCache>
            </c:numRef>
          </c:yVal>
          <c:smooth val="1"/>
          <c:extLst>
            <c:ext xmlns:c16="http://schemas.microsoft.com/office/drawing/2014/chart" uri="{C3380CC4-5D6E-409C-BE32-E72D297353CC}">
              <c16:uniqueId val="{00000001-B8BD-4A95-937A-D3B9240D7C51}"/>
            </c:ext>
          </c:extLst>
        </c:ser>
        <c:ser>
          <c:idx val="2"/>
          <c:order val="2"/>
          <c:tx>
            <c:v>firn</c:v>
          </c:tx>
          <c:xVal>
            <c:numRef>
              <c:f>SiteC_PitCore_20240425!$P$52:$P$54</c:f>
              <c:numCache>
                <c:formatCode>0.00</c:formatCode>
                <c:ptCount val="3"/>
              </c:numCache>
            </c:numRef>
          </c:xVal>
          <c:yVal>
            <c:numRef>
              <c:f>SiteC_PitCore_20240425!$C$52:$C$54</c:f>
              <c:numCache>
                <c:formatCode>??0</c:formatCode>
                <c:ptCount val="3"/>
              </c:numCache>
            </c:numRef>
          </c:yVal>
          <c:smooth val="1"/>
          <c:extLst>
            <c:ext xmlns:c16="http://schemas.microsoft.com/office/drawing/2014/chart" uri="{C3380CC4-5D6E-409C-BE32-E72D297353CC}">
              <c16:uniqueId val="{00000002-B8BD-4A95-937A-D3B9240D7C51}"/>
            </c:ext>
          </c:extLst>
        </c:ser>
        <c:dLbls>
          <c:showLegendKey val="0"/>
          <c:showVal val="0"/>
          <c:showCatName val="0"/>
          <c:showSerName val="0"/>
          <c:showPercent val="0"/>
          <c:showBubbleSize val="0"/>
        </c:dLbls>
        <c:axId val="169062400"/>
        <c:axId val="169064320"/>
      </c:scatterChart>
      <c:valAx>
        <c:axId val="169062400"/>
        <c:scaling>
          <c:orientation val="minMax"/>
        </c:scaling>
        <c:delete val="0"/>
        <c:axPos val="t"/>
        <c:title>
          <c:tx>
            <c:rich>
              <a:bodyPr/>
              <a:lstStyle/>
              <a:p>
                <a:pPr>
                  <a:defRPr sz="1200"/>
                </a:pPr>
                <a:r>
                  <a:rPr lang="en-US" sz="1200"/>
                  <a:t>Density (g/cm^3)</a:t>
                </a:r>
              </a:p>
            </c:rich>
          </c:tx>
          <c:layout>
            <c:manualLayout>
              <c:xMode val="edge"/>
              <c:yMode val="edge"/>
              <c:x val="0.41898359580052491"/>
              <c:y val="1.3888888888888888E-2"/>
            </c:manualLayout>
          </c:layout>
          <c:overlay val="0"/>
        </c:title>
        <c:numFmt formatCode="0.00" sourceLinked="1"/>
        <c:majorTickMark val="in"/>
        <c:minorTickMark val="none"/>
        <c:tickLblPos val="nextTo"/>
        <c:crossAx val="169064320"/>
        <c:crosses val="autoZero"/>
        <c:crossBetween val="midCat"/>
      </c:valAx>
      <c:valAx>
        <c:axId val="169064320"/>
        <c:scaling>
          <c:orientation val="maxMin"/>
        </c:scaling>
        <c:delete val="0"/>
        <c:axPos val="l"/>
        <c:majorGridlines>
          <c:spPr>
            <a:ln>
              <a:prstDash val="sysDash"/>
            </a:ln>
          </c:spPr>
        </c:majorGridlines>
        <c:title>
          <c:tx>
            <c:rich>
              <a:bodyPr rot="-5400000" vert="horz"/>
              <a:lstStyle/>
              <a:p>
                <a:pPr>
                  <a:defRPr sz="1200"/>
                </a:pPr>
                <a:r>
                  <a:rPr lang="en-US" sz="1200"/>
                  <a:t>Depth (cm)</a:t>
                </a:r>
              </a:p>
            </c:rich>
          </c:tx>
          <c:overlay val="0"/>
        </c:title>
        <c:numFmt formatCode="??0" sourceLinked="1"/>
        <c:majorTickMark val="in"/>
        <c:minorTickMark val="none"/>
        <c:tickLblPos val="nextTo"/>
        <c:crossAx val="169062400"/>
        <c:crosses val="autoZero"/>
        <c:crossBetween val="midCat"/>
      </c:valAx>
      <c:spPr>
        <a:ln>
          <a:solidFill>
            <a:schemeClr val="tx1"/>
          </a:solidFill>
          <a:prstDash val="solid"/>
        </a:ln>
      </c:spPr>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4497462817147858"/>
          <c:y val="0.1771143190434529"/>
          <c:w val="0.66843460192475945"/>
          <c:h val="0.77148512685914261"/>
        </c:manualLayout>
      </c:layout>
      <c:scatterChart>
        <c:scatterStyle val="smoothMarker"/>
        <c:varyColors val="0"/>
        <c:ser>
          <c:idx val="0"/>
          <c:order val="0"/>
          <c:tx>
            <c:v>core</c:v>
          </c:tx>
          <c:xVal>
            <c:numRef>
              <c:f>SiteEC_FirnCore_20240426!$P$25:$P$69</c:f>
              <c:numCache>
                <c:formatCode>0.00</c:formatCode>
                <c:ptCount val="45"/>
                <c:pt idx="0">
                  <c:v>0.44087241853710618</c:v>
                </c:pt>
                <c:pt idx="1">
                  <c:v>0.35305098581550043</c:v>
                </c:pt>
                <c:pt idx="2">
                  <c:v>0.43542954917245053</c:v>
                </c:pt>
                <c:pt idx="3">
                  <c:v>0.43228727407532974</c:v>
                </c:pt>
                <c:pt idx="4">
                  <c:v>0.43542954917245053</c:v>
                </c:pt>
                <c:pt idx="5">
                  <c:v>0.46373246986865985</c:v>
                </c:pt>
                <c:pt idx="6">
                  <c:v>0.4529598297235492</c:v>
                </c:pt>
                <c:pt idx="7">
                  <c:v>0.51246708479526881</c:v>
                </c:pt>
                <c:pt idx="8">
                  <c:v>0.513506571782683</c:v>
                </c:pt>
                <c:pt idx="9">
                  <c:v>0.4702639131062466</c:v>
                </c:pt>
                <c:pt idx="10">
                  <c:v>0.51505095244969867</c:v>
                </c:pt>
                <c:pt idx="11">
                  <c:v>0.49638968605659367</c:v>
                </c:pt>
                <c:pt idx="12">
                  <c:v>0.49763377048280061</c:v>
                </c:pt>
                <c:pt idx="13">
                  <c:v>0.44994386747819898</c:v>
                </c:pt>
                <c:pt idx="14">
                  <c:v>0.57001686437120802</c:v>
                </c:pt>
                <c:pt idx="15">
                  <c:v>0.53048063368692455</c:v>
                </c:pt>
                <c:pt idx="16">
                  <c:v>0.6025256386673784</c:v>
                </c:pt>
                <c:pt idx="17">
                  <c:v>0.53702977731268897</c:v>
                </c:pt>
                <c:pt idx="18">
                  <c:v>0.62161321847377426</c:v>
                </c:pt>
                <c:pt idx="19">
                  <c:v>0.62128362503874046</c:v>
                </c:pt>
                <c:pt idx="20">
                  <c:v>0.6288412791537018</c:v>
                </c:pt>
                <c:pt idx="21">
                  <c:v>0.63981484776360087</c:v>
                </c:pt>
                <c:pt idx="22">
                  <c:v>0.642437039762632</c:v>
                </c:pt>
                <c:pt idx="23">
                  <c:v>0.62299920112366003</c:v>
                </c:pt>
                <c:pt idx="24">
                  <c:v>0.63795492088056704</c:v>
                </c:pt>
                <c:pt idx="25">
                  <c:v>0.68816546712375226</c:v>
                </c:pt>
                <c:pt idx="26">
                  <c:v>0.6345890872882588</c:v>
                </c:pt>
                <c:pt idx="27">
                  <c:v>0.62408169576941386</c:v>
                </c:pt>
                <c:pt idx="28">
                  <c:v>0.69668727867592084</c:v>
                </c:pt>
                <c:pt idx="29">
                  <c:v>0.72639415446058342</c:v>
                </c:pt>
                <c:pt idx="30">
                  <c:v>0.80371951217010706</c:v>
                </c:pt>
                <c:pt idx="31">
                  <c:v>0.71252108046400997</c:v>
                </c:pt>
                <c:pt idx="32">
                  <c:v>0.75897023950691689</c:v>
                </c:pt>
                <c:pt idx="33">
                  <c:v>0.66378185346158591</c:v>
                </c:pt>
                <c:pt idx="34">
                  <c:v>0.8476979521123239</c:v>
                </c:pt>
                <c:pt idx="35">
                  <c:v>0.73556001129920279</c:v>
                </c:pt>
                <c:pt idx="36">
                  <c:v>0.73240941159346651</c:v>
                </c:pt>
                <c:pt idx="37">
                  <c:v>0.72778938933109594</c:v>
                </c:pt>
                <c:pt idx="38">
                  <c:v>0.8771880162107798</c:v>
                </c:pt>
                <c:pt idx="39">
                  <c:v>0.72590392459189623</c:v>
                </c:pt>
                <c:pt idx="40">
                  <c:v>0.70188643747200985</c:v>
                </c:pt>
                <c:pt idx="41">
                  <c:v>0.7001447837810123</c:v>
                </c:pt>
                <c:pt idx="42">
                  <c:v>0.76889141910831449</c:v>
                </c:pt>
                <c:pt idx="43">
                  <c:v>0.76977723871558223</c:v>
                </c:pt>
                <c:pt idx="44">
                  <c:v>0.75519812434596889</c:v>
                </c:pt>
              </c:numCache>
            </c:numRef>
          </c:xVal>
          <c:yVal>
            <c:numRef>
              <c:f>SiteEC_FirnCore_20240426!$C$25:$C$69</c:f>
              <c:numCache>
                <c:formatCode>??0</c:formatCode>
                <c:ptCount val="45"/>
                <c:pt idx="0">
                  <c:v>94.5</c:v>
                </c:pt>
                <c:pt idx="1">
                  <c:v>150</c:v>
                </c:pt>
                <c:pt idx="2">
                  <c:v>186</c:v>
                </c:pt>
                <c:pt idx="3">
                  <c:v>232</c:v>
                </c:pt>
                <c:pt idx="4">
                  <c:v>249</c:v>
                </c:pt>
                <c:pt idx="5">
                  <c:v>309</c:v>
                </c:pt>
                <c:pt idx="6">
                  <c:v>344</c:v>
                </c:pt>
                <c:pt idx="7">
                  <c:v>383</c:v>
                </c:pt>
                <c:pt idx="8">
                  <c:v>456</c:v>
                </c:pt>
                <c:pt idx="9">
                  <c:v>461</c:v>
                </c:pt>
                <c:pt idx="10">
                  <c:v>496</c:v>
                </c:pt>
                <c:pt idx="11">
                  <c:v>526</c:v>
                </c:pt>
                <c:pt idx="12">
                  <c:v>555</c:v>
                </c:pt>
                <c:pt idx="13">
                  <c:v>582</c:v>
                </c:pt>
                <c:pt idx="14">
                  <c:v>604</c:v>
                </c:pt>
                <c:pt idx="15">
                  <c:v>646</c:v>
                </c:pt>
                <c:pt idx="16">
                  <c:v>686</c:v>
                </c:pt>
                <c:pt idx="17">
                  <c:v>725.5</c:v>
                </c:pt>
                <c:pt idx="18">
                  <c:v>769</c:v>
                </c:pt>
                <c:pt idx="19">
                  <c:v>808</c:v>
                </c:pt>
                <c:pt idx="20">
                  <c:v>851</c:v>
                </c:pt>
                <c:pt idx="21">
                  <c:v>903.5</c:v>
                </c:pt>
                <c:pt idx="22">
                  <c:v>934</c:v>
                </c:pt>
                <c:pt idx="23">
                  <c:v>972</c:v>
                </c:pt>
                <c:pt idx="24">
                  <c:v>1015</c:v>
                </c:pt>
                <c:pt idx="25">
                  <c:v>1052.8</c:v>
                </c:pt>
                <c:pt idx="26">
                  <c:v>1088</c:v>
                </c:pt>
                <c:pt idx="27">
                  <c:v>1127.5</c:v>
                </c:pt>
                <c:pt idx="28">
                  <c:v>1168</c:v>
                </c:pt>
                <c:pt idx="29">
                  <c:v>1201.5999999999999</c:v>
                </c:pt>
                <c:pt idx="30">
                  <c:v>1235</c:v>
                </c:pt>
                <c:pt idx="31">
                  <c:v>1265.5999999999999</c:v>
                </c:pt>
                <c:pt idx="32">
                  <c:v>1305.0999999999999</c:v>
                </c:pt>
                <c:pt idx="33">
                  <c:v>1335.8</c:v>
                </c:pt>
                <c:pt idx="34">
                  <c:v>1364</c:v>
                </c:pt>
                <c:pt idx="35">
                  <c:v>1391.8</c:v>
                </c:pt>
                <c:pt idx="36">
                  <c:v>1433</c:v>
                </c:pt>
                <c:pt idx="37">
                  <c:v>1452.8</c:v>
                </c:pt>
                <c:pt idx="38">
                  <c:v>1470</c:v>
                </c:pt>
                <c:pt idx="39">
                  <c:v>1507.8</c:v>
                </c:pt>
                <c:pt idx="40">
                  <c:v>1548</c:v>
                </c:pt>
                <c:pt idx="41">
                  <c:v>1584.4</c:v>
                </c:pt>
                <c:pt idx="42">
                  <c:v>1616</c:v>
                </c:pt>
                <c:pt idx="43">
                  <c:v>1649.6</c:v>
                </c:pt>
                <c:pt idx="44">
                  <c:v>1688</c:v>
                </c:pt>
              </c:numCache>
            </c:numRef>
          </c:yVal>
          <c:smooth val="1"/>
          <c:extLst>
            <c:ext xmlns:c16="http://schemas.microsoft.com/office/drawing/2014/chart" uri="{C3380CC4-5D6E-409C-BE32-E72D297353CC}">
              <c16:uniqueId val="{00000000-52B3-449D-A353-BCAE1FD83F7D}"/>
            </c:ext>
          </c:extLst>
        </c:ser>
        <c:ser>
          <c:idx val="1"/>
          <c:order val="1"/>
          <c:tx>
            <c:v>pit</c:v>
          </c:tx>
          <c:spPr>
            <a:ln w="12700">
              <a:solidFill>
                <a:schemeClr val="tx1"/>
              </a:solidFill>
            </a:ln>
          </c:spPr>
          <c:marker>
            <c:symbol val="circle"/>
            <c:size val="5"/>
            <c:spPr>
              <a:solidFill>
                <a:schemeClr val="tx1"/>
              </a:solidFill>
              <a:ln>
                <a:noFill/>
              </a:ln>
            </c:spPr>
          </c:marker>
          <c:xVal>
            <c:numRef>
              <c:f>SiteEC_FirnCore_20240426!$P$13:$P$19</c:f>
              <c:numCache>
                <c:formatCode>0.00</c:formatCode>
                <c:ptCount val="7"/>
                <c:pt idx="0">
                  <c:v>0.2484472049689441</c:v>
                </c:pt>
                <c:pt idx="1">
                  <c:v>0.36749482401656314</c:v>
                </c:pt>
                <c:pt idx="2">
                  <c:v>0.33126293995859213</c:v>
                </c:pt>
                <c:pt idx="3">
                  <c:v>0.35196687370600416</c:v>
                </c:pt>
                <c:pt idx="4">
                  <c:v>0.35196687370600416</c:v>
                </c:pt>
                <c:pt idx="5">
                  <c:v>0.38819875776397517</c:v>
                </c:pt>
                <c:pt idx="6">
                  <c:v>0.35196687370600416</c:v>
                </c:pt>
              </c:numCache>
            </c:numRef>
          </c:xVal>
          <c:yVal>
            <c:numRef>
              <c:f>SiteEC_FirnCore_20240426!$C$13:$C$19</c:f>
              <c:numCache>
                <c:formatCode>??0</c:formatCode>
                <c:ptCount val="7"/>
                <c:pt idx="0">
                  <c:v>10</c:v>
                </c:pt>
                <c:pt idx="1">
                  <c:v>20</c:v>
                </c:pt>
                <c:pt idx="2">
                  <c:v>30</c:v>
                </c:pt>
                <c:pt idx="3">
                  <c:v>40</c:v>
                </c:pt>
                <c:pt idx="4">
                  <c:v>50</c:v>
                </c:pt>
                <c:pt idx="5">
                  <c:v>60</c:v>
                </c:pt>
                <c:pt idx="6">
                  <c:v>70</c:v>
                </c:pt>
              </c:numCache>
            </c:numRef>
          </c:yVal>
          <c:smooth val="1"/>
          <c:extLst>
            <c:ext xmlns:c16="http://schemas.microsoft.com/office/drawing/2014/chart" uri="{C3380CC4-5D6E-409C-BE32-E72D297353CC}">
              <c16:uniqueId val="{00000001-52B3-449D-A353-BCAE1FD83F7D}"/>
            </c:ext>
          </c:extLst>
        </c:ser>
        <c:dLbls>
          <c:showLegendKey val="0"/>
          <c:showVal val="0"/>
          <c:showCatName val="0"/>
          <c:showSerName val="0"/>
          <c:showPercent val="0"/>
          <c:showBubbleSize val="0"/>
        </c:dLbls>
        <c:axId val="169073280"/>
        <c:axId val="169108608"/>
      </c:scatterChart>
      <c:valAx>
        <c:axId val="169073280"/>
        <c:scaling>
          <c:orientation val="minMax"/>
        </c:scaling>
        <c:delete val="0"/>
        <c:axPos val="t"/>
        <c:title>
          <c:tx>
            <c:rich>
              <a:bodyPr/>
              <a:lstStyle/>
              <a:p>
                <a:pPr>
                  <a:defRPr sz="1200"/>
                </a:pPr>
                <a:r>
                  <a:rPr lang="en-US" sz="1200"/>
                  <a:t>Density (g/cm^3)</a:t>
                </a:r>
              </a:p>
            </c:rich>
          </c:tx>
          <c:layout>
            <c:manualLayout>
              <c:xMode val="edge"/>
              <c:yMode val="edge"/>
              <c:x val="0.41898359580052491"/>
              <c:y val="1.3888888888888888E-2"/>
            </c:manualLayout>
          </c:layout>
          <c:overlay val="0"/>
        </c:title>
        <c:numFmt formatCode="0.00" sourceLinked="1"/>
        <c:majorTickMark val="in"/>
        <c:minorTickMark val="none"/>
        <c:tickLblPos val="nextTo"/>
        <c:crossAx val="169108608"/>
        <c:crosses val="autoZero"/>
        <c:crossBetween val="midCat"/>
      </c:valAx>
      <c:valAx>
        <c:axId val="169108608"/>
        <c:scaling>
          <c:orientation val="maxMin"/>
        </c:scaling>
        <c:delete val="0"/>
        <c:axPos val="l"/>
        <c:majorGridlines>
          <c:spPr>
            <a:ln>
              <a:prstDash val="sysDash"/>
            </a:ln>
          </c:spPr>
        </c:majorGridlines>
        <c:title>
          <c:tx>
            <c:rich>
              <a:bodyPr rot="-5400000" vert="horz"/>
              <a:lstStyle/>
              <a:p>
                <a:pPr>
                  <a:defRPr sz="1200"/>
                </a:pPr>
                <a:r>
                  <a:rPr lang="en-US" sz="1200"/>
                  <a:t>Depth (cm)</a:t>
                </a:r>
              </a:p>
            </c:rich>
          </c:tx>
          <c:overlay val="0"/>
        </c:title>
        <c:numFmt formatCode="??0" sourceLinked="1"/>
        <c:majorTickMark val="in"/>
        <c:minorTickMark val="none"/>
        <c:tickLblPos val="nextTo"/>
        <c:crossAx val="169073280"/>
        <c:crosses val="autoZero"/>
        <c:crossBetween val="midCat"/>
      </c:valAx>
      <c:spPr>
        <a:ln>
          <a:solidFill>
            <a:schemeClr val="tx1"/>
          </a:solidFill>
          <a:prstDash val="solid"/>
        </a:ln>
      </c:spPr>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4497462817147858"/>
          <c:y val="0.1771143190434529"/>
          <c:w val="0.66843460192475945"/>
          <c:h val="0.77148512685914261"/>
        </c:manualLayout>
      </c:layout>
      <c:scatterChart>
        <c:scatterStyle val="smoothMarker"/>
        <c:varyColors val="0"/>
        <c:ser>
          <c:idx val="0"/>
          <c:order val="0"/>
          <c:tx>
            <c:v>pit</c:v>
          </c:tx>
          <c:spPr>
            <a:ln w="12700">
              <a:solidFill>
                <a:schemeClr val="tx1"/>
              </a:solidFill>
            </a:ln>
          </c:spPr>
          <c:marker>
            <c:symbol val="circle"/>
            <c:size val="5"/>
            <c:spPr>
              <a:solidFill>
                <a:schemeClr val="tx1"/>
              </a:solidFill>
              <a:ln>
                <a:noFill/>
              </a:ln>
            </c:spPr>
          </c:marker>
          <c:xVal>
            <c:numRef>
              <c:f>SiteY_PitCore_20240425!$P$13:$P$22</c:f>
              <c:numCache>
                <c:formatCode>0.00</c:formatCode>
                <c:ptCount val="10"/>
                <c:pt idx="0">
                  <c:v>0.28985507246376813</c:v>
                </c:pt>
                <c:pt idx="1">
                  <c:v>0.32608695652173914</c:v>
                </c:pt>
                <c:pt idx="2">
                  <c:v>0.36231884057971014</c:v>
                </c:pt>
                <c:pt idx="3">
                  <c:v>0.27950310559006208</c:v>
                </c:pt>
                <c:pt idx="4">
                  <c:v>0.3105590062111801</c:v>
                </c:pt>
                <c:pt idx="5">
                  <c:v>0.35196687370600416</c:v>
                </c:pt>
              </c:numCache>
            </c:numRef>
          </c:xVal>
          <c:yVal>
            <c:numRef>
              <c:f>SiteY_PitCore_20240425!$C$13:$C$22</c:f>
              <c:numCache>
                <c:formatCode>??0</c:formatCode>
                <c:ptCount val="10"/>
                <c:pt idx="0">
                  <c:v>10</c:v>
                </c:pt>
                <c:pt idx="1">
                  <c:v>20</c:v>
                </c:pt>
                <c:pt idx="2">
                  <c:v>30</c:v>
                </c:pt>
                <c:pt idx="3">
                  <c:v>40</c:v>
                </c:pt>
                <c:pt idx="4">
                  <c:v>50</c:v>
                </c:pt>
                <c:pt idx="5">
                  <c:v>60</c:v>
                </c:pt>
              </c:numCache>
            </c:numRef>
          </c:yVal>
          <c:smooth val="1"/>
          <c:extLst>
            <c:ext xmlns:c16="http://schemas.microsoft.com/office/drawing/2014/chart" uri="{C3380CC4-5D6E-409C-BE32-E72D297353CC}">
              <c16:uniqueId val="{00000000-E441-4678-80DE-6D20F3FCAA29}"/>
            </c:ext>
          </c:extLst>
        </c:ser>
        <c:ser>
          <c:idx val="1"/>
          <c:order val="1"/>
          <c:tx>
            <c:v>core</c:v>
          </c:tx>
          <c:xVal>
            <c:numRef>
              <c:f>SiteY_PitCore_20240425!$P$25:$P$54</c:f>
              <c:numCache>
                <c:formatCode>0.00</c:formatCode>
                <c:ptCount val="30"/>
                <c:pt idx="0">
                  <c:v>0.39238644960502073</c:v>
                </c:pt>
                <c:pt idx="1">
                  <c:v>0.39669501872459451</c:v>
                </c:pt>
                <c:pt idx="2">
                  <c:v>0.43441337752910758</c:v>
                </c:pt>
                <c:pt idx="3">
                  <c:v>0.45189191398048273</c:v>
                </c:pt>
                <c:pt idx="4">
                  <c:v>0.44787039343452051</c:v>
                </c:pt>
                <c:pt idx="5">
                  <c:v>0.47120632575776211</c:v>
                </c:pt>
                <c:pt idx="6">
                  <c:v>0.51012001928597306</c:v>
                </c:pt>
                <c:pt idx="7">
                  <c:v>0.51414873419846174</c:v>
                </c:pt>
                <c:pt idx="8">
                  <c:v>0.46058384583779133</c:v>
                </c:pt>
                <c:pt idx="9">
                  <c:v>0.45514387915466781</c:v>
                </c:pt>
                <c:pt idx="10">
                  <c:v>0.54117672540004569</c:v>
                </c:pt>
              </c:numCache>
            </c:numRef>
          </c:xVal>
          <c:yVal>
            <c:numRef>
              <c:f>SiteY_PitCore_20240425!$C$25:$C$54</c:f>
              <c:numCache>
                <c:formatCode>??0</c:formatCode>
                <c:ptCount val="30"/>
                <c:pt idx="0">
                  <c:v>148</c:v>
                </c:pt>
                <c:pt idx="1">
                  <c:v>179</c:v>
                </c:pt>
                <c:pt idx="2">
                  <c:v>266</c:v>
                </c:pt>
                <c:pt idx="3">
                  <c:v>311.5</c:v>
                </c:pt>
                <c:pt idx="4">
                  <c:v>343</c:v>
                </c:pt>
                <c:pt idx="5">
                  <c:v>396.9</c:v>
                </c:pt>
                <c:pt idx="6">
                  <c:v>438</c:v>
                </c:pt>
                <c:pt idx="7">
                  <c:v>485.9</c:v>
                </c:pt>
                <c:pt idx="8">
                  <c:v>511</c:v>
                </c:pt>
                <c:pt idx="9">
                  <c:v>564</c:v>
                </c:pt>
                <c:pt idx="10">
                  <c:v>585</c:v>
                </c:pt>
              </c:numCache>
            </c:numRef>
          </c:yVal>
          <c:smooth val="1"/>
          <c:extLst>
            <c:ext xmlns:c16="http://schemas.microsoft.com/office/drawing/2014/chart" uri="{C3380CC4-5D6E-409C-BE32-E72D297353CC}">
              <c16:uniqueId val="{00000001-E441-4678-80DE-6D20F3FCAA29}"/>
            </c:ext>
          </c:extLst>
        </c:ser>
        <c:ser>
          <c:idx val="2"/>
          <c:order val="2"/>
          <c:tx>
            <c:v>firn</c:v>
          </c:tx>
          <c:xVal>
            <c:numRef>
              <c:f>SiteY_PitCore_20240425!$P$52:$P$54</c:f>
              <c:numCache>
                <c:formatCode>0.00</c:formatCode>
                <c:ptCount val="3"/>
              </c:numCache>
            </c:numRef>
          </c:xVal>
          <c:yVal>
            <c:numRef>
              <c:f>SiteY_PitCore_20240425!$C$52:$C$54</c:f>
              <c:numCache>
                <c:formatCode>??0</c:formatCode>
                <c:ptCount val="3"/>
              </c:numCache>
            </c:numRef>
          </c:yVal>
          <c:smooth val="1"/>
          <c:extLst>
            <c:ext xmlns:c16="http://schemas.microsoft.com/office/drawing/2014/chart" uri="{C3380CC4-5D6E-409C-BE32-E72D297353CC}">
              <c16:uniqueId val="{00000002-E441-4678-80DE-6D20F3FCAA29}"/>
            </c:ext>
          </c:extLst>
        </c:ser>
        <c:dLbls>
          <c:showLegendKey val="0"/>
          <c:showVal val="0"/>
          <c:showCatName val="0"/>
          <c:showSerName val="0"/>
          <c:showPercent val="0"/>
          <c:showBubbleSize val="0"/>
        </c:dLbls>
        <c:axId val="169062400"/>
        <c:axId val="169064320"/>
      </c:scatterChart>
      <c:valAx>
        <c:axId val="169062400"/>
        <c:scaling>
          <c:orientation val="minMax"/>
        </c:scaling>
        <c:delete val="0"/>
        <c:axPos val="t"/>
        <c:title>
          <c:tx>
            <c:rich>
              <a:bodyPr/>
              <a:lstStyle/>
              <a:p>
                <a:pPr>
                  <a:defRPr sz="1200"/>
                </a:pPr>
                <a:r>
                  <a:rPr lang="en-US" sz="1200"/>
                  <a:t>Density (g/cm^3)</a:t>
                </a:r>
              </a:p>
            </c:rich>
          </c:tx>
          <c:layout>
            <c:manualLayout>
              <c:xMode val="edge"/>
              <c:yMode val="edge"/>
              <c:x val="0.41898359580052491"/>
              <c:y val="1.3888888888888888E-2"/>
            </c:manualLayout>
          </c:layout>
          <c:overlay val="0"/>
        </c:title>
        <c:numFmt formatCode="0.00" sourceLinked="1"/>
        <c:majorTickMark val="in"/>
        <c:minorTickMark val="none"/>
        <c:tickLblPos val="nextTo"/>
        <c:crossAx val="169064320"/>
        <c:crosses val="autoZero"/>
        <c:crossBetween val="midCat"/>
      </c:valAx>
      <c:valAx>
        <c:axId val="169064320"/>
        <c:scaling>
          <c:orientation val="maxMin"/>
        </c:scaling>
        <c:delete val="0"/>
        <c:axPos val="l"/>
        <c:majorGridlines>
          <c:spPr>
            <a:ln>
              <a:prstDash val="sysDash"/>
            </a:ln>
          </c:spPr>
        </c:majorGridlines>
        <c:title>
          <c:tx>
            <c:rich>
              <a:bodyPr rot="-5400000" vert="horz"/>
              <a:lstStyle/>
              <a:p>
                <a:pPr>
                  <a:defRPr sz="1200"/>
                </a:pPr>
                <a:r>
                  <a:rPr lang="en-US" sz="1200"/>
                  <a:t>Depth (cm)</a:t>
                </a:r>
              </a:p>
            </c:rich>
          </c:tx>
          <c:overlay val="0"/>
        </c:title>
        <c:numFmt formatCode="??0" sourceLinked="1"/>
        <c:majorTickMark val="in"/>
        <c:minorTickMark val="none"/>
        <c:tickLblPos val="nextTo"/>
        <c:crossAx val="169062400"/>
        <c:crosses val="autoZero"/>
        <c:crossBetween val="midCat"/>
      </c:valAx>
      <c:spPr>
        <a:ln>
          <a:solidFill>
            <a:schemeClr val="tx1"/>
          </a:solidFill>
          <a:prstDash val="solid"/>
        </a:ln>
      </c:spPr>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11</xdr:col>
      <xdr:colOff>571500</xdr:colOff>
      <xdr:row>1</xdr:row>
      <xdr:rowOff>76200</xdr:rowOff>
    </xdr:from>
    <xdr:to>
      <xdr:col>19</xdr:col>
      <xdr:colOff>266700</xdr:colOff>
      <xdr:row>16</xdr:row>
      <xdr:rowOff>76200</xdr:rowOff>
    </xdr:to>
    <xdr:graphicFrame macro="">
      <xdr:nvGraphicFramePr>
        <xdr:cNvPr id="2" name="Chart 1">
          <a:extLst>
            <a:ext uri="{FF2B5EF4-FFF2-40B4-BE49-F238E27FC236}">
              <a16:creationId xmlns:a16="http://schemas.microsoft.com/office/drawing/2014/main" id="{37E5AAC6-BB65-4246-81AD-5F0DCB13F2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0</xdr:rowOff>
    </xdr:from>
    <xdr:to>
      <xdr:col>12</xdr:col>
      <xdr:colOff>361950</xdr:colOff>
      <xdr:row>52</xdr:row>
      <xdr:rowOff>142875</xdr:rowOff>
    </xdr:to>
    <xdr:sp macro="" textlink="">
      <xdr:nvSpPr>
        <xdr:cNvPr id="2" name="AutoShape 5">
          <a:extLst>
            <a:ext uri="{FF2B5EF4-FFF2-40B4-BE49-F238E27FC236}">
              <a16:creationId xmlns:a16="http://schemas.microsoft.com/office/drawing/2014/main" id="{E4A52269-ECD3-471F-BCBA-10D379B7D7F6}"/>
            </a:ext>
          </a:extLst>
        </xdr:cNvPr>
        <xdr:cNvSpPr>
          <a:spLocks noChangeArrowheads="1"/>
        </xdr:cNvSpPr>
      </xdr:nvSpPr>
      <xdr:spPr bwMode="auto">
        <a:xfrm>
          <a:off x="0" y="0"/>
          <a:ext cx="13727430" cy="926401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2</xdr:row>
      <xdr:rowOff>0</xdr:rowOff>
    </xdr:from>
    <xdr:to>
      <xdr:col>12</xdr:col>
      <xdr:colOff>361950</xdr:colOff>
      <xdr:row>52</xdr:row>
      <xdr:rowOff>142875</xdr:rowOff>
    </xdr:to>
    <xdr:sp macro="" textlink="">
      <xdr:nvSpPr>
        <xdr:cNvPr id="3" name="AutoShape 5">
          <a:extLst>
            <a:ext uri="{FF2B5EF4-FFF2-40B4-BE49-F238E27FC236}">
              <a16:creationId xmlns:a16="http://schemas.microsoft.com/office/drawing/2014/main" id="{8E5444CB-0224-4929-A068-9CE19354F849}"/>
            </a:ext>
          </a:extLst>
        </xdr:cNvPr>
        <xdr:cNvSpPr>
          <a:spLocks noChangeArrowheads="1"/>
        </xdr:cNvSpPr>
      </xdr:nvSpPr>
      <xdr:spPr bwMode="auto">
        <a:xfrm>
          <a:off x="0" y="0"/>
          <a:ext cx="13727430" cy="926401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2</xdr:row>
      <xdr:rowOff>0</xdr:rowOff>
    </xdr:from>
    <xdr:to>
      <xdr:col>12</xdr:col>
      <xdr:colOff>361950</xdr:colOff>
      <xdr:row>52</xdr:row>
      <xdr:rowOff>142875</xdr:rowOff>
    </xdr:to>
    <xdr:sp macro="" textlink="">
      <xdr:nvSpPr>
        <xdr:cNvPr id="4" name="AutoShape 5">
          <a:extLst>
            <a:ext uri="{FF2B5EF4-FFF2-40B4-BE49-F238E27FC236}">
              <a16:creationId xmlns:a16="http://schemas.microsoft.com/office/drawing/2014/main" id="{B470B06F-6CD9-4044-8B3A-794F734C7F71}"/>
            </a:ext>
          </a:extLst>
        </xdr:cNvPr>
        <xdr:cNvSpPr>
          <a:spLocks noChangeArrowheads="1"/>
        </xdr:cNvSpPr>
      </xdr:nvSpPr>
      <xdr:spPr bwMode="auto">
        <a:xfrm>
          <a:off x="0" y="0"/>
          <a:ext cx="13727430" cy="926401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2</xdr:row>
      <xdr:rowOff>0</xdr:rowOff>
    </xdr:from>
    <xdr:to>
      <xdr:col>12</xdr:col>
      <xdr:colOff>361950</xdr:colOff>
      <xdr:row>53</xdr:row>
      <xdr:rowOff>142875</xdr:rowOff>
    </xdr:to>
    <xdr:sp macro="" textlink="">
      <xdr:nvSpPr>
        <xdr:cNvPr id="5" name="AutoShape 5">
          <a:extLst>
            <a:ext uri="{FF2B5EF4-FFF2-40B4-BE49-F238E27FC236}">
              <a16:creationId xmlns:a16="http://schemas.microsoft.com/office/drawing/2014/main" id="{9186498C-F016-4C96-B41D-FD94871C3C30}"/>
            </a:ext>
          </a:extLst>
        </xdr:cNvPr>
        <xdr:cNvSpPr>
          <a:spLocks noChangeArrowheads="1"/>
        </xdr:cNvSpPr>
      </xdr:nvSpPr>
      <xdr:spPr bwMode="auto">
        <a:xfrm>
          <a:off x="0" y="0"/>
          <a:ext cx="13727430" cy="946213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2</xdr:row>
      <xdr:rowOff>0</xdr:rowOff>
    </xdr:from>
    <xdr:to>
      <xdr:col>12</xdr:col>
      <xdr:colOff>361950</xdr:colOff>
      <xdr:row>53</xdr:row>
      <xdr:rowOff>142875</xdr:rowOff>
    </xdr:to>
    <xdr:sp macro="" textlink="">
      <xdr:nvSpPr>
        <xdr:cNvPr id="6" name="AutoShape 5">
          <a:extLst>
            <a:ext uri="{FF2B5EF4-FFF2-40B4-BE49-F238E27FC236}">
              <a16:creationId xmlns:a16="http://schemas.microsoft.com/office/drawing/2014/main" id="{482A04B1-07E3-49EE-95F0-2C35B4249A17}"/>
            </a:ext>
          </a:extLst>
        </xdr:cNvPr>
        <xdr:cNvSpPr>
          <a:spLocks noChangeArrowheads="1"/>
        </xdr:cNvSpPr>
      </xdr:nvSpPr>
      <xdr:spPr bwMode="auto">
        <a:xfrm>
          <a:off x="0" y="0"/>
          <a:ext cx="13727430" cy="946213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2</xdr:row>
      <xdr:rowOff>0</xdr:rowOff>
    </xdr:from>
    <xdr:to>
      <xdr:col>12</xdr:col>
      <xdr:colOff>361950</xdr:colOff>
      <xdr:row>53</xdr:row>
      <xdr:rowOff>142875</xdr:rowOff>
    </xdr:to>
    <xdr:sp macro="" textlink="">
      <xdr:nvSpPr>
        <xdr:cNvPr id="7" name="AutoShape 5">
          <a:extLst>
            <a:ext uri="{FF2B5EF4-FFF2-40B4-BE49-F238E27FC236}">
              <a16:creationId xmlns:a16="http://schemas.microsoft.com/office/drawing/2014/main" id="{EC549C40-9195-4DA9-BD04-D2D7A135B991}"/>
            </a:ext>
          </a:extLst>
        </xdr:cNvPr>
        <xdr:cNvSpPr>
          <a:spLocks noChangeArrowheads="1"/>
        </xdr:cNvSpPr>
      </xdr:nvSpPr>
      <xdr:spPr bwMode="auto">
        <a:xfrm>
          <a:off x="0" y="0"/>
          <a:ext cx="13727430" cy="9462135"/>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361950</xdr:colOff>
      <xdr:row>69</xdr:row>
      <xdr:rowOff>142875</xdr:rowOff>
    </xdr:to>
    <xdr:sp macro="" textlink="">
      <xdr:nvSpPr>
        <xdr:cNvPr id="2" name="AutoShape 5">
          <a:extLst>
            <a:ext uri="{FF2B5EF4-FFF2-40B4-BE49-F238E27FC236}">
              <a16:creationId xmlns:a16="http://schemas.microsoft.com/office/drawing/2014/main" id="{00000000-0008-0000-0200-000002000000}"/>
            </a:ext>
          </a:extLst>
        </xdr:cNvPr>
        <xdr:cNvSpPr>
          <a:spLocks noChangeArrowheads="1"/>
        </xdr:cNvSpPr>
      </xdr:nvSpPr>
      <xdr:spPr bwMode="auto">
        <a:xfrm>
          <a:off x="0" y="0"/>
          <a:ext cx="13719810" cy="1120711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69</xdr:row>
      <xdr:rowOff>142875</xdr:rowOff>
    </xdr:to>
    <xdr:sp macro="" textlink="">
      <xdr:nvSpPr>
        <xdr:cNvPr id="3" name="AutoShape 5">
          <a:extLst>
            <a:ext uri="{FF2B5EF4-FFF2-40B4-BE49-F238E27FC236}">
              <a16:creationId xmlns:a16="http://schemas.microsoft.com/office/drawing/2014/main" id="{00000000-0008-0000-0200-000003000000}"/>
            </a:ext>
          </a:extLst>
        </xdr:cNvPr>
        <xdr:cNvSpPr>
          <a:spLocks noChangeArrowheads="1"/>
        </xdr:cNvSpPr>
      </xdr:nvSpPr>
      <xdr:spPr bwMode="auto">
        <a:xfrm>
          <a:off x="0" y="0"/>
          <a:ext cx="13719810" cy="1120711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69</xdr:row>
      <xdr:rowOff>142875</xdr:rowOff>
    </xdr:to>
    <xdr:sp macro="" textlink="">
      <xdr:nvSpPr>
        <xdr:cNvPr id="4" name="AutoShape 5">
          <a:extLst>
            <a:ext uri="{FF2B5EF4-FFF2-40B4-BE49-F238E27FC236}">
              <a16:creationId xmlns:a16="http://schemas.microsoft.com/office/drawing/2014/main" id="{00000000-0008-0000-0200-000004000000}"/>
            </a:ext>
          </a:extLst>
        </xdr:cNvPr>
        <xdr:cNvSpPr>
          <a:spLocks noChangeArrowheads="1"/>
        </xdr:cNvSpPr>
      </xdr:nvSpPr>
      <xdr:spPr bwMode="auto">
        <a:xfrm>
          <a:off x="0" y="0"/>
          <a:ext cx="13719810" cy="1120711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70</xdr:row>
      <xdr:rowOff>142875</xdr:rowOff>
    </xdr:to>
    <xdr:sp macro="" textlink="">
      <xdr:nvSpPr>
        <xdr:cNvPr id="5" name="AutoShape 5">
          <a:extLst>
            <a:ext uri="{FF2B5EF4-FFF2-40B4-BE49-F238E27FC236}">
              <a16:creationId xmlns:a16="http://schemas.microsoft.com/office/drawing/2014/main" id="{00000000-0008-0000-0200-000005000000}"/>
            </a:ext>
          </a:extLst>
        </xdr:cNvPr>
        <xdr:cNvSpPr>
          <a:spLocks noChangeArrowheads="1"/>
        </xdr:cNvSpPr>
      </xdr:nvSpPr>
      <xdr:spPr bwMode="auto">
        <a:xfrm>
          <a:off x="0" y="0"/>
          <a:ext cx="13719810" cy="1140523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70</xdr:row>
      <xdr:rowOff>142875</xdr:rowOff>
    </xdr:to>
    <xdr:sp macro="" textlink="">
      <xdr:nvSpPr>
        <xdr:cNvPr id="6" name="AutoShape 5">
          <a:extLst>
            <a:ext uri="{FF2B5EF4-FFF2-40B4-BE49-F238E27FC236}">
              <a16:creationId xmlns:a16="http://schemas.microsoft.com/office/drawing/2014/main" id="{00000000-0008-0000-0200-000006000000}"/>
            </a:ext>
          </a:extLst>
        </xdr:cNvPr>
        <xdr:cNvSpPr>
          <a:spLocks noChangeArrowheads="1"/>
        </xdr:cNvSpPr>
      </xdr:nvSpPr>
      <xdr:spPr bwMode="auto">
        <a:xfrm>
          <a:off x="0" y="0"/>
          <a:ext cx="13719810" cy="1140523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70</xdr:row>
      <xdr:rowOff>142875</xdr:rowOff>
    </xdr:to>
    <xdr:sp macro="" textlink="">
      <xdr:nvSpPr>
        <xdr:cNvPr id="7" name="AutoShape 5">
          <a:extLst>
            <a:ext uri="{FF2B5EF4-FFF2-40B4-BE49-F238E27FC236}">
              <a16:creationId xmlns:a16="http://schemas.microsoft.com/office/drawing/2014/main" id="{00000000-0008-0000-0200-000007000000}"/>
            </a:ext>
          </a:extLst>
        </xdr:cNvPr>
        <xdr:cNvSpPr>
          <a:spLocks noChangeArrowheads="1"/>
        </xdr:cNvSpPr>
      </xdr:nvSpPr>
      <xdr:spPr bwMode="auto">
        <a:xfrm>
          <a:off x="0" y="0"/>
          <a:ext cx="13719810" cy="11405235"/>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361950</xdr:colOff>
      <xdr:row>63</xdr:row>
      <xdr:rowOff>142875</xdr:rowOff>
    </xdr:to>
    <xdr:sp macro="" textlink="">
      <xdr:nvSpPr>
        <xdr:cNvPr id="2" name="AutoShape 5">
          <a:extLst>
            <a:ext uri="{FF2B5EF4-FFF2-40B4-BE49-F238E27FC236}">
              <a16:creationId xmlns:a16="http://schemas.microsoft.com/office/drawing/2014/main" id="{00000000-0008-0000-0300-000002000000}"/>
            </a:ext>
          </a:extLst>
        </xdr:cNvPr>
        <xdr:cNvSpPr>
          <a:spLocks noChangeArrowheads="1"/>
        </xdr:cNvSpPr>
      </xdr:nvSpPr>
      <xdr:spPr bwMode="auto">
        <a:xfrm>
          <a:off x="0" y="0"/>
          <a:ext cx="13719810" cy="1120711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63</xdr:row>
      <xdr:rowOff>142875</xdr:rowOff>
    </xdr:to>
    <xdr:sp macro="" textlink="">
      <xdr:nvSpPr>
        <xdr:cNvPr id="3" name="AutoShape 5">
          <a:extLst>
            <a:ext uri="{FF2B5EF4-FFF2-40B4-BE49-F238E27FC236}">
              <a16:creationId xmlns:a16="http://schemas.microsoft.com/office/drawing/2014/main" id="{00000000-0008-0000-0300-000003000000}"/>
            </a:ext>
          </a:extLst>
        </xdr:cNvPr>
        <xdr:cNvSpPr>
          <a:spLocks noChangeArrowheads="1"/>
        </xdr:cNvSpPr>
      </xdr:nvSpPr>
      <xdr:spPr bwMode="auto">
        <a:xfrm>
          <a:off x="0" y="0"/>
          <a:ext cx="13719810" cy="1120711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63</xdr:row>
      <xdr:rowOff>142875</xdr:rowOff>
    </xdr:to>
    <xdr:sp macro="" textlink="">
      <xdr:nvSpPr>
        <xdr:cNvPr id="4" name="AutoShape 5">
          <a:extLst>
            <a:ext uri="{FF2B5EF4-FFF2-40B4-BE49-F238E27FC236}">
              <a16:creationId xmlns:a16="http://schemas.microsoft.com/office/drawing/2014/main" id="{00000000-0008-0000-0300-000004000000}"/>
            </a:ext>
          </a:extLst>
        </xdr:cNvPr>
        <xdr:cNvSpPr>
          <a:spLocks noChangeArrowheads="1"/>
        </xdr:cNvSpPr>
      </xdr:nvSpPr>
      <xdr:spPr bwMode="auto">
        <a:xfrm>
          <a:off x="0" y="0"/>
          <a:ext cx="13719810" cy="1120711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64</xdr:row>
      <xdr:rowOff>142875</xdr:rowOff>
    </xdr:to>
    <xdr:sp macro="" textlink="">
      <xdr:nvSpPr>
        <xdr:cNvPr id="5" name="AutoShape 5">
          <a:extLst>
            <a:ext uri="{FF2B5EF4-FFF2-40B4-BE49-F238E27FC236}">
              <a16:creationId xmlns:a16="http://schemas.microsoft.com/office/drawing/2014/main" id="{00000000-0008-0000-0300-000005000000}"/>
            </a:ext>
          </a:extLst>
        </xdr:cNvPr>
        <xdr:cNvSpPr>
          <a:spLocks noChangeArrowheads="1"/>
        </xdr:cNvSpPr>
      </xdr:nvSpPr>
      <xdr:spPr bwMode="auto">
        <a:xfrm>
          <a:off x="0" y="0"/>
          <a:ext cx="13719810" cy="1140523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64</xdr:row>
      <xdr:rowOff>142875</xdr:rowOff>
    </xdr:to>
    <xdr:sp macro="" textlink="">
      <xdr:nvSpPr>
        <xdr:cNvPr id="6" name="AutoShape 5">
          <a:extLst>
            <a:ext uri="{FF2B5EF4-FFF2-40B4-BE49-F238E27FC236}">
              <a16:creationId xmlns:a16="http://schemas.microsoft.com/office/drawing/2014/main" id="{00000000-0008-0000-0300-000006000000}"/>
            </a:ext>
          </a:extLst>
        </xdr:cNvPr>
        <xdr:cNvSpPr>
          <a:spLocks noChangeArrowheads="1"/>
        </xdr:cNvSpPr>
      </xdr:nvSpPr>
      <xdr:spPr bwMode="auto">
        <a:xfrm>
          <a:off x="0" y="0"/>
          <a:ext cx="13719810" cy="1140523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64</xdr:row>
      <xdr:rowOff>142875</xdr:rowOff>
    </xdr:to>
    <xdr:sp macro="" textlink="">
      <xdr:nvSpPr>
        <xdr:cNvPr id="7" name="AutoShape 5">
          <a:extLst>
            <a:ext uri="{FF2B5EF4-FFF2-40B4-BE49-F238E27FC236}">
              <a16:creationId xmlns:a16="http://schemas.microsoft.com/office/drawing/2014/main" id="{00000000-0008-0000-0300-000007000000}"/>
            </a:ext>
          </a:extLst>
        </xdr:cNvPr>
        <xdr:cNvSpPr>
          <a:spLocks noChangeArrowheads="1"/>
        </xdr:cNvSpPr>
      </xdr:nvSpPr>
      <xdr:spPr bwMode="auto">
        <a:xfrm>
          <a:off x="0" y="0"/>
          <a:ext cx="13719810" cy="11405235"/>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361950</xdr:colOff>
      <xdr:row>87</xdr:row>
      <xdr:rowOff>142875</xdr:rowOff>
    </xdr:to>
    <xdr:sp macro="" textlink="">
      <xdr:nvSpPr>
        <xdr:cNvPr id="2" name="AutoShape 5">
          <a:extLst>
            <a:ext uri="{FF2B5EF4-FFF2-40B4-BE49-F238E27FC236}">
              <a16:creationId xmlns:a16="http://schemas.microsoft.com/office/drawing/2014/main" id="{00000000-0008-0000-0400-000002000000}"/>
            </a:ext>
          </a:extLst>
        </xdr:cNvPr>
        <xdr:cNvSpPr>
          <a:spLocks noChangeArrowheads="1"/>
        </xdr:cNvSpPr>
      </xdr:nvSpPr>
      <xdr:spPr bwMode="auto">
        <a:xfrm>
          <a:off x="0" y="0"/>
          <a:ext cx="13719810" cy="1120711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87</xdr:row>
      <xdr:rowOff>142875</xdr:rowOff>
    </xdr:to>
    <xdr:sp macro="" textlink="">
      <xdr:nvSpPr>
        <xdr:cNvPr id="3" name="AutoShape 5">
          <a:extLst>
            <a:ext uri="{FF2B5EF4-FFF2-40B4-BE49-F238E27FC236}">
              <a16:creationId xmlns:a16="http://schemas.microsoft.com/office/drawing/2014/main" id="{00000000-0008-0000-0400-000003000000}"/>
            </a:ext>
          </a:extLst>
        </xdr:cNvPr>
        <xdr:cNvSpPr>
          <a:spLocks noChangeArrowheads="1"/>
        </xdr:cNvSpPr>
      </xdr:nvSpPr>
      <xdr:spPr bwMode="auto">
        <a:xfrm>
          <a:off x="0" y="0"/>
          <a:ext cx="13719810" cy="1120711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87</xdr:row>
      <xdr:rowOff>142875</xdr:rowOff>
    </xdr:to>
    <xdr:sp macro="" textlink="">
      <xdr:nvSpPr>
        <xdr:cNvPr id="4" name="AutoShape 5">
          <a:extLst>
            <a:ext uri="{FF2B5EF4-FFF2-40B4-BE49-F238E27FC236}">
              <a16:creationId xmlns:a16="http://schemas.microsoft.com/office/drawing/2014/main" id="{00000000-0008-0000-0400-000004000000}"/>
            </a:ext>
          </a:extLst>
        </xdr:cNvPr>
        <xdr:cNvSpPr>
          <a:spLocks noChangeArrowheads="1"/>
        </xdr:cNvSpPr>
      </xdr:nvSpPr>
      <xdr:spPr bwMode="auto">
        <a:xfrm>
          <a:off x="0" y="0"/>
          <a:ext cx="13719810" cy="1120711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88</xdr:row>
      <xdr:rowOff>142875</xdr:rowOff>
    </xdr:to>
    <xdr:sp macro="" textlink="">
      <xdr:nvSpPr>
        <xdr:cNvPr id="5" name="AutoShape 5">
          <a:extLst>
            <a:ext uri="{FF2B5EF4-FFF2-40B4-BE49-F238E27FC236}">
              <a16:creationId xmlns:a16="http://schemas.microsoft.com/office/drawing/2014/main" id="{00000000-0008-0000-0400-000005000000}"/>
            </a:ext>
          </a:extLst>
        </xdr:cNvPr>
        <xdr:cNvSpPr>
          <a:spLocks noChangeArrowheads="1"/>
        </xdr:cNvSpPr>
      </xdr:nvSpPr>
      <xdr:spPr bwMode="auto">
        <a:xfrm>
          <a:off x="0" y="0"/>
          <a:ext cx="13719810" cy="1140523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88</xdr:row>
      <xdr:rowOff>142875</xdr:rowOff>
    </xdr:to>
    <xdr:sp macro="" textlink="">
      <xdr:nvSpPr>
        <xdr:cNvPr id="6" name="AutoShape 5">
          <a:extLst>
            <a:ext uri="{FF2B5EF4-FFF2-40B4-BE49-F238E27FC236}">
              <a16:creationId xmlns:a16="http://schemas.microsoft.com/office/drawing/2014/main" id="{00000000-0008-0000-0400-000006000000}"/>
            </a:ext>
          </a:extLst>
        </xdr:cNvPr>
        <xdr:cNvSpPr>
          <a:spLocks noChangeArrowheads="1"/>
        </xdr:cNvSpPr>
      </xdr:nvSpPr>
      <xdr:spPr bwMode="auto">
        <a:xfrm>
          <a:off x="0" y="0"/>
          <a:ext cx="13719810" cy="1140523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88</xdr:row>
      <xdr:rowOff>142875</xdr:rowOff>
    </xdr:to>
    <xdr:sp macro="" textlink="">
      <xdr:nvSpPr>
        <xdr:cNvPr id="7" name="AutoShape 5">
          <a:extLst>
            <a:ext uri="{FF2B5EF4-FFF2-40B4-BE49-F238E27FC236}">
              <a16:creationId xmlns:a16="http://schemas.microsoft.com/office/drawing/2014/main" id="{00000000-0008-0000-0400-000007000000}"/>
            </a:ext>
          </a:extLst>
        </xdr:cNvPr>
        <xdr:cNvSpPr>
          <a:spLocks noChangeArrowheads="1"/>
        </xdr:cNvSpPr>
      </xdr:nvSpPr>
      <xdr:spPr bwMode="auto">
        <a:xfrm>
          <a:off x="0" y="0"/>
          <a:ext cx="13719810" cy="11405235"/>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361950</xdr:colOff>
      <xdr:row>82</xdr:row>
      <xdr:rowOff>142875</xdr:rowOff>
    </xdr:to>
    <xdr:sp macro="" textlink="">
      <xdr:nvSpPr>
        <xdr:cNvPr id="2" name="AutoShape 5">
          <a:extLst>
            <a:ext uri="{FF2B5EF4-FFF2-40B4-BE49-F238E27FC236}">
              <a16:creationId xmlns:a16="http://schemas.microsoft.com/office/drawing/2014/main" id="{00000000-0008-0000-0500-000002000000}"/>
            </a:ext>
          </a:extLst>
        </xdr:cNvPr>
        <xdr:cNvSpPr>
          <a:spLocks noChangeArrowheads="1"/>
        </xdr:cNvSpPr>
      </xdr:nvSpPr>
      <xdr:spPr bwMode="auto">
        <a:xfrm>
          <a:off x="0" y="0"/>
          <a:ext cx="13719810" cy="1120711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82</xdr:row>
      <xdr:rowOff>142875</xdr:rowOff>
    </xdr:to>
    <xdr:sp macro="" textlink="">
      <xdr:nvSpPr>
        <xdr:cNvPr id="3" name="AutoShape 5">
          <a:extLst>
            <a:ext uri="{FF2B5EF4-FFF2-40B4-BE49-F238E27FC236}">
              <a16:creationId xmlns:a16="http://schemas.microsoft.com/office/drawing/2014/main" id="{00000000-0008-0000-0500-000003000000}"/>
            </a:ext>
          </a:extLst>
        </xdr:cNvPr>
        <xdr:cNvSpPr>
          <a:spLocks noChangeArrowheads="1"/>
        </xdr:cNvSpPr>
      </xdr:nvSpPr>
      <xdr:spPr bwMode="auto">
        <a:xfrm>
          <a:off x="0" y="0"/>
          <a:ext cx="13719810" cy="1120711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82</xdr:row>
      <xdr:rowOff>142875</xdr:rowOff>
    </xdr:to>
    <xdr:sp macro="" textlink="">
      <xdr:nvSpPr>
        <xdr:cNvPr id="4" name="AutoShape 5">
          <a:extLst>
            <a:ext uri="{FF2B5EF4-FFF2-40B4-BE49-F238E27FC236}">
              <a16:creationId xmlns:a16="http://schemas.microsoft.com/office/drawing/2014/main" id="{00000000-0008-0000-0500-000004000000}"/>
            </a:ext>
          </a:extLst>
        </xdr:cNvPr>
        <xdr:cNvSpPr>
          <a:spLocks noChangeArrowheads="1"/>
        </xdr:cNvSpPr>
      </xdr:nvSpPr>
      <xdr:spPr bwMode="auto">
        <a:xfrm>
          <a:off x="0" y="0"/>
          <a:ext cx="13719810" cy="1120711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83</xdr:row>
      <xdr:rowOff>142875</xdr:rowOff>
    </xdr:to>
    <xdr:sp macro="" textlink="">
      <xdr:nvSpPr>
        <xdr:cNvPr id="5" name="AutoShape 5">
          <a:extLst>
            <a:ext uri="{FF2B5EF4-FFF2-40B4-BE49-F238E27FC236}">
              <a16:creationId xmlns:a16="http://schemas.microsoft.com/office/drawing/2014/main" id="{00000000-0008-0000-0500-000005000000}"/>
            </a:ext>
          </a:extLst>
        </xdr:cNvPr>
        <xdr:cNvSpPr>
          <a:spLocks noChangeArrowheads="1"/>
        </xdr:cNvSpPr>
      </xdr:nvSpPr>
      <xdr:spPr bwMode="auto">
        <a:xfrm>
          <a:off x="0" y="0"/>
          <a:ext cx="13719810" cy="1140523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83</xdr:row>
      <xdr:rowOff>142875</xdr:rowOff>
    </xdr:to>
    <xdr:sp macro="" textlink="">
      <xdr:nvSpPr>
        <xdr:cNvPr id="6" name="AutoShape 5">
          <a:extLst>
            <a:ext uri="{FF2B5EF4-FFF2-40B4-BE49-F238E27FC236}">
              <a16:creationId xmlns:a16="http://schemas.microsoft.com/office/drawing/2014/main" id="{00000000-0008-0000-0500-000006000000}"/>
            </a:ext>
          </a:extLst>
        </xdr:cNvPr>
        <xdr:cNvSpPr>
          <a:spLocks noChangeArrowheads="1"/>
        </xdr:cNvSpPr>
      </xdr:nvSpPr>
      <xdr:spPr bwMode="auto">
        <a:xfrm>
          <a:off x="0" y="0"/>
          <a:ext cx="13719810" cy="1140523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83</xdr:row>
      <xdr:rowOff>142875</xdr:rowOff>
    </xdr:to>
    <xdr:sp macro="" textlink="">
      <xdr:nvSpPr>
        <xdr:cNvPr id="7" name="AutoShape 5">
          <a:extLst>
            <a:ext uri="{FF2B5EF4-FFF2-40B4-BE49-F238E27FC236}">
              <a16:creationId xmlns:a16="http://schemas.microsoft.com/office/drawing/2014/main" id="{00000000-0008-0000-0500-000007000000}"/>
            </a:ext>
          </a:extLst>
        </xdr:cNvPr>
        <xdr:cNvSpPr>
          <a:spLocks noChangeArrowheads="1"/>
        </xdr:cNvSpPr>
      </xdr:nvSpPr>
      <xdr:spPr bwMode="auto">
        <a:xfrm>
          <a:off x="0" y="0"/>
          <a:ext cx="13719810" cy="11405235"/>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361950</xdr:colOff>
      <xdr:row>53</xdr:row>
      <xdr:rowOff>142875</xdr:rowOff>
    </xdr:to>
    <xdr:sp macro="" textlink="">
      <xdr:nvSpPr>
        <xdr:cNvPr id="2" name="AutoShape 5">
          <a:extLst>
            <a:ext uri="{FF2B5EF4-FFF2-40B4-BE49-F238E27FC236}">
              <a16:creationId xmlns:a16="http://schemas.microsoft.com/office/drawing/2014/main" id="{00000000-0008-0000-0600-000002000000}"/>
            </a:ext>
          </a:extLst>
        </xdr:cNvPr>
        <xdr:cNvSpPr>
          <a:spLocks noChangeArrowheads="1"/>
        </xdr:cNvSpPr>
      </xdr:nvSpPr>
      <xdr:spPr bwMode="auto">
        <a:xfrm>
          <a:off x="0" y="0"/>
          <a:ext cx="13719810" cy="1120711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53</xdr:row>
      <xdr:rowOff>142875</xdr:rowOff>
    </xdr:to>
    <xdr:sp macro="" textlink="">
      <xdr:nvSpPr>
        <xdr:cNvPr id="3" name="AutoShape 5">
          <a:extLst>
            <a:ext uri="{FF2B5EF4-FFF2-40B4-BE49-F238E27FC236}">
              <a16:creationId xmlns:a16="http://schemas.microsoft.com/office/drawing/2014/main" id="{00000000-0008-0000-0600-000003000000}"/>
            </a:ext>
          </a:extLst>
        </xdr:cNvPr>
        <xdr:cNvSpPr>
          <a:spLocks noChangeArrowheads="1"/>
        </xdr:cNvSpPr>
      </xdr:nvSpPr>
      <xdr:spPr bwMode="auto">
        <a:xfrm>
          <a:off x="0" y="0"/>
          <a:ext cx="13719810" cy="1120711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53</xdr:row>
      <xdr:rowOff>142875</xdr:rowOff>
    </xdr:to>
    <xdr:sp macro="" textlink="">
      <xdr:nvSpPr>
        <xdr:cNvPr id="4" name="AutoShape 5">
          <a:extLst>
            <a:ext uri="{FF2B5EF4-FFF2-40B4-BE49-F238E27FC236}">
              <a16:creationId xmlns:a16="http://schemas.microsoft.com/office/drawing/2014/main" id="{00000000-0008-0000-0600-000004000000}"/>
            </a:ext>
          </a:extLst>
        </xdr:cNvPr>
        <xdr:cNvSpPr>
          <a:spLocks noChangeArrowheads="1"/>
        </xdr:cNvSpPr>
      </xdr:nvSpPr>
      <xdr:spPr bwMode="auto">
        <a:xfrm>
          <a:off x="0" y="0"/>
          <a:ext cx="13719810" cy="1120711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54</xdr:row>
      <xdr:rowOff>142875</xdr:rowOff>
    </xdr:to>
    <xdr:sp macro="" textlink="">
      <xdr:nvSpPr>
        <xdr:cNvPr id="5" name="AutoShape 5">
          <a:extLst>
            <a:ext uri="{FF2B5EF4-FFF2-40B4-BE49-F238E27FC236}">
              <a16:creationId xmlns:a16="http://schemas.microsoft.com/office/drawing/2014/main" id="{00000000-0008-0000-0600-000005000000}"/>
            </a:ext>
          </a:extLst>
        </xdr:cNvPr>
        <xdr:cNvSpPr>
          <a:spLocks noChangeArrowheads="1"/>
        </xdr:cNvSpPr>
      </xdr:nvSpPr>
      <xdr:spPr bwMode="auto">
        <a:xfrm>
          <a:off x="0" y="0"/>
          <a:ext cx="13719810" cy="1140523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54</xdr:row>
      <xdr:rowOff>142875</xdr:rowOff>
    </xdr:to>
    <xdr:sp macro="" textlink="">
      <xdr:nvSpPr>
        <xdr:cNvPr id="6" name="AutoShape 5">
          <a:extLst>
            <a:ext uri="{FF2B5EF4-FFF2-40B4-BE49-F238E27FC236}">
              <a16:creationId xmlns:a16="http://schemas.microsoft.com/office/drawing/2014/main" id="{00000000-0008-0000-0600-000006000000}"/>
            </a:ext>
          </a:extLst>
        </xdr:cNvPr>
        <xdr:cNvSpPr>
          <a:spLocks noChangeArrowheads="1"/>
        </xdr:cNvSpPr>
      </xdr:nvSpPr>
      <xdr:spPr bwMode="auto">
        <a:xfrm>
          <a:off x="0" y="0"/>
          <a:ext cx="13719810" cy="1140523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54</xdr:row>
      <xdr:rowOff>142875</xdr:rowOff>
    </xdr:to>
    <xdr:sp macro="" textlink="">
      <xdr:nvSpPr>
        <xdr:cNvPr id="7" name="AutoShape 5">
          <a:extLst>
            <a:ext uri="{FF2B5EF4-FFF2-40B4-BE49-F238E27FC236}">
              <a16:creationId xmlns:a16="http://schemas.microsoft.com/office/drawing/2014/main" id="{00000000-0008-0000-0600-000007000000}"/>
            </a:ext>
          </a:extLst>
        </xdr:cNvPr>
        <xdr:cNvSpPr>
          <a:spLocks noChangeArrowheads="1"/>
        </xdr:cNvSpPr>
      </xdr:nvSpPr>
      <xdr:spPr bwMode="auto">
        <a:xfrm>
          <a:off x="0" y="0"/>
          <a:ext cx="13719810" cy="11405235"/>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361950</xdr:colOff>
      <xdr:row>103</xdr:row>
      <xdr:rowOff>142875</xdr:rowOff>
    </xdr:to>
    <xdr:sp macro="" textlink="">
      <xdr:nvSpPr>
        <xdr:cNvPr id="2" name="AutoShape 5">
          <a:extLst>
            <a:ext uri="{FF2B5EF4-FFF2-40B4-BE49-F238E27FC236}">
              <a16:creationId xmlns:a16="http://schemas.microsoft.com/office/drawing/2014/main" id="{00000000-0008-0000-0700-000002000000}"/>
            </a:ext>
          </a:extLst>
        </xdr:cNvPr>
        <xdr:cNvSpPr>
          <a:spLocks noChangeArrowheads="1"/>
        </xdr:cNvSpPr>
      </xdr:nvSpPr>
      <xdr:spPr bwMode="auto">
        <a:xfrm>
          <a:off x="0" y="0"/>
          <a:ext cx="13719810" cy="1120711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103</xdr:row>
      <xdr:rowOff>142875</xdr:rowOff>
    </xdr:to>
    <xdr:sp macro="" textlink="">
      <xdr:nvSpPr>
        <xdr:cNvPr id="3" name="AutoShape 5">
          <a:extLst>
            <a:ext uri="{FF2B5EF4-FFF2-40B4-BE49-F238E27FC236}">
              <a16:creationId xmlns:a16="http://schemas.microsoft.com/office/drawing/2014/main" id="{00000000-0008-0000-0700-000003000000}"/>
            </a:ext>
          </a:extLst>
        </xdr:cNvPr>
        <xdr:cNvSpPr>
          <a:spLocks noChangeArrowheads="1"/>
        </xdr:cNvSpPr>
      </xdr:nvSpPr>
      <xdr:spPr bwMode="auto">
        <a:xfrm>
          <a:off x="0" y="0"/>
          <a:ext cx="13719810" cy="1120711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103</xdr:row>
      <xdr:rowOff>142875</xdr:rowOff>
    </xdr:to>
    <xdr:sp macro="" textlink="">
      <xdr:nvSpPr>
        <xdr:cNvPr id="4" name="AutoShape 5">
          <a:extLst>
            <a:ext uri="{FF2B5EF4-FFF2-40B4-BE49-F238E27FC236}">
              <a16:creationId xmlns:a16="http://schemas.microsoft.com/office/drawing/2014/main" id="{00000000-0008-0000-0700-000004000000}"/>
            </a:ext>
          </a:extLst>
        </xdr:cNvPr>
        <xdr:cNvSpPr>
          <a:spLocks noChangeArrowheads="1"/>
        </xdr:cNvSpPr>
      </xdr:nvSpPr>
      <xdr:spPr bwMode="auto">
        <a:xfrm>
          <a:off x="0" y="0"/>
          <a:ext cx="13719810" cy="1120711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104</xdr:row>
      <xdr:rowOff>142875</xdr:rowOff>
    </xdr:to>
    <xdr:sp macro="" textlink="">
      <xdr:nvSpPr>
        <xdr:cNvPr id="5" name="AutoShape 5">
          <a:extLst>
            <a:ext uri="{FF2B5EF4-FFF2-40B4-BE49-F238E27FC236}">
              <a16:creationId xmlns:a16="http://schemas.microsoft.com/office/drawing/2014/main" id="{00000000-0008-0000-0700-000005000000}"/>
            </a:ext>
          </a:extLst>
        </xdr:cNvPr>
        <xdr:cNvSpPr>
          <a:spLocks noChangeArrowheads="1"/>
        </xdr:cNvSpPr>
      </xdr:nvSpPr>
      <xdr:spPr bwMode="auto">
        <a:xfrm>
          <a:off x="0" y="0"/>
          <a:ext cx="13719810" cy="1140523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104</xdr:row>
      <xdr:rowOff>142875</xdr:rowOff>
    </xdr:to>
    <xdr:sp macro="" textlink="">
      <xdr:nvSpPr>
        <xdr:cNvPr id="6" name="AutoShape 5">
          <a:extLst>
            <a:ext uri="{FF2B5EF4-FFF2-40B4-BE49-F238E27FC236}">
              <a16:creationId xmlns:a16="http://schemas.microsoft.com/office/drawing/2014/main" id="{00000000-0008-0000-0700-000006000000}"/>
            </a:ext>
          </a:extLst>
        </xdr:cNvPr>
        <xdr:cNvSpPr>
          <a:spLocks noChangeArrowheads="1"/>
        </xdr:cNvSpPr>
      </xdr:nvSpPr>
      <xdr:spPr bwMode="auto">
        <a:xfrm>
          <a:off x="0" y="0"/>
          <a:ext cx="13719810" cy="1140523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104</xdr:row>
      <xdr:rowOff>142875</xdr:rowOff>
    </xdr:to>
    <xdr:sp macro="" textlink="">
      <xdr:nvSpPr>
        <xdr:cNvPr id="7" name="AutoShape 5">
          <a:extLst>
            <a:ext uri="{FF2B5EF4-FFF2-40B4-BE49-F238E27FC236}">
              <a16:creationId xmlns:a16="http://schemas.microsoft.com/office/drawing/2014/main" id="{00000000-0008-0000-0700-000007000000}"/>
            </a:ext>
          </a:extLst>
        </xdr:cNvPr>
        <xdr:cNvSpPr>
          <a:spLocks noChangeArrowheads="1"/>
        </xdr:cNvSpPr>
      </xdr:nvSpPr>
      <xdr:spPr bwMode="auto">
        <a:xfrm>
          <a:off x="0" y="0"/>
          <a:ext cx="13719810" cy="11405235"/>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361950</xdr:colOff>
      <xdr:row>59</xdr:row>
      <xdr:rowOff>142875</xdr:rowOff>
    </xdr:to>
    <xdr:sp macro="" textlink="">
      <xdr:nvSpPr>
        <xdr:cNvPr id="2" name="AutoShape 5">
          <a:extLst>
            <a:ext uri="{FF2B5EF4-FFF2-40B4-BE49-F238E27FC236}">
              <a16:creationId xmlns:a16="http://schemas.microsoft.com/office/drawing/2014/main" id="{00000000-0008-0000-0800-000002000000}"/>
            </a:ext>
          </a:extLst>
        </xdr:cNvPr>
        <xdr:cNvSpPr>
          <a:spLocks noChangeArrowheads="1"/>
        </xdr:cNvSpPr>
      </xdr:nvSpPr>
      <xdr:spPr bwMode="auto">
        <a:xfrm>
          <a:off x="0" y="0"/>
          <a:ext cx="13719810" cy="1120711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59</xdr:row>
      <xdr:rowOff>142875</xdr:rowOff>
    </xdr:to>
    <xdr:sp macro="" textlink="">
      <xdr:nvSpPr>
        <xdr:cNvPr id="3" name="AutoShape 5">
          <a:extLst>
            <a:ext uri="{FF2B5EF4-FFF2-40B4-BE49-F238E27FC236}">
              <a16:creationId xmlns:a16="http://schemas.microsoft.com/office/drawing/2014/main" id="{00000000-0008-0000-0800-000003000000}"/>
            </a:ext>
          </a:extLst>
        </xdr:cNvPr>
        <xdr:cNvSpPr>
          <a:spLocks noChangeArrowheads="1"/>
        </xdr:cNvSpPr>
      </xdr:nvSpPr>
      <xdr:spPr bwMode="auto">
        <a:xfrm>
          <a:off x="0" y="0"/>
          <a:ext cx="13719810" cy="1120711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59</xdr:row>
      <xdr:rowOff>142875</xdr:rowOff>
    </xdr:to>
    <xdr:sp macro="" textlink="">
      <xdr:nvSpPr>
        <xdr:cNvPr id="4" name="AutoShape 5">
          <a:extLst>
            <a:ext uri="{FF2B5EF4-FFF2-40B4-BE49-F238E27FC236}">
              <a16:creationId xmlns:a16="http://schemas.microsoft.com/office/drawing/2014/main" id="{00000000-0008-0000-0800-000004000000}"/>
            </a:ext>
          </a:extLst>
        </xdr:cNvPr>
        <xdr:cNvSpPr>
          <a:spLocks noChangeArrowheads="1"/>
        </xdr:cNvSpPr>
      </xdr:nvSpPr>
      <xdr:spPr bwMode="auto">
        <a:xfrm>
          <a:off x="0" y="0"/>
          <a:ext cx="13719810" cy="1120711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60</xdr:row>
      <xdr:rowOff>142875</xdr:rowOff>
    </xdr:to>
    <xdr:sp macro="" textlink="">
      <xdr:nvSpPr>
        <xdr:cNvPr id="5" name="AutoShape 5">
          <a:extLst>
            <a:ext uri="{FF2B5EF4-FFF2-40B4-BE49-F238E27FC236}">
              <a16:creationId xmlns:a16="http://schemas.microsoft.com/office/drawing/2014/main" id="{00000000-0008-0000-0800-000005000000}"/>
            </a:ext>
          </a:extLst>
        </xdr:cNvPr>
        <xdr:cNvSpPr>
          <a:spLocks noChangeArrowheads="1"/>
        </xdr:cNvSpPr>
      </xdr:nvSpPr>
      <xdr:spPr bwMode="auto">
        <a:xfrm>
          <a:off x="0" y="0"/>
          <a:ext cx="13719810" cy="1140523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60</xdr:row>
      <xdr:rowOff>142875</xdr:rowOff>
    </xdr:to>
    <xdr:sp macro="" textlink="">
      <xdr:nvSpPr>
        <xdr:cNvPr id="6" name="AutoShape 5">
          <a:extLst>
            <a:ext uri="{FF2B5EF4-FFF2-40B4-BE49-F238E27FC236}">
              <a16:creationId xmlns:a16="http://schemas.microsoft.com/office/drawing/2014/main" id="{00000000-0008-0000-0800-000006000000}"/>
            </a:ext>
          </a:extLst>
        </xdr:cNvPr>
        <xdr:cNvSpPr>
          <a:spLocks noChangeArrowheads="1"/>
        </xdr:cNvSpPr>
      </xdr:nvSpPr>
      <xdr:spPr bwMode="auto">
        <a:xfrm>
          <a:off x="0" y="0"/>
          <a:ext cx="13719810" cy="1140523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60</xdr:row>
      <xdr:rowOff>142875</xdr:rowOff>
    </xdr:to>
    <xdr:sp macro="" textlink="">
      <xdr:nvSpPr>
        <xdr:cNvPr id="7" name="AutoShape 5">
          <a:extLst>
            <a:ext uri="{FF2B5EF4-FFF2-40B4-BE49-F238E27FC236}">
              <a16:creationId xmlns:a16="http://schemas.microsoft.com/office/drawing/2014/main" id="{00000000-0008-0000-0800-000007000000}"/>
            </a:ext>
          </a:extLst>
        </xdr:cNvPr>
        <xdr:cNvSpPr>
          <a:spLocks noChangeArrowheads="1"/>
        </xdr:cNvSpPr>
      </xdr:nvSpPr>
      <xdr:spPr bwMode="auto">
        <a:xfrm>
          <a:off x="0" y="0"/>
          <a:ext cx="13719810" cy="1140523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64</xdr:row>
      <xdr:rowOff>135255</xdr:rowOff>
    </xdr:to>
    <xdr:sp macro="" textlink="">
      <xdr:nvSpPr>
        <xdr:cNvPr id="8" name="AutoShape 5">
          <a:extLst>
            <a:ext uri="{FF2B5EF4-FFF2-40B4-BE49-F238E27FC236}">
              <a16:creationId xmlns:a16="http://schemas.microsoft.com/office/drawing/2014/main" id="{ACF21319-E29B-43B5-82B8-6CC1D440116C}"/>
            </a:ext>
          </a:extLst>
        </xdr:cNvPr>
        <xdr:cNvSpPr>
          <a:spLocks noChangeArrowheads="1"/>
        </xdr:cNvSpPr>
      </xdr:nvSpPr>
      <xdr:spPr bwMode="auto">
        <a:xfrm>
          <a:off x="0" y="0"/>
          <a:ext cx="13712190" cy="118395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64</xdr:row>
      <xdr:rowOff>135255</xdr:rowOff>
    </xdr:to>
    <xdr:sp macro="" textlink="">
      <xdr:nvSpPr>
        <xdr:cNvPr id="9" name="AutoShape 5">
          <a:extLst>
            <a:ext uri="{FF2B5EF4-FFF2-40B4-BE49-F238E27FC236}">
              <a16:creationId xmlns:a16="http://schemas.microsoft.com/office/drawing/2014/main" id="{B4FFBCA0-4DEE-4073-9118-331E0217DE32}"/>
            </a:ext>
          </a:extLst>
        </xdr:cNvPr>
        <xdr:cNvSpPr>
          <a:spLocks noChangeArrowheads="1"/>
        </xdr:cNvSpPr>
      </xdr:nvSpPr>
      <xdr:spPr bwMode="auto">
        <a:xfrm>
          <a:off x="0" y="0"/>
          <a:ext cx="13712190" cy="1183957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64</xdr:row>
      <xdr:rowOff>135255</xdr:rowOff>
    </xdr:to>
    <xdr:sp macro="" textlink="">
      <xdr:nvSpPr>
        <xdr:cNvPr id="10" name="AutoShape 5">
          <a:extLst>
            <a:ext uri="{FF2B5EF4-FFF2-40B4-BE49-F238E27FC236}">
              <a16:creationId xmlns:a16="http://schemas.microsoft.com/office/drawing/2014/main" id="{0B698937-0D79-4DFA-ACB3-D7900498B113}"/>
            </a:ext>
          </a:extLst>
        </xdr:cNvPr>
        <xdr:cNvSpPr>
          <a:spLocks noChangeArrowheads="1"/>
        </xdr:cNvSpPr>
      </xdr:nvSpPr>
      <xdr:spPr bwMode="auto">
        <a:xfrm>
          <a:off x="0" y="0"/>
          <a:ext cx="13712190" cy="1183957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65</xdr:row>
      <xdr:rowOff>135255</xdr:rowOff>
    </xdr:to>
    <xdr:sp macro="" textlink="">
      <xdr:nvSpPr>
        <xdr:cNvPr id="11" name="AutoShape 5">
          <a:extLst>
            <a:ext uri="{FF2B5EF4-FFF2-40B4-BE49-F238E27FC236}">
              <a16:creationId xmlns:a16="http://schemas.microsoft.com/office/drawing/2014/main" id="{30DAFCE2-69AD-43D8-ACD0-5DFF8312A6BA}"/>
            </a:ext>
          </a:extLst>
        </xdr:cNvPr>
        <xdr:cNvSpPr>
          <a:spLocks noChangeArrowheads="1"/>
        </xdr:cNvSpPr>
      </xdr:nvSpPr>
      <xdr:spPr bwMode="auto">
        <a:xfrm>
          <a:off x="0" y="0"/>
          <a:ext cx="13712190" cy="1203769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65</xdr:row>
      <xdr:rowOff>135255</xdr:rowOff>
    </xdr:to>
    <xdr:sp macro="" textlink="">
      <xdr:nvSpPr>
        <xdr:cNvPr id="12" name="AutoShape 5">
          <a:extLst>
            <a:ext uri="{FF2B5EF4-FFF2-40B4-BE49-F238E27FC236}">
              <a16:creationId xmlns:a16="http://schemas.microsoft.com/office/drawing/2014/main" id="{6EF67795-F5AE-41C0-B36D-E031BB7EC6B6}"/>
            </a:ext>
          </a:extLst>
        </xdr:cNvPr>
        <xdr:cNvSpPr>
          <a:spLocks noChangeArrowheads="1"/>
        </xdr:cNvSpPr>
      </xdr:nvSpPr>
      <xdr:spPr bwMode="auto">
        <a:xfrm>
          <a:off x="0" y="0"/>
          <a:ext cx="13712190" cy="1203769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361950</xdr:colOff>
      <xdr:row>65</xdr:row>
      <xdr:rowOff>135255</xdr:rowOff>
    </xdr:to>
    <xdr:sp macro="" textlink="">
      <xdr:nvSpPr>
        <xdr:cNvPr id="13" name="AutoShape 5">
          <a:extLst>
            <a:ext uri="{FF2B5EF4-FFF2-40B4-BE49-F238E27FC236}">
              <a16:creationId xmlns:a16="http://schemas.microsoft.com/office/drawing/2014/main" id="{4D3DF556-719E-43BF-A3CC-3573A0D016D8}"/>
            </a:ext>
          </a:extLst>
        </xdr:cNvPr>
        <xdr:cNvSpPr>
          <a:spLocks noChangeArrowheads="1"/>
        </xdr:cNvSpPr>
      </xdr:nvSpPr>
      <xdr:spPr bwMode="auto">
        <a:xfrm>
          <a:off x="0" y="0"/>
          <a:ext cx="13712190" cy="12037695"/>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14</xdr:col>
      <xdr:colOff>22861</xdr:colOff>
      <xdr:row>6</xdr:row>
      <xdr:rowOff>30480</xdr:rowOff>
    </xdr:from>
    <xdr:to>
      <xdr:col>21</xdr:col>
      <xdr:colOff>335281</xdr:colOff>
      <xdr:row>52</xdr:row>
      <xdr:rowOff>30480</xdr:rowOff>
    </xdr:to>
    <xdr:graphicFrame macro="">
      <xdr:nvGraphicFramePr>
        <xdr:cNvPr id="2" name="Chart 1">
          <a:extLst>
            <a:ext uri="{FF2B5EF4-FFF2-40B4-BE49-F238E27FC236}">
              <a16:creationId xmlns:a16="http://schemas.microsoft.com/office/drawing/2014/main" id="{629E12CC-8EE6-4DDD-96A1-1CD8F839F1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23</xdr:col>
      <xdr:colOff>22861</xdr:colOff>
      <xdr:row>6</xdr:row>
      <xdr:rowOff>30480</xdr:rowOff>
    </xdr:from>
    <xdr:to>
      <xdr:col>30</xdr:col>
      <xdr:colOff>335281</xdr:colOff>
      <xdr:row>52</xdr:row>
      <xdr:rowOff>30480</xdr:rowOff>
    </xdr:to>
    <xdr:graphicFrame macro="">
      <xdr:nvGraphicFramePr>
        <xdr:cNvPr id="2" name="Chart 1">
          <a:extLst>
            <a:ext uri="{FF2B5EF4-FFF2-40B4-BE49-F238E27FC236}">
              <a16:creationId xmlns:a16="http://schemas.microsoft.com/office/drawing/2014/main" id="{AE80C774-978C-4D2E-9983-01E56D3485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23</xdr:col>
      <xdr:colOff>22861</xdr:colOff>
      <xdr:row>6</xdr:row>
      <xdr:rowOff>30480</xdr:rowOff>
    </xdr:from>
    <xdr:to>
      <xdr:col>30</xdr:col>
      <xdr:colOff>335281</xdr:colOff>
      <xdr:row>52</xdr:row>
      <xdr:rowOff>30480</xdr:rowOff>
    </xdr:to>
    <xdr:graphicFrame macro="">
      <xdr:nvGraphicFramePr>
        <xdr:cNvPr id="2" name="Chart 1">
          <a:extLst>
            <a:ext uri="{FF2B5EF4-FFF2-40B4-BE49-F238E27FC236}">
              <a16:creationId xmlns:a16="http://schemas.microsoft.com/office/drawing/2014/main" id="{F2E60782-028A-4270-8097-EAEE5EAECF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23</xdr:col>
      <xdr:colOff>22861</xdr:colOff>
      <xdr:row>6</xdr:row>
      <xdr:rowOff>30480</xdr:rowOff>
    </xdr:from>
    <xdr:to>
      <xdr:col>30</xdr:col>
      <xdr:colOff>335281</xdr:colOff>
      <xdr:row>52</xdr:row>
      <xdr:rowOff>30480</xdr:rowOff>
    </xdr:to>
    <xdr:graphicFrame macro="">
      <xdr:nvGraphicFramePr>
        <xdr:cNvPr id="2" name="Chart 1">
          <a:extLst>
            <a:ext uri="{FF2B5EF4-FFF2-40B4-BE49-F238E27FC236}">
              <a16:creationId xmlns:a16="http://schemas.microsoft.com/office/drawing/2014/main" id="{4A21F541-921B-4607-B9FE-B60680EB88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14</xdr:col>
      <xdr:colOff>22861</xdr:colOff>
      <xdr:row>6</xdr:row>
      <xdr:rowOff>30480</xdr:rowOff>
    </xdr:from>
    <xdr:to>
      <xdr:col>21</xdr:col>
      <xdr:colOff>335281</xdr:colOff>
      <xdr:row>44</xdr:row>
      <xdr:rowOff>30480</xdr:rowOff>
    </xdr:to>
    <xdr:graphicFrame macro="">
      <xdr:nvGraphicFramePr>
        <xdr:cNvPr id="2" name="Chart 1">
          <a:extLst>
            <a:ext uri="{FF2B5EF4-FFF2-40B4-BE49-F238E27FC236}">
              <a16:creationId xmlns:a16="http://schemas.microsoft.com/office/drawing/2014/main" id="{BA65DB84-8BCB-4629-8E09-854EC0E639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14</xdr:col>
      <xdr:colOff>22861</xdr:colOff>
      <xdr:row>6</xdr:row>
      <xdr:rowOff>30480</xdr:rowOff>
    </xdr:from>
    <xdr:to>
      <xdr:col>21</xdr:col>
      <xdr:colOff>335281</xdr:colOff>
      <xdr:row>44</xdr:row>
      <xdr:rowOff>30480</xdr:rowOff>
    </xdr:to>
    <xdr:graphicFrame macro="">
      <xdr:nvGraphicFramePr>
        <xdr:cNvPr id="2" name="Chart 1">
          <a:extLst>
            <a:ext uri="{FF2B5EF4-FFF2-40B4-BE49-F238E27FC236}">
              <a16:creationId xmlns:a16="http://schemas.microsoft.com/office/drawing/2014/main" id="{BF9BA5C2-73A7-4DB9-BD62-31282A4FF1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23</xdr:col>
      <xdr:colOff>22861</xdr:colOff>
      <xdr:row>6</xdr:row>
      <xdr:rowOff>30480</xdr:rowOff>
    </xdr:from>
    <xdr:to>
      <xdr:col>30</xdr:col>
      <xdr:colOff>335281</xdr:colOff>
      <xdr:row>33</xdr:row>
      <xdr:rowOff>30480</xdr:rowOff>
    </xdr:to>
    <xdr:graphicFrame macro="">
      <xdr:nvGraphicFramePr>
        <xdr:cNvPr id="2" name="Chart 1">
          <a:extLst>
            <a:ext uri="{FF2B5EF4-FFF2-40B4-BE49-F238E27FC236}">
              <a16:creationId xmlns:a16="http://schemas.microsoft.com/office/drawing/2014/main" id="{23F91466-C5A7-4DFC-95FF-3F6CD46580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33</xdr:col>
      <xdr:colOff>22861</xdr:colOff>
      <xdr:row>6</xdr:row>
      <xdr:rowOff>30480</xdr:rowOff>
    </xdr:from>
    <xdr:to>
      <xdr:col>40</xdr:col>
      <xdr:colOff>335281</xdr:colOff>
      <xdr:row>52</xdr:row>
      <xdr:rowOff>30480</xdr:rowOff>
    </xdr:to>
    <xdr:graphicFrame macro="">
      <xdr:nvGraphicFramePr>
        <xdr:cNvPr id="2" name="Chart 1">
          <a:extLst>
            <a:ext uri="{FF2B5EF4-FFF2-40B4-BE49-F238E27FC236}">
              <a16:creationId xmlns:a16="http://schemas.microsoft.com/office/drawing/2014/main" id="{B9A0523B-CBE5-462A-A288-9ABFCF2FEC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23</xdr:col>
      <xdr:colOff>22861</xdr:colOff>
      <xdr:row>6</xdr:row>
      <xdr:rowOff>30480</xdr:rowOff>
    </xdr:from>
    <xdr:to>
      <xdr:col>30</xdr:col>
      <xdr:colOff>335281</xdr:colOff>
      <xdr:row>52</xdr:row>
      <xdr:rowOff>30480</xdr:rowOff>
    </xdr:to>
    <xdr:graphicFrame macro="">
      <xdr:nvGraphicFramePr>
        <xdr:cNvPr id="2" name="Chart 1">
          <a:extLst>
            <a:ext uri="{FF2B5EF4-FFF2-40B4-BE49-F238E27FC236}">
              <a16:creationId xmlns:a16="http://schemas.microsoft.com/office/drawing/2014/main" id="{47957273-AB2F-493E-B4C5-D9A3BCD686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WOLVERINE\STAKEBAL.XLS"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Q:\Project%20Data\GlacierData\Benchmark_Program\Data\_Templates\Mass_Balance_template_2021.xlsx" TargetMode="External"/><Relationship Id="rId1" Type="http://schemas.openxmlformats.org/officeDocument/2006/relationships/externalLinkPath" Target="/Project%20Data/GlacierData/Benchmark_Program/Data/_Templates/Mass_Balance_template_202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WOLVERINE\Wolv-C%20Snowpi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WOLVERINE\Wolv-B%20Snowpit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ake A"/>
      <sheetName val="Stake B"/>
      <sheetName val="Stake C"/>
      <sheetName val="SNOWPIT"/>
    </sheetNames>
    <sheetDataSet>
      <sheetData sheetId="0">
        <row r="103">
          <cell r="A103">
            <v>32784</v>
          </cell>
          <cell r="D103" t="str">
            <v>89T157</v>
          </cell>
          <cell r="E103" t="str">
            <v>89-A</v>
          </cell>
          <cell r="F103" t="str">
            <v>I</v>
          </cell>
          <cell r="H103">
            <v>7.9</v>
          </cell>
          <cell r="I103">
            <v>0</v>
          </cell>
          <cell r="J103">
            <v>0</v>
          </cell>
          <cell r="K103"/>
          <cell r="M103">
            <v>7.9</v>
          </cell>
          <cell r="N103"/>
          <cell r="X103"/>
          <cell r="Z103"/>
          <cell r="AA103"/>
          <cell r="AF103"/>
          <cell r="AJ103"/>
          <cell r="AM103"/>
          <cell r="AN103"/>
          <cell r="BG103"/>
          <cell r="BK103"/>
          <cell r="BL103"/>
          <cell r="BO103">
            <v>7.65</v>
          </cell>
          <cell r="BP103">
            <v>7.9</v>
          </cell>
          <cell r="BQ103">
            <v>7.9</v>
          </cell>
          <cell r="BU103"/>
          <cell r="BW103">
            <v>0</v>
          </cell>
          <cell r="BX103">
            <v>0</v>
          </cell>
          <cell r="BY103">
            <v>0</v>
          </cell>
          <cell r="BZ103">
            <v>0.23</v>
          </cell>
          <cell r="CA103">
            <v>0.23</v>
          </cell>
          <cell r="CB103">
            <v>0.23</v>
          </cell>
        </row>
        <row r="104">
          <cell r="A104">
            <v>32789</v>
          </cell>
          <cell r="D104" t="str">
            <v>89T160</v>
          </cell>
          <cell r="E104" t="str">
            <v>89-A</v>
          </cell>
          <cell r="F104" t="str">
            <v>I</v>
          </cell>
          <cell r="G104" t="str">
            <v>?/?</v>
          </cell>
          <cell r="H104">
            <v>7.85</v>
          </cell>
          <cell r="K104"/>
          <cell r="M104">
            <v>7.85</v>
          </cell>
          <cell r="N104"/>
          <cell r="X104"/>
          <cell r="Z104"/>
          <cell r="AA104"/>
          <cell r="AF104"/>
          <cell r="AJ104"/>
          <cell r="AM104"/>
          <cell r="AN104"/>
          <cell r="BG104"/>
          <cell r="BK104"/>
          <cell r="BL104"/>
          <cell r="BO104">
            <v>7.65</v>
          </cell>
          <cell r="BP104">
            <v>7.85</v>
          </cell>
          <cell r="BQ104">
            <v>7.85</v>
          </cell>
          <cell r="BU104"/>
          <cell r="BW104">
            <v>0</v>
          </cell>
          <cell r="BX104">
            <v>0</v>
          </cell>
          <cell r="BY104">
            <v>0</v>
          </cell>
          <cell r="BZ104">
            <v>0.18</v>
          </cell>
          <cell r="CA104">
            <v>0.18</v>
          </cell>
          <cell r="CB104">
            <v>0.18</v>
          </cell>
        </row>
        <row r="105">
          <cell r="A105">
            <v>32918</v>
          </cell>
          <cell r="D105" t="str">
            <v>90T53</v>
          </cell>
          <cell r="E105" t="str">
            <v>89-A</v>
          </cell>
          <cell r="F105" t="str">
            <v>S</v>
          </cell>
          <cell r="G105" t="str">
            <v>12/12</v>
          </cell>
          <cell r="H105">
            <v>9.5</v>
          </cell>
          <cell r="I105">
            <v>7.18</v>
          </cell>
          <cell r="J105">
            <v>7.15</v>
          </cell>
          <cell r="K105">
            <v>2.9999999999999361E-2</v>
          </cell>
          <cell r="M105">
            <v>9.4700000000000006</v>
          </cell>
          <cell r="N105">
            <v>1.8200000000000003</v>
          </cell>
          <cell r="X105">
            <v>1.82</v>
          </cell>
          <cell r="Z105"/>
          <cell r="AA105">
            <v>1</v>
          </cell>
          <cell r="AE105">
            <v>0.36</v>
          </cell>
          <cell r="AF105">
            <v>0.36</v>
          </cell>
          <cell r="AI105">
            <v>-1</v>
          </cell>
          <cell r="AJ105">
            <v>-1</v>
          </cell>
          <cell r="AM105">
            <v>7.65</v>
          </cell>
          <cell r="AN105">
            <v>7.65</v>
          </cell>
          <cell r="BG105"/>
          <cell r="BK105"/>
          <cell r="BL105"/>
          <cell r="BO105">
            <v>7.65</v>
          </cell>
          <cell r="BP105">
            <v>7.65</v>
          </cell>
          <cell r="BQ105">
            <v>7.65</v>
          </cell>
          <cell r="BU105">
            <v>0.66</v>
          </cell>
          <cell r="BW105">
            <v>0</v>
          </cell>
          <cell r="BX105">
            <v>0</v>
          </cell>
          <cell r="BY105">
            <v>0</v>
          </cell>
          <cell r="BZ105">
            <v>0</v>
          </cell>
          <cell r="CA105">
            <v>0.66</v>
          </cell>
          <cell r="CB105">
            <v>0</v>
          </cell>
        </row>
        <row r="106">
          <cell r="A106">
            <v>32949</v>
          </cell>
          <cell r="D106" t="str">
            <v>90T63</v>
          </cell>
          <cell r="E106" t="str">
            <v>89-A</v>
          </cell>
          <cell r="F106" t="str">
            <v>S</v>
          </cell>
          <cell r="G106" t="str">
            <v>12/12</v>
          </cell>
          <cell r="H106">
            <v>9.6</v>
          </cell>
          <cell r="K106"/>
          <cell r="M106">
            <v>9.6</v>
          </cell>
          <cell r="N106">
            <v>1.9499999999999993</v>
          </cell>
          <cell r="U106">
            <v>1.95</v>
          </cell>
          <cell r="V106">
            <v>3</v>
          </cell>
          <cell r="X106">
            <v>1.95</v>
          </cell>
          <cell r="AA106">
            <v>4</v>
          </cell>
          <cell r="AE106">
            <v>0.36</v>
          </cell>
          <cell r="AF106">
            <v>0.36</v>
          </cell>
          <cell r="AI106">
            <v>-1</v>
          </cell>
          <cell r="AJ106">
            <v>-1</v>
          </cell>
          <cell r="AM106">
            <v>7.65</v>
          </cell>
          <cell r="AN106">
            <v>7.65</v>
          </cell>
          <cell r="BG106"/>
          <cell r="BK106"/>
          <cell r="BL106"/>
          <cell r="BO106">
            <v>7.65</v>
          </cell>
          <cell r="BP106">
            <v>7.65</v>
          </cell>
          <cell r="BQ106">
            <v>7.65</v>
          </cell>
          <cell r="BU106">
            <v>0.7</v>
          </cell>
          <cell r="BW106">
            <v>0</v>
          </cell>
          <cell r="BX106">
            <v>0</v>
          </cell>
          <cell r="BY106">
            <v>0</v>
          </cell>
          <cell r="BZ106">
            <v>0</v>
          </cell>
          <cell r="CA106">
            <v>0.7</v>
          </cell>
          <cell r="CB106">
            <v>0</v>
          </cell>
        </row>
        <row r="107">
          <cell r="A107">
            <v>33026</v>
          </cell>
          <cell r="D107" t="str">
            <v>90M24</v>
          </cell>
          <cell r="E107" t="str">
            <v>89-A</v>
          </cell>
          <cell r="F107" t="str">
            <v>I</v>
          </cell>
          <cell r="G107" t="str">
            <v>12/6</v>
          </cell>
          <cell r="H107">
            <v>7.87</v>
          </cell>
          <cell r="I107">
            <v>3.26</v>
          </cell>
          <cell r="J107">
            <v>3.3</v>
          </cell>
          <cell r="K107">
            <v>-4.0000000000000036E-2</v>
          </cell>
          <cell r="M107">
            <v>7.91</v>
          </cell>
          <cell r="N107"/>
          <cell r="X107"/>
          <cell r="AA107"/>
          <cell r="AE107">
            <v>0.35</v>
          </cell>
          <cell r="AF107"/>
          <cell r="AI107">
            <v>-1</v>
          </cell>
          <cell r="AJ107"/>
          <cell r="AM107"/>
          <cell r="AN107"/>
          <cell r="BG107"/>
          <cell r="BK107"/>
          <cell r="BL107"/>
          <cell r="BO107">
            <v>7.65</v>
          </cell>
          <cell r="BP107">
            <v>7.91</v>
          </cell>
          <cell r="BQ107">
            <v>7.91</v>
          </cell>
          <cell r="BU107"/>
          <cell r="BW107">
            <v>0</v>
          </cell>
          <cell r="BX107">
            <v>0</v>
          </cell>
          <cell r="BY107">
            <v>0</v>
          </cell>
          <cell r="BZ107">
            <v>0.23</v>
          </cell>
          <cell r="CA107">
            <v>0.23</v>
          </cell>
          <cell r="CB107">
            <v>0.23</v>
          </cell>
        </row>
        <row r="108">
          <cell r="A108">
            <v>33123</v>
          </cell>
          <cell r="D108" t="str">
            <v>90M35</v>
          </cell>
          <cell r="E108" t="str">
            <v>89-A</v>
          </cell>
          <cell r="F108" t="str">
            <v>I</v>
          </cell>
          <cell r="G108" t="str">
            <v>9/3</v>
          </cell>
          <cell r="H108">
            <v>1.2</v>
          </cell>
          <cell r="I108">
            <v>3.29</v>
          </cell>
          <cell r="J108">
            <v>3.33</v>
          </cell>
          <cell r="K108">
            <v>-4.0000000000000036E-2</v>
          </cell>
          <cell r="M108">
            <v>1.2400000000000002</v>
          </cell>
          <cell r="N108"/>
          <cell r="X108"/>
          <cell r="AA108"/>
          <cell r="AF108"/>
          <cell r="AJ108"/>
          <cell r="AM108"/>
          <cell r="AN108"/>
          <cell r="BG108"/>
          <cell r="BK108"/>
          <cell r="BL108"/>
          <cell r="BO108">
            <v>7.65</v>
          </cell>
          <cell r="BP108">
            <v>1.2400000000000002</v>
          </cell>
          <cell r="BQ108">
            <v>1.2400000000000002</v>
          </cell>
          <cell r="BU108"/>
          <cell r="BW108">
            <v>0</v>
          </cell>
          <cell r="BX108">
            <v>0</v>
          </cell>
          <cell r="BY108">
            <v>0</v>
          </cell>
          <cell r="BZ108">
            <v>-5.77</v>
          </cell>
          <cell r="CA108">
            <v>-5.77</v>
          </cell>
          <cell r="CB108">
            <v>-5.77</v>
          </cell>
        </row>
        <row r="109">
          <cell r="D109" t="str">
            <v>bn 1990</v>
          </cell>
          <cell r="F109" t="str">
            <v>I</v>
          </cell>
          <cell r="M109" t="e">
            <v>#VALUE!</v>
          </cell>
          <cell r="BO109">
            <v>7.91</v>
          </cell>
          <cell r="BP109" t="e">
            <v>#VALUE!</v>
          </cell>
          <cell r="BQ109" t="e">
            <v>#VALUE!</v>
          </cell>
          <cell r="BU109"/>
          <cell r="BW109">
            <v>0</v>
          </cell>
          <cell r="BX109">
            <v>0</v>
          </cell>
          <cell r="BY109">
            <v>0</v>
          </cell>
          <cell r="BZ109" t="e">
            <v>#VALUE!</v>
          </cell>
          <cell r="CA109" t="e">
            <v>#VALUE!</v>
          </cell>
          <cell r="CB109" t="e">
            <v>#VALUE!</v>
          </cell>
        </row>
        <row r="110">
          <cell r="D110" t="str">
            <v>1990 HY end</v>
          </cell>
        </row>
        <row r="111">
          <cell r="K111"/>
          <cell r="N111"/>
          <cell r="X111"/>
          <cell r="AA111"/>
          <cell r="AF111"/>
          <cell r="AJ111"/>
          <cell r="AM111"/>
          <cell r="AN111"/>
          <cell r="BG111"/>
          <cell r="BK111"/>
          <cell r="BL111"/>
          <cell r="BP111"/>
          <cell r="BQ111"/>
          <cell r="BU111"/>
        </row>
        <row r="112">
          <cell r="A112">
            <v>33123</v>
          </cell>
          <cell r="D112" t="str">
            <v>90M35</v>
          </cell>
          <cell r="E112" t="str">
            <v>90-A</v>
          </cell>
          <cell r="F112" t="str">
            <v>I</v>
          </cell>
          <cell r="G112" t="str">
            <v>0/12</v>
          </cell>
          <cell r="H112">
            <v>8.1</v>
          </cell>
          <cell r="K112"/>
          <cell r="M112">
            <v>8.1</v>
          </cell>
          <cell r="N112"/>
          <cell r="X112"/>
          <cell r="AA112"/>
          <cell r="AF112"/>
          <cell r="AJ112"/>
          <cell r="AM112"/>
          <cell r="AN112"/>
          <cell r="BG112"/>
          <cell r="BK112"/>
          <cell r="BL112"/>
          <cell r="BO112">
            <v>8.1</v>
          </cell>
          <cell r="BP112">
            <v>8.1</v>
          </cell>
          <cell r="BQ112">
            <v>8.1</v>
          </cell>
          <cell r="BU112"/>
          <cell r="BW112">
            <v>0</v>
          </cell>
          <cell r="BX112">
            <v>0</v>
          </cell>
          <cell r="BY112">
            <v>0</v>
          </cell>
          <cell r="BZ112">
            <v>0</v>
          </cell>
          <cell r="CA112">
            <v>0</v>
          </cell>
          <cell r="CB112">
            <v>0</v>
          </cell>
        </row>
        <row r="113">
          <cell r="D113" t="str">
            <v>bn 1990</v>
          </cell>
          <cell r="F113" t="str">
            <v>I</v>
          </cell>
          <cell r="M113" t="e">
            <v>#VALUE!</v>
          </cell>
        </row>
        <row r="114">
          <cell r="D114" t="str">
            <v>1990 HY end</v>
          </cell>
        </row>
        <row r="115">
          <cell r="A115">
            <v>33245</v>
          </cell>
          <cell r="D115" t="str">
            <v>91M6</v>
          </cell>
          <cell r="E115" t="str">
            <v>90-A</v>
          </cell>
          <cell r="F115" t="str">
            <v>S</v>
          </cell>
          <cell r="G115" t="str">
            <v>12/12</v>
          </cell>
          <cell r="H115">
            <v>7.75</v>
          </cell>
          <cell r="I115">
            <v>3.3</v>
          </cell>
          <cell r="J115">
            <v>3.26</v>
          </cell>
          <cell r="K115">
            <v>4.0000000000000036E-2</v>
          </cell>
          <cell r="M115">
            <v>7.71</v>
          </cell>
          <cell r="N115"/>
          <cell r="U115">
            <v>0.12000000000000002</v>
          </cell>
          <cell r="V115">
            <v>10</v>
          </cell>
          <cell r="X115" t="e">
            <v>#VALUE!</v>
          </cell>
          <cell r="AA115">
            <v>10</v>
          </cell>
          <cell r="AE115">
            <v>0.37</v>
          </cell>
          <cell r="AF115">
            <v>0.37</v>
          </cell>
          <cell r="AI115">
            <v>-1</v>
          </cell>
          <cell r="AJ115"/>
          <cell r="AM115" t="e">
            <v>#VALUE!</v>
          </cell>
          <cell r="AN115" t="e">
            <v>#VALUE!</v>
          </cell>
          <cell r="BG115"/>
          <cell r="BK115"/>
          <cell r="BL115"/>
          <cell r="BO115" t="e">
            <v>#VALUE!</v>
          </cell>
          <cell r="BP115" t="e">
            <v>#VALUE!</v>
          </cell>
          <cell r="BQ115" t="e">
            <v>#VALUE!</v>
          </cell>
          <cell r="BU115" t="e">
            <v>#VALUE!</v>
          </cell>
          <cell r="BW115">
            <v>0</v>
          </cell>
          <cell r="BX115">
            <v>0</v>
          </cell>
          <cell r="BY115">
            <v>0</v>
          </cell>
          <cell r="BZ115">
            <v>0</v>
          </cell>
          <cell r="CA115" t="e">
            <v>#VALUE!</v>
          </cell>
          <cell r="CB115">
            <v>0</v>
          </cell>
        </row>
        <row r="116">
          <cell r="A116">
            <v>33371</v>
          </cell>
          <cell r="D116" t="str">
            <v>91M16</v>
          </cell>
          <cell r="E116" t="str">
            <v>90-A</v>
          </cell>
          <cell r="F116" t="str">
            <v>S</v>
          </cell>
          <cell r="G116" t="str">
            <v>12/9</v>
          </cell>
          <cell r="I116">
            <v>0</v>
          </cell>
          <cell r="J116">
            <v>0</v>
          </cell>
          <cell r="M116"/>
          <cell r="N116"/>
          <cell r="X116"/>
          <cell r="AA116"/>
          <cell r="AE116">
            <v>0.37</v>
          </cell>
          <cell r="AF116"/>
          <cell r="AI116">
            <v>-1</v>
          </cell>
          <cell r="AJ116"/>
          <cell r="AM116"/>
          <cell r="AN116"/>
          <cell r="BG116"/>
          <cell r="BK116"/>
          <cell r="BL116"/>
          <cell r="BO116" t="e">
            <v>#VALUE!</v>
          </cell>
          <cell r="BP116"/>
          <cell r="BQ116"/>
          <cell r="BU116" t="e">
            <v>#VALUE!</v>
          </cell>
          <cell r="BW116">
            <v>0</v>
          </cell>
          <cell r="BX116">
            <v>0</v>
          </cell>
          <cell r="BY116">
            <v>0</v>
          </cell>
          <cell r="BZ116">
            <v>0</v>
          </cell>
          <cell r="CA116" t="e">
            <v>#VALUE!</v>
          </cell>
          <cell r="CB116">
            <v>0</v>
          </cell>
        </row>
        <row r="117">
          <cell r="A117">
            <v>33493</v>
          </cell>
          <cell r="D117" t="str">
            <v>91M32</v>
          </cell>
          <cell r="E117" t="str">
            <v>90-A</v>
          </cell>
          <cell r="F117" t="str">
            <v>I</v>
          </cell>
          <cell r="G117" t="str">
            <v>9/6</v>
          </cell>
          <cell r="H117">
            <v>3.48</v>
          </cell>
          <cell r="I117">
            <v>3.57</v>
          </cell>
          <cell r="J117">
            <v>3.57</v>
          </cell>
          <cell r="K117"/>
          <cell r="M117">
            <v>3.48</v>
          </cell>
          <cell r="N117"/>
          <cell r="X117"/>
          <cell r="AA117"/>
          <cell r="AF117"/>
          <cell r="AJ117"/>
          <cell r="AM117"/>
          <cell r="AN117"/>
          <cell r="BG117"/>
          <cell r="BK117"/>
          <cell r="BL117"/>
          <cell r="BO117" t="e">
            <v>#VALUE!</v>
          </cell>
          <cell r="BP117">
            <v>3.48</v>
          </cell>
          <cell r="BQ117">
            <v>3.48</v>
          </cell>
          <cell r="BU117"/>
          <cell r="BW117">
            <v>0</v>
          </cell>
          <cell r="BX117">
            <v>0</v>
          </cell>
          <cell r="BY117">
            <v>0</v>
          </cell>
          <cell r="BZ117">
            <v>0</v>
          </cell>
          <cell r="CA117">
            <v>0</v>
          </cell>
          <cell r="CB117">
            <v>0</v>
          </cell>
        </row>
        <row r="118">
          <cell r="A118">
            <v>33499</v>
          </cell>
          <cell r="D118" t="str">
            <v>91M39</v>
          </cell>
          <cell r="E118" t="str">
            <v>90-A</v>
          </cell>
          <cell r="F118" t="str">
            <v>I</v>
          </cell>
          <cell r="G118" t="str">
            <v>9/6</v>
          </cell>
          <cell r="H118">
            <v>3.15</v>
          </cell>
          <cell r="K118"/>
          <cell r="M118">
            <v>3.15</v>
          </cell>
          <cell r="N118"/>
          <cell r="X118"/>
          <cell r="AA118"/>
          <cell r="AF118"/>
          <cell r="AJ118"/>
          <cell r="AM118"/>
          <cell r="AN118"/>
          <cell r="BG118"/>
          <cell r="BK118"/>
          <cell r="BL118"/>
          <cell r="BO118" t="e">
            <v>#VALUE!</v>
          </cell>
          <cell r="BP118">
            <v>3.15</v>
          </cell>
          <cell r="BQ118">
            <v>3.15</v>
          </cell>
          <cell r="BU118"/>
          <cell r="BW118">
            <v>0</v>
          </cell>
          <cell r="BX118">
            <v>0</v>
          </cell>
          <cell r="BY118">
            <v>0</v>
          </cell>
          <cell r="BZ118">
            <v>0</v>
          </cell>
          <cell r="CA118">
            <v>0</v>
          </cell>
          <cell r="CB118">
            <v>0</v>
          </cell>
        </row>
        <row r="119">
          <cell r="D119" t="str">
            <v>bn 1991</v>
          </cell>
          <cell r="F119" t="str">
            <v>I</v>
          </cell>
          <cell r="M119" t="e">
            <v>#VALUE!</v>
          </cell>
          <cell r="BO119"/>
          <cell r="BP119" t="e">
            <v>#VALUE!</v>
          </cell>
          <cell r="BQ119" t="e">
            <v>#VALUE!</v>
          </cell>
          <cell r="BU119"/>
          <cell r="BW119">
            <v>0</v>
          </cell>
          <cell r="BX119">
            <v>0</v>
          </cell>
          <cell r="BY119">
            <v>0</v>
          </cell>
          <cell r="BZ119">
            <v>0</v>
          </cell>
          <cell r="CA119">
            <v>0</v>
          </cell>
          <cell r="CB119">
            <v>0</v>
          </cell>
        </row>
        <row r="120">
          <cell r="D120" t="str">
            <v>1991 HY end</v>
          </cell>
        </row>
        <row r="121">
          <cell r="K121"/>
          <cell r="N121"/>
          <cell r="X121"/>
          <cell r="AA121"/>
          <cell r="AF121"/>
          <cell r="AJ121"/>
          <cell r="AM121"/>
          <cell r="AN121"/>
          <cell r="BG121"/>
          <cell r="BK121"/>
          <cell r="BL121"/>
          <cell r="BP121"/>
          <cell r="BQ121"/>
          <cell r="BU121"/>
        </row>
        <row r="122">
          <cell r="A122">
            <v>33499</v>
          </cell>
          <cell r="D122" t="str">
            <v>91M39</v>
          </cell>
          <cell r="E122" t="str">
            <v>91-A</v>
          </cell>
          <cell r="F122" t="str">
            <v>I</v>
          </cell>
          <cell r="G122" t="str">
            <v>0/12</v>
          </cell>
          <cell r="H122">
            <v>8.9</v>
          </cell>
          <cell r="K122"/>
          <cell r="M122">
            <v>8.9</v>
          </cell>
          <cell r="N122"/>
          <cell r="X122"/>
          <cell r="AA122"/>
          <cell r="AF122"/>
          <cell r="AJ122"/>
          <cell r="AM122"/>
          <cell r="AN122"/>
          <cell r="BG122"/>
          <cell r="BK122"/>
          <cell r="BL122"/>
          <cell r="BP122">
            <v>8.9</v>
          </cell>
          <cell r="BQ122">
            <v>8.9</v>
          </cell>
          <cell r="BU122"/>
          <cell r="BW122">
            <v>0</v>
          </cell>
          <cell r="BX122">
            <v>0</v>
          </cell>
          <cell r="BY122">
            <v>0</v>
          </cell>
          <cell r="BZ122">
            <v>0</v>
          </cell>
          <cell r="CA122">
            <v>0</v>
          </cell>
          <cell r="CB122">
            <v>0</v>
          </cell>
        </row>
        <row r="123">
          <cell r="D123" t="str">
            <v>bn 1991</v>
          </cell>
          <cell r="F123" t="str">
            <v>I</v>
          </cell>
          <cell r="M123" t="e">
            <v>#VALUE!</v>
          </cell>
        </row>
        <row r="124">
          <cell r="D124" t="str">
            <v>1991 HY end</v>
          </cell>
        </row>
        <row r="125">
          <cell r="A125">
            <v>33626</v>
          </cell>
          <cell r="D125" t="str">
            <v>92M3&amp;7</v>
          </cell>
          <cell r="E125" t="str">
            <v>91-A</v>
          </cell>
          <cell r="F125" t="str">
            <v>S</v>
          </cell>
          <cell r="I125">
            <v>3.29</v>
          </cell>
          <cell r="J125">
            <v>3.24</v>
          </cell>
          <cell r="K125">
            <v>4.9999999999999822E-2</v>
          </cell>
          <cell r="M125">
            <v>3.24</v>
          </cell>
          <cell r="N125"/>
          <cell r="X125"/>
          <cell r="AA125"/>
          <cell r="AE125">
            <v>0.39</v>
          </cell>
          <cell r="AF125"/>
          <cell r="AI125">
            <v>-1</v>
          </cell>
          <cell r="AJ125"/>
          <cell r="AM125" t="e">
            <v>#VALUE!</v>
          </cell>
          <cell r="AN125" t="e">
            <v>#VALUE!</v>
          </cell>
          <cell r="BG125"/>
          <cell r="BK125"/>
          <cell r="BL125"/>
          <cell r="BO125" t="e">
            <v>#VALUE!</v>
          </cell>
          <cell r="BP125" t="e">
            <v>#VALUE!</v>
          </cell>
          <cell r="BQ125" t="e">
            <v>#VALUE!</v>
          </cell>
          <cell r="BU125" t="e">
            <v>#VALUE!</v>
          </cell>
          <cell r="BW125">
            <v>0</v>
          </cell>
          <cell r="BX125">
            <v>0</v>
          </cell>
          <cell r="BY125">
            <v>0</v>
          </cell>
          <cell r="BZ125">
            <v>0</v>
          </cell>
          <cell r="CA125" t="e">
            <v>#VALUE!</v>
          </cell>
          <cell r="CB125">
            <v>0</v>
          </cell>
        </row>
        <row r="126">
          <cell r="A126">
            <v>33737</v>
          </cell>
          <cell r="D126" t="str">
            <v>92M12,14</v>
          </cell>
          <cell r="E126" t="str">
            <v>91-A</v>
          </cell>
          <cell r="F126" t="str">
            <v>S</v>
          </cell>
          <cell r="H126">
            <v>10.73</v>
          </cell>
          <cell r="I126">
            <v>0</v>
          </cell>
          <cell r="J126">
            <v>0</v>
          </cell>
          <cell r="K126"/>
          <cell r="M126">
            <v>10.73</v>
          </cell>
          <cell r="N126"/>
          <cell r="U126">
            <v>1.8233333333333333</v>
          </cell>
          <cell r="V126">
            <v>6</v>
          </cell>
          <cell r="X126" t="e">
            <v>#VALUE!</v>
          </cell>
          <cell r="AA126">
            <v>6</v>
          </cell>
          <cell r="AE126">
            <v>0.39</v>
          </cell>
          <cell r="AF126">
            <v>0.39</v>
          </cell>
          <cell r="AI126">
            <v>-1</v>
          </cell>
          <cell r="AJ126"/>
          <cell r="AM126" t="e">
            <v>#VALUE!</v>
          </cell>
          <cell r="AN126" t="e">
            <v>#VALUE!</v>
          </cell>
          <cell r="BG126"/>
          <cell r="BK126"/>
          <cell r="BL126"/>
          <cell r="BO126" t="e">
            <v>#VALUE!</v>
          </cell>
          <cell r="BP126" t="e">
            <v>#VALUE!</v>
          </cell>
          <cell r="BQ126" t="e">
            <v>#VALUE!</v>
          </cell>
          <cell r="BU126" t="e">
            <v>#VALUE!</v>
          </cell>
          <cell r="BW126">
            <v>0</v>
          </cell>
          <cell r="BX126">
            <v>0</v>
          </cell>
          <cell r="BY126">
            <v>0</v>
          </cell>
          <cell r="BZ126">
            <v>0</v>
          </cell>
          <cell r="CA126" t="e">
            <v>#VALUE!</v>
          </cell>
          <cell r="CB126">
            <v>0</v>
          </cell>
        </row>
        <row r="127">
          <cell r="A127">
            <v>33853</v>
          </cell>
          <cell r="D127" t="str">
            <v>92M61</v>
          </cell>
          <cell r="E127" t="str">
            <v>91-A</v>
          </cell>
          <cell r="F127" t="str">
            <v>I</v>
          </cell>
          <cell r="G127" t="str">
            <v>12/9</v>
          </cell>
          <cell r="I127">
            <v>4.79</v>
          </cell>
          <cell r="J127">
            <v>4.5999999999999996</v>
          </cell>
          <cell r="K127">
            <v>0.19000000000000039</v>
          </cell>
          <cell r="M127">
            <v>4.5999999999999996</v>
          </cell>
          <cell r="N127"/>
          <cell r="X127"/>
          <cell r="AA127"/>
          <cell r="AF127"/>
          <cell r="AJ127"/>
          <cell r="AM127"/>
          <cell r="AN127"/>
          <cell r="BG127"/>
          <cell r="BK127"/>
          <cell r="BL127"/>
          <cell r="BO127" t="e">
            <v>#VALUE!</v>
          </cell>
          <cell r="BP127">
            <v>4.5999999999999996</v>
          </cell>
          <cell r="BQ127">
            <v>4.5999999999999996</v>
          </cell>
          <cell r="BU127"/>
          <cell r="BW127">
            <v>0</v>
          </cell>
          <cell r="BX127">
            <v>0</v>
          </cell>
          <cell r="BY127">
            <v>0</v>
          </cell>
          <cell r="BZ127">
            <v>0</v>
          </cell>
          <cell r="CA127">
            <v>0</v>
          </cell>
          <cell r="CB127">
            <v>0</v>
          </cell>
        </row>
        <row r="128">
          <cell r="D128" t="str">
            <v>bn 1992</v>
          </cell>
          <cell r="F128" t="str">
            <v>I</v>
          </cell>
          <cell r="M128">
            <v>4.54</v>
          </cell>
          <cell r="BO128" t="e">
            <v>#VALUE!</v>
          </cell>
          <cell r="BP128">
            <v>4.54</v>
          </cell>
          <cell r="BQ128">
            <v>4.54</v>
          </cell>
          <cell r="BU128"/>
          <cell r="BW128">
            <v>0</v>
          </cell>
          <cell r="BX128">
            <v>0</v>
          </cell>
          <cell r="BY128">
            <v>0</v>
          </cell>
          <cell r="BZ128">
            <v>0</v>
          </cell>
          <cell r="CA128">
            <v>0</v>
          </cell>
          <cell r="CB128">
            <v>0</v>
          </cell>
        </row>
        <row r="129">
          <cell r="D129" t="str">
            <v>1992 HY end</v>
          </cell>
        </row>
        <row r="130">
          <cell r="A130">
            <v>34009</v>
          </cell>
          <cell r="D130" t="str">
            <v>93M5</v>
          </cell>
          <cell r="E130" t="str">
            <v>91-A</v>
          </cell>
          <cell r="F130" t="str">
            <v>S</v>
          </cell>
          <cell r="I130">
            <v>4.47</v>
          </cell>
          <cell r="J130">
            <v>4.3899999999999997</v>
          </cell>
          <cell r="K130">
            <v>8.0000000000000071E-2</v>
          </cell>
          <cell r="M130">
            <v>4.3899999999999997</v>
          </cell>
          <cell r="N130"/>
          <cell r="U130">
            <v>-0.15000000000000036</v>
          </cell>
          <cell r="V130">
            <v>1</v>
          </cell>
          <cell r="X130" t="e">
            <v>#VALUE!</v>
          </cell>
          <cell r="AA130">
            <v>1</v>
          </cell>
          <cell r="AE130">
            <v>0.39</v>
          </cell>
          <cell r="AF130">
            <v>0.39</v>
          </cell>
          <cell r="AI130">
            <v>-1</v>
          </cell>
          <cell r="AJ130"/>
          <cell r="AM130" t="e">
            <v>#VALUE!</v>
          </cell>
          <cell r="AN130" t="e">
            <v>#VALUE!</v>
          </cell>
          <cell r="BG130"/>
          <cell r="BK130"/>
          <cell r="BL130"/>
          <cell r="BO130" t="e">
            <v>#VALUE!</v>
          </cell>
          <cell r="BP130" t="e">
            <v>#VALUE!</v>
          </cell>
          <cell r="BQ130" t="e">
            <v>#VALUE!</v>
          </cell>
          <cell r="BU130" t="e">
            <v>#VALUE!</v>
          </cell>
          <cell r="BW130">
            <v>0</v>
          </cell>
          <cell r="BX130">
            <v>0</v>
          </cell>
          <cell r="BY130">
            <v>0</v>
          </cell>
          <cell r="BZ130">
            <v>0</v>
          </cell>
          <cell r="CA130" t="e">
            <v>#VALUE!</v>
          </cell>
          <cell r="CB130">
            <v>0</v>
          </cell>
        </row>
        <row r="131">
          <cell r="A131">
            <v>34105</v>
          </cell>
          <cell r="D131" t="str">
            <v>93M7</v>
          </cell>
          <cell r="E131" t="str">
            <v>91-A</v>
          </cell>
          <cell r="F131" t="str">
            <v>S</v>
          </cell>
          <cell r="G131" t="str">
            <v>13.?/12</v>
          </cell>
          <cell r="I131">
            <v>4.9000000000000004</v>
          </cell>
          <cell r="J131">
            <v>4.8499999999999996</v>
          </cell>
          <cell r="K131">
            <v>5.0000000000000711E-2</v>
          </cell>
          <cell r="M131">
            <v>4.8499999999999996</v>
          </cell>
          <cell r="N131"/>
          <cell r="X131"/>
          <cell r="AA131"/>
          <cell r="AE131">
            <v>0.39</v>
          </cell>
          <cell r="AF131"/>
          <cell r="AI131">
            <v>-1</v>
          </cell>
          <cell r="AJ131"/>
          <cell r="AM131" t="e">
            <v>#VALUE!</v>
          </cell>
          <cell r="AN131" t="e">
            <v>#VALUE!</v>
          </cell>
          <cell r="BG131"/>
          <cell r="BK131"/>
          <cell r="BL131"/>
          <cell r="BO131" t="e">
            <v>#VALUE!</v>
          </cell>
          <cell r="BP131" t="e">
            <v>#VALUE!</v>
          </cell>
          <cell r="BQ131" t="e">
            <v>#VALUE!</v>
          </cell>
          <cell r="BU131" t="e">
            <v>#VALUE!</v>
          </cell>
          <cell r="BW131">
            <v>0</v>
          </cell>
          <cell r="BX131">
            <v>0</v>
          </cell>
          <cell r="BY131">
            <v>0</v>
          </cell>
          <cell r="BZ131">
            <v>0</v>
          </cell>
          <cell r="CA131" t="e">
            <v>#VALUE!</v>
          </cell>
          <cell r="CB131">
            <v>0</v>
          </cell>
        </row>
        <row r="132">
          <cell r="A132">
            <v>34222</v>
          </cell>
          <cell r="D132" t="str">
            <v>93M32</v>
          </cell>
          <cell r="E132" t="str">
            <v>91-A</v>
          </cell>
          <cell r="F132" t="str">
            <v>I</v>
          </cell>
          <cell r="G132" t="str">
            <v>?/0</v>
          </cell>
          <cell r="H132" t="str">
            <v>STAKE MELTED OUT</v>
          </cell>
          <cell r="K132"/>
          <cell r="M132" t="str">
            <v>&lt;0</v>
          </cell>
          <cell r="N132"/>
          <cell r="X132"/>
          <cell r="AA132"/>
          <cell r="AF132"/>
          <cell r="AJ132"/>
          <cell r="AM132"/>
          <cell r="AN132"/>
          <cell r="BG132"/>
          <cell r="BK132"/>
          <cell r="BL132"/>
          <cell r="BO132" t="e">
            <v>#VALUE!</v>
          </cell>
          <cell r="BP132" t="str">
            <v>&lt;0</v>
          </cell>
          <cell r="BQ132">
            <v>0</v>
          </cell>
          <cell r="BU132"/>
          <cell r="BW132">
            <v>0</v>
          </cell>
          <cell r="BX132">
            <v>0</v>
          </cell>
          <cell r="BY132">
            <v>0</v>
          </cell>
          <cell r="BZ132">
            <v>0</v>
          </cell>
          <cell r="CA132">
            <v>0</v>
          </cell>
          <cell r="CB132">
            <v>0</v>
          </cell>
        </row>
        <row r="133">
          <cell r="K133"/>
          <cell r="N133"/>
          <cell r="X133"/>
          <cell r="AA133"/>
          <cell r="AF133"/>
          <cell r="AJ133"/>
          <cell r="AM133"/>
          <cell r="AN133"/>
          <cell r="BG133"/>
          <cell r="BK133"/>
          <cell r="BL133"/>
          <cell r="BP133"/>
          <cell r="BQ133"/>
          <cell r="BU133"/>
        </row>
        <row r="134">
          <cell r="A134">
            <v>33854</v>
          </cell>
          <cell r="D134" t="str">
            <v>92M63</v>
          </cell>
          <cell r="E134" t="str">
            <v>92-A</v>
          </cell>
          <cell r="F134" t="str">
            <v>I</v>
          </cell>
          <cell r="G134" t="str">
            <v>0/12</v>
          </cell>
          <cell r="H134">
            <v>8</v>
          </cell>
          <cell r="I134">
            <v>0</v>
          </cell>
          <cell r="J134">
            <v>0</v>
          </cell>
          <cell r="K134"/>
          <cell r="M134">
            <v>8</v>
          </cell>
          <cell r="N134"/>
          <cell r="X134"/>
          <cell r="AA134"/>
          <cell r="AF134"/>
          <cell r="AJ134"/>
          <cell r="AM134"/>
          <cell r="AN134"/>
          <cell r="BG134"/>
          <cell r="BK134"/>
          <cell r="BL134"/>
          <cell r="BO134" t="e">
            <v>#VALUE!</v>
          </cell>
          <cell r="BP134">
            <v>8</v>
          </cell>
          <cell r="BQ134">
            <v>8</v>
          </cell>
          <cell r="BU134"/>
          <cell r="BW134">
            <v>0</v>
          </cell>
          <cell r="BX134">
            <v>0</v>
          </cell>
          <cell r="BY134">
            <v>0</v>
          </cell>
          <cell r="BZ134">
            <v>0</v>
          </cell>
          <cell r="CA134">
            <v>0</v>
          </cell>
          <cell r="CB134">
            <v>0</v>
          </cell>
          <cell r="CC134" t="str">
            <v>This -2.93 agrees with B(I) for stk 91-A makes bn=-7.25</v>
          </cell>
        </row>
        <row r="135">
          <cell r="D135" t="str">
            <v>bn 1992</v>
          </cell>
          <cell r="M135">
            <v>7.94</v>
          </cell>
          <cell r="BO135" t="e">
            <v>#VALUE!</v>
          </cell>
          <cell r="BP135">
            <v>7.94</v>
          </cell>
          <cell r="BQ135">
            <v>7.94</v>
          </cell>
          <cell r="BU135"/>
          <cell r="BW135">
            <v>0</v>
          </cell>
          <cell r="BX135">
            <v>0</v>
          </cell>
          <cell r="BY135">
            <v>0</v>
          </cell>
          <cell r="BZ135">
            <v>0</v>
          </cell>
          <cell r="CA135">
            <v>0</v>
          </cell>
          <cell r="CB135">
            <v>0</v>
          </cell>
        </row>
        <row r="136">
          <cell r="D136" t="str">
            <v>1992 HY end</v>
          </cell>
        </row>
        <row r="137">
          <cell r="A137">
            <v>34105</v>
          </cell>
          <cell r="D137" t="str">
            <v>92M17</v>
          </cell>
          <cell r="E137" t="str">
            <v>92-A</v>
          </cell>
          <cell r="F137" t="str">
            <v>S</v>
          </cell>
          <cell r="I137">
            <v>4.57</v>
          </cell>
          <cell r="J137">
            <v>4.51</v>
          </cell>
          <cell r="K137">
            <v>6.0000000000000497E-2</v>
          </cell>
          <cell r="M137">
            <v>4.51</v>
          </cell>
          <cell r="N137"/>
          <cell r="U137">
            <v>-3.4300000000000006</v>
          </cell>
          <cell r="V137">
            <v>1</v>
          </cell>
          <cell r="X137" t="e">
            <v>#VALUE!</v>
          </cell>
          <cell r="AA137">
            <v>1</v>
          </cell>
          <cell r="AE137">
            <v>0.39</v>
          </cell>
          <cell r="AF137">
            <v>0.39</v>
          </cell>
          <cell r="AI137">
            <v>-1</v>
          </cell>
          <cell r="AJ137"/>
          <cell r="AM137" t="e">
            <v>#VALUE!</v>
          </cell>
          <cell r="AN137" t="e">
            <v>#VALUE!</v>
          </cell>
          <cell r="BG137"/>
          <cell r="BK137"/>
          <cell r="BL137"/>
          <cell r="BO137" t="e">
            <v>#VALUE!</v>
          </cell>
          <cell r="BP137" t="e">
            <v>#VALUE!</v>
          </cell>
          <cell r="BQ137" t="e">
            <v>#VALUE!</v>
          </cell>
          <cell r="BU137" t="e">
            <v>#VALUE!</v>
          </cell>
          <cell r="BW137">
            <v>0</v>
          </cell>
          <cell r="BX137">
            <v>0</v>
          </cell>
          <cell r="BY137">
            <v>0</v>
          </cell>
          <cell r="BZ137">
            <v>0</v>
          </cell>
          <cell r="CA137" t="e">
            <v>#VALUE!</v>
          </cell>
          <cell r="CB137">
            <v>0</v>
          </cell>
        </row>
        <row r="138">
          <cell r="A138">
            <v>34222</v>
          </cell>
          <cell r="D138" t="str">
            <v>93M32,34,37</v>
          </cell>
          <cell r="E138" t="str">
            <v>92-A</v>
          </cell>
          <cell r="F138" t="str">
            <v>I</v>
          </cell>
          <cell r="G138" t="str">
            <v>12/8</v>
          </cell>
          <cell r="H138">
            <v>3.7</v>
          </cell>
          <cell r="I138">
            <v>6.83</v>
          </cell>
          <cell r="J138">
            <v>6.53</v>
          </cell>
          <cell r="K138">
            <v>0.29999999999999982</v>
          </cell>
          <cell r="M138">
            <v>3.4000000000000004</v>
          </cell>
          <cell r="N138"/>
          <cell r="X138"/>
          <cell r="AA138"/>
          <cell r="AF138"/>
          <cell r="AJ138"/>
          <cell r="AM138"/>
          <cell r="AN138"/>
          <cell r="BG138"/>
          <cell r="BK138"/>
          <cell r="BL138"/>
          <cell r="BO138" t="e">
            <v>#VALUE!</v>
          </cell>
          <cell r="BP138">
            <v>3.4000000000000004</v>
          </cell>
          <cell r="BQ138">
            <v>3.4000000000000004</v>
          </cell>
          <cell r="BU138"/>
          <cell r="BW138">
            <v>0</v>
          </cell>
          <cell r="BX138">
            <v>0</v>
          </cell>
          <cell r="BY138">
            <v>0</v>
          </cell>
          <cell r="BZ138">
            <v>0</v>
          </cell>
          <cell r="CA138">
            <v>0</v>
          </cell>
          <cell r="CB138">
            <v>0</v>
          </cell>
        </row>
        <row r="139">
          <cell r="A139">
            <v>34225</v>
          </cell>
          <cell r="D139" t="str">
            <v>93M37</v>
          </cell>
          <cell r="E139" t="str">
            <v>92-A</v>
          </cell>
          <cell r="F139" t="str">
            <v>I</v>
          </cell>
          <cell r="G139" t="str">
            <v>8/8</v>
          </cell>
          <cell r="H139">
            <v>3.4</v>
          </cell>
          <cell r="K139"/>
          <cell r="M139">
            <v>3.4</v>
          </cell>
          <cell r="N139"/>
          <cell r="X139"/>
          <cell r="AA139"/>
          <cell r="AF139"/>
          <cell r="AJ139"/>
          <cell r="AM139"/>
          <cell r="AN139"/>
          <cell r="BG139"/>
          <cell r="BK139"/>
          <cell r="BL139"/>
          <cell r="BO139" t="e">
            <v>#VALUE!</v>
          </cell>
          <cell r="BP139">
            <v>3.4</v>
          </cell>
          <cell r="BQ139">
            <v>3.4</v>
          </cell>
          <cell r="BU139"/>
          <cell r="BW139">
            <v>0</v>
          </cell>
          <cell r="BX139">
            <v>0</v>
          </cell>
          <cell r="BY139">
            <v>0</v>
          </cell>
          <cell r="BZ139">
            <v>0</v>
          </cell>
          <cell r="CA139">
            <v>0</v>
          </cell>
          <cell r="CB139">
            <v>0</v>
          </cell>
        </row>
        <row r="140">
          <cell r="D140" t="str">
            <v>bn 1993</v>
          </cell>
          <cell r="F140" t="str">
            <v>I</v>
          </cell>
          <cell r="M140" t="e">
            <v>#VALUE!</v>
          </cell>
          <cell r="N140"/>
          <cell r="BO140" t="e">
            <v>#VALUE!</v>
          </cell>
          <cell r="BP140" t="e">
            <v>#VALUE!</v>
          </cell>
          <cell r="BQ140" t="e">
            <v>#VALUE!</v>
          </cell>
          <cell r="BU140"/>
          <cell r="BW140">
            <v>0</v>
          </cell>
          <cell r="BX140">
            <v>0</v>
          </cell>
          <cell r="BY140">
            <v>0</v>
          </cell>
          <cell r="BZ140">
            <v>0</v>
          </cell>
          <cell r="CA140">
            <v>0</v>
          </cell>
          <cell r="CB140">
            <v>0</v>
          </cell>
        </row>
        <row r="141">
          <cell r="D141" t="str">
            <v>1993 HY end</v>
          </cell>
        </row>
        <row r="142">
          <cell r="A142">
            <v>34370</v>
          </cell>
          <cell r="D142" t="str">
            <v>94M4</v>
          </cell>
          <cell r="E142" t="str">
            <v>92-A</v>
          </cell>
          <cell r="F142" t="str">
            <v>S</v>
          </cell>
          <cell r="I142">
            <v>4.3600000000000003</v>
          </cell>
          <cell r="J142">
            <v>3.95</v>
          </cell>
          <cell r="K142">
            <v>0.41000000000000014</v>
          </cell>
          <cell r="M142">
            <v>3.95</v>
          </cell>
          <cell r="N142"/>
          <cell r="X142"/>
          <cell r="AA142"/>
          <cell r="AE142">
            <v>0.38</v>
          </cell>
          <cell r="AF142"/>
          <cell r="AI142">
            <v>-1</v>
          </cell>
          <cell r="AJ142"/>
          <cell r="AM142" t="e">
            <v>#VALUE!</v>
          </cell>
          <cell r="AN142" t="e">
            <v>#VALUE!</v>
          </cell>
          <cell r="BG142"/>
          <cell r="BK142"/>
          <cell r="BL142"/>
          <cell r="BO142" t="e">
            <v>#VALUE!</v>
          </cell>
          <cell r="BP142" t="e">
            <v>#VALUE!</v>
          </cell>
          <cell r="BQ142" t="e">
            <v>#VALUE!</v>
          </cell>
          <cell r="BU142" t="e">
            <v>#VALUE!</v>
          </cell>
          <cell r="BW142">
            <v>0</v>
          </cell>
          <cell r="BX142">
            <v>0</v>
          </cell>
          <cell r="BY142">
            <v>0</v>
          </cell>
          <cell r="BZ142">
            <v>0</v>
          </cell>
          <cell r="CA142" t="e">
            <v>#VALUE!</v>
          </cell>
          <cell r="CB142">
            <v>0</v>
          </cell>
        </row>
        <row r="143">
          <cell r="A143">
            <v>34469</v>
          </cell>
          <cell r="D143" t="str">
            <v>94M14,16</v>
          </cell>
          <cell r="E143" t="str">
            <v>92-A</v>
          </cell>
          <cell r="F143" t="str">
            <v>S</v>
          </cell>
          <cell r="G143" t="str">
            <v>8/6?</v>
          </cell>
          <cell r="H143">
            <v>4.55</v>
          </cell>
          <cell r="I143">
            <v>0</v>
          </cell>
          <cell r="J143">
            <v>0</v>
          </cell>
          <cell r="K143"/>
          <cell r="M143">
            <v>4.55</v>
          </cell>
          <cell r="N143"/>
          <cell r="U143">
            <v>1.8199999999999998</v>
          </cell>
          <cell r="V143">
            <v>5</v>
          </cell>
          <cell r="X143" t="e">
            <v>#VALUE!</v>
          </cell>
          <cell r="AA143">
            <v>5</v>
          </cell>
          <cell r="AE143">
            <v>0.39</v>
          </cell>
          <cell r="AF143">
            <v>0.39</v>
          </cell>
          <cell r="AI143">
            <v>-1</v>
          </cell>
          <cell r="AJ143"/>
          <cell r="AM143" t="e">
            <v>#VALUE!</v>
          </cell>
          <cell r="AN143" t="e">
            <v>#VALUE!</v>
          </cell>
          <cell r="BG143"/>
          <cell r="BK143"/>
          <cell r="BL143"/>
          <cell r="BO143" t="e">
            <v>#VALUE!</v>
          </cell>
          <cell r="BP143" t="e">
            <v>#VALUE!</v>
          </cell>
          <cell r="BQ143" t="e">
            <v>#VALUE!</v>
          </cell>
          <cell r="BU143" t="e">
            <v>#VALUE!</v>
          </cell>
          <cell r="BW143">
            <v>0</v>
          </cell>
          <cell r="BX143">
            <v>0</v>
          </cell>
          <cell r="BY143">
            <v>0</v>
          </cell>
          <cell r="BZ143">
            <v>0</v>
          </cell>
          <cell r="CA143" t="e">
            <v>#VALUE!</v>
          </cell>
          <cell r="CB143">
            <v>0</v>
          </cell>
        </row>
        <row r="144">
          <cell r="K144"/>
          <cell r="N144"/>
          <cell r="X144"/>
          <cell r="AA144"/>
          <cell r="AF144"/>
          <cell r="AJ144"/>
          <cell r="AM144"/>
          <cell r="AN144"/>
          <cell r="BG144"/>
          <cell r="BK144"/>
          <cell r="BL144"/>
          <cell r="BP144"/>
          <cell r="BQ144"/>
          <cell r="BU144"/>
        </row>
        <row r="145">
          <cell r="A145">
            <v>34225</v>
          </cell>
          <cell r="D145" t="str">
            <v>93M37</v>
          </cell>
          <cell r="E145" t="str">
            <v>93-A</v>
          </cell>
          <cell r="F145" t="str">
            <v>I</v>
          </cell>
          <cell r="G145" t="str">
            <v>0/12</v>
          </cell>
          <cell r="H145">
            <v>9.1300000000000008</v>
          </cell>
          <cell r="I145">
            <v>6.83</v>
          </cell>
          <cell r="J145">
            <v>2.2599999999999998</v>
          </cell>
          <cell r="K145">
            <v>4.57</v>
          </cell>
          <cell r="M145">
            <v>4.5600000000000005</v>
          </cell>
          <cell r="N145"/>
          <cell r="X145"/>
          <cell r="AA145"/>
          <cell r="AF145"/>
          <cell r="AJ145"/>
          <cell r="AM145"/>
          <cell r="AN145"/>
          <cell r="BG145"/>
          <cell r="BK145"/>
          <cell r="BL145"/>
          <cell r="BP145">
            <v>4.5600000000000005</v>
          </cell>
          <cell r="BQ145">
            <v>4.5600000000000005</v>
          </cell>
          <cell r="BU145"/>
          <cell r="BW145">
            <v>0</v>
          </cell>
          <cell r="BX145">
            <v>0</v>
          </cell>
          <cell r="BY145">
            <v>0</v>
          </cell>
          <cell r="BZ145">
            <v>0</v>
          </cell>
          <cell r="CA145">
            <v>0</v>
          </cell>
          <cell r="CB145">
            <v>0</v>
          </cell>
        </row>
        <row r="146">
          <cell r="D146" t="str">
            <v>bn 1993</v>
          </cell>
          <cell r="F146" t="str">
            <v>I</v>
          </cell>
          <cell r="M146">
            <v>8.8800000000000008</v>
          </cell>
          <cell r="BP146">
            <v>8.8800000000000008</v>
          </cell>
          <cell r="BQ146">
            <v>8.8800000000000008</v>
          </cell>
          <cell r="BU146"/>
          <cell r="BW146">
            <v>0</v>
          </cell>
          <cell r="BX146">
            <v>0</v>
          </cell>
          <cell r="BY146">
            <v>0</v>
          </cell>
          <cell r="BZ146">
            <v>0</v>
          </cell>
          <cell r="CA146">
            <v>0</v>
          </cell>
          <cell r="CB146">
            <v>0</v>
          </cell>
        </row>
        <row r="147">
          <cell r="D147" t="str">
            <v>1993 HY end</v>
          </cell>
        </row>
        <row r="148">
          <cell r="A148">
            <v>34370</v>
          </cell>
          <cell r="D148" t="str">
            <v>94M4</v>
          </cell>
          <cell r="E148" t="str">
            <v>93-A</v>
          </cell>
          <cell r="F148" t="str">
            <v>S</v>
          </cell>
          <cell r="I148" t="str">
            <v>not observed or surveyed</v>
          </cell>
          <cell r="N148"/>
          <cell r="X148"/>
          <cell r="AA148"/>
          <cell r="AF148"/>
          <cell r="AI148">
            <v>-1</v>
          </cell>
          <cell r="AJ148"/>
          <cell r="AM148"/>
          <cell r="AN148"/>
          <cell r="BG148"/>
          <cell r="BK148"/>
          <cell r="BL148"/>
          <cell r="BU148" t="e">
            <v>#VALUE!</v>
          </cell>
          <cell r="BW148">
            <v>0</v>
          </cell>
          <cell r="BX148">
            <v>0</v>
          </cell>
          <cell r="BY148">
            <v>0</v>
          </cell>
          <cell r="BZ148">
            <v>0</v>
          </cell>
          <cell r="CA148" t="e">
            <v>#VALUE!</v>
          </cell>
          <cell r="CB148">
            <v>0</v>
          </cell>
        </row>
        <row r="149">
          <cell r="A149">
            <v>34468</v>
          </cell>
          <cell r="D149" t="str">
            <v>94M14,16</v>
          </cell>
          <cell r="E149" t="str">
            <v>93-A</v>
          </cell>
          <cell r="F149" t="str">
            <v>S</v>
          </cell>
          <cell r="G149" t="str">
            <v>9/9 or 12/12?</v>
          </cell>
          <cell r="H149">
            <v>10.7</v>
          </cell>
          <cell r="I149">
            <v>6.82</v>
          </cell>
          <cell r="J149">
            <v>6.82</v>
          </cell>
          <cell r="K149"/>
          <cell r="M149">
            <v>10.7</v>
          </cell>
          <cell r="U149">
            <v>1.8199999999999998</v>
          </cell>
          <cell r="V149">
            <v>5</v>
          </cell>
          <cell r="X149">
            <v>1.82</v>
          </cell>
          <cell r="AA149">
            <v>5</v>
          </cell>
          <cell r="AE149">
            <v>0.39</v>
          </cell>
          <cell r="AF149">
            <v>0.39</v>
          </cell>
          <cell r="AI149">
            <v>-1</v>
          </cell>
          <cell r="AJ149">
            <v>-1</v>
          </cell>
          <cell r="AM149">
            <v>8.8800000000000008</v>
          </cell>
          <cell r="AN149">
            <v>8.8800000000000008</v>
          </cell>
          <cell r="BG149"/>
          <cell r="BK149"/>
          <cell r="BL149"/>
          <cell r="BO149">
            <v>8.8800000000000008</v>
          </cell>
          <cell r="BP149">
            <v>8.8800000000000008</v>
          </cell>
          <cell r="BQ149">
            <v>8.8800000000000008</v>
          </cell>
          <cell r="BU149">
            <v>0.71</v>
          </cell>
          <cell r="BW149">
            <v>0</v>
          </cell>
          <cell r="BX149">
            <v>0</v>
          </cell>
          <cell r="BY149">
            <v>0</v>
          </cell>
          <cell r="BZ149">
            <v>0</v>
          </cell>
          <cell r="CA149">
            <v>0.71</v>
          </cell>
          <cell r="CB149">
            <v>0</v>
          </cell>
        </row>
        <row r="150">
          <cell r="A150">
            <v>34586</v>
          </cell>
          <cell r="D150" t="str">
            <v>94M27</v>
          </cell>
          <cell r="E150" t="str">
            <v>93-A</v>
          </cell>
          <cell r="F150" t="str">
            <v>I</v>
          </cell>
          <cell r="I150">
            <v>6.83</v>
          </cell>
          <cell r="J150">
            <v>2.2599999999999998</v>
          </cell>
          <cell r="K150">
            <v>4.57</v>
          </cell>
          <cell r="M150">
            <v>2.2599999999999998</v>
          </cell>
          <cell r="N150"/>
          <cell r="X150"/>
          <cell r="AA150"/>
          <cell r="AF150"/>
          <cell r="AJ150"/>
          <cell r="AM150"/>
          <cell r="AN150"/>
          <cell r="BG150"/>
          <cell r="BK150"/>
          <cell r="BL150"/>
          <cell r="BO150">
            <v>8.8800000000000008</v>
          </cell>
          <cell r="BP150">
            <v>2.2599999999999998</v>
          </cell>
          <cell r="BQ150">
            <v>2.2599999999999998</v>
          </cell>
          <cell r="BU150"/>
          <cell r="BW150">
            <v>0</v>
          </cell>
          <cell r="BX150">
            <v>0</v>
          </cell>
          <cell r="BY150">
            <v>0</v>
          </cell>
          <cell r="BZ150">
            <v>-5.96</v>
          </cell>
          <cell r="CA150">
            <v>-5.96</v>
          </cell>
          <cell r="CB150">
            <v>-5.96</v>
          </cell>
        </row>
        <row r="151">
          <cell r="D151" t="str">
            <v>bn 1994</v>
          </cell>
          <cell r="F151" t="str">
            <v>I</v>
          </cell>
          <cell r="M151">
            <v>0.77333333333333343</v>
          </cell>
          <cell r="BO151">
            <v>7.49</v>
          </cell>
          <cell r="BP151">
            <v>0.77333333333333343</v>
          </cell>
          <cell r="BQ151">
            <v>0.77333333333333343</v>
          </cell>
          <cell r="BU151"/>
          <cell r="BW151">
            <v>0</v>
          </cell>
          <cell r="BX151">
            <v>0</v>
          </cell>
          <cell r="BY151">
            <v>0</v>
          </cell>
          <cell r="BZ151">
            <v>-6.05</v>
          </cell>
          <cell r="CA151">
            <v>-6.05</v>
          </cell>
          <cell r="CB151">
            <v>-6.05</v>
          </cell>
        </row>
        <row r="152">
          <cell r="D152" t="str">
            <v>1994 HY end</v>
          </cell>
        </row>
        <row r="153">
          <cell r="A153">
            <v>34730</v>
          </cell>
          <cell r="D153" t="str">
            <v>95M3</v>
          </cell>
          <cell r="E153" t="str">
            <v>93-A</v>
          </cell>
          <cell r="F153" t="str">
            <v>S</v>
          </cell>
          <cell r="I153">
            <v>6.82</v>
          </cell>
          <cell r="J153">
            <v>6.82</v>
          </cell>
          <cell r="K153"/>
          <cell r="M153">
            <v>6.82</v>
          </cell>
          <cell r="N153">
            <v>3.33</v>
          </cell>
          <cell r="U153">
            <v>1.32</v>
          </cell>
          <cell r="V153">
            <v>1</v>
          </cell>
          <cell r="X153">
            <v>2.33</v>
          </cell>
          <cell r="AA153">
            <v>2</v>
          </cell>
          <cell r="AE153">
            <v>0.38</v>
          </cell>
          <cell r="AF153">
            <v>0.38</v>
          </cell>
          <cell r="AI153">
            <v>-1</v>
          </cell>
          <cell r="AJ153">
            <v>-1</v>
          </cell>
          <cell r="AM153">
            <v>4.49</v>
          </cell>
          <cell r="AN153">
            <v>4.49</v>
          </cell>
          <cell r="BG153"/>
          <cell r="BK153"/>
          <cell r="BL153"/>
          <cell r="BO153">
            <v>3.49</v>
          </cell>
          <cell r="BP153">
            <v>4.49</v>
          </cell>
          <cell r="BQ153">
            <v>4.49</v>
          </cell>
          <cell r="BU153">
            <v>0.89</v>
          </cell>
          <cell r="BW153">
            <v>0</v>
          </cell>
          <cell r="BX153">
            <v>0</v>
          </cell>
          <cell r="BY153">
            <v>0</v>
          </cell>
          <cell r="BZ153">
            <v>0.9</v>
          </cell>
          <cell r="CA153">
            <v>1.79</v>
          </cell>
          <cell r="CB153">
            <v>0.9</v>
          </cell>
        </row>
        <row r="154">
          <cell r="A154">
            <v>34833</v>
          </cell>
          <cell r="D154" t="str">
            <v>95M9,12</v>
          </cell>
          <cell r="E154" t="str">
            <v>93-A</v>
          </cell>
          <cell r="F154" t="str">
            <v>S</v>
          </cell>
          <cell r="I154">
            <v>1.5</v>
          </cell>
          <cell r="J154">
            <v>1.29</v>
          </cell>
          <cell r="K154">
            <v>0.20999999999999996</v>
          </cell>
          <cell r="M154">
            <v>1.29</v>
          </cell>
          <cell r="N154">
            <v>-2.2000000000000002</v>
          </cell>
          <cell r="U154">
            <v>1.952</v>
          </cell>
          <cell r="V154">
            <v>5</v>
          </cell>
          <cell r="X154">
            <v>1.26</v>
          </cell>
          <cell r="AA154">
            <v>6</v>
          </cell>
          <cell r="AE154">
            <v>0.4</v>
          </cell>
          <cell r="AF154">
            <v>0.4</v>
          </cell>
          <cell r="AJ154" t="e">
            <v>#DIV/0!</v>
          </cell>
          <cell r="AM154">
            <v>0.03</v>
          </cell>
          <cell r="AN154">
            <v>0.03</v>
          </cell>
          <cell r="BG154"/>
          <cell r="BK154"/>
          <cell r="BL154"/>
          <cell r="BO154">
            <v>3.49</v>
          </cell>
          <cell r="BP154">
            <v>0.03</v>
          </cell>
          <cell r="BQ154">
            <v>0.03</v>
          </cell>
          <cell r="BU154">
            <v>0.5</v>
          </cell>
          <cell r="BW154">
            <v>0</v>
          </cell>
          <cell r="BX154">
            <v>0</v>
          </cell>
          <cell r="BY154">
            <v>0</v>
          </cell>
          <cell r="BZ154">
            <v>-3.11</v>
          </cell>
          <cell r="CA154">
            <v>-2.61</v>
          </cell>
          <cell r="CB154">
            <v>-3.11</v>
          </cell>
        </row>
        <row r="155">
          <cell r="A155">
            <v>34957</v>
          </cell>
          <cell r="D155" t="str">
            <v>95M31</v>
          </cell>
          <cell r="E155" t="str">
            <v>93-A</v>
          </cell>
          <cell r="F155" t="str">
            <v>I</v>
          </cell>
          <cell r="G155" t="str">
            <v>6/0</v>
          </cell>
          <cell r="H155">
            <v>0.71</v>
          </cell>
          <cell r="K155"/>
          <cell r="M155">
            <v>0.71</v>
          </cell>
          <cell r="N155"/>
          <cell r="X155"/>
          <cell r="AA155"/>
          <cell r="AF155"/>
          <cell r="AJ155"/>
          <cell r="AM155"/>
          <cell r="AN155"/>
          <cell r="BG155"/>
          <cell r="BK155"/>
          <cell r="BL155"/>
          <cell r="BO155">
            <v>3.49</v>
          </cell>
          <cell r="BP155">
            <v>0.71</v>
          </cell>
          <cell r="BQ155">
            <v>0.71</v>
          </cell>
          <cell r="BU155"/>
          <cell r="BW155">
            <v>0</v>
          </cell>
          <cell r="BX155">
            <v>0</v>
          </cell>
          <cell r="BY155">
            <v>0</v>
          </cell>
          <cell r="BZ155">
            <v>-2.5</v>
          </cell>
          <cell r="CA155">
            <v>-2.5</v>
          </cell>
          <cell r="CB155">
            <v>-2.5</v>
          </cell>
        </row>
        <row r="156">
          <cell r="D156" t="str">
            <v>bn 1995</v>
          </cell>
        </row>
        <row r="157">
          <cell r="D157" t="str">
            <v>1995 HY end</v>
          </cell>
        </row>
        <row r="158">
          <cell r="K158"/>
          <cell r="N158"/>
          <cell r="X158"/>
          <cell r="AA158"/>
          <cell r="AF158"/>
          <cell r="AJ158"/>
          <cell r="AM158"/>
          <cell r="AN158"/>
          <cell r="BG158"/>
          <cell r="BK158"/>
          <cell r="BL158"/>
          <cell r="BP158"/>
          <cell r="BQ158"/>
          <cell r="BU158"/>
        </row>
        <row r="159">
          <cell r="A159">
            <v>34584</v>
          </cell>
          <cell r="D159" t="str">
            <v>94M25</v>
          </cell>
          <cell r="E159" t="str">
            <v>94-A</v>
          </cell>
          <cell r="F159" t="str">
            <v>I</v>
          </cell>
          <cell r="K159"/>
          <cell r="M159"/>
          <cell r="N159"/>
          <cell r="X159"/>
          <cell r="AA159"/>
          <cell r="AF159"/>
          <cell r="AJ159"/>
          <cell r="AM159"/>
          <cell r="AN159"/>
          <cell r="BG159"/>
          <cell r="BK159"/>
          <cell r="BL159"/>
          <cell r="BP159"/>
          <cell r="BQ159"/>
          <cell r="BU159"/>
          <cell r="BW159">
            <v>0</v>
          </cell>
          <cell r="BX159">
            <v>0</v>
          </cell>
          <cell r="BY159">
            <v>0</v>
          </cell>
          <cell r="BZ159">
            <v>0</v>
          </cell>
          <cell r="CA159">
            <v>0</v>
          </cell>
          <cell r="CB159">
            <v>0</v>
          </cell>
        </row>
        <row r="160">
          <cell r="A160">
            <v>34586</v>
          </cell>
          <cell r="D160" t="str">
            <v>94M27</v>
          </cell>
          <cell r="E160" t="str">
            <v>94-A</v>
          </cell>
          <cell r="F160" t="str">
            <v>I</v>
          </cell>
          <cell r="I160">
            <v>3.15</v>
          </cell>
          <cell r="J160">
            <v>3.17</v>
          </cell>
          <cell r="K160">
            <v>-2.0000000000000018E-2</v>
          </cell>
          <cell r="M160">
            <v>3.17</v>
          </cell>
          <cell r="N160"/>
          <cell r="X160"/>
          <cell r="AA160"/>
          <cell r="AF160"/>
          <cell r="AJ160"/>
          <cell r="AM160"/>
          <cell r="AN160"/>
          <cell r="BG160"/>
          <cell r="BK160"/>
          <cell r="BL160"/>
          <cell r="BO160">
            <v>15.58</v>
          </cell>
          <cell r="BP160">
            <v>3.17</v>
          </cell>
          <cell r="BQ160">
            <v>3.17</v>
          </cell>
          <cell r="BU160"/>
          <cell r="BW160">
            <v>0</v>
          </cell>
          <cell r="BX160">
            <v>0</v>
          </cell>
          <cell r="BY160">
            <v>0</v>
          </cell>
          <cell r="BZ160">
            <v>-11.17</v>
          </cell>
          <cell r="CA160">
            <v>-11.17</v>
          </cell>
          <cell r="CB160">
            <v>-11.17</v>
          </cell>
        </row>
        <row r="161">
          <cell r="D161" t="str">
            <v>bn 1994</v>
          </cell>
          <cell r="F161" t="str">
            <v>I</v>
          </cell>
          <cell r="M161" t="e">
            <v>#VALUE!</v>
          </cell>
          <cell r="BP161" t="e">
            <v>#VALUE!</v>
          </cell>
          <cell r="BQ161" t="e">
            <v>#VALUE!</v>
          </cell>
          <cell r="BU161"/>
          <cell r="BW161">
            <v>0</v>
          </cell>
          <cell r="BX161">
            <v>0</v>
          </cell>
          <cell r="BY161">
            <v>0</v>
          </cell>
          <cell r="BZ161">
            <v>0</v>
          </cell>
          <cell r="CA161">
            <v>0</v>
          </cell>
          <cell r="CB161">
            <v>0</v>
          </cell>
        </row>
        <row r="162">
          <cell r="D162" t="str">
            <v>1994 HY end</v>
          </cell>
        </row>
        <row r="163">
          <cell r="A163">
            <v>34730</v>
          </cell>
          <cell r="D163" t="str">
            <v>95M3</v>
          </cell>
          <cell r="E163" t="str">
            <v>94-A</v>
          </cell>
          <cell r="F163" t="str">
            <v>S</v>
          </cell>
          <cell r="I163">
            <v>1.96</v>
          </cell>
          <cell r="J163">
            <v>1.98</v>
          </cell>
          <cell r="K163">
            <v>-2.0000000000000018E-2</v>
          </cell>
          <cell r="M163">
            <v>1.98</v>
          </cell>
          <cell r="N163">
            <v>-7.4599999999999991</v>
          </cell>
          <cell r="U163">
            <v>1.32</v>
          </cell>
          <cell r="V163">
            <v>1</v>
          </cell>
          <cell r="X163">
            <v>-3.07</v>
          </cell>
          <cell r="AA163">
            <v>2</v>
          </cell>
          <cell r="AE163">
            <v>0.38</v>
          </cell>
          <cell r="AF163">
            <v>0.38</v>
          </cell>
          <cell r="AI163">
            <v>-1</v>
          </cell>
          <cell r="AJ163">
            <v>-1</v>
          </cell>
          <cell r="AM163">
            <v>5.05</v>
          </cell>
          <cell r="AN163">
            <v>5.05</v>
          </cell>
          <cell r="BG163"/>
          <cell r="BK163"/>
          <cell r="BL163"/>
          <cell r="BO163">
            <v>9.44</v>
          </cell>
          <cell r="BP163">
            <v>5.05</v>
          </cell>
          <cell r="BQ163">
            <v>5.05</v>
          </cell>
          <cell r="BU163">
            <v>-1.17</v>
          </cell>
          <cell r="BW163">
            <v>0</v>
          </cell>
          <cell r="BX163">
            <v>0</v>
          </cell>
          <cell r="BY163">
            <v>0</v>
          </cell>
          <cell r="BZ163">
            <v>-3.95</v>
          </cell>
          <cell r="CA163">
            <v>-5.12</v>
          </cell>
          <cell r="CB163">
            <v>-3.95</v>
          </cell>
        </row>
        <row r="164">
          <cell r="A164">
            <v>34831</v>
          </cell>
          <cell r="D164" t="str">
            <v>95M9,12</v>
          </cell>
          <cell r="E164" t="str">
            <v>94-A</v>
          </cell>
          <cell r="F164" t="str">
            <v>S</v>
          </cell>
          <cell r="G164" t="str">
            <v>12/12</v>
          </cell>
          <cell r="H164">
            <v>11.43</v>
          </cell>
          <cell r="I164" t="str">
            <v>No Data</v>
          </cell>
          <cell r="J164" t="str">
            <v>No Data</v>
          </cell>
          <cell r="K164" t="e">
            <v>#VALUE!</v>
          </cell>
          <cell r="M164" t="e">
            <v>#VALUE!</v>
          </cell>
          <cell r="N164" t="e">
            <v>#VALUE!</v>
          </cell>
          <cell r="U164">
            <v>1.952</v>
          </cell>
          <cell r="V164">
            <v>5</v>
          </cell>
          <cell r="X164" t="e">
            <v>#VALUE!</v>
          </cell>
          <cell r="AA164">
            <v>5</v>
          </cell>
          <cell r="AE164">
            <v>0.4</v>
          </cell>
          <cell r="AF164">
            <v>0.4</v>
          </cell>
          <cell r="AJ164"/>
          <cell r="AM164"/>
          <cell r="AN164"/>
          <cell r="BG164"/>
          <cell r="BK164"/>
          <cell r="BL164"/>
          <cell r="BO164">
            <v>9.44</v>
          </cell>
          <cell r="BP164"/>
          <cell r="BQ164"/>
          <cell r="BU164" t="e">
            <v>#VALUE!</v>
          </cell>
          <cell r="BW164">
            <v>0</v>
          </cell>
          <cell r="BX164">
            <v>0</v>
          </cell>
          <cell r="BY164">
            <v>0</v>
          </cell>
          <cell r="BZ164" t="e">
            <v>#VALUE!</v>
          </cell>
          <cell r="CA164" t="e">
            <v>#VALUE!</v>
          </cell>
          <cell r="CB164" t="e">
            <v>#VALUE!</v>
          </cell>
        </row>
        <row r="165">
          <cell r="A165">
            <v>34956</v>
          </cell>
          <cell r="D165" t="str">
            <v>95M26</v>
          </cell>
          <cell r="E165" t="str">
            <v>94-A</v>
          </cell>
          <cell r="F165" t="str">
            <v>I</v>
          </cell>
          <cell r="G165" t="str">
            <v>6/9</v>
          </cell>
          <cell r="H165">
            <v>5.09</v>
          </cell>
          <cell r="I165">
            <v>0</v>
          </cell>
          <cell r="J165">
            <v>0</v>
          </cell>
          <cell r="K165"/>
          <cell r="M165">
            <v>5.09</v>
          </cell>
          <cell r="N165"/>
          <cell r="X165"/>
          <cell r="AA165"/>
          <cell r="AF165"/>
          <cell r="AJ165"/>
          <cell r="AM165"/>
          <cell r="AN165"/>
          <cell r="BG165"/>
          <cell r="BK165"/>
          <cell r="BL165"/>
          <cell r="BO165">
            <v>9.44</v>
          </cell>
          <cell r="BP165">
            <v>5.09</v>
          </cell>
          <cell r="BQ165">
            <v>5.09</v>
          </cell>
          <cell r="BU165"/>
          <cell r="BW165">
            <v>0</v>
          </cell>
          <cell r="BX165">
            <v>0</v>
          </cell>
          <cell r="BY165">
            <v>0</v>
          </cell>
          <cell r="BZ165">
            <v>-3.92</v>
          </cell>
          <cell r="CA165">
            <v>-3.92</v>
          </cell>
          <cell r="CB165">
            <v>-3.92</v>
          </cell>
        </row>
        <row r="166">
          <cell r="F166" t="str">
            <v>I</v>
          </cell>
          <cell r="M166">
            <v>4.1499999999999995</v>
          </cell>
          <cell r="BO166">
            <v>9.44</v>
          </cell>
          <cell r="BP166">
            <v>4.1499999999999995</v>
          </cell>
          <cell r="BQ166">
            <v>4.1499999999999995</v>
          </cell>
          <cell r="BU166"/>
          <cell r="BW166">
            <v>0</v>
          </cell>
          <cell r="BX166">
            <v>0</v>
          </cell>
          <cell r="BY166">
            <v>0</v>
          </cell>
          <cell r="BZ166">
            <v>-4.76</v>
          </cell>
          <cell r="CA166">
            <v>-4.76</v>
          </cell>
          <cell r="CB166">
            <v>-4.76</v>
          </cell>
        </row>
        <row r="167">
          <cell r="M167">
            <v>4.16</v>
          </cell>
          <cell r="N167"/>
          <cell r="X167"/>
        </row>
        <row r="168">
          <cell r="F168" t="str">
            <v>S</v>
          </cell>
          <cell r="G168" t="str">
            <v>9/9</v>
          </cell>
          <cell r="H168">
            <v>5.0999999999999996</v>
          </cell>
          <cell r="I168">
            <v>4.8499999999999996</v>
          </cell>
          <cell r="J168">
            <v>4.8499999999999996</v>
          </cell>
          <cell r="K168"/>
          <cell r="M168">
            <v>5.0999999999999996</v>
          </cell>
          <cell r="N168">
            <v>0.94999999999999929</v>
          </cell>
          <cell r="S168">
            <v>0.9</v>
          </cell>
          <cell r="T168">
            <v>4</v>
          </cell>
          <cell r="U168">
            <v>0.96</v>
          </cell>
          <cell r="V168">
            <v>20</v>
          </cell>
          <cell r="X168">
            <v>0.95</v>
          </cell>
          <cell r="AA168">
            <v>25</v>
          </cell>
          <cell r="AD168">
            <v>0.35199999999999998</v>
          </cell>
          <cell r="AF168">
            <v>0.35199999999999998</v>
          </cell>
          <cell r="AJ168" t="e">
            <v>#DIV/0!</v>
          </cell>
          <cell r="AM168">
            <v>4.1500000000000004</v>
          </cell>
          <cell r="AN168">
            <v>4.1500000000000004</v>
          </cell>
          <cell r="BG168"/>
          <cell r="BK168"/>
          <cell r="BL168"/>
          <cell r="BO168">
            <v>4.1500000000000004</v>
          </cell>
          <cell r="BP168">
            <v>4.1500000000000004</v>
          </cell>
          <cell r="BQ168">
            <v>4.1500000000000004</v>
          </cell>
          <cell r="BU168">
            <v>0.33</v>
          </cell>
          <cell r="BW168">
            <v>0</v>
          </cell>
          <cell r="BX168">
            <v>0</v>
          </cell>
          <cell r="BY168">
            <v>0</v>
          </cell>
          <cell r="BZ168">
            <v>0</v>
          </cell>
          <cell r="CA168">
            <v>0.33</v>
          </cell>
          <cell r="CB168">
            <v>0</v>
          </cell>
        </row>
        <row r="169">
          <cell r="F169" t="str">
            <v>I</v>
          </cell>
          <cell r="G169" t="str">
            <v>9/3</v>
          </cell>
          <cell r="H169">
            <v>4.1500000000000004</v>
          </cell>
          <cell r="I169">
            <v>2.61</v>
          </cell>
          <cell r="J169">
            <v>2.64</v>
          </cell>
          <cell r="K169">
            <v>-3.0000000000000249E-2</v>
          </cell>
          <cell r="M169">
            <v>4.1800000000000006</v>
          </cell>
        </row>
        <row r="170">
          <cell r="K170"/>
          <cell r="N170"/>
          <cell r="X170"/>
          <cell r="AA170"/>
          <cell r="AF170"/>
          <cell r="AJ170"/>
          <cell r="AM170"/>
          <cell r="AN170"/>
          <cell r="BG170"/>
          <cell r="BK170"/>
          <cell r="BL170"/>
          <cell r="BP170"/>
          <cell r="BQ170"/>
          <cell r="BU170"/>
        </row>
        <row r="171">
          <cell r="F171" t="str">
            <v>I</v>
          </cell>
          <cell r="G171" t="str">
            <v>0/12</v>
          </cell>
          <cell r="H171">
            <v>9.1999999999999993</v>
          </cell>
          <cell r="I171">
            <v>7.98</v>
          </cell>
          <cell r="J171">
            <v>7.96</v>
          </cell>
          <cell r="K171">
            <v>2.0000000000000462E-2</v>
          </cell>
          <cell r="M171">
            <v>9.18</v>
          </cell>
          <cell r="N171"/>
          <cell r="X171"/>
          <cell r="AA171"/>
          <cell r="AF171"/>
          <cell r="AJ171"/>
          <cell r="AM171"/>
          <cell r="AN171"/>
          <cell r="BG171"/>
          <cell r="BK171"/>
          <cell r="BL171"/>
          <cell r="BO171">
            <v>9.0499999999999989</v>
          </cell>
          <cell r="BP171">
            <v>9.18</v>
          </cell>
          <cell r="BQ171">
            <v>9.18</v>
          </cell>
          <cell r="BU171"/>
          <cell r="BW171">
            <v>0</v>
          </cell>
          <cell r="BX171">
            <v>0</v>
          </cell>
          <cell r="BY171">
            <v>0</v>
          </cell>
          <cell r="BZ171">
            <v>0.12</v>
          </cell>
          <cell r="CA171">
            <v>0.12</v>
          </cell>
          <cell r="CB171">
            <v>0.12</v>
          </cell>
        </row>
        <row r="172">
          <cell r="F172" t="str">
            <v>S</v>
          </cell>
          <cell r="G172" t="str">
            <v>12/12</v>
          </cell>
          <cell r="H172">
            <v>9.41</v>
          </cell>
          <cell r="I172">
            <v>9.4600000000000009</v>
          </cell>
          <cell r="J172">
            <v>9.41</v>
          </cell>
          <cell r="K172">
            <v>5.0000000000000711E-2</v>
          </cell>
          <cell r="M172">
            <v>9.36</v>
          </cell>
          <cell r="N172">
            <v>0.3100000000000005</v>
          </cell>
          <cell r="S172">
            <v>0.9</v>
          </cell>
          <cell r="T172">
            <v>4</v>
          </cell>
          <cell r="U172">
            <v>0.96</v>
          </cell>
          <cell r="V172">
            <v>20</v>
          </cell>
          <cell r="X172">
            <v>0.92</v>
          </cell>
          <cell r="AA172">
            <v>25</v>
          </cell>
          <cell r="AD172">
            <v>0.35199999999999998</v>
          </cell>
          <cell r="AF172">
            <v>0.35199999999999998</v>
          </cell>
          <cell r="AJ172" t="e">
            <v>#DIV/0!</v>
          </cell>
          <cell r="AM172">
            <v>8.44</v>
          </cell>
          <cell r="AN172">
            <v>8.44</v>
          </cell>
          <cell r="BG172"/>
          <cell r="BK172"/>
          <cell r="BL172"/>
          <cell r="BO172">
            <v>9.0499999999999989</v>
          </cell>
          <cell r="BP172">
            <v>8.44</v>
          </cell>
          <cell r="BQ172">
            <v>8.44</v>
          </cell>
          <cell r="BU172">
            <v>0.32</v>
          </cell>
          <cell r="BW172">
            <v>0</v>
          </cell>
          <cell r="BX172">
            <v>0</v>
          </cell>
          <cell r="BY172">
            <v>0</v>
          </cell>
          <cell r="BZ172">
            <v>-0.55000000000000004</v>
          </cell>
          <cell r="CA172">
            <v>-0.23000000000000004</v>
          </cell>
          <cell r="CB172">
            <v>-0.55000000000000004</v>
          </cell>
        </row>
        <row r="173">
          <cell r="F173" t="str">
            <v>I</v>
          </cell>
          <cell r="G173" t="str">
            <v>12/9</v>
          </cell>
          <cell r="H173">
            <v>8.2799999999999994</v>
          </cell>
          <cell r="I173">
            <v>7.89</v>
          </cell>
          <cell r="J173">
            <v>7.77</v>
          </cell>
          <cell r="K173">
            <v>0.12000000000000011</v>
          </cell>
          <cell r="M173">
            <v>8.16</v>
          </cell>
          <cell r="N173"/>
          <cell r="X173"/>
          <cell r="AA173"/>
          <cell r="AF173"/>
          <cell r="AJ173"/>
          <cell r="AM173"/>
          <cell r="AN173"/>
          <cell r="BG173"/>
          <cell r="BK173"/>
          <cell r="BL173"/>
          <cell r="BO173">
            <v>9.0499999999999989</v>
          </cell>
          <cell r="BP173">
            <v>8.16</v>
          </cell>
          <cell r="BQ173">
            <v>8.16</v>
          </cell>
          <cell r="BU173"/>
          <cell r="BW173">
            <v>0</v>
          </cell>
          <cell r="BX173">
            <v>0</v>
          </cell>
          <cell r="BY173">
            <v>0</v>
          </cell>
          <cell r="BZ173">
            <v>-0.8</v>
          </cell>
          <cell r="CA173">
            <v>-0.8</v>
          </cell>
          <cell r="CB173">
            <v>-0.8</v>
          </cell>
        </row>
        <row r="174">
          <cell r="F174" t="str">
            <v>I</v>
          </cell>
          <cell r="G174" t="str">
            <v>6/6</v>
          </cell>
          <cell r="H174">
            <v>2.5</v>
          </cell>
          <cell r="I174">
            <v>2.0499999999999998</v>
          </cell>
          <cell r="J174">
            <v>1.36</v>
          </cell>
          <cell r="K174">
            <v>0.68999999999999972</v>
          </cell>
          <cell r="M174">
            <v>1.8100000000000003</v>
          </cell>
          <cell r="N174"/>
          <cell r="X174"/>
          <cell r="AA174"/>
          <cell r="AF174"/>
          <cell r="AJ174"/>
          <cell r="AM174"/>
          <cell r="AN174"/>
          <cell r="BG174"/>
          <cell r="BK174"/>
          <cell r="BL174"/>
          <cell r="BO174">
            <v>9.0499999999999989</v>
          </cell>
          <cell r="BP174">
            <v>1.8100000000000003</v>
          </cell>
          <cell r="BQ174">
            <v>1.8100000000000003</v>
          </cell>
          <cell r="BU174"/>
          <cell r="BW174">
            <v>0</v>
          </cell>
          <cell r="BX174">
            <v>0</v>
          </cell>
          <cell r="BY174">
            <v>0</v>
          </cell>
          <cell r="BZ174">
            <v>-6.52</v>
          </cell>
          <cell r="CA174">
            <v>-6.52</v>
          </cell>
          <cell r="CB174">
            <v>-6.52</v>
          </cell>
        </row>
        <row r="175">
          <cell r="F175" t="str">
            <v>I</v>
          </cell>
          <cell r="M175">
            <v>2.44</v>
          </cell>
          <cell r="BO175">
            <v>9.0499999999999989</v>
          </cell>
          <cell r="BP175">
            <v>2.44</v>
          </cell>
          <cell r="BQ175">
            <v>2.44</v>
          </cell>
          <cell r="BU175"/>
          <cell r="BW175">
            <v>0</v>
          </cell>
          <cell r="BX175">
            <v>0</v>
          </cell>
          <cell r="BY175">
            <v>0</v>
          </cell>
          <cell r="BZ175">
            <v>-5.95</v>
          </cell>
          <cell r="CA175">
            <v>-5.95</v>
          </cell>
          <cell r="CB175">
            <v>-5.95</v>
          </cell>
        </row>
        <row r="176">
          <cell r="N176"/>
          <cell r="X176"/>
        </row>
        <row r="177">
          <cell r="F177" t="str">
            <v>S</v>
          </cell>
          <cell r="G177" t="str">
            <v>6/6</v>
          </cell>
          <cell r="H177">
            <v>3.37</v>
          </cell>
          <cell r="I177">
            <v>0</v>
          </cell>
          <cell r="J177">
            <v>0</v>
          </cell>
          <cell r="K177"/>
          <cell r="M177">
            <v>3.37</v>
          </cell>
          <cell r="N177">
            <v>0.93000000000000016</v>
          </cell>
          <cell r="U177">
            <v>0.93</v>
          </cell>
          <cell r="V177">
            <v>3</v>
          </cell>
          <cell r="X177">
            <v>0.93</v>
          </cell>
          <cell r="AA177">
            <v>4</v>
          </cell>
          <cell r="AF177" t="e">
            <v>#DIV/0!</v>
          </cell>
          <cell r="AJ177" t="e">
            <v>#DIV/0!</v>
          </cell>
          <cell r="AM177">
            <v>2.44</v>
          </cell>
          <cell r="AN177">
            <v>2.44</v>
          </cell>
          <cell r="BG177"/>
          <cell r="BK177"/>
          <cell r="BL177"/>
          <cell r="BO177">
            <v>2.44</v>
          </cell>
          <cell r="BP177">
            <v>2.44</v>
          </cell>
          <cell r="BQ177">
            <v>2.44</v>
          </cell>
          <cell r="BU177" t="e">
            <v>#DIV/0!</v>
          </cell>
          <cell r="BW177">
            <v>0</v>
          </cell>
          <cell r="BX177">
            <v>0</v>
          </cell>
          <cell r="BY177">
            <v>0</v>
          </cell>
          <cell r="BZ177">
            <v>0</v>
          </cell>
          <cell r="CA177" t="e">
            <v>#DIV/0!</v>
          </cell>
          <cell r="CB177">
            <v>0</v>
          </cell>
        </row>
        <row r="178">
          <cell r="F178" t="str">
            <v>S</v>
          </cell>
          <cell r="G178" t="str">
            <v>-</v>
          </cell>
          <cell r="H178">
            <v>3.96</v>
          </cell>
          <cell r="AJ178"/>
          <cell r="BO178">
            <v>2.44</v>
          </cell>
          <cell r="BP178"/>
          <cell r="BQ178"/>
        </row>
        <row r="179">
          <cell r="AJ179"/>
          <cell r="BP179"/>
          <cell r="BQ179"/>
        </row>
        <row r="180">
          <cell r="K180"/>
          <cell r="N180"/>
          <cell r="X180"/>
          <cell r="AA180"/>
          <cell r="AF180"/>
          <cell r="AJ180"/>
          <cell r="AM180"/>
          <cell r="AN180"/>
          <cell r="BG180"/>
          <cell r="BK180"/>
          <cell r="BL180"/>
          <cell r="BP180"/>
          <cell r="BQ180"/>
          <cell r="BU180"/>
        </row>
        <row r="181">
          <cell r="F181" t="str">
            <v>I</v>
          </cell>
          <cell r="G181" t="str">
            <v>0/9</v>
          </cell>
          <cell r="H181">
            <v>5.56</v>
          </cell>
          <cell r="I181">
            <v>0</v>
          </cell>
          <cell r="J181">
            <v>0</v>
          </cell>
          <cell r="K181"/>
          <cell r="M181">
            <v>5.56</v>
          </cell>
          <cell r="N181"/>
          <cell r="X181"/>
          <cell r="AA181"/>
          <cell r="AF181"/>
          <cell r="AJ181"/>
          <cell r="AM181"/>
          <cell r="AN181"/>
          <cell r="BG181"/>
          <cell r="BK181"/>
          <cell r="BL181"/>
          <cell r="BO181">
            <v>5.56</v>
          </cell>
          <cell r="BP181">
            <v>5.56</v>
          </cell>
          <cell r="BQ181">
            <v>5.56</v>
          </cell>
          <cell r="BU181"/>
          <cell r="BW181">
            <v>0</v>
          </cell>
          <cell r="BX181">
            <v>0</v>
          </cell>
          <cell r="BY181">
            <v>0</v>
          </cell>
          <cell r="BZ181">
            <v>0</v>
          </cell>
          <cell r="CA181">
            <v>0</v>
          </cell>
          <cell r="CB181">
            <v>0</v>
          </cell>
        </row>
        <row r="182">
          <cell r="F182" t="str">
            <v>I</v>
          </cell>
          <cell r="M182" t="e">
            <v>#VALUE!</v>
          </cell>
          <cell r="BP182" t="e">
            <v>#VALUE!</v>
          </cell>
          <cell r="BQ182" t="e">
            <v>#VALUE!</v>
          </cell>
          <cell r="BU182"/>
          <cell r="BW182">
            <v>0</v>
          </cell>
          <cell r="BX182">
            <v>0</v>
          </cell>
          <cell r="BY182">
            <v>0</v>
          </cell>
          <cell r="BZ182">
            <v>0</v>
          </cell>
          <cell r="CA182">
            <v>0</v>
          </cell>
          <cell r="CB182">
            <v>0</v>
          </cell>
        </row>
        <row r="183">
          <cell r="N183"/>
          <cell r="X183"/>
        </row>
        <row r="184">
          <cell r="F184" t="str">
            <v>S</v>
          </cell>
          <cell r="G184" t="str">
            <v>9/9</v>
          </cell>
          <cell r="H184">
            <v>6.46</v>
          </cell>
          <cell r="I184">
            <v>8.1</v>
          </cell>
          <cell r="J184">
            <v>8.1</v>
          </cell>
          <cell r="K184"/>
          <cell r="M184">
            <v>6.46</v>
          </cell>
          <cell r="N184"/>
          <cell r="U184">
            <v>0.93</v>
          </cell>
          <cell r="V184">
            <v>3</v>
          </cell>
          <cell r="X184" t="e">
            <v>#VALUE!</v>
          </cell>
          <cell r="AA184">
            <v>3</v>
          </cell>
          <cell r="AF184" t="e">
            <v>#DIV/0!</v>
          </cell>
          <cell r="AJ184"/>
          <cell r="AM184" t="e">
            <v>#VALUE!</v>
          </cell>
          <cell r="AN184" t="e">
            <v>#VALUE!</v>
          </cell>
          <cell r="BG184"/>
          <cell r="BK184"/>
          <cell r="BL184"/>
          <cell r="BO184" t="e">
            <v>#VALUE!</v>
          </cell>
          <cell r="BP184" t="e">
            <v>#VALUE!</v>
          </cell>
          <cell r="BQ184" t="e">
            <v>#VALUE!</v>
          </cell>
          <cell r="BU184" t="e">
            <v>#VALUE!</v>
          </cell>
          <cell r="BW184">
            <v>0</v>
          </cell>
          <cell r="BX184">
            <v>0</v>
          </cell>
          <cell r="BY184">
            <v>0</v>
          </cell>
          <cell r="BZ184">
            <v>0</v>
          </cell>
          <cell r="CA184" t="e">
            <v>#VALUE!</v>
          </cell>
          <cell r="CB184">
            <v>0</v>
          </cell>
        </row>
        <row r="185">
          <cell r="F185" t="str">
            <v>S</v>
          </cell>
          <cell r="G185" t="str">
            <v>-</v>
          </cell>
          <cell r="H185">
            <v>7.03</v>
          </cell>
          <cell r="K185"/>
          <cell r="M185">
            <v>7.03</v>
          </cell>
          <cell r="N185"/>
          <cell r="X185"/>
          <cell r="AA185"/>
          <cell r="AE185">
            <v>0.4</v>
          </cell>
          <cell r="AF185"/>
          <cell r="AJ185"/>
          <cell r="AM185" t="e">
            <v>#VALUE!</v>
          </cell>
          <cell r="AN185" t="e">
            <v>#VALUE!</v>
          </cell>
          <cell r="BG185"/>
          <cell r="BK185"/>
          <cell r="BL185"/>
          <cell r="BO185" t="e">
            <v>#VALUE!</v>
          </cell>
          <cell r="BP185" t="e">
            <v>#VALUE!</v>
          </cell>
          <cell r="BQ185" t="e">
            <v>#VALUE!</v>
          </cell>
          <cell r="BU185" t="e">
            <v>#VALUE!</v>
          </cell>
          <cell r="BW185">
            <v>0</v>
          </cell>
          <cell r="BX185">
            <v>0</v>
          </cell>
          <cell r="BY185">
            <v>0</v>
          </cell>
          <cell r="BZ185">
            <v>0</v>
          </cell>
          <cell r="CA185" t="e">
            <v>#VALUE!</v>
          </cell>
          <cell r="CB185">
            <v>0</v>
          </cell>
        </row>
        <row r="186">
          <cell r="F186" t="str">
            <v>I</v>
          </cell>
          <cell r="G186" t="str">
            <v>3/0</v>
          </cell>
          <cell r="H186">
            <v>0.45</v>
          </cell>
          <cell r="BO186" t="e">
            <v>#VALUE!</v>
          </cell>
        </row>
        <row r="187">
          <cell r="F187" t="str">
            <v>I</v>
          </cell>
          <cell r="M187">
            <v>0.15</v>
          </cell>
          <cell r="BO187" t="e">
            <v>#VALUE!</v>
          </cell>
          <cell r="BP187">
            <v>0.15</v>
          </cell>
          <cell r="BQ187">
            <v>0.15</v>
          </cell>
          <cell r="BU187"/>
          <cell r="BW187">
            <v>0</v>
          </cell>
          <cell r="BX187">
            <v>0</v>
          </cell>
          <cell r="BY187">
            <v>0</v>
          </cell>
          <cell r="BZ187">
            <v>0</v>
          </cell>
          <cell r="CA187">
            <v>0</v>
          </cell>
          <cell r="CB187">
            <v>0</v>
          </cell>
        </row>
        <row r="188">
          <cell r="N188"/>
          <cell r="X188"/>
        </row>
        <row r="191">
          <cell r="F191" t="str">
            <v>S</v>
          </cell>
          <cell r="G191" t="str">
            <v>0/12</v>
          </cell>
          <cell r="H191">
            <v>9.61</v>
          </cell>
          <cell r="I191">
            <v>3.49</v>
          </cell>
          <cell r="J191">
            <v>3</v>
          </cell>
          <cell r="K191">
            <v>0.49000000000000021</v>
          </cell>
          <cell r="M191">
            <v>9.1199999999999992</v>
          </cell>
          <cell r="N191">
            <v>0.92999999999999972</v>
          </cell>
          <cell r="U191">
            <v>0.93</v>
          </cell>
          <cell r="V191">
            <v>3</v>
          </cell>
          <cell r="X191">
            <v>0.93</v>
          </cell>
          <cell r="AA191">
            <v>4</v>
          </cell>
          <cell r="AF191" t="e">
            <v>#DIV/0!</v>
          </cell>
          <cell r="AJ191" t="e">
            <v>#DIV/0!</v>
          </cell>
          <cell r="AM191">
            <v>8.19</v>
          </cell>
          <cell r="AN191">
            <v>8.19</v>
          </cell>
          <cell r="BG191"/>
          <cell r="BK191"/>
          <cell r="BL191"/>
          <cell r="BO191">
            <v>8.19</v>
          </cell>
          <cell r="BP191">
            <v>8.19</v>
          </cell>
          <cell r="BQ191">
            <v>8.19</v>
          </cell>
          <cell r="BU191" t="e">
            <v>#DIV/0!</v>
          </cell>
          <cell r="BW191">
            <v>0</v>
          </cell>
          <cell r="BX191">
            <v>0</v>
          </cell>
          <cell r="BY191">
            <v>0</v>
          </cell>
          <cell r="BZ191">
            <v>0</v>
          </cell>
          <cell r="CA191" t="e">
            <v>#DIV/0!</v>
          </cell>
          <cell r="CB191">
            <v>0</v>
          </cell>
        </row>
        <row r="192">
          <cell r="F192" t="str">
            <v>S</v>
          </cell>
          <cell r="G192" t="str">
            <v>12/9</v>
          </cell>
          <cell r="H192">
            <v>10.26</v>
          </cell>
          <cell r="K192"/>
          <cell r="M192">
            <v>10.26</v>
          </cell>
          <cell r="N192">
            <v>1.08</v>
          </cell>
          <cell r="X192">
            <v>1.08</v>
          </cell>
          <cell r="AA192">
            <v>1</v>
          </cell>
          <cell r="AF192" t="e">
            <v>#DIV/0!</v>
          </cell>
          <cell r="AJ192" t="e">
            <v>#DIV/0!</v>
          </cell>
          <cell r="AM192">
            <v>9.18</v>
          </cell>
          <cell r="AN192">
            <v>9.18</v>
          </cell>
          <cell r="BG192"/>
          <cell r="BK192"/>
          <cell r="BL192"/>
          <cell r="BO192">
            <v>9.18</v>
          </cell>
          <cell r="BP192">
            <v>9.18</v>
          </cell>
          <cell r="BQ192">
            <v>9.18</v>
          </cell>
          <cell r="BU192" t="e">
            <v>#DIV/0!</v>
          </cell>
          <cell r="BW192">
            <v>0</v>
          </cell>
          <cell r="BX192">
            <v>0</v>
          </cell>
          <cell r="BY192">
            <v>0</v>
          </cell>
          <cell r="BZ192">
            <v>0</v>
          </cell>
          <cell r="CA192" t="e">
            <v>#DIV/0!</v>
          </cell>
          <cell r="CB192">
            <v>0</v>
          </cell>
        </row>
        <row r="193">
          <cell r="F193" t="str">
            <v>I</v>
          </cell>
          <cell r="G193" t="str">
            <v>9/6</v>
          </cell>
          <cell r="H193">
            <v>3.5300000000000002</v>
          </cell>
        </row>
        <row r="194">
          <cell r="F194" t="str">
            <v>I</v>
          </cell>
          <cell r="M194">
            <v>0</v>
          </cell>
          <cell r="BO194">
            <v>0</v>
          </cell>
          <cell r="BP194">
            <v>0</v>
          </cell>
          <cell r="BQ194">
            <v>0</v>
          </cell>
          <cell r="BU194"/>
          <cell r="BW194">
            <v>0</v>
          </cell>
          <cell r="BX194">
            <v>0</v>
          </cell>
          <cell r="BY194">
            <v>0</v>
          </cell>
          <cell r="BZ194">
            <v>0</v>
          </cell>
          <cell r="CA194">
            <v>0</v>
          </cell>
          <cell r="CB194">
            <v>0</v>
          </cell>
        </row>
        <row r="195">
          <cell r="N195"/>
          <cell r="X195"/>
        </row>
        <row r="198">
          <cell r="F198" t="str">
            <v>S</v>
          </cell>
          <cell r="G198" t="str">
            <v>6/3</v>
          </cell>
          <cell r="H198">
            <v>5.4370000000000003</v>
          </cell>
          <cell r="I198">
            <v>5.47</v>
          </cell>
          <cell r="J198">
            <v>4.96</v>
          </cell>
          <cell r="K198">
            <v>0.50999999999999979</v>
          </cell>
          <cell r="M198">
            <v>4.9270000000000005</v>
          </cell>
          <cell r="N198"/>
          <cell r="U198">
            <v>2.9292857142857147</v>
          </cell>
          <cell r="V198">
            <v>14</v>
          </cell>
          <cell r="X198" t="e">
            <v>#VALUE!</v>
          </cell>
        </row>
      </sheetData>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ake_Summary"/>
      <sheetName val="Stake_Sheet"/>
      <sheetName val="Pit_Sheet"/>
      <sheetName val="PitCore_Sheet"/>
      <sheetName val="FirnCore_Sheet"/>
    </sheetNames>
    <sheetDataSet>
      <sheetData sheetId="0"/>
      <sheetData sheetId="1"/>
      <sheetData sheetId="2"/>
      <sheetData sheetId="3">
        <row r="2">
          <cell r="B2"/>
        </row>
      </sheetData>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it Template"/>
      <sheetName val="Core Template"/>
      <sheetName val="SNOWPIT"/>
      <sheetName val="70.09.29"/>
      <sheetName val="76.10.20"/>
      <sheetName val="77.06.08"/>
      <sheetName val="96.01.13"/>
      <sheetName val="96.09.20"/>
      <sheetName val="97.05.19"/>
      <sheetName val="98.05.27"/>
      <sheetName val="99.05.14"/>
      <sheetName val="99.05.15"/>
      <sheetName val="99.09.24"/>
      <sheetName val="00.05.12"/>
      <sheetName val="00.05.12redone"/>
      <sheetName val="00.09.20"/>
      <sheetName val="01.05.17"/>
      <sheetName val="02.05.16"/>
      <sheetName val="02.10.02 core"/>
      <sheetName val="02.10.04 pit"/>
      <sheetName val="03.05.29"/>
      <sheetName val="03.09.14"/>
      <sheetName val="04.05.13 Pit"/>
      <sheetName val="04.05.13core"/>
      <sheetName val="2005.05.14Pit"/>
      <sheetName val="2005.05.14Core"/>
      <sheetName val="2006.05.13Pit"/>
      <sheetName val="2006.05.13Core"/>
      <sheetName val="2006.09.24Pit"/>
      <sheetName val="2007.05.10 Core"/>
      <sheetName val="2007.09.17Core"/>
      <sheetName val="2008.5.18 Core"/>
      <sheetName val="2008.5.18 Core (2)"/>
      <sheetName val="2008.9.28 Core"/>
      <sheetName val="2009.04.28 Pit"/>
      <sheetName val="2009.04.28 Core"/>
      <sheetName val="2010.05.05 Pit"/>
      <sheetName val="2010.05.05 Core"/>
      <sheetName val="2010.09.13 Core"/>
      <sheetName val="2011.04.27 Pit "/>
      <sheetName val="2011.04.27 Core"/>
    </sheetNames>
    <sheetDataSet>
      <sheetData sheetId="0"/>
      <sheetData sheetId="1"/>
      <sheetData sheetId="2">
        <row r="1">
          <cell r="Q1">
            <v>41.05</v>
          </cell>
        </row>
        <row r="9">
          <cell r="P9">
            <v>0</v>
          </cell>
          <cell r="Q9">
            <v>0</v>
          </cell>
        </row>
        <row r="10">
          <cell r="P10">
            <v>10</v>
          </cell>
          <cell r="Q10">
            <v>0</v>
          </cell>
        </row>
        <row r="11">
          <cell r="P11">
            <v>20</v>
          </cell>
          <cell r="Q11">
            <v>0</v>
          </cell>
        </row>
        <row r="12">
          <cell r="P12">
            <v>40</v>
          </cell>
          <cell r="Q12">
            <v>0</v>
          </cell>
        </row>
        <row r="13">
          <cell r="P13">
            <v>60</v>
          </cell>
          <cell r="Q13">
            <v>0</v>
          </cell>
        </row>
        <row r="14">
          <cell r="P14">
            <v>100</v>
          </cell>
          <cell r="Q14">
            <v>0</v>
          </cell>
        </row>
        <row r="15">
          <cell r="P15">
            <v>150</v>
          </cell>
          <cell r="Q15">
            <v>0</v>
          </cell>
        </row>
        <row r="16">
          <cell r="P16">
            <v>200</v>
          </cell>
          <cell r="Q16">
            <v>0</v>
          </cell>
        </row>
        <row r="17">
          <cell r="P17">
            <v>250</v>
          </cell>
          <cell r="Q17">
            <v>0</v>
          </cell>
        </row>
        <row r="18">
          <cell r="P18">
            <v>300</v>
          </cell>
          <cell r="Q18">
            <v>0</v>
          </cell>
        </row>
        <row r="19">
          <cell r="P19">
            <v>350</v>
          </cell>
          <cell r="Q19">
            <v>0</v>
          </cell>
        </row>
        <row r="20">
          <cell r="P20">
            <v>400</v>
          </cell>
          <cell r="Q20">
            <v>0</v>
          </cell>
        </row>
      </sheetData>
      <sheetData sheetId="3"/>
      <sheetData sheetId="4"/>
      <sheetData sheetId="5"/>
      <sheetData sheetId="6"/>
      <sheetData sheetId="7"/>
      <sheetData sheetId="8"/>
      <sheetData sheetId="9">
        <row r="3">
          <cell r="K3">
            <v>45.6</v>
          </cell>
        </row>
      </sheetData>
      <sheetData sheetId="10">
        <row r="3">
          <cell r="M3">
            <v>45.6</v>
          </cell>
        </row>
      </sheetData>
      <sheetData sheetId="11"/>
      <sheetData sheetId="12"/>
      <sheetData sheetId="13">
        <row r="3">
          <cell r="M3">
            <v>45.6</v>
          </cell>
        </row>
      </sheetData>
      <sheetData sheetId="14"/>
      <sheetData sheetId="15"/>
      <sheetData sheetId="16"/>
      <sheetData sheetId="17"/>
      <sheetData sheetId="18"/>
      <sheetData sheetId="19"/>
      <sheetData sheetId="20">
        <row r="35">
          <cell r="K35">
            <v>0.57713054921597162</v>
          </cell>
        </row>
      </sheetData>
      <sheetData sheetId="21"/>
      <sheetData sheetId="22"/>
      <sheetData sheetId="23">
        <row r="45">
          <cell r="G45">
            <v>0.54024015122222246</v>
          </cell>
        </row>
      </sheetData>
      <sheetData sheetId="24"/>
      <sheetData sheetId="25">
        <row r="33">
          <cell r="H33">
            <v>0.59710988796244679</v>
          </cell>
        </row>
      </sheetData>
      <sheetData sheetId="26"/>
      <sheetData sheetId="27">
        <row r="47">
          <cell r="M47">
            <v>-2.7</v>
          </cell>
        </row>
      </sheetData>
      <sheetData sheetId="28">
        <row r="13">
          <cell r="L13">
            <v>0.60899999999999999</v>
          </cell>
        </row>
      </sheetData>
      <sheetData sheetId="29">
        <row r="64">
          <cell r="I64">
            <v>0.48714429343263665</v>
          </cell>
        </row>
      </sheetData>
      <sheetData sheetId="30">
        <row r="32">
          <cell r="I32">
            <v>0.66464019559897736</v>
          </cell>
        </row>
      </sheetData>
      <sheetData sheetId="31">
        <row r="91">
          <cell r="I91">
            <v>0.55362323186368045</v>
          </cell>
        </row>
      </sheetData>
      <sheetData sheetId="32"/>
      <sheetData sheetId="33">
        <row r="12">
          <cell r="G12">
            <v>31</v>
          </cell>
        </row>
      </sheetData>
      <sheetData sheetId="34">
        <row r="28">
          <cell r="L28">
            <v>0.42199999999999999</v>
          </cell>
        </row>
      </sheetData>
      <sheetData sheetId="35"/>
      <sheetData sheetId="36">
        <row r="20">
          <cell r="Q20">
            <v>-1.7</v>
          </cell>
        </row>
      </sheetData>
      <sheetData sheetId="37">
        <row r="22">
          <cell r="R22">
            <v>0.41078164602432693</v>
          </cell>
        </row>
      </sheetData>
      <sheetData sheetId="38"/>
      <sheetData sheetId="39"/>
      <sheetData sheetId="4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nowpit Template"/>
      <sheetName val="Core Density Template"/>
      <sheetName val="SCD May 97, 1998"/>
      <sheetName val="Sipri Core 5-13-99"/>
      <sheetName val="Sipri 5-13-99"/>
      <sheetName val="Sipri 5-10-2000"/>
      <sheetName val="2001.05.16"/>
      <sheetName val="2002.05.14"/>
      <sheetName val="2004.05.12"/>
      <sheetName val="2005.05.12 Pit"/>
      <sheetName val="2006.5.12 Pit"/>
      <sheetName val="2006.5.12 Core"/>
      <sheetName val="2007.05.10 Core"/>
      <sheetName val="2008.5.18.Core"/>
      <sheetName val="2008.09.28 Pit"/>
      <sheetName val="2009.04.27 Pit"/>
      <sheetName val="2010.5.04.Core"/>
      <sheetName val="2010.05.04 Core 2"/>
      <sheetName val="2011.04.28 Pit"/>
    </sheetNames>
    <sheetDataSet>
      <sheetData sheetId="0"/>
      <sheetData sheetId="1"/>
      <sheetData sheetId="2">
        <row r="4">
          <cell r="K4">
            <v>41.05</v>
          </cell>
        </row>
      </sheetData>
      <sheetData sheetId="3"/>
      <sheetData sheetId="4"/>
      <sheetData sheetId="5">
        <row r="28">
          <cell r="K28">
            <v>0.48334576705493021</v>
          </cell>
        </row>
      </sheetData>
      <sheetData sheetId="6">
        <row r="68">
          <cell r="K68">
            <v>0.53855464348355564</v>
          </cell>
        </row>
      </sheetData>
      <sheetData sheetId="7">
        <row r="19">
          <cell r="L19">
            <v>0.55000000000000004</v>
          </cell>
        </row>
      </sheetData>
      <sheetData sheetId="8">
        <row r="9">
          <cell r="X9">
            <v>2.52</v>
          </cell>
        </row>
      </sheetData>
      <sheetData sheetId="9">
        <row r="19">
          <cell r="L19">
            <v>0.63100000000000001</v>
          </cell>
        </row>
      </sheetData>
      <sheetData sheetId="10">
        <row r="9">
          <cell r="P9">
            <v>0</v>
          </cell>
        </row>
        <row r="10">
          <cell r="P10">
            <v>20</v>
          </cell>
          <cell r="Q10">
            <v>0</v>
          </cell>
        </row>
        <row r="11">
          <cell r="P11">
            <v>40</v>
          </cell>
          <cell r="Q11">
            <v>-1.2</v>
          </cell>
        </row>
        <row r="12">
          <cell r="P12">
            <v>60</v>
          </cell>
          <cell r="Q12">
            <v>-2.6</v>
          </cell>
        </row>
        <row r="13">
          <cell r="P13">
            <v>120</v>
          </cell>
          <cell r="Q13">
            <v>-3.5</v>
          </cell>
        </row>
        <row r="14">
          <cell r="P14">
            <v>160</v>
          </cell>
          <cell r="Q14">
            <v>-4</v>
          </cell>
        </row>
        <row r="15">
          <cell r="P15">
            <v>200</v>
          </cell>
          <cell r="Q15">
            <v>-4</v>
          </cell>
        </row>
        <row r="16">
          <cell r="P16">
            <v>230</v>
          </cell>
          <cell r="Q16">
            <v>-4</v>
          </cell>
        </row>
        <row r="17">
          <cell r="P17">
            <v>243</v>
          </cell>
          <cell r="Q17">
            <v>-2.4</v>
          </cell>
        </row>
        <row r="18">
          <cell r="P18">
            <v>298</v>
          </cell>
          <cell r="Q18">
            <v>-2.4</v>
          </cell>
        </row>
        <row r="19">
          <cell r="P19">
            <v>330</v>
          </cell>
          <cell r="Q19">
            <v>-2.7</v>
          </cell>
        </row>
        <row r="20">
          <cell r="P20">
            <v>380</v>
          </cell>
          <cell r="Q20">
            <v>-2</v>
          </cell>
        </row>
        <row r="21">
          <cell r="P21">
            <v>416</v>
          </cell>
          <cell r="Q21">
            <v>-0.9</v>
          </cell>
        </row>
        <row r="22">
          <cell r="P22">
            <v>440</v>
          </cell>
          <cell r="Q22">
            <v>-0.6</v>
          </cell>
        </row>
        <row r="23">
          <cell r="P23">
            <v>477</v>
          </cell>
          <cell r="Q23">
            <v>-0.6</v>
          </cell>
        </row>
      </sheetData>
      <sheetData sheetId="11">
        <row r="31">
          <cell r="M31">
            <v>0.49883238314309786</v>
          </cell>
        </row>
      </sheetData>
      <sheetData sheetId="12">
        <row r="37">
          <cell r="T37">
            <v>0.12153188881934174</v>
          </cell>
        </row>
      </sheetData>
      <sheetData sheetId="13">
        <row r="60">
          <cell r="O60">
            <v>-1.1000000000000001</v>
          </cell>
        </row>
      </sheetData>
      <sheetData sheetId="14">
        <row r="9">
          <cell r="P9">
            <v>0</v>
          </cell>
        </row>
        <row r="10">
          <cell r="P10">
            <v>20</v>
          </cell>
          <cell r="Q10">
            <v>0</v>
          </cell>
        </row>
      </sheetData>
      <sheetData sheetId="15">
        <row r="17">
          <cell r="L17">
            <v>0.40899999999999997</v>
          </cell>
        </row>
      </sheetData>
      <sheetData sheetId="16"/>
      <sheetData sheetId="17">
        <row r="37">
          <cell r="U37">
            <v>0.47323391440778073</v>
          </cell>
        </row>
      </sheetData>
      <sheetData sheetId="18"/>
    </sheetDataSet>
  </externalBook>
</externalLink>
</file>

<file path=xl/persons/person.xml><?xml version="1.0" encoding="utf-8"?>
<personList xmlns="http://schemas.microsoft.com/office/spreadsheetml/2018/threadedcomments" xmlns:x="http://schemas.openxmlformats.org/spreadsheetml/2006/main">
  <person displayName="Sass, Louis" id="{E4BA4CD8-DD2C-45C6-A95A-7D7FA65635D9}" userId="S::lsass@usgs.gov::532b36c5-14fd-4389-948c-e9e662e1f233" providerId="AD"/>
  <person displayName="Mcneil, Christopher J" id="{234AFD3C-752B-4BD9-BAEF-074D0832B334}" userId="S::cmcneil@usgs.gov::31fd1366-8711-4764-bb54-c10860824430" providerId="AD"/>
  <person displayName="Baker, Emily H" id="{BC2015B4-8935-47BB-89DC-D3F5F8A6E4E8}" userId="S::ehbaker@usgs.gov::571f2d89-d821-443e-b68c-9dc70dd3957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8" dT="2023-09-09T02:58:50.39" personId="{234AFD3C-752B-4BD9-BAEF-074D0832B334}" id="{9E68F2AE-AB3B-4A1D-9BE9-1E9EC58F2986}">
    <text>Removed 6.10m section and was unable to get it back on to coupler in drill hole...</text>
  </threadedComment>
  <threadedComment ref="E52" dT="2024-09-23T19:34:00.34" personId="{234AFD3C-752B-4BD9-BAEF-074D0832B334}" id="{FA1D7952-A948-4F3D-9CC0-D090C3BC4BEF}">
    <text>Additional wand taped to top section reaches close to 12m total length--~5+m above</text>
  </threadedComment>
</ThreadedComments>
</file>

<file path=xl/threadedComments/threadedComment2.xml><?xml version="1.0" encoding="utf-8"?>
<ThreadedComments xmlns="http://schemas.microsoft.com/office/spreadsheetml/2018/threadedcomments" xmlns:x="http://schemas.openxmlformats.org/spreadsheetml/2006/main">
  <threadedComment ref="G12" dT="2022-05-05T01:45:04.18" personId="{234AFD3C-752B-4BD9-BAEF-074D0832B334}" id="{C631F6AD-C92B-4EA9-A958-FAE8B8AAD9F0}">
    <text>stake bent</text>
  </threadedComment>
  <threadedComment ref="R13" dT="2022-05-05T01:56:58.91" personId="{234AFD3C-752B-4BD9-BAEF-074D0832B334}" id="{5077E546-3F87-486E-82E4-74B6B4F54646}">
    <text>Stake bent several times over the winter, so not a valid measure of winter ablation. Will need to measure in the fall.</text>
  </threadedComment>
  <threadedComment ref="G17" dT="2023-05-08T21:58:04.23" personId="{BC2015B4-8935-47BB-89DC-D3F5F8A6E4E8}" id="{77DD3D06-12DC-4A1D-B3C2-49CE10B3DA51}">
    <text>stake bent</text>
  </threadedComment>
</ThreadedComments>
</file>

<file path=xl/threadedComments/threadedComment3.xml><?xml version="1.0" encoding="utf-8"?>
<ThreadedComments xmlns="http://schemas.microsoft.com/office/spreadsheetml/2018/threadedcomments" xmlns:x="http://schemas.openxmlformats.org/spreadsheetml/2006/main">
  <threadedComment ref="E18" dT="2024-09-25T19:42:03.41" personId="{234AFD3C-752B-4BD9-BAEF-074D0832B334}" id="{EEED9372-521F-480C-B852-3F44D3AD39A6}">
    <text>Additional wand on top not included in the 13.00m total length</text>
  </threadedComment>
</ThreadedComments>
</file>

<file path=xl/threadedComments/threadedComment4.xml><?xml version="1.0" encoding="utf-8"?>
<ThreadedComments xmlns="http://schemas.microsoft.com/office/spreadsheetml/2018/threadedcomments" xmlns:x="http://schemas.openxmlformats.org/spreadsheetml/2006/main">
  <threadedComment ref="I14" dT="2021-04-20T20:41:25.98" personId="{E4BA4CD8-DD2C-45C6-A95A-7D7FA65635D9}" id="{8F2C332E-9F91-45A9-99C1-E19D5BDA90A1}">
    <text>Stake is slightly upstream of index site in a region of incrreasing snow thickness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6.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7.bin"/><Relationship Id="rId5" Type="http://schemas.microsoft.com/office/2017/10/relationships/threadedComment" Target="../threadedComments/threadedComment3.xm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8.bin"/><Relationship Id="rId5" Type="http://schemas.microsoft.com/office/2017/10/relationships/threadedComment" Target="../threadedComments/threadedComment4.xm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8"/>
  <sheetViews>
    <sheetView tabSelected="1" workbookViewId="0">
      <selection activeCell="E4" sqref="E4:E11"/>
    </sheetView>
  </sheetViews>
  <sheetFormatPr defaultRowHeight="14.4" x14ac:dyDescent="0.3"/>
  <cols>
    <col min="3" max="3" width="10.6640625" customWidth="1"/>
    <col min="4" max="4" width="11" customWidth="1"/>
    <col min="5" max="5" width="9" bestFit="1" customWidth="1"/>
    <col min="6" max="6" width="11.44140625" bestFit="1" customWidth="1"/>
    <col min="8" max="8" width="14.5546875" bestFit="1" customWidth="1"/>
    <col min="9" max="9" width="20.88671875" bestFit="1" customWidth="1"/>
    <col min="10" max="10" width="13.5546875" customWidth="1"/>
    <col min="11" max="11" width="21.5546875" customWidth="1"/>
  </cols>
  <sheetData>
    <row r="2" spans="1:11" x14ac:dyDescent="0.3">
      <c r="A2" s="860" t="s">
        <v>0</v>
      </c>
      <c r="B2" s="861"/>
      <c r="C2" s="861"/>
      <c r="D2" s="861"/>
      <c r="E2" s="861"/>
      <c r="F2" s="861"/>
      <c r="G2" s="861"/>
      <c r="H2" s="861"/>
      <c r="I2" s="862"/>
      <c r="J2" s="181"/>
      <c r="K2" s="181"/>
    </row>
    <row r="3" spans="1:11" x14ac:dyDescent="0.3">
      <c r="A3" s="186" t="s">
        <v>70</v>
      </c>
      <c r="B3" s="15" t="s">
        <v>1</v>
      </c>
      <c r="C3" s="15" t="s">
        <v>3</v>
      </c>
      <c r="D3" s="15" t="s">
        <v>4</v>
      </c>
      <c r="E3" s="15" t="s">
        <v>2</v>
      </c>
      <c r="F3" s="15" t="s">
        <v>5</v>
      </c>
      <c r="G3" s="15" t="s">
        <v>6</v>
      </c>
      <c r="H3" s="15" t="s">
        <v>7</v>
      </c>
      <c r="I3" s="187" t="s">
        <v>8</v>
      </c>
    </row>
    <row r="4" spans="1:11" x14ac:dyDescent="0.3">
      <c r="A4" s="104">
        <v>2024</v>
      </c>
      <c r="B4" s="183" t="s">
        <v>105</v>
      </c>
      <c r="C4" s="184">
        <f>AUU!G21</f>
        <v>45409</v>
      </c>
      <c r="D4" s="184">
        <f>AUU!I21</f>
        <v>45553</v>
      </c>
      <c r="E4" s="375">
        <f>AVERAGE(AUU!V15:V16)</f>
        <v>649.23450000000003</v>
      </c>
      <c r="F4" s="165">
        <f>AUU!C22</f>
        <v>0.90523052605801568</v>
      </c>
      <c r="G4" s="185">
        <f>AUU!C24</f>
        <v>-4.4505000000000008</v>
      </c>
      <c r="H4" s="165">
        <f>AUU!C26</f>
        <v>-0.80099999999999938</v>
      </c>
      <c r="I4" s="188">
        <f>AUU!C27</f>
        <v>0</v>
      </c>
      <c r="J4" s="819"/>
    </row>
    <row r="5" spans="1:11" x14ac:dyDescent="0.3">
      <c r="A5" s="104">
        <v>2024</v>
      </c>
      <c r="B5" s="105" t="s">
        <v>55</v>
      </c>
      <c r="C5" s="184">
        <f>N!G38</f>
        <v>45406</v>
      </c>
      <c r="D5" s="184">
        <f>N!I38</f>
        <v>45552</v>
      </c>
      <c r="E5" s="375">
        <f>AVERAGE(N!V29:V30,N!V33:V34)</f>
        <v>993.50274999999999</v>
      </c>
      <c r="F5" s="165">
        <f>N!C39</f>
        <v>1.0590921399693825</v>
      </c>
      <c r="G5" s="165">
        <f>N!C41</f>
        <v>-2.3546250000000004</v>
      </c>
      <c r="H5" s="185">
        <f>N!C43</f>
        <v>-0.1125</v>
      </c>
      <c r="I5" s="188">
        <f>N!C44</f>
        <v>0</v>
      </c>
      <c r="J5" s="819"/>
    </row>
    <row r="6" spans="1:11" x14ac:dyDescent="0.3">
      <c r="A6" s="104">
        <v>2024</v>
      </c>
      <c r="B6" s="105" t="s">
        <v>56</v>
      </c>
      <c r="C6" s="184">
        <f>B!G32</f>
        <v>45406</v>
      </c>
      <c r="D6" s="184">
        <f>B!I32</f>
        <v>45552</v>
      </c>
      <c r="E6" s="375">
        <f>AVERAGE(B!V12:V13,B!V22:V23,B!V26:V27)</f>
        <v>1050.7671666666668</v>
      </c>
      <c r="F6" s="165">
        <f>B!C33</f>
        <v>1.2532177490529783</v>
      </c>
      <c r="G6" s="165">
        <f>B!C35</f>
        <v>-1.8528000000000002</v>
      </c>
      <c r="H6" s="185">
        <f>B!C37</f>
        <v>-4.679999999999964E-2</v>
      </c>
      <c r="I6" s="188">
        <f>B!C38</f>
        <v>0</v>
      </c>
      <c r="J6" s="819"/>
    </row>
    <row r="7" spans="1:11" x14ac:dyDescent="0.3">
      <c r="A7" s="104">
        <v>2024</v>
      </c>
      <c r="B7" s="105" t="s">
        <v>57</v>
      </c>
      <c r="C7" s="184">
        <f>S!G56</f>
        <v>45406</v>
      </c>
      <c r="D7" s="184">
        <f>S!I56</f>
        <v>45552</v>
      </c>
      <c r="E7" s="375">
        <f>AVERAGE(S!V47:V48,S!V50:V51)</f>
        <v>1231.0920000000001</v>
      </c>
      <c r="F7" s="185">
        <f>S!C57</f>
        <v>2.3504535631893995</v>
      </c>
      <c r="G7" s="185">
        <f>S!C59</f>
        <v>7.7773018252778367E-2</v>
      </c>
      <c r="H7" s="165">
        <f>S!C61</f>
        <v>-4.4999999999999041E-2</v>
      </c>
      <c r="I7" s="188">
        <f>S!C62</f>
        <v>0</v>
      </c>
      <c r="J7" s="819"/>
    </row>
    <row r="8" spans="1:11" x14ac:dyDescent="0.3">
      <c r="A8" s="104">
        <v>2024</v>
      </c>
      <c r="B8" s="105" t="s">
        <v>51</v>
      </c>
      <c r="C8" s="184">
        <f>'C'!G51</f>
        <v>45407</v>
      </c>
      <c r="D8" s="184">
        <f>'C'!I51</f>
        <v>45551</v>
      </c>
      <c r="E8" s="375">
        <f>AVERAGE('C'!V39:V40,'C'!V42:V43)</f>
        <v>1292.85625</v>
      </c>
      <c r="F8" s="165">
        <f>'C'!C52</f>
        <v>2.1016342823980834</v>
      </c>
      <c r="G8" s="165">
        <f>'C'!C54</f>
        <v>0.57363961189603085</v>
      </c>
      <c r="H8" s="185" t="str">
        <f>'C'!C56</f>
        <v>NaN</v>
      </c>
      <c r="I8" s="188">
        <f>'C'!C57</f>
        <v>0</v>
      </c>
      <c r="J8" s="819"/>
    </row>
    <row r="9" spans="1:11" x14ac:dyDescent="0.3">
      <c r="A9" s="104">
        <v>2024</v>
      </c>
      <c r="B9" s="105" t="s">
        <v>60</v>
      </c>
      <c r="C9" s="184">
        <f>EC!G33</f>
        <v>45408</v>
      </c>
      <c r="D9" s="184">
        <f>EC!I33</f>
        <v>45554</v>
      </c>
      <c r="E9" s="375">
        <f>AVERAGE(EC!V27,EC!V29)</f>
        <v>1347.8404999999998</v>
      </c>
      <c r="F9" s="165">
        <f>EC!C34</f>
        <v>2.6022898370826288</v>
      </c>
      <c r="G9" s="165">
        <f>EC!C36</f>
        <v>1.2198000000000002</v>
      </c>
      <c r="H9" s="185" t="str">
        <f>EC!C38</f>
        <v>NaN</v>
      </c>
      <c r="I9" s="188">
        <f>EC!C39</f>
        <v>1.2E-2</v>
      </c>
      <c r="J9" s="819"/>
    </row>
    <row r="10" spans="1:11" x14ac:dyDescent="0.3">
      <c r="A10" s="104">
        <v>2024</v>
      </c>
      <c r="B10" s="105" t="s">
        <v>64</v>
      </c>
      <c r="C10" s="184">
        <f>TU!G22</f>
        <v>45407</v>
      </c>
      <c r="D10" s="184">
        <f>TU!I22</f>
        <v>45551</v>
      </c>
      <c r="E10" s="375">
        <f>AVERAGE(TU!V12:V13,TU!V16:V17)</f>
        <v>1368.4267499999999</v>
      </c>
      <c r="F10" s="165">
        <f>TU!C23</f>
        <v>1.8942352356044505</v>
      </c>
      <c r="G10" s="165">
        <f>TU!C25</f>
        <v>0.461335403726708</v>
      </c>
      <c r="H10" s="165" t="str">
        <f>TU!C27</f>
        <v>NaN</v>
      </c>
      <c r="I10" s="188">
        <f>TU!C28</f>
        <v>0</v>
      </c>
      <c r="J10" s="819"/>
    </row>
    <row r="11" spans="1:11" x14ac:dyDescent="0.3">
      <c r="A11" s="104">
        <v>2024</v>
      </c>
      <c r="B11" s="189" t="s">
        <v>58</v>
      </c>
      <c r="C11" s="190">
        <f>Y!G72</f>
        <v>45407</v>
      </c>
      <c r="D11" s="190">
        <f>Y!I72</f>
        <v>45554</v>
      </c>
      <c r="E11" s="376">
        <f>AVERAGE(Y!V65,Y!V67)</f>
        <v>1365.9090000000001</v>
      </c>
      <c r="F11" s="191">
        <f>Y!C73</f>
        <v>2.4497827908565033</v>
      </c>
      <c r="G11" s="191">
        <f>Y!C75</f>
        <v>1.4933999999999998</v>
      </c>
      <c r="H11" s="191" t="str">
        <f>Y!C77</f>
        <v>NaN</v>
      </c>
      <c r="I11" s="192">
        <f>Y!C78</f>
        <v>1.2E-2</v>
      </c>
      <c r="J11" s="819"/>
    </row>
    <row r="12" spans="1:11" x14ac:dyDescent="0.3">
      <c r="A12" s="2"/>
      <c r="B12" s="182"/>
      <c r="C12" s="182"/>
      <c r="D12" s="182"/>
      <c r="E12" s="69"/>
      <c r="F12" s="2"/>
      <c r="G12" s="2"/>
      <c r="H12" s="2"/>
      <c r="I12" s="2"/>
    </row>
    <row r="13" spans="1:11" x14ac:dyDescent="0.3">
      <c r="A13" s="2"/>
      <c r="B13" s="2"/>
      <c r="C13" s="2"/>
      <c r="D13" s="2"/>
      <c r="E13" s="2"/>
      <c r="F13" s="2"/>
      <c r="G13" s="2"/>
      <c r="H13" s="2"/>
      <c r="I13" s="2"/>
    </row>
    <row r="14" spans="1:11" x14ac:dyDescent="0.3">
      <c r="A14" s="2"/>
      <c r="B14" s="2"/>
      <c r="C14" s="2"/>
      <c r="D14" s="2"/>
      <c r="E14" s="2"/>
      <c r="F14" s="2"/>
      <c r="G14" s="2"/>
      <c r="H14" s="2"/>
      <c r="I14" s="2"/>
    </row>
    <row r="15" spans="1:11" x14ac:dyDescent="0.3">
      <c r="A15" s="2"/>
      <c r="B15" s="2"/>
      <c r="C15" s="2"/>
      <c r="D15" s="2"/>
      <c r="E15" s="2"/>
      <c r="F15" s="2"/>
      <c r="G15" s="2"/>
      <c r="H15" s="2"/>
      <c r="I15" s="2"/>
    </row>
    <row r="16" spans="1:11" x14ac:dyDescent="0.3">
      <c r="A16" s="2"/>
      <c r="B16" s="2"/>
      <c r="C16" s="2"/>
      <c r="D16" s="2"/>
      <c r="E16" s="2"/>
      <c r="F16" s="2"/>
      <c r="G16" s="2"/>
      <c r="H16" s="2"/>
      <c r="I16" s="2"/>
    </row>
    <row r="17" spans="1:9" x14ac:dyDescent="0.3">
      <c r="A17" s="2"/>
      <c r="B17" s="2"/>
      <c r="C17" s="2"/>
      <c r="D17" s="2"/>
      <c r="E17" s="2"/>
      <c r="F17" s="2"/>
      <c r="G17" s="2"/>
      <c r="H17" s="2"/>
      <c r="I17" s="2"/>
    </row>
    <row r="18" spans="1:9" x14ac:dyDescent="0.3">
      <c r="A18" s="2"/>
      <c r="B18" s="2"/>
      <c r="C18" s="2"/>
      <c r="D18" s="2"/>
      <c r="E18" s="2"/>
      <c r="F18" s="2"/>
      <c r="G18" s="2"/>
      <c r="H18" s="2"/>
      <c r="I18" s="2"/>
    </row>
  </sheetData>
  <mergeCells count="1">
    <mergeCell ref="A2:I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70810-1710-4600-880D-3A8C40DFA603}">
  <dimension ref="A3:W28"/>
  <sheetViews>
    <sheetView topLeftCell="H4" zoomScale="90" zoomScaleNormal="90" workbookViewId="0">
      <selection activeCell="U29" sqref="U29"/>
    </sheetView>
  </sheetViews>
  <sheetFormatPr defaultColWidth="17.44140625" defaultRowHeight="15.75" customHeight="1" x14ac:dyDescent="0.3"/>
  <cols>
    <col min="1" max="1" width="12.44140625" style="2" customWidth="1"/>
    <col min="2" max="2" width="27.44140625" style="2" customWidth="1"/>
    <col min="3" max="3" width="11.44140625" style="2" customWidth="1"/>
    <col min="4" max="4" width="20" style="2" bestFit="1" customWidth="1"/>
    <col min="5" max="5" width="10.5546875" style="3" bestFit="1" customWidth="1"/>
    <col min="6" max="7" width="13.5546875" style="2" bestFit="1" customWidth="1"/>
    <col min="8" max="8" width="14.44140625" style="2" bestFit="1" customWidth="1"/>
    <col min="9" max="9" width="17.44140625" style="2" bestFit="1"/>
    <col min="10" max="10" width="19.5546875" style="2" bestFit="1" customWidth="1"/>
    <col min="11" max="11" width="16.44140625" style="2" bestFit="1" customWidth="1"/>
    <col min="12" max="12" width="18" style="2" customWidth="1"/>
    <col min="13" max="13" width="22.109375" style="2" customWidth="1"/>
    <col min="14" max="14" width="11.5546875" style="2" bestFit="1" customWidth="1"/>
    <col min="15" max="15" width="11.44140625" style="2" bestFit="1" customWidth="1"/>
    <col min="16" max="17" width="7.88671875" style="2" bestFit="1" customWidth="1"/>
    <col min="18" max="18" width="14.5546875" style="2" bestFit="1" customWidth="1"/>
    <col min="19" max="19" width="20.5546875" style="2" bestFit="1" customWidth="1"/>
    <col min="20" max="20" width="21.33203125" style="2" bestFit="1" customWidth="1"/>
    <col min="21" max="21" width="11.88671875" style="2" bestFit="1" customWidth="1"/>
    <col min="22" max="22" width="17.6640625" style="2" bestFit="1" customWidth="1"/>
    <col min="23" max="16384" width="17.44140625" style="2"/>
  </cols>
  <sheetData>
    <row r="3" spans="1:23" ht="14.4" x14ac:dyDescent="0.3">
      <c r="A3" s="20"/>
      <c r="B3" s="21"/>
      <c r="C3" s="22"/>
      <c r="D3" s="31"/>
      <c r="E3" s="863" t="s">
        <v>11</v>
      </c>
      <c r="F3" s="864"/>
      <c r="G3" s="865"/>
      <c r="H3" s="32"/>
      <c r="I3" s="323"/>
      <c r="J3" s="26"/>
      <c r="K3" s="323"/>
      <c r="L3" s="33"/>
      <c r="M3" s="34"/>
      <c r="N3" s="26"/>
      <c r="O3" s="35"/>
      <c r="P3" s="26"/>
      <c r="Q3" s="264"/>
      <c r="R3" s="36"/>
      <c r="S3" s="37"/>
      <c r="T3" s="866" t="s">
        <v>12</v>
      </c>
      <c r="U3" s="867"/>
      <c r="V3" s="324"/>
      <c r="W3" s="38"/>
    </row>
    <row r="4" spans="1:23" s="52" customFormat="1" ht="39.6" x14ac:dyDescent="0.3">
      <c r="A4" s="39" t="s">
        <v>13</v>
      </c>
      <c r="B4" s="40" t="s">
        <v>14</v>
      </c>
      <c r="C4" s="41" t="s">
        <v>15</v>
      </c>
      <c r="D4" s="42" t="s">
        <v>16</v>
      </c>
      <c r="E4" s="131" t="s">
        <v>17</v>
      </c>
      <c r="F4" s="40" t="s">
        <v>18</v>
      </c>
      <c r="G4" s="257" t="s">
        <v>19</v>
      </c>
      <c r="H4" s="257" t="s">
        <v>20</v>
      </c>
      <c r="I4" s="44" t="s">
        <v>21</v>
      </c>
      <c r="J4" s="44" t="s">
        <v>22</v>
      </c>
      <c r="K4" s="40" t="s">
        <v>23</v>
      </c>
      <c r="L4" s="46" t="s">
        <v>24</v>
      </c>
      <c r="M4" s="46" t="s">
        <v>25</v>
      </c>
      <c r="N4" s="44" t="s">
        <v>26</v>
      </c>
      <c r="O4" s="47" t="s">
        <v>27</v>
      </c>
      <c r="P4" s="44" t="s">
        <v>28</v>
      </c>
      <c r="Q4" s="265" t="s">
        <v>29</v>
      </c>
      <c r="R4" s="48" t="s">
        <v>7</v>
      </c>
      <c r="S4" s="49" t="s">
        <v>8</v>
      </c>
      <c r="T4" s="50" t="s">
        <v>30</v>
      </c>
      <c r="U4" s="50" t="s">
        <v>31</v>
      </c>
      <c r="V4" s="51" t="s">
        <v>2</v>
      </c>
      <c r="W4" s="41" t="s">
        <v>32</v>
      </c>
    </row>
    <row r="5" spans="1:23" ht="15" thickBot="1" x14ac:dyDescent="0.35">
      <c r="A5" s="53" t="s">
        <v>33</v>
      </c>
      <c r="B5" s="54"/>
      <c r="C5" s="55"/>
      <c r="D5" s="56"/>
      <c r="E5" s="65" t="s">
        <v>34</v>
      </c>
      <c r="F5" s="57" t="s">
        <v>34</v>
      </c>
      <c r="G5" s="139" t="s">
        <v>34</v>
      </c>
      <c r="H5" s="140" t="s">
        <v>34</v>
      </c>
      <c r="I5" s="57" t="s">
        <v>34</v>
      </c>
      <c r="J5" s="57" t="s">
        <v>34</v>
      </c>
      <c r="K5" s="58" t="s">
        <v>35</v>
      </c>
      <c r="L5" s="59" t="s">
        <v>34</v>
      </c>
      <c r="M5" s="60" t="s">
        <v>34</v>
      </c>
      <c r="N5" s="60" t="s">
        <v>35</v>
      </c>
      <c r="O5" s="61" t="s">
        <v>36</v>
      </c>
      <c r="P5" s="62" t="s">
        <v>36</v>
      </c>
      <c r="Q5" s="266" t="s">
        <v>36</v>
      </c>
      <c r="R5" s="63" t="s">
        <v>36</v>
      </c>
      <c r="S5" s="64" t="s">
        <v>36</v>
      </c>
      <c r="T5" s="65" t="s">
        <v>34</v>
      </c>
      <c r="U5" s="65" t="s">
        <v>34</v>
      </c>
      <c r="V5" s="66" t="s">
        <v>34</v>
      </c>
      <c r="W5" s="67"/>
    </row>
    <row r="6" spans="1:23" s="256" customFormat="1" ht="16.8" x14ac:dyDescent="0.4">
      <c r="A6" s="254">
        <v>44823</v>
      </c>
      <c r="B6" s="255" t="s">
        <v>83</v>
      </c>
      <c r="C6" s="262" t="s">
        <v>91</v>
      </c>
      <c r="D6" s="263" t="s">
        <v>53</v>
      </c>
      <c r="E6" s="268">
        <v>12.2</v>
      </c>
      <c r="F6" s="255">
        <v>1.97</v>
      </c>
      <c r="G6" s="258">
        <f>E6-F6</f>
        <v>10.229999999999999</v>
      </c>
      <c r="H6" s="260"/>
      <c r="I6" s="268"/>
      <c r="J6" s="268"/>
      <c r="K6" s="269"/>
      <c r="L6" s="268"/>
      <c r="M6" s="268"/>
      <c r="N6" s="270"/>
      <c r="O6" s="268"/>
      <c r="P6" s="268"/>
      <c r="Q6" s="269"/>
      <c r="R6" s="268"/>
      <c r="S6" s="261"/>
      <c r="T6" s="820"/>
      <c r="U6" s="820"/>
      <c r="V6" s="821"/>
    </row>
    <row r="7" spans="1:23" s="256" customFormat="1" ht="16.8" x14ac:dyDescent="0.4">
      <c r="A7" s="254">
        <v>44823</v>
      </c>
      <c r="B7" s="255" t="s">
        <v>83</v>
      </c>
      <c r="C7" s="262" t="s">
        <v>91</v>
      </c>
      <c r="D7" s="263" t="s">
        <v>53</v>
      </c>
      <c r="E7" s="268">
        <v>12.7</v>
      </c>
      <c r="F7" s="255">
        <f>E7-G7</f>
        <v>2.4699999999999989</v>
      </c>
      <c r="G7" s="258">
        <v>10.23</v>
      </c>
      <c r="H7" s="260"/>
      <c r="I7" s="268"/>
      <c r="J7" s="268"/>
      <c r="K7" s="269"/>
      <c r="L7" s="268"/>
      <c r="M7" s="268"/>
      <c r="N7" s="270"/>
      <c r="O7" s="268"/>
      <c r="P7" s="268"/>
      <c r="Q7" s="269"/>
      <c r="R7" s="268"/>
      <c r="S7" s="261">
        <v>0</v>
      </c>
      <c r="T7" s="820"/>
      <c r="U7" s="820"/>
      <c r="V7" s="821"/>
    </row>
    <row r="8" spans="1:23" s="256" customFormat="1" ht="16.8" x14ac:dyDescent="0.4">
      <c r="A8" s="254">
        <v>45053</v>
      </c>
      <c r="B8" s="255" t="s">
        <v>103</v>
      </c>
      <c r="C8" s="262" t="s">
        <v>91</v>
      </c>
      <c r="D8" s="263" t="s">
        <v>52</v>
      </c>
      <c r="E8" s="268">
        <v>12.7</v>
      </c>
      <c r="F8" s="255">
        <f>E8-G8</f>
        <v>1.9800000000000004</v>
      </c>
      <c r="G8" s="258">
        <f>G9</f>
        <v>10.719999999999999</v>
      </c>
      <c r="H8" s="260"/>
      <c r="I8" s="268"/>
      <c r="J8" s="268"/>
      <c r="K8" s="269"/>
      <c r="L8" s="268"/>
      <c r="M8" s="268"/>
      <c r="N8" s="270"/>
      <c r="O8" s="268"/>
      <c r="P8" s="268"/>
      <c r="Q8" s="269"/>
      <c r="R8" s="268"/>
      <c r="S8" s="261"/>
      <c r="T8" s="820"/>
      <c r="U8" s="820"/>
      <c r="V8" s="821"/>
    </row>
    <row r="9" spans="1:23" s="256" customFormat="1" ht="16.8" x14ac:dyDescent="0.4">
      <c r="A9" s="254">
        <v>45053</v>
      </c>
      <c r="B9" s="255" t="s">
        <v>103</v>
      </c>
      <c r="C9" s="262" t="s">
        <v>91</v>
      </c>
      <c r="D9" s="263" t="s">
        <v>52</v>
      </c>
      <c r="E9" s="268">
        <v>12.2</v>
      </c>
      <c r="F9" s="255">
        <v>1.48</v>
      </c>
      <c r="G9" s="258">
        <f>E9-F9</f>
        <v>10.719999999999999</v>
      </c>
      <c r="H9" s="260"/>
      <c r="I9" s="268"/>
      <c r="J9" s="268">
        <v>1.1299999999999999</v>
      </c>
      <c r="K9" s="269">
        <v>0.47</v>
      </c>
      <c r="L9" s="268">
        <f>G9-J9</f>
        <v>9.59</v>
      </c>
      <c r="M9" s="268"/>
      <c r="N9" s="270"/>
      <c r="O9" s="268"/>
      <c r="P9" s="268">
        <f>J9*K9</f>
        <v>0.53109999999999991</v>
      </c>
      <c r="Q9" s="269"/>
      <c r="R9" s="268">
        <f>(L9-G7)*0.9</f>
        <v>-0.57600000000000051</v>
      </c>
      <c r="S9" s="261"/>
      <c r="T9" s="820">
        <v>394119.54700000002</v>
      </c>
      <c r="U9" s="820">
        <v>6695609.5010000002</v>
      </c>
      <c r="V9" s="821">
        <v>656.88400000000001</v>
      </c>
    </row>
    <row r="10" spans="1:23" s="256" customFormat="1" ht="16.8" x14ac:dyDescent="0.4">
      <c r="A10" s="254">
        <v>45176</v>
      </c>
      <c r="B10" s="255" t="s">
        <v>97</v>
      </c>
      <c r="C10" s="262" t="s">
        <v>91</v>
      </c>
      <c r="D10" s="263" t="s">
        <v>53</v>
      </c>
      <c r="E10" s="268">
        <v>6.1</v>
      </c>
      <c r="F10" s="255">
        <v>1.31</v>
      </c>
      <c r="G10" s="258">
        <f>E10-F10</f>
        <v>4.7899999999999991</v>
      </c>
      <c r="H10" s="260"/>
      <c r="I10" s="268"/>
      <c r="J10" s="268"/>
      <c r="K10" s="269"/>
      <c r="L10" s="268"/>
      <c r="M10" s="268"/>
      <c r="N10" s="270"/>
      <c r="O10" s="268">
        <f>Q10-P9</f>
        <v>-4.8511000000000006</v>
      </c>
      <c r="P10" s="268"/>
      <c r="Q10" s="269">
        <f>(G10-L9)*0.9</f>
        <v>-4.3200000000000012</v>
      </c>
      <c r="R10" s="268"/>
      <c r="S10" s="261">
        <v>0</v>
      </c>
      <c r="T10" s="820"/>
      <c r="U10" s="820"/>
      <c r="V10" s="821"/>
    </row>
    <row r="11" spans="1:23" s="256" customFormat="1" ht="16.8" x14ac:dyDescent="0.4">
      <c r="A11" s="254">
        <v>45176</v>
      </c>
      <c r="B11" s="255" t="s">
        <v>97</v>
      </c>
      <c r="C11" s="262" t="s">
        <v>91</v>
      </c>
      <c r="D11" s="263" t="s">
        <v>53</v>
      </c>
      <c r="E11" s="268">
        <v>8.1</v>
      </c>
      <c r="F11" s="268">
        <f>E11-G11</f>
        <v>3.3100000000000005</v>
      </c>
      <c r="G11" s="258">
        <v>4.7899999999999991</v>
      </c>
      <c r="H11" s="260"/>
      <c r="I11" s="268"/>
      <c r="J11" s="268"/>
      <c r="K11" s="269"/>
      <c r="L11" s="268"/>
      <c r="M11" s="268"/>
      <c r="N11" s="270"/>
      <c r="O11" s="268"/>
      <c r="P11" s="268"/>
      <c r="Q11" s="269"/>
      <c r="R11" s="268"/>
      <c r="S11" s="261"/>
      <c r="T11" s="820"/>
      <c r="U11" s="820"/>
      <c r="V11" s="821"/>
    </row>
    <row r="12" spans="1:23" s="256" customFormat="1" ht="16.8" x14ac:dyDescent="0.4">
      <c r="A12" s="254">
        <v>45409</v>
      </c>
      <c r="B12" s="255" t="s">
        <v>202</v>
      </c>
      <c r="C12" s="262" t="s">
        <v>91</v>
      </c>
      <c r="D12" s="263" t="s">
        <v>52</v>
      </c>
      <c r="E12" s="268">
        <v>6.1</v>
      </c>
      <c r="F12" s="268">
        <v>0.89</v>
      </c>
      <c r="G12" s="270">
        <f>E12-F12</f>
        <v>5.21</v>
      </c>
      <c r="H12" s="260"/>
      <c r="I12" s="268">
        <f>AVERAGE(SiteAUU_Pit_20240427!M13:M16)/100</f>
        <v>1.31</v>
      </c>
      <c r="J12" s="268"/>
      <c r="K12" s="269"/>
      <c r="L12" s="268">
        <f>G12-I12</f>
        <v>3.9</v>
      </c>
      <c r="M12" s="268"/>
      <c r="N12" s="270"/>
      <c r="O12" s="268"/>
      <c r="P12" s="268"/>
      <c r="Q12" s="269"/>
      <c r="R12" s="268">
        <f>(L12-G11)*0.9</f>
        <v>-0.80099999999999938</v>
      </c>
      <c r="S12" s="261"/>
      <c r="T12" s="820">
        <v>394119.14</v>
      </c>
      <c r="U12" s="820">
        <v>6695595.7560000001</v>
      </c>
      <c r="V12" s="821">
        <v>650.12900000000002</v>
      </c>
    </row>
    <row r="13" spans="1:23" s="256" customFormat="1" ht="16.8" x14ac:dyDescent="0.4">
      <c r="A13" s="254">
        <v>45553</v>
      </c>
      <c r="B13" s="255"/>
      <c r="C13" s="262"/>
      <c r="D13" s="263"/>
      <c r="E13" s="268" t="s">
        <v>242</v>
      </c>
      <c r="F13" s="268"/>
      <c r="G13" s="270"/>
      <c r="H13" s="260"/>
      <c r="I13" s="268"/>
      <c r="J13" s="268"/>
      <c r="K13" s="269"/>
      <c r="L13" s="268"/>
      <c r="M13" s="268"/>
      <c r="N13" s="270"/>
      <c r="O13" s="268"/>
      <c r="P13" s="268"/>
      <c r="Q13" s="269"/>
      <c r="R13" s="268"/>
      <c r="S13" s="261"/>
      <c r="T13" s="820"/>
      <c r="U13" s="820"/>
      <c r="V13" s="821"/>
    </row>
    <row r="14" spans="1:23" s="69" customFormat="1" ht="16.8" x14ac:dyDescent="0.4">
      <c r="A14" s="238"/>
      <c r="B14" s="110"/>
      <c r="C14" s="244"/>
      <c r="D14" s="246"/>
      <c r="E14" s="239"/>
      <c r="F14" s="110"/>
      <c r="G14" s="250"/>
      <c r="H14" s="259"/>
      <c r="I14" s="239"/>
      <c r="J14" s="239"/>
      <c r="K14" s="248"/>
      <c r="L14" s="239"/>
      <c r="M14" s="239"/>
      <c r="N14" s="267"/>
      <c r="O14" s="239"/>
      <c r="P14" s="239"/>
      <c r="Q14" s="248"/>
      <c r="R14" s="239"/>
      <c r="S14" s="205"/>
      <c r="T14" s="822"/>
      <c r="U14" s="822"/>
      <c r="V14" s="823"/>
    </row>
    <row r="15" spans="1:23" s="291" customFormat="1" ht="16.8" x14ac:dyDescent="0.4">
      <c r="A15" s="282">
        <v>45409</v>
      </c>
      <c r="B15" s="283" t="s">
        <v>202</v>
      </c>
      <c r="C15" s="284" t="s">
        <v>216</v>
      </c>
      <c r="D15" s="285" t="s">
        <v>52</v>
      </c>
      <c r="E15" s="287">
        <v>12</v>
      </c>
      <c r="F15" s="283">
        <v>1.1499999999999999</v>
      </c>
      <c r="G15" s="289">
        <f>E15-F15</f>
        <v>10.85</v>
      </c>
      <c r="H15" s="286"/>
      <c r="I15" s="287">
        <f>AVERAGE(SiteAUU_Pit_20240427!M17:M20)/100</f>
        <v>2.2349999999999999</v>
      </c>
      <c r="J15" s="287">
        <f>SiteAUU_Pit_20240427!$I$3</f>
        <v>1.7477777777777777</v>
      </c>
      <c r="K15" s="288">
        <f>SiteAUU_Pit_20240427!$I$4</f>
        <v>0.51793227810058118</v>
      </c>
      <c r="L15" s="287">
        <f>G15-I15</f>
        <v>8.6150000000000002</v>
      </c>
      <c r="M15" s="287"/>
      <c r="N15" s="289"/>
      <c r="O15" s="287"/>
      <c r="P15" s="287">
        <f>J15*K15</f>
        <v>0.90523052605801568</v>
      </c>
      <c r="Q15" s="288"/>
      <c r="R15" s="287"/>
      <c r="S15" s="290"/>
      <c r="T15" s="824">
        <v>394092.42099999997</v>
      </c>
      <c r="U15" s="824">
        <v>6695617.5369999995</v>
      </c>
      <c r="V15" s="825">
        <v>652.49099999999999</v>
      </c>
    </row>
    <row r="16" spans="1:23" s="291" customFormat="1" ht="16.8" x14ac:dyDescent="0.4">
      <c r="A16" s="282">
        <v>45553</v>
      </c>
      <c r="B16" s="283" t="s">
        <v>107</v>
      </c>
      <c r="C16" s="284" t="s">
        <v>216</v>
      </c>
      <c r="D16" s="285" t="s">
        <v>53</v>
      </c>
      <c r="E16" s="287">
        <v>12</v>
      </c>
      <c r="F16" s="283">
        <v>8.33</v>
      </c>
      <c r="G16" s="289">
        <f>E16-F16</f>
        <v>3.67</v>
      </c>
      <c r="H16" s="818"/>
      <c r="I16" s="287"/>
      <c r="J16" s="287"/>
      <c r="K16" s="288"/>
      <c r="L16" s="287"/>
      <c r="M16" s="287"/>
      <c r="N16" s="289"/>
      <c r="O16" s="287">
        <f>Q16-P15</f>
        <v>-5.3557305260580161</v>
      </c>
      <c r="P16" s="287"/>
      <c r="Q16" s="288">
        <f>(G16-L15)*0.9</f>
        <v>-4.4505000000000008</v>
      </c>
      <c r="R16" s="287"/>
      <c r="S16" s="290">
        <v>0</v>
      </c>
      <c r="T16" s="824">
        <v>394093.97</v>
      </c>
      <c r="U16" s="824">
        <v>6695611.9809999997</v>
      </c>
      <c r="V16" s="825">
        <v>645.97799999999995</v>
      </c>
    </row>
    <row r="17" spans="1:22" s="291" customFormat="1" ht="16.8" x14ac:dyDescent="0.4">
      <c r="A17" s="282">
        <v>45553</v>
      </c>
      <c r="B17" s="283" t="s">
        <v>107</v>
      </c>
      <c r="C17" s="284" t="s">
        <v>216</v>
      </c>
      <c r="D17" s="285" t="s">
        <v>53</v>
      </c>
      <c r="E17" s="287">
        <v>7</v>
      </c>
      <c r="F17" s="287">
        <f>E17-G17</f>
        <v>3.33</v>
      </c>
      <c r="G17" s="289">
        <f>G16</f>
        <v>3.67</v>
      </c>
      <c r="H17" s="286"/>
      <c r="I17" s="287"/>
      <c r="J17" s="287"/>
      <c r="K17" s="288"/>
      <c r="L17" s="287"/>
      <c r="M17" s="287"/>
      <c r="N17" s="289"/>
      <c r="O17" s="287"/>
      <c r="P17" s="287"/>
      <c r="Q17" s="288"/>
      <c r="R17" s="287"/>
      <c r="S17" s="290"/>
      <c r="T17" s="824"/>
      <c r="U17" s="824"/>
      <c r="V17" s="825"/>
    </row>
    <row r="18" spans="1:22" s="69" customFormat="1" ht="14.4" x14ac:dyDescent="0.3">
      <c r="A18" s="238"/>
      <c r="B18" s="110"/>
      <c r="C18" s="110"/>
      <c r="D18" s="110"/>
      <c r="E18" s="239"/>
      <c r="F18" s="110"/>
      <c r="G18" s="110"/>
      <c r="I18" s="239"/>
      <c r="J18" s="239"/>
      <c r="K18" s="239"/>
      <c r="L18" s="239"/>
      <c r="M18" s="239"/>
      <c r="N18" s="239"/>
      <c r="O18" s="239"/>
      <c r="P18" s="239"/>
      <c r="Q18" s="239"/>
      <c r="R18" s="239"/>
    </row>
    <row r="19" spans="1:22" ht="15" thickBot="1" x14ac:dyDescent="0.35">
      <c r="A19" s="70"/>
      <c r="B19" s="70"/>
      <c r="C19" s="70"/>
      <c r="D19" s="70"/>
      <c r="E19" s="71"/>
      <c r="F19" s="71"/>
      <c r="G19" s="70"/>
      <c r="H19" s="70"/>
      <c r="I19" s="70"/>
      <c r="J19" s="70"/>
      <c r="K19" s="70"/>
      <c r="L19" s="70"/>
      <c r="M19" s="70"/>
      <c r="N19" s="70"/>
      <c r="O19" s="70"/>
      <c r="P19" s="70"/>
      <c r="Q19" s="70"/>
      <c r="R19" s="72"/>
      <c r="S19" s="72"/>
      <c r="T19" s="72"/>
      <c r="U19" s="72"/>
    </row>
    <row r="20" spans="1:22" ht="14.4" customHeight="1" x14ac:dyDescent="0.3">
      <c r="A20" s="868" t="s">
        <v>37</v>
      </c>
      <c r="B20" s="869"/>
      <c r="C20" s="872" t="s">
        <v>38</v>
      </c>
      <c r="D20" s="873"/>
      <c r="E20" s="381" t="s">
        <v>39</v>
      </c>
      <c r="F20" s="74"/>
      <c r="G20" s="73" t="s">
        <v>40</v>
      </c>
      <c r="H20" s="74"/>
      <c r="I20" s="75" t="s">
        <v>41</v>
      </c>
      <c r="Q20" s="69"/>
      <c r="R20" s="68"/>
      <c r="S20" s="68"/>
      <c r="T20" s="68"/>
      <c r="U20" s="72"/>
    </row>
    <row r="21" spans="1:22" ht="14.4" customHeight="1" x14ac:dyDescent="0.3">
      <c r="A21" s="870"/>
      <c r="B21" s="871"/>
      <c r="C21" s="76" t="s">
        <v>42</v>
      </c>
      <c r="D21" s="76" t="s">
        <v>43</v>
      </c>
      <c r="E21" s="133">
        <f>A11</f>
        <v>45176</v>
      </c>
      <c r="F21" s="78" t="s">
        <v>44</v>
      </c>
      <c r="G21" s="79">
        <f>A15</f>
        <v>45409</v>
      </c>
      <c r="H21" s="78" t="s">
        <v>44</v>
      </c>
      <c r="I21" s="80">
        <f>A16</f>
        <v>45553</v>
      </c>
      <c r="Q21" s="69"/>
      <c r="R21" s="81"/>
      <c r="S21" s="81"/>
      <c r="T21" s="68"/>
      <c r="U21" s="72"/>
    </row>
    <row r="22" spans="1:22" ht="14.4" x14ac:dyDescent="0.3">
      <c r="A22" s="82"/>
      <c r="B22" s="83" t="s">
        <v>45</v>
      </c>
      <c r="C22" s="84" cm="1">
        <f t="array" ref="C22:D22">P15:Q15</f>
        <v>0.90523052605801568</v>
      </c>
      <c r="D22" s="84">
        <v>0</v>
      </c>
      <c r="E22" s="382"/>
      <c r="F22" s="85"/>
      <c r="G22" s="86"/>
      <c r="H22" s="84"/>
      <c r="I22" s="87"/>
      <c r="Q22" s="69"/>
      <c r="R22" s="81"/>
      <c r="S22" s="81"/>
      <c r="T22" s="68"/>
      <c r="U22" s="72"/>
    </row>
    <row r="23" spans="1:22" ht="14.4" x14ac:dyDescent="0.3">
      <c r="A23" s="82"/>
      <c r="B23" s="83" t="s">
        <v>46</v>
      </c>
      <c r="C23" s="84">
        <f>C24-C22</f>
        <v>-5.3557305260580161</v>
      </c>
      <c r="D23" s="84"/>
      <c r="E23" s="382"/>
      <c r="F23" s="85"/>
      <c r="G23" s="86"/>
      <c r="H23" s="84"/>
      <c r="I23" s="87"/>
      <c r="Q23" s="69"/>
      <c r="R23" s="81"/>
      <c r="S23" s="81"/>
      <c r="T23" s="68"/>
      <c r="U23" s="72"/>
    </row>
    <row r="24" spans="1:22" ht="14.4" x14ac:dyDescent="0.3">
      <c r="A24" s="82"/>
      <c r="B24" s="83" t="s">
        <v>47</v>
      </c>
      <c r="C24" s="84">
        <f>Q16</f>
        <v>-4.4505000000000008</v>
      </c>
      <c r="D24" s="84"/>
      <c r="E24" s="382"/>
      <c r="F24" s="85"/>
      <c r="G24" s="86"/>
      <c r="H24" s="84"/>
      <c r="I24" s="87"/>
      <c r="Q24" s="69"/>
      <c r="R24" s="81"/>
      <c r="S24" s="81"/>
      <c r="T24" s="68"/>
      <c r="U24" s="72"/>
    </row>
    <row r="25" spans="1:22" ht="14.4" x14ac:dyDescent="0.3">
      <c r="A25" s="82"/>
      <c r="B25" s="88" t="s">
        <v>48</v>
      </c>
      <c r="C25" s="84">
        <f>S10</f>
        <v>0</v>
      </c>
      <c r="D25" s="84"/>
      <c r="E25" s="382"/>
      <c r="F25" s="85"/>
      <c r="G25" s="84"/>
      <c r="H25" s="84"/>
      <c r="I25" s="87"/>
      <c r="Q25" s="69"/>
      <c r="R25" s="81"/>
      <c r="S25" s="81"/>
      <c r="T25" s="68"/>
      <c r="U25" s="72"/>
    </row>
    <row r="26" spans="1:22" ht="14.4" x14ac:dyDescent="0.3">
      <c r="A26" s="82"/>
      <c r="B26" s="89" t="s">
        <v>49</v>
      </c>
      <c r="C26" s="84">
        <f>R12</f>
        <v>-0.80099999999999938</v>
      </c>
      <c r="D26" s="84"/>
      <c r="E26" s="382"/>
      <c r="F26" s="85"/>
      <c r="G26" s="84"/>
      <c r="H26" s="84"/>
      <c r="I26" s="87"/>
      <c r="Q26" s="69"/>
      <c r="R26" s="81"/>
      <c r="S26" s="81"/>
      <c r="T26" s="68"/>
      <c r="U26" s="72"/>
    </row>
    <row r="27" spans="1:22" ht="15" thickBot="1" x14ac:dyDescent="0.35">
      <c r="A27" s="90"/>
      <c r="B27" s="91" t="s">
        <v>50</v>
      </c>
      <c r="C27" s="92">
        <f>S16</f>
        <v>0</v>
      </c>
      <c r="D27" s="92"/>
      <c r="E27" s="383"/>
      <c r="F27" s="93"/>
      <c r="G27" s="94"/>
      <c r="H27" s="94"/>
      <c r="I27" s="95"/>
      <c r="Q27" s="69"/>
      <c r="R27" s="81"/>
      <c r="S27" s="81"/>
      <c r="T27" s="68"/>
      <c r="U27" s="72"/>
    </row>
    <row r="28" spans="1:22" ht="14.4" x14ac:dyDescent="0.3">
      <c r="A28" s="72"/>
      <c r="B28" s="72"/>
      <c r="C28" s="72"/>
      <c r="D28" s="72"/>
      <c r="E28" s="103"/>
      <c r="F28" s="72"/>
      <c r="G28" s="72"/>
      <c r="H28" s="72"/>
      <c r="I28" s="72"/>
      <c r="J28" s="72"/>
      <c r="K28" s="72"/>
      <c r="L28" s="72"/>
      <c r="M28" s="72"/>
      <c r="N28" s="72"/>
      <c r="O28" s="72"/>
      <c r="P28" s="72"/>
      <c r="Q28" s="68"/>
      <c r="R28" s="68"/>
      <c r="S28" s="68"/>
      <c r="T28" s="68"/>
      <c r="U28" s="72"/>
    </row>
  </sheetData>
  <mergeCells count="4">
    <mergeCell ref="E3:G3"/>
    <mergeCell ref="T3:U3"/>
    <mergeCell ref="A20:B21"/>
    <mergeCell ref="C20:D2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45"/>
  <sheetViews>
    <sheetView topLeftCell="J18" zoomScale="90" zoomScaleNormal="90" workbookViewId="0">
      <selection activeCell="D29" sqref="D29"/>
    </sheetView>
  </sheetViews>
  <sheetFormatPr defaultColWidth="17.44140625" defaultRowHeight="15.75" customHeight="1" x14ac:dyDescent="0.3"/>
  <cols>
    <col min="1" max="1" width="12.44140625" style="105" customWidth="1"/>
    <col min="2" max="2" width="27.44140625" style="105" customWidth="1"/>
    <col min="3" max="3" width="11.44140625" style="105" bestFit="1" customWidth="1"/>
    <col min="4" max="4" width="20" style="105" bestFit="1" customWidth="1"/>
    <col min="5" max="5" width="10.5546875" style="165" bestFit="1" customWidth="1"/>
    <col min="6" max="7" width="13.5546875" style="105" bestFit="1" customWidth="1"/>
    <col min="8" max="8" width="14.44140625" style="105" bestFit="1" customWidth="1"/>
    <col min="9" max="9" width="17.44140625" style="105" bestFit="1" customWidth="1"/>
    <col min="10" max="10" width="19.5546875" style="105" bestFit="1" customWidth="1"/>
    <col min="11" max="11" width="16.44140625" style="105" bestFit="1" customWidth="1"/>
    <col min="12" max="12" width="18" style="105" customWidth="1"/>
    <col min="13" max="13" width="22.109375" style="105" customWidth="1"/>
    <col min="14" max="14" width="11.5546875" style="105" bestFit="1" customWidth="1"/>
    <col min="15" max="15" width="11.44140625" style="105" bestFit="1" customWidth="1"/>
    <col min="16" max="16" width="13.5546875" style="105" bestFit="1" customWidth="1"/>
    <col min="17" max="17" width="7.88671875" style="165" bestFit="1" customWidth="1"/>
    <col min="18" max="18" width="14.5546875" style="105" bestFit="1" customWidth="1"/>
    <col min="19" max="19" width="20.5546875" style="105" bestFit="1" customWidth="1"/>
    <col min="20" max="20" width="21" style="105" bestFit="1" customWidth="1"/>
    <col min="21" max="21" width="15.33203125" style="105" customWidth="1"/>
    <col min="22" max="16384" width="17.44140625" style="105"/>
  </cols>
  <sheetData>
    <row r="1" spans="1:23" ht="14.4" x14ac:dyDescent="0.3">
      <c r="A1" s="5"/>
      <c r="B1" s="6"/>
      <c r="C1" s="7"/>
      <c r="D1" s="8"/>
      <c r="E1" s="129"/>
      <c r="F1" s="10"/>
      <c r="G1" s="11"/>
      <c r="H1" s="12"/>
      <c r="I1" s="11"/>
      <c r="J1" s="13"/>
      <c r="K1" s="10"/>
      <c r="L1" s="104"/>
      <c r="M1" s="15"/>
      <c r="N1" s="11"/>
      <c r="O1" s="16"/>
      <c r="P1" s="17"/>
      <c r="Q1" s="378"/>
      <c r="R1" s="17"/>
      <c r="S1" s="18"/>
      <c r="T1" s="874" t="s">
        <v>9</v>
      </c>
      <c r="U1" s="875"/>
      <c r="V1" s="876"/>
      <c r="W1" s="19"/>
    </row>
    <row r="2" spans="1:23" ht="14.4" x14ac:dyDescent="0.3">
      <c r="A2" s="20"/>
      <c r="B2" s="21"/>
      <c r="C2" s="22"/>
      <c r="D2" s="23"/>
      <c r="E2" s="130"/>
      <c r="F2" s="127"/>
      <c r="G2" s="24"/>
      <c r="H2" s="25"/>
      <c r="I2" s="24"/>
      <c r="J2" s="26"/>
      <c r="K2" s="27"/>
      <c r="L2" s="28"/>
      <c r="M2" s="29"/>
      <c r="N2" s="26"/>
      <c r="O2" s="106"/>
      <c r="S2" s="107"/>
      <c r="T2" s="877" t="s">
        <v>10</v>
      </c>
      <c r="U2" s="878"/>
      <c r="V2" s="128"/>
      <c r="W2" s="30"/>
    </row>
    <row r="3" spans="1:23" ht="14.4" x14ac:dyDescent="0.3">
      <c r="A3" s="20"/>
      <c r="B3" s="21"/>
      <c r="C3" s="22"/>
      <c r="D3" s="31"/>
      <c r="E3" s="863" t="s">
        <v>11</v>
      </c>
      <c r="F3" s="864"/>
      <c r="G3" s="865"/>
      <c r="H3" s="32"/>
      <c r="I3" s="127"/>
      <c r="J3" s="26"/>
      <c r="K3" s="127"/>
      <c r="L3" s="33"/>
      <c r="M3" s="34"/>
      <c r="N3" s="26"/>
      <c r="O3" s="35"/>
      <c r="P3" s="26"/>
      <c r="Q3" s="98"/>
      <c r="R3" s="36"/>
      <c r="S3" s="37"/>
      <c r="T3" s="866" t="s">
        <v>12</v>
      </c>
      <c r="U3" s="867"/>
      <c r="V3" s="128"/>
      <c r="W3" s="38"/>
    </row>
    <row r="4" spans="1:23" s="108" customFormat="1" ht="39.6" x14ac:dyDescent="0.3">
      <c r="A4" s="39" t="s">
        <v>13</v>
      </c>
      <c r="B4" s="40" t="s">
        <v>14</v>
      </c>
      <c r="C4" s="41" t="s">
        <v>15</v>
      </c>
      <c r="D4" s="42" t="s">
        <v>16</v>
      </c>
      <c r="E4" s="131" t="s">
        <v>17</v>
      </c>
      <c r="F4" s="40" t="s">
        <v>18</v>
      </c>
      <c r="G4" s="44" t="s">
        <v>19</v>
      </c>
      <c r="H4" s="45" t="s">
        <v>20</v>
      </c>
      <c r="I4" s="44" t="s">
        <v>21</v>
      </c>
      <c r="J4" s="44" t="s">
        <v>22</v>
      </c>
      <c r="K4" s="40" t="s">
        <v>23</v>
      </c>
      <c r="L4" s="46" t="s">
        <v>24</v>
      </c>
      <c r="M4" s="46" t="s">
        <v>25</v>
      </c>
      <c r="N4" s="44" t="s">
        <v>26</v>
      </c>
      <c r="O4" s="47" t="s">
        <v>27</v>
      </c>
      <c r="P4" s="44" t="s">
        <v>28</v>
      </c>
      <c r="Q4" s="99" t="s">
        <v>29</v>
      </c>
      <c r="R4" s="48" t="s">
        <v>7</v>
      </c>
      <c r="S4" s="49" t="s">
        <v>8</v>
      </c>
      <c r="T4" s="50" t="s">
        <v>30</v>
      </c>
      <c r="U4" s="50" t="s">
        <v>31</v>
      </c>
      <c r="V4" s="51" t="s">
        <v>2</v>
      </c>
      <c r="W4" s="41" t="s">
        <v>32</v>
      </c>
    </row>
    <row r="5" spans="1:23" ht="15" thickBot="1" x14ac:dyDescent="0.35">
      <c r="A5" s="53" t="s">
        <v>33</v>
      </c>
      <c r="B5" s="54"/>
      <c r="C5" s="55"/>
      <c r="D5" s="56"/>
      <c r="E5" s="65" t="s">
        <v>34</v>
      </c>
      <c r="F5" s="57" t="s">
        <v>34</v>
      </c>
      <c r="G5" s="57" t="s">
        <v>34</v>
      </c>
      <c r="H5" s="140" t="s">
        <v>34</v>
      </c>
      <c r="I5" s="57" t="s">
        <v>34</v>
      </c>
      <c r="J5" s="57" t="s">
        <v>34</v>
      </c>
      <c r="K5" s="58" t="s">
        <v>35</v>
      </c>
      <c r="L5" s="59" t="s">
        <v>34</v>
      </c>
      <c r="M5" s="60" t="s">
        <v>34</v>
      </c>
      <c r="N5" s="60" t="s">
        <v>35</v>
      </c>
      <c r="O5" s="61" t="s">
        <v>36</v>
      </c>
      <c r="P5" s="62" t="s">
        <v>36</v>
      </c>
      <c r="Q5" s="379" t="s">
        <v>36</v>
      </c>
      <c r="R5" s="63" t="s">
        <v>36</v>
      </c>
      <c r="S5" s="64" t="s">
        <v>36</v>
      </c>
      <c r="T5" s="65" t="s">
        <v>34</v>
      </c>
      <c r="U5" s="65" t="s">
        <v>34</v>
      </c>
      <c r="V5" s="66" t="s">
        <v>34</v>
      </c>
      <c r="W5" s="67"/>
    </row>
    <row r="6" spans="1:23" s="230" customFormat="1" ht="12.6" customHeight="1" x14ac:dyDescent="0.4">
      <c r="A6" s="227">
        <v>44307</v>
      </c>
      <c r="B6" s="228" t="s">
        <v>75</v>
      </c>
      <c r="C6" s="235" t="s">
        <v>78</v>
      </c>
      <c r="D6" s="236" t="s">
        <v>52</v>
      </c>
      <c r="E6" s="301">
        <v>9.15</v>
      </c>
      <c r="F6" s="229">
        <v>-3.05</v>
      </c>
      <c r="G6" s="232">
        <f>E6-F6</f>
        <v>12.2</v>
      </c>
      <c r="H6" s="233"/>
      <c r="I6" s="229">
        <v>2.74</v>
      </c>
      <c r="J6" s="229">
        <v>2.74</v>
      </c>
      <c r="K6" s="237">
        <v>0.46</v>
      </c>
      <c r="L6" s="229">
        <f>G6-I6</f>
        <v>9.4599999999999991</v>
      </c>
      <c r="M6" s="229"/>
      <c r="N6" s="232"/>
      <c r="O6" s="229"/>
      <c r="P6" s="229">
        <f>J6*K6</f>
        <v>1.2604000000000002</v>
      </c>
      <c r="Q6" s="301"/>
      <c r="R6" s="229"/>
      <c r="S6" s="231"/>
      <c r="T6" s="826">
        <v>394835.62599999999</v>
      </c>
      <c r="U6" s="826">
        <v>6697117.5080000004</v>
      </c>
      <c r="V6" s="827">
        <v>1000.629</v>
      </c>
      <c r="W6" s="229"/>
    </row>
    <row r="7" spans="1:23" s="230" customFormat="1" ht="12.6" customHeight="1" x14ac:dyDescent="0.4">
      <c r="A7" s="227">
        <v>44435</v>
      </c>
      <c r="B7" s="228" t="s">
        <v>81</v>
      </c>
      <c r="C7" s="235" t="s">
        <v>78</v>
      </c>
      <c r="D7" s="236" t="s">
        <v>53</v>
      </c>
      <c r="E7" s="301">
        <v>12.2</v>
      </c>
      <c r="F7" s="229">
        <v>4.8</v>
      </c>
      <c r="G7" s="232">
        <f>E7-F7</f>
        <v>7.3999999999999995</v>
      </c>
      <c r="H7" s="233">
        <f>G7-G6</f>
        <v>-4.8</v>
      </c>
      <c r="I7" s="229">
        <v>0</v>
      </c>
      <c r="J7" s="229">
        <v>0</v>
      </c>
      <c r="K7" s="237"/>
      <c r="L7" s="229"/>
      <c r="M7" s="229"/>
      <c r="N7" s="232"/>
      <c r="O7" s="229">
        <f>Q7-P6</f>
        <v>-3.1143999999999998</v>
      </c>
      <c r="P7" s="229"/>
      <c r="Q7" s="301">
        <f>0.9*(G7-L6)</f>
        <v>-1.8539999999999996</v>
      </c>
      <c r="R7" s="229"/>
      <c r="S7" s="231">
        <v>0</v>
      </c>
      <c r="T7" s="826">
        <v>394829.995</v>
      </c>
      <c r="U7" s="826">
        <v>6697102.7879999997</v>
      </c>
      <c r="V7" s="827">
        <v>995.60799999999995</v>
      </c>
      <c r="W7" s="229"/>
    </row>
    <row r="8" spans="1:23" s="230" customFormat="1" ht="12.6" customHeight="1" x14ac:dyDescent="0.4">
      <c r="A8" s="227">
        <v>44435</v>
      </c>
      <c r="B8" s="228" t="s">
        <v>81</v>
      </c>
      <c r="C8" s="235" t="s">
        <v>78</v>
      </c>
      <c r="D8" s="236" t="s">
        <v>53</v>
      </c>
      <c r="E8" s="301">
        <v>10.6</v>
      </c>
      <c r="F8" s="229">
        <f>E8-G8</f>
        <v>3.2</v>
      </c>
      <c r="G8" s="232">
        <f>G7</f>
        <v>7.3999999999999995</v>
      </c>
      <c r="H8" s="233"/>
      <c r="I8" s="229"/>
      <c r="J8" s="229"/>
      <c r="K8" s="237"/>
      <c r="L8" s="229"/>
      <c r="M8" s="229"/>
      <c r="N8" s="232"/>
      <c r="O8" s="301"/>
      <c r="P8" s="301"/>
      <c r="Q8" s="301"/>
      <c r="R8" s="301"/>
      <c r="S8" s="302"/>
      <c r="T8" s="826"/>
      <c r="U8" s="826"/>
      <c r="V8" s="827"/>
      <c r="W8" s="229"/>
    </row>
    <row r="9" spans="1:23" s="230" customFormat="1" ht="12.6" customHeight="1" x14ac:dyDescent="0.4">
      <c r="A9" s="227">
        <v>44679</v>
      </c>
      <c r="B9" s="228" t="s">
        <v>83</v>
      </c>
      <c r="C9" s="235" t="s">
        <v>78</v>
      </c>
      <c r="D9" s="235" t="s">
        <v>52</v>
      </c>
      <c r="E9" s="301">
        <v>10.6</v>
      </c>
      <c r="F9" s="229">
        <v>0.16</v>
      </c>
      <c r="G9" s="232">
        <f>E9-F9</f>
        <v>10.44</v>
      </c>
      <c r="H9" s="233"/>
      <c r="I9" s="229">
        <v>3.55</v>
      </c>
      <c r="J9" s="229"/>
      <c r="K9" s="237">
        <v>0.46</v>
      </c>
      <c r="L9" s="229">
        <f>G9-I9</f>
        <v>6.89</v>
      </c>
      <c r="M9" s="229"/>
      <c r="N9" s="232"/>
      <c r="O9" s="301"/>
      <c r="P9" s="301">
        <f>I9*K9</f>
        <v>1.633</v>
      </c>
      <c r="Q9" s="301"/>
      <c r="R9" s="301">
        <f>(L9-G8)*0.9</f>
        <v>-0.4589999999999998</v>
      </c>
      <c r="S9" s="302"/>
      <c r="T9" s="826"/>
      <c r="U9" s="826"/>
      <c r="V9" s="827"/>
      <c r="W9" s="229"/>
    </row>
    <row r="10" spans="1:23" s="230" customFormat="1" ht="12.6" customHeight="1" x14ac:dyDescent="0.4">
      <c r="A10" s="227">
        <v>44821</v>
      </c>
      <c r="B10" s="228" t="s">
        <v>83</v>
      </c>
      <c r="C10" s="235" t="s">
        <v>78</v>
      </c>
      <c r="D10" s="235" t="s">
        <v>53</v>
      </c>
      <c r="E10" s="301">
        <v>6.1</v>
      </c>
      <c r="F10" s="229">
        <v>1.72</v>
      </c>
      <c r="G10" s="232">
        <f>E10-F10</f>
        <v>4.38</v>
      </c>
      <c r="H10" s="233"/>
      <c r="I10" s="229"/>
      <c r="J10" s="229"/>
      <c r="K10" s="237"/>
      <c r="L10" s="229"/>
      <c r="M10" s="229"/>
      <c r="N10" s="232"/>
      <c r="O10" s="301">
        <f>Q10-P9</f>
        <v>-3.8919999999999999</v>
      </c>
      <c r="P10" s="301"/>
      <c r="Q10" s="301">
        <f>(G11-L9)*0.9</f>
        <v>-2.2589999999999999</v>
      </c>
      <c r="R10" s="301"/>
      <c r="S10" s="302">
        <v>0</v>
      </c>
      <c r="T10" s="826"/>
      <c r="U10" s="826"/>
      <c r="V10" s="827"/>
      <c r="W10" s="229"/>
    </row>
    <row r="11" spans="1:23" s="230" customFormat="1" ht="12.6" customHeight="1" x14ac:dyDescent="0.4">
      <c r="A11" s="227">
        <v>44821</v>
      </c>
      <c r="B11" s="228" t="s">
        <v>83</v>
      </c>
      <c r="C11" s="235" t="s">
        <v>78</v>
      </c>
      <c r="D11" s="235" t="s">
        <v>53</v>
      </c>
      <c r="E11" s="301">
        <v>7.55</v>
      </c>
      <c r="F11" s="229">
        <f>E11-G11</f>
        <v>3.17</v>
      </c>
      <c r="G11" s="232">
        <v>4.38</v>
      </c>
      <c r="H11" s="233"/>
      <c r="I11" s="229"/>
      <c r="J11" s="229"/>
      <c r="K11" s="237"/>
      <c r="L11" s="229"/>
      <c r="M11" s="229"/>
      <c r="N11" s="232"/>
      <c r="O11" s="301"/>
      <c r="P11" s="301"/>
      <c r="Q11" s="301"/>
      <c r="R11" s="301"/>
      <c r="S11" s="302"/>
      <c r="T11" s="826"/>
      <c r="U11" s="826"/>
      <c r="V11" s="827"/>
      <c r="W11" s="229"/>
    </row>
    <row r="12" spans="1:23" s="230" customFormat="1" ht="12.6" customHeight="1" x14ac:dyDescent="0.4">
      <c r="A12" s="227">
        <v>45052</v>
      </c>
      <c r="B12" s="228" t="s">
        <v>97</v>
      </c>
      <c r="C12" s="235" t="s">
        <v>78</v>
      </c>
      <c r="D12" s="235" t="s">
        <v>52</v>
      </c>
      <c r="E12" s="301">
        <v>7.55</v>
      </c>
      <c r="F12" s="229">
        <v>1.23</v>
      </c>
      <c r="G12" s="232">
        <f>E12-F12</f>
        <v>6.32</v>
      </c>
      <c r="H12" s="233"/>
      <c r="I12" s="229"/>
      <c r="J12" s="229">
        <f>AVERAGE(2.23,2.38,2.37,2.4)</f>
        <v>2.3449999999999998</v>
      </c>
      <c r="K12" s="237">
        <v>0.43</v>
      </c>
      <c r="L12" s="229">
        <f>G12-J12</f>
        <v>3.9750000000000005</v>
      </c>
      <c r="M12" s="229"/>
      <c r="N12" s="232"/>
      <c r="O12" s="301"/>
      <c r="P12" s="301">
        <f>J12*K12</f>
        <v>1.0083499999999999</v>
      </c>
      <c r="Q12" s="301"/>
      <c r="R12" s="301">
        <f>(L12-G10)*0.9</f>
        <v>-0.36449999999999944</v>
      </c>
      <c r="S12" s="302"/>
      <c r="T12" s="826">
        <v>394803.734</v>
      </c>
      <c r="U12" s="826">
        <v>6697037.2740000002</v>
      </c>
      <c r="V12" s="827">
        <v>994.4</v>
      </c>
      <c r="W12" s="229"/>
    </row>
    <row r="13" spans="1:23" s="230" customFormat="1" ht="12.6" customHeight="1" x14ac:dyDescent="0.4">
      <c r="A13" s="227">
        <v>45176</v>
      </c>
      <c r="B13" s="228" t="s">
        <v>97</v>
      </c>
      <c r="C13" s="235" t="s">
        <v>78</v>
      </c>
      <c r="D13" s="235" t="s">
        <v>53</v>
      </c>
      <c r="E13" s="301">
        <v>3.05</v>
      </c>
      <c r="F13" s="229">
        <v>1.85</v>
      </c>
      <c r="G13" s="232">
        <f>E13-F13</f>
        <v>1.1999999999999997</v>
      </c>
      <c r="H13" s="233">
        <f>G13-G11</f>
        <v>-3.18</v>
      </c>
      <c r="I13" s="229"/>
      <c r="J13" s="229"/>
      <c r="K13" s="237"/>
      <c r="L13" s="229"/>
      <c r="M13" s="229"/>
      <c r="N13" s="232"/>
      <c r="O13" s="301">
        <f>Q13-P12</f>
        <v>-3.5058500000000006</v>
      </c>
      <c r="P13" s="301"/>
      <c r="Q13" s="301">
        <f>(G13-L12)*0.9</f>
        <v>-2.4975000000000009</v>
      </c>
      <c r="R13" s="301"/>
      <c r="S13" s="302">
        <v>0</v>
      </c>
      <c r="T13" s="826"/>
      <c r="U13" s="826"/>
      <c r="V13" s="827"/>
      <c r="W13" s="229"/>
    </row>
    <row r="14" spans="1:23" s="230" customFormat="1" ht="12.6" customHeight="1" x14ac:dyDescent="0.4">
      <c r="A14" s="227">
        <v>45176</v>
      </c>
      <c r="B14" s="228" t="s">
        <v>97</v>
      </c>
      <c r="C14" s="235" t="s">
        <v>78</v>
      </c>
      <c r="D14" s="235" t="s">
        <v>53</v>
      </c>
      <c r="E14" s="301">
        <v>3.05</v>
      </c>
      <c r="F14" s="229">
        <v>1.85</v>
      </c>
      <c r="G14" s="232">
        <f>E14-F14</f>
        <v>1.1999999999999997</v>
      </c>
      <c r="H14" s="233"/>
      <c r="I14" s="229"/>
      <c r="J14" s="229"/>
      <c r="K14" s="237"/>
      <c r="L14" s="229"/>
      <c r="M14" s="229"/>
      <c r="N14" s="232"/>
      <c r="O14" s="301"/>
      <c r="P14" s="301"/>
      <c r="Q14" s="301"/>
      <c r="R14" s="301"/>
      <c r="S14" s="302"/>
      <c r="T14" s="826"/>
      <c r="U14" s="826"/>
      <c r="V14" s="827"/>
      <c r="W14" s="229"/>
    </row>
    <row r="15" spans="1:23" ht="16.8" x14ac:dyDescent="0.4">
      <c r="A15" s="70"/>
      <c r="B15" s="70"/>
      <c r="C15" s="222"/>
      <c r="D15" s="222"/>
      <c r="E15" s="71"/>
      <c r="F15" s="71"/>
      <c r="G15" s="215"/>
      <c r="H15" s="218"/>
      <c r="I15" s="70"/>
      <c r="J15" s="70"/>
      <c r="K15" s="160"/>
      <c r="L15" s="70"/>
      <c r="M15" s="70"/>
      <c r="N15" s="215"/>
      <c r="O15" s="71"/>
      <c r="P15" s="71"/>
      <c r="Q15" s="71"/>
      <c r="R15" s="71"/>
      <c r="S15" s="390"/>
      <c r="T15" s="829"/>
      <c r="U15" s="829"/>
      <c r="V15" s="836"/>
    </row>
    <row r="16" spans="1:23" ht="16.8" x14ac:dyDescent="0.4">
      <c r="A16" s="296">
        <v>44679</v>
      </c>
      <c r="B16" s="292" t="s">
        <v>85</v>
      </c>
      <c r="C16" s="795" t="s">
        <v>84</v>
      </c>
      <c r="D16" s="795" t="s">
        <v>52</v>
      </c>
      <c r="E16" s="293">
        <v>9.15</v>
      </c>
      <c r="F16" s="293">
        <v>-2.82</v>
      </c>
      <c r="G16" s="786">
        <f>E16-F16</f>
        <v>11.97</v>
      </c>
      <c r="H16" s="790"/>
      <c r="I16" s="293">
        <v>3.55</v>
      </c>
      <c r="J16" s="292"/>
      <c r="K16" s="833">
        <v>0.46</v>
      </c>
      <c r="L16" s="293">
        <f>G16-I16</f>
        <v>8.4200000000000017</v>
      </c>
      <c r="M16" s="292"/>
      <c r="N16" s="787"/>
      <c r="O16" s="293"/>
      <c r="P16" s="293">
        <f>I16*K16</f>
        <v>1.633</v>
      </c>
      <c r="Q16" s="293"/>
      <c r="R16" s="293"/>
      <c r="S16" s="786"/>
      <c r="T16" s="830"/>
      <c r="U16" s="830"/>
      <c r="V16" s="837"/>
      <c r="W16" s="294"/>
    </row>
    <row r="17" spans="1:23" ht="16.8" x14ac:dyDescent="0.4">
      <c r="A17" s="296">
        <v>44821</v>
      </c>
      <c r="B17" s="292" t="s">
        <v>83</v>
      </c>
      <c r="C17" s="795" t="s">
        <v>84</v>
      </c>
      <c r="D17" s="795" t="s">
        <v>53</v>
      </c>
      <c r="E17" s="293">
        <v>6.1</v>
      </c>
      <c r="F17" s="293">
        <v>0</v>
      </c>
      <c r="G17" s="786">
        <f>E17-F17</f>
        <v>6.1</v>
      </c>
      <c r="H17" s="790"/>
      <c r="I17" s="292"/>
      <c r="J17" s="292"/>
      <c r="K17" s="834"/>
      <c r="L17" s="292"/>
      <c r="M17" s="292"/>
      <c r="N17" s="787"/>
      <c r="O17" s="293">
        <f>Q17-P16</f>
        <v>-3.7210000000000019</v>
      </c>
      <c r="P17" s="293"/>
      <c r="Q17" s="293">
        <f>(G17-L16)*0.9</f>
        <v>-2.0880000000000019</v>
      </c>
      <c r="R17" s="293"/>
      <c r="S17" s="786">
        <v>0</v>
      </c>
      <c r="T17" s="830"/>
      <c r="U17" s="830"/>
      <c r="V17" s="837"/>
      <c r="W17" s="294"/>
    </row>
    <row r="18" spans="1:23" ht="16.8" x14ac:dyDescent="0.4">
      <c r="A18" s="296">
        <v>44821</v>
      </c>
      <c r="B18" s="292" t="s">
        <v>83</v>
      </c>
      <c r="C18" s="795" t="s">
        <v>84</v>
      </c>
      <c r="D18" s="795" t="s">
        <v>53</v>
      </c>
      <c r="E18" s="293">
        <v>10.199999999999999</v>
      </c>
      <c r="F18" s="293">
        <f>E18-G18</f>
        <v>4.0999999999999996</v>
      </c>
      <c r="G18" s="787">
        <v>6.1</v>
      </c>
      <c r="H18" s="790"/>
      <c r="I18" s="292"/>
      <c r="J18" s="292"/>
      <c r="K18" s="834"/>
      <c r="L18" s="292"/>
      <c r="M18" s="292"/>
      <c r="N18" s="787"/>
      <c r="O18" s="293"/>
      <c r="P18" s="293"/>
      <c r="Q18" s="293"/>
      <c r="R18" s="293"/>
      <c r="S18" s="786"/>
      <c r="T18" s="830"/>
      <c r="U18" s="830"/>
      <c r="V18" s="837"/>
      <c r="W18" s="294"/>
    </row>
    <row r="19" spans="1:23" ht="16.8" x14ac:dyDescent="0.4">
      <c r="A19" s="296">
        <v>45052</v>
      </c>
      <c r="B19" s="292" t="s">
        <v>97</v>
      </c>
      <c r="C19" s="795" t="s">
        <v>84</v>
      </c>
      <c r="D19" s="795" t="s">
        <v>52</v>
      </c>
      <c r="E19" s="293">
        <v>9.15</v>
      </c>
      <c r="F19" s="293">
        <v>1.1200000000000001</v>
      </c>
      <c r="G19" s="786">
        <f>E19-F19</f>
        <v>8.0300000000000011</v>
      </c>
      <c r="H19" s="790"/>
      <c r="I19" s="292"/>
      <c r="J19" s="292">
        <f>AVERAGE(2.42,2.35,2.32,2.35)</f>
        <v>2.36</v>
      </c>
      <c r="K19" s="833">
        <v>0.43</v>
      </c>
      <c r="L19" s="293">
        <f>G19-J19</f>
        <v>5.6700000000000017</v>
      </c>
      <c r="M19" s="292"/>
      <c r="N19" s="787"/>
      <c r="O19" s="293"/>
      <c r="P19" s="293">
        <f>J19*K19</f>
        <v>1.0147999999999999</v>
      </c>
      <c r="Q19" s="293"/>
      <c r="R19" s="293">
        <f>(L19-G18)*0.9</f>
        <v>-0.38699999999999818</v>
      </c>
      <c r="S19" s="786"/>
      <c r="T19" s="830">
        <v>394815.68400000001</v>
      </c>
      <c r="U19" s="830">
        <v>6697062.0690000001</v>
      </c>
      <c r="V19" s="837">
        <v>995.52300000000002</v>
      </c>
      <c r="W19" s="294"/>
    </row>
    <row r="20" spans="1:23" ht="16.8" x14ac:dyDescent="0.4">
      <c r="A20" s="296">
        <v>45176</v>
      </c>
      <c r="B20" s="292" t="s">
        <v>97</v>
      </c>
      <c r="C20" s="795" t="s">
        <v>84</v>
      </c>
      <c r="D20" s="795" t="s">
        <v>53</v>
      </c>
      <c r="E20" s="293">
        <v>3.05</v>
      </c>
      <c r="F20" s="293">
        <v>0.03</v>
      </c>
      <c r="G20" s="786">
        <f>E20-F20</f>
        <v>3.02</v>
      </c>
      <c r="H20" s="790"/>
      <c r="I20" s="292"/>
      <c r="J20" s="292"/>
      <c r="K20" s="834"/>
      <c r="L20" s="292"/>
      <c r="M20" s="292"/>
      <c r="N20" s="787"/>
      <c r="O20" s="293">
        <f>Q20-P19</f>
        <v>-3.3998000000000017</v>
      </c>
      <c r="P20" s="293"/>
      <c r="Q20" s="293">
        <f>(G20-L19)*0.9</f>
        <v>-2.3850000000000016</v>
      </c>
      <c r="R20" s="293"/>
      <c r="S20" s="786">
        <v>0</v>
      </c>
      <c r="T20" s="830"/>
      <c r="U20" s="830"/>
      <c r="V20" s="837"/>
      <c r="W20" s="294"/>
    </row>
    <row r="21" spans="1:23" ht="16.8" x14ac:dyDescent="0.4">
      <c r="A21" s="296">
        <v>45176</v>
      </c>
      <c r="B21" s="292" t="s">
        <v>97</v>
      </c>
      <c r="C21" s="795" t="s">
        <v>84</v>
      </c>
      <c r="D21" s="795" t="s">
        <v>53</v>
      </c>
      <c r="E21" s="293">
        <v>7.55</v>
      </c>
      <c r="F21" s="293">
        <f>E21-G21</f>
        <v>4.5299999999999994</v>
      </c>
      <c r="G21" s="787">
        <v>3.02</v>
      </c>
      <c r="H21" s="790"/>
      <c r="I21" s="292"/>
      <c r="J21" s="292"/>
      <c r="K21" s="834"/>
      <c r="L21" s="292"/>
      <c r="M21" s="292"/>
      <c r="N21" s="787"/>
      <c r="O21" s="293"/>
      <c r="P21" s="293"/>
      <c r="Q21" s="293"/>
      <c r="R21" s="293"/>
      <c r="S21" s="786"/>
      <c r="T21" s="830"/>
      <c r="U21" s="830"/>
      <c r="V21" s="837"/>
      <c r="W21" s="294"/>
    </row>
    <row r="22" spans="1:23" ht="16.8" x14ac:dyDescent="0.4">
      <c r="A22" s="296">
        <v>45406</v>
      </c>
      <c r="B22" s="292" t="s">
        <v>225</v>
      </c>
      <c r="C22" s="795" t="s">
        <v>84</v>
      </c>
      <c r="D22" s="795" t="s">
        <v>52</v>
      </c>
      <c r="E22" s="293">
        <v>7.55</v>
      </c>
      <c r="F22" s="293">
        <f>(E22-E23)+F23</f>
        <v>1.9300000000000002</v>
      </c>
      <c r="G22" s="786">
        <f>E22-F22</f>
        <v>5.6199999999999992</v>
      </c>
      <c r="H22" s="790"/>
      <c r="I22" s="292"/>
      <c r="J22" s="292"/>
      <c r="K22" s="834"/>
      <c r="L22" s="292"/>
      <c r="M22" s="292"/>
      <c r="N22" s="787"/>
      <c r="O22" s="293"/>
      <c r="P22" s="293"/>
      <c r="Q22" s="293"/>
      <c r="R22" s="293"/>
      <c r="S22" s="786"/>
      <c r="T22" s="830"/>
      <c r="U22" s="830"/>
      <c r="V22" s="837"/>
      <c r="W22" s="294"/>
    </row>
    <row r="23" spans="1:23" ht="16.8" x14ac:dyDescent="0.4">
      <c r="A23" s="296">
        <v>45406</v>
      </c>
      <c r="B23" s="292" t="s">
        <v>225</v>
      </c>
      <c r="C23" s="795" t="s">
        <v>84</v>
      </c>
      <c r="D23" s="795" t="s">
        <v>52</v>
      </c>
      <c r="E23" s="293">
        <v>6.1</v>
      </c>
      <c r="F23" s="293">
        <v>0.48</v>
      </c>
      <c r="G23" s="786">
        <f>E23-F23</f>
        <v>5.6199999999999992</v>
      </c>
      <c r="H23" s="790"/>
      <c r="I23" s="293">
        <f>AVERAGE(2.51,2.52,2.48,2.47)</f>
        <v>2.4950000000000001</v>
      </c>
      <c r="J23" s="293">
        <f>AVERAGE(2.51,2.52,2.48,2.47,2.7,2.34,2.31,2.31,2.58,2.58,2.62,2.51)</f>
        <v>2.4941666666666666</v>
      </c>
      <c r="K23" s="833">
        <f>SiteB_PitCore_20240424!I4</f>
        <v>0.42462765384672868</v>
      </c>
      <c r="L23" s="293">
        <f>G23-I23</f>
        <v>3.1249999999999991</v>
      </c>
      <c r="M23" s="292"/>
      <c r="N23" s="787"/>
      <c r="O23" s="293"/>
      <c r="P23" s="293">
        <f>I23*K23</f>
        <v>1.0594459963475882</v>
      </c>
      <c r="Q23" s="293"/>
      <c r="R23" s="293">
        <f>(L23-G21)*0.9</f>
        <v>9.4499999999999182E-2</v>
      </c>
      <c r="S23" s="786"/>
      <c r="T23" s="830">
        <v>394798.49900000001</v>
      </c>
      <c r="U23" s="830">
        <v>6697024.5319999997</v>
      </c>
      <c r="V23" s="837">
        <v>993.101</v>
      </c>
      <c r="W23" s="294"/>
    </row>
    <row r="24" spans="1:23" ht="16.8" x14ac:dyDescent="0.4">
      <c r="A24" s="70"/>
      <c r="B24" s="70"/>
      <c r="C24" s="222"/>
      <c r="D24" s="222"/>
      <c r="E24" s="71"/>
      <c r="F24" s="71"/>
      <c r="G24" s="215"/>
      <c r="H24" s="218"/>
      <c r="I24" s="70"/>
      <c r="J24" s="70"/>
      <c r="K24" s="160"/>
      <c r="L24" s="70"/>
      <c r="M24" s="70"/>
      <c r="N24" s="215"/>
      <c r="O24" s="70"/>
      <c r="P24" s="70"/>
      <c r="Q24" s="71"/>
      <c r="R24" s="70"/>
      <c r="S24" s="215"/>
      <c r="T24" s="829"/>
      <c r="U24" s="829"/>
      <c r="V24" s="836"/>
    </row>
    <row r="25" spans="1:23" s="255" customFormat="1" ht="16.8" x14ac:dyDescent="0.4">
      <c r="A25" s="364">
        <v>45052</v>
      </c>
      <c r="B25" s="361" t="s">
        <v>97</v>
      </c>
      <c r="C25" s="365" t="s">
        <v>102</v>
      </c>
      <c r="D25" s="365" t="s">
        <v>52</v>
      </c>
      <c r="E25" s="362">
        <v>12.2</v>
      </c>
      <c r="F25" s="362">
        <v>0.57999999999999996</v>
      </c>
      <c r="G25" s="370">
        <f>E25-F25</f>
        <v>11.62</v>
      </c>
      <c r="H25" s="367"/>
      <c r="I25" s="361"/>
      <c r="J25" s="361">
        <f>AVERAGE(2.4,2.46,2.42,2.4)</f>
        <v>2.42</v>
      </c>
      <c r="K25" s="269">
        <v>0.43</v>
      </c>
      <c r="L25" s="362">
        <f>G25-J25</f>
        <v>9.1999999999999993</v>
      </c>
      <c r="M25" s="361"/>
      <c r="N25" s="366"/>
      <c r="O25" s="361"/>
      <c r="P25" s="362">
        <f>J25*K25</f>
        <v>1.0406</v>
      </c>
      <c r="Q25" s="362"/>
      <c r="R25" s="361"/>
      <c r="S25" s="366"/>
      <c r="T25" s="831">
        <v>394833.36099999998</v>
      </c>
      <c r="U25" s="831">
        <v>6697096.5710000005</v>
      </c>
      <c r="V25" s="821">
        <v>996.995</v>
      </c>
    </row>
    <row r="26" spans="1:23" s="255" customFormat="1" ht="16.8" x14ac:dyDescent="0.4">
      <c r="A26" s="364">
        <v>45176</v>
      </c>
      <c r="B26" s="361" t="s">
        <v>97</v>
      </c>
      <c r="C26" s="365" t="s">
        <v>102</v>
      </c>
      <c r="D26" s="365" t="s">
        <v>53</v>
      </c>
      <c r="E26" s="362">
        <v>6.1</v>
      </c>
      <c r="F26" s="362">
        <v>-0.37</v>
      </c>
      <c r="G26" s="370">
        <f>E26-F26</f>
        <v>6.47</v>
      </c>
      <c r="H26" s="367"/>
      <c r="I26" s="361"/>
      <c r="J26" s="361"/>
      <c r="K26" s="269"/>
      <c r="L26" s="361"/>
      <c r="M26" s="361"/>
      <c r="N26" s="366"/>
      <c r="O26" s="362">
        <f>Q26-P25</f>
        <v>-3.4975999999999998</v>
      </c>
      <c r="P26" s="362"/>
      <c r="Q26" s="362">
        <f>(G26-L25)*0.9</f>
        <v>-2.4569999999999999</v>
      </c>
      <c r="R26" s="361"/>
      <c r="S26" s="366">
        <v>0</v>
      </c>
      <c r="T26" s="831"/>
      <c r="U26" s="831"/>
      <c r="V26" s="821"/>
    </row>
    <row r="27" spans="1:23" s="255" customFormat="1" ht="16.8" x14ac:dyDescent="0.4">
      <c r="A27" s="364">
        <v>45176</v>
      </c>
      <c r="B27" s="361" t="s">
        <v>97</v>
      </c>
      <c r="C27" s="365" t="s">
        <v>102</v>
      </c>
      <c r="D27" s="365" t="s">
        <v>53</v>
      </c>
      <c r="E27" s="362">
        <v>10.77</v>
      </c>
      <c r="F27" s="362">
        <f>E27-G27</f>
        <v>4.3</v>
      </c>
      <c r="G27" s="370">
        <f>G26</f>
        <v>6.47</v>
      </c>
      <c r="H27" s="367"/>
      <c r="I27" s="361"/>
      <c r="J27" s="361"/>
      <c r="K27" s="269"/>
      <c r="L27" s="361"/>
      <c r="M27" s="361"/>
      <c r="N27" s="366"/>
      <c r="O27" s="361"/>
      <c r="P27" s="362"/>
      <c r="Q27" s="362"/>
      <c r="R27" s="361"/>
      <c r="S27" s="366"/>
      <c r="T27" s="831"/>
      <c r="U27" s="831"/>
      <c r="V27" s="821"/>
    </row>
    <row r="28" spans="1:23" s="255" customFormat="1" ht="16.8" x14ac:dyDescent="0.4">
      <c r="A28" s="364">
        <v>45406</v>
      </c>
      <c r="B28" s="361" t="s">
        <v>225</v>
      </c>
      <c r="C28" s="365" t="s">
        <v>102</v>
      </c>
      <c r="D28" s="365" t="s">
        <v>52</v>
      </c>
      <c r="E28" s="362">
        <v>10.77</v>
      </c>
      <c r="F28" s="362">
        <f>E28-G28</f>
        <v>2.0099999999999998</v>
      </c>
      <c r="G28" s="370">
        <f>G29</f>
        <v>8.76</v>
      </c>
      <c r="H28" s="367"/>
      <c r="I28" s="361"/>
      <c r="J28" s="361"/>
      <c r="K28" s="269"/>
      <c r="L28" s="361"/>
      <c r="M28" s="361"/>
      <c r="N28" s="366"/>
      <c r="O28" s="361"/>
      <c r="P28" s="362"/>
      <c r="Q28" s="362"/>
      <c r="R28" s="361"/>
      <c r="S28" s="366"/>
      <c r="T28" s="831"/>
      <c r="U28" s="831"/>
      <c r="V28" s="821"/>
    </row>
    <row r="29" spans="1:23" s="255" customFormat="1" ht="16.8" x14ac:dyDescent="0.4">
      <c r="A29" s="364">
        <v>45406</v>
      </c>
      <c r="B29" s="361" t="s">
        <v>225</v>
      </c>
      <c r="C29" s="365" t="s">
        <v>102</v>
      </c>
      <c r="D29" s="365" t="s">
        <v>52</v>
      </c>
      <c r="E29" s="362">
        <v>9.15</v>
      </c>
      <c r="F29" s="362">
        <v>0.39</v>
      </c>
      <c r="G29" s="370">
        <f>E29-F29</f>
        <v>8.76</v>
      </c>
      <c r="H29" s="367"/>
      <c r="I29" s="362">
        <f>AVERAGE(2.7,2.34,2.31,2.31)</f>
        <v>2.415</v>
      </c>
      <c r="J29" s="362">
        <f>J23</f>
        <v>2.4941666666666666</v>
      </c>
      <c r="K29" s="269">
        <f>SiteB_PitCore_20240424!I4</f>
        <v>0.42462765384672868</v>
      </c>
      <c r="L29" s="362">
        <f>G29-I29</f>
        <v>6.3449999999999998</v>
      </c>
      <c r="M29" s="361"/>
      <c r="N29" s="366"/>
      <c r="O29" s="361"/>
      <c r="P29" s="362">
        <f>I29*K29</f>
        <v>1.0254757840398498</v>
      </c>
      <c r="Q29" s="362"/>
      <c r="R29" s="362">
        <f>(L29-G27)*0.9</f>
        <v>-0.1125</v>
      </c>
      <c r="S29" s="366"/>
      <c r="T29" s="831">
        <v>394816.81400000001</v>
      </c>
      <c r="U29" s="831">
        <v>6697059.1349999998</v>
      </c>
      <c r="V29" s="821">
        <v>995.15499999999997</v>
      </c>
    </row>
    <row r="30" spans="1:23" s="255" customFormat="1" ht="16.8" x14ac:dyDescent="0.4">
      <c r="A30" s="364">
        <v>45552</v>
      </c>
      <c r="B30" s="361" t="s">
        <v>202</v>
      </c>
      <c r="C30" s="365" t="s">
        <v>102</v>
      </c>
      <c r="D30" s="365" t="s">
        <v>53</v>
      </c>
      <c r="E30" s="362">
        <v>6.1</v>
      </c>
      <c r="F30" s="362">
        <v>2.5</v>
      </c>
      <c r="G30" s="370">
        <f>E30-F30</f>
        <v>3.5999999999999996</v>
      </c>
      <c r="H30" s="367"/>
      <c r="I30" s="362"/>
      <c r="J30" s="362"/>
      <c r="K30" s="269"/>
      <c r="L30" s="362"/>
      <c r="M30" s="361"/>
      <c r="N30" s="366"/>
      <c r="O30" s="362">
        <f>Q30-P29</f>
        <v>-3.4959757840398504</v>
      </c>
      <c r="P30" s="362"/>
      <c r="Q30" s="362">
        <f>(G30-L29)*0.9</f>
        <v>-2.4705000000000004</v>
      </c>
      <c r="R30" s="362"/>
      <c r="S30" s="366">
        <v>0</v>
      </c>
      <c r="T30" s="831">
        <v>394812.66600000003</v>
      </c>
      <c r="U30" s="831">
        <v>6697045.5010000002</v>
      </c>
      <c r="V30" s="821">
        <v>988.96799999999996</v>
      </c>
    </row>
    <row r="31" spans="1:23" s="255" customFormat="1" ht="16.8" x14ac:dyDescent="0.4">
      <c r="A31" s="364">
        <v>45552</v>
      </c>
      <c r="B31" s="361" t="s">
        <v>202</v>
      </c>
      <c r="C31" s="365" t="s">
        <v>102</v>
      </c>
      <c r="D31" s="365" t="s">
        <v>53</v>
      </c>
      <c r="E31" s="362">
        <v>7.9</v>
      </c>
      <c r="F31" s="362">
        <f>E31-G31</f>
        <v>4.3000000000000007</v>
      </c>
      <c r="G31" s="370">
        <f>G30</f>
        <v>3.5999999999999996</v>
      </c>
      <c r="H31" s="367"/>
      <c r="I31" s="362"/>
      <c r="J31" s="362"/>
      <c r="K31" s="269"/>
      <c r="L31" s="362"/>
      <c r="M31" s="361"/>
      <c r="N31" s="366"/>
      <c r="O31" s="361"/>
      <c r="P31" s="362"/>
      <c r="Q31" s="362"/>
      <c r="R31" s="362"/>
      <c r="S31" s="366"/>
      <c r="T31" s="831"/>
      <c r="U31" s="831"/>
      <c r="V31" s="821"/>
    </row>
    <row r="32" spans="1:23" ht="16.8" x14ac:dyDescent="0.4">
      <c r="A32" s="70"/>
      <c r="B32" s="70"/>
      <c r="C32" s="222"/>
      <c r="D32" s="222"/>
      <c r="E32" s="71"/>
      <c r="F32" s="71"/>
      <c r="G32" s="215"/>
      <c r="H32" s="218"/>
      <c r="I32" s="70"/>
      <c r="J32" s="70"/>
      <c r="K32" s="160"/>
      <c r="L32" s="380"/>
      <c r="M32" s="70"/>
      <c r="N32" s="215"/>
      <c r="O32" s="70"/>
      <c r="P32" s="70"/>
      <c r="Q32" s="71"/>
      <c r="R32" s="70"/>
      <c r="S32" s="215"/>
      <c r="T32" s="829"/>
      <c r="U32" s="829"/>
      <c r="V32" s="836"/>
    </row>
    <row r="33" spans="1:22" s="241" customFormat="1" ht="16.8" x14ac:dyDescent="0.4">
      <c r="A33" s="637">
        <v>45406</v>
      </c>
      <c r="B33" s="634" t="s">
        <v>202</v>
      </c>
      <c r="C33" s="776" t="s">
        <v>209</v>
      </c>
      <c r="D33" s="776" t="s">
        <v>52</v>
      </c>
      <c r="E33" s="635">
        <v>12</v>
      </c>
      <c r="F33" s="635">
        <v>-0.09</v>
      </c>
      <c r="G33" s="784">
        <f>E33-F33</f>
        <v>12.09</v>
      </c>
      <c r="H33" s="835"/>
      <c r="I33" s="635">
        <f>AVERAGE(2.58,2.58,2.62,2.51)</f>
        <v>2.5724999999999998</v>
      </c>
      <c r="J33" s="635">
        <f>J23</f>
        <v>2.4941666666666666</v>
      </c>
      <c r="K33" s="249">
        <f>SiteB_PitCore_20240424!I4</f>
        <v>0.42462765384672868</v>
      </c>
      <c r="L33" s="635">
        <f>G33-I33</f>
        <v>9.5175000000000001</v>
      </c>
      <c r="M33" s="634"/>
      <c r="N33" s="780"/>
      <c r="O33" s="634"/>
      <c r="P33" s="635">
        <f>(I33*K33)</f>
        <v>1.0923546395207095</v>
      </c>
      <c r="Q33" s="635"/>
      <c r="R33" s="634"/>
      <c r="S33" s="780"/>
      <c r="T33" s="832">
        <v>394841.77500000002</v>
      </c>
      <c r="U33" s="832">
        <v>6697105.0590000004</v>
      </c>
      <c r="V33" s="838">
        <v>998.84500000000003</v>
      </c>
    </row>
    <row r="34" spans="1:22" s="241" customFormat="1" ht="16.8" x14ac:dyDescent="0.4">
      <c r="A34" s="637">
        <v>45552</v>
      </c>
      <c r="B34" s="634" t="s">
        <v>202</v>
      </c>
      <c r="C34" s="776" t="s">
        <v>209</v>
      </c>
      <c r="D34" s="776" t="s">
        <v>53</v>
      </c>
      <c r="E34" s="635">
        <v>8</v>
      </c>
      <c r="F34" s="635">
        <v>0.97</v>
      </c>
      <c r="G34" s="784">
        <f>E34-F34</f>
        <v>7.03</v>
      </c>
      <c r="H34" s="835"/>
      <c r="I34" s="635"/>
      <c r="J34" s="635"/>
      <c r="K34" s="249"/>
      <c r="L34" s="635"/>
      <c r="M34" s="634"/>
      <c r="N34" s="780"/>
      <c r="O34" s="635">
        <f>Q34-P33</f>
        <v>-3.3311046395207096</v>
      </c>
      <c r="P34" s="635"/>
      <c r="Q34" s="635">
        <f>(G34-L33)*0.9</f>
        <v>-2.23875</v>
      </c>
      <c r="R34" s="634"/>
      <c r="S34" s="780">
        <v>0</v>
      </c>
      <c r="T34" s="832">
        <v>394838.00199999998</v>
      </c>
      <c r="U34" s="832">
        <v>6697091.1210000003</v>
      </c>
      <c r="V34" s="838">
        <v>991.04300000000001</v>
      </c>
    </row>
    <row r="35" spans="1:22" s="241" customFormat="1" ht="16.8" x14ac:dyDescent="0.4">
      <c r="A35" s="637">
        <v>45552</v>
      </c>
      <c r="B35" s="634" t="s">
        <v>202</v>
      </c>
      <c r="C35" s="776" t="s">
        <v>209</v>
      </c>
      <c r="D35" s="776" t="s">
        <v>53</v>
      </c>
      <c r="E35" s="635">
        <v>11.5</v>
      </c>
      <c r="F35" s="635">
        <f>E35-G35</f>
        <v>4.47</v>
      </c>
      <c r="G35" s="784">
        <f>G34</f>
        <v>7.03</v>
      </c>
      <c r="H35" s="835"/>
      <c r="I35" s="635"/>
      <c r="J35" s="635"/>
      <c r="K35" s="249"/>
      <c r="L35" s="635"/>
      <c r="M35" s="634"/>
      <c r="N35" s="780"/>
      <c r="O35" s="634"/>
      <c r="P35" s="635"/>
      <c r="Q35" s="635"/>
      <c r="R35" s="634"/>
      <c r="S35" s="780"/>
      <c r="T35" s="832"/>
      <c r="U35" s="832"/>
      <c r="V35" s="838"/>
    </row>
    <row r="36" spans="1:22" ht="15" thickBot="1" x14ac:dyDescent="0.35">
      <c r="A36" s="70"/>
      <c r="B36" s="70"/>
      <c r="C36" s="70"/>
      <c r="D36" s="70"/>
      <c r="E36" s="71"/>
      <c r="F36" s="71"/>
      <c r="G36" s="70"/>
      <c r="H36" s="70"/>
      <c r="I36" s="70"/>
      <c r="J36" s="70"/>
      <c r="L36" s="70"/>
      <c r="M36" s="70"/>
      <c r="N36" s="70"/>
      <c r="O36" s="70"/>
      <c r="P36" s="70"/>
      <c r="Q36" s="71"/>
      <c r="R36" s="70"/>
      <c r="S36" s="70"/>
      <c r="T36" s="70"/>
      <c r="U36" s="70"/>
    </row>
    <row r="37" spans="1:22" ht="14.4" customHeight="1" x14ac:dyDescent="0.3">
      <c r="A37" s="868" t="s">
        <v>37</v>
      </c>
      <c r="B37" s="869"/>
      <c r="C37" s="872" t="s">
        <v>38</v>
      </c>
      <c r="D37" s="873"/>
      <c r="E37" s="132" t="s">
        <v>39</v>
      </c>
      <c r="F37" s="112"/>
      <c r="G37" s="73" t="s">
        <v>40</v>
      </c>
      <c r="H37" s="112"/>
      <c r="I37" s="75" t="s">
        <v>41</v>
      </c>
      <c r="Q37" s="239"/>
      <c r="R37" s="109"/>
      <c r="S37" s="109"/>
      <c r="T37" s="109"/>
      <c r="U37" s="70"/>
    </row>
    <row r="38" spans="1:22" ht="14.4" customHeight="1" x14ac:dyDescent="0.3">
      <c r="A38" s="870"/>
      <c r="B38" s="871"/>
      <c r="C38" s="78" t="s">
        <v>42</v>
      </c>
      <c r="D38" s="78" t="s">
        <v>43</v>
      </c>
      <c r="E38" s="384">
        <f>A27</f>
        <v>45176</v>
      </c>
      <c r="F38" s="78"/>
      <c r="G38" s="113">
        <f>A33</f>
        <v>45406</v>
      </c>
      <c r="H38" s="78"/>
      <c r="I38" s="114">
        <f>A30</f>
        <v>45552</v>
      </c>
      <c r="Q38" s="239"/>
      <c r="R38" s="115"/>
      <c r="S38" s="115"/>
      <c r="T38" s="109"/>
      <c r="U38" s="70"/>
    </row>
    <row r="39" spans="1:22" ht="14.4" x14ac:dyDescent="0.3">
      <c r="A39" s="116"/>
      <c r="B39" s="83" t="s">
        <v>45</v>
      </c>
      <c r="C39" s="117">
        <f>AVERAGE(P23,P29,P33)</f>
        <v>1.0590921399693825</v>
      </c>
      <c r="D39" s="117"/>
      <c r="E39" s="117"/>
      <c r="F39" s="118"/>
      <c r="G39" s="119"/>
      <c r="H39" s="117"/>
      <c r="I39" s="120"/>
      <c r="Q39" s="239"/>
      <c r="R39" s="115"/>
      <c r="S39" s="115"/>
      <c r="T39" s="109"/>
      <c r="U39" s="70"/>
    </row>
    <row r="40" spans="1:22" ht="14.4" x14ac:dyDescent="0.3">
      <c r="A40" s="116"/>
      <c r="B40" s="83" t="s">
        <v>46</v>
      </c>
      <c r="C40" s="117">
        <f>C41-C39</f>
        <v>-3.4137171399693829</v>
      </c>
      <c r="D40" s="117"/>
      <c r="E40" s="117"/>
      <c r="F40" s="118"/>
      <c r="G40" s="119"/>
      <c r="H40" s="117"/>
      <c r="I40" s="120"/>
      <c r="Q40" s="239"/>
      <c r="R40" s="115"/>
      <c r="S40" s="115"/>
      <c r="T40" s="109"/>
      <c r="U40" s="70"/>
    </row>
    <row r="41" spans="1:22" ht="14.4" x14ac:dyDescent="0.3">
      <c r="A41" s="116"/>
      <c r="B41" s="83" t="s">
        <v>47</v>
      </c>
      <c r="C41" s="117">
        <f>AVERAGE(Q34,Q30)</f>
        <v>-2.3546250000000004</v>
      </c>
      <c r="D41" s="117"/>
      <c r="E41" s="117"/>
      <c r="F41" s="118"/>
      <c r="G41" s="119"/>
      <c r="H41" s="117"/>
      <c r="I41" s="120"/>
      <c r="Q41" s="239"/>
      <c r="R41" s="115"/>
      <c r="S41" s="115"/>
      <c r="T41" s="109"/>
      <c r="U41" s="70"/>
    </row>
    <row r="42" spans="1:22" ht="14.4" x14ac:dyDescent="0.3">
      <c r="A42" s="116"/>
      <c r="B42" s="88" t="s">
        <v>48</v>
      </c>
      <c r="C42" s="117">
        <f>S26</f>
        <v>0</v>
      </c>
      <c r="D42" s="117"/>
      <c r="E42" s="117"/>
      <c r="F42" s="118"/>
      <c r="G42" s="117"/>
      <c r="H42" s="117"/>
      <c r="I42" s="120"/>
      <c r="Q42" s="239"/>
      <c r="R42" s="115"/>
      <c r="S42" s="115"/>
      <c r="T42" s="109"/>
      <c r="U42" s="70"/>
    </row>
    <row r="43" spans="1:22" ht="14.4" x14ac:dyDescent="0.3">
      <c r="A43" s="116"/>
      <c r="B43" s="89" t="s">
        <v>49</v>
      </c>
      <c r="C43" s="117">
        <f>R29</f>
        <v>-0.1125</v>
      </c>
      <c r="D43" s="117"/>
      <c r="E43" s="117"/>
      <c r="F43" s="118"/>
      <c r="G43" s="117"/>
      <c r="H43" s="117"/>
      <c r="I43" s="120"/>
      <c r="Q43" s="239"/>
      <c r="R43" s="115"/>
      <c r="S43" s="115"/>
      <c r="T43" s="109"/>
      <c r="U43" s="70"/>
    </row>
    <row r="44" spans="1:22" ht="15" thickBot="1" x14ac:dyDescent="0.35">
      <c r="A44" s="121"/>
      <c r="B44" s="91" t="s">
        <v>50</v>
      </c>
      <c r="C44" s="122">
        <f>AVERAGE(S34,S30)</f>
        <v>0</v>
      </c>
      <c r="D44" s="122"/>
      <c r="E44" s="122"/>
      <c r="F44" s="123"/>
      <c r="G44" s="124"/>
      <c r="H44" s="124"/>
      <c r="I44" s="125"/>
      <c r="Q44" s="239"/>
      <c r="R44" s="115"/>
      <c r="S44" s="115"/>
      <c r="T44" s="109"/>
      <c r="U44" s="70"/>
    </row>
    <row r="45" spans="1:22" ht="14.4" x14ac:dyDescent="0.3">
      <c r="A45" s="70"/>
      <c r="B45" s="70"/>
      <c r="C45" s="70"/>
      <c r="D45" s="70"/>
      <c r="E45" s="71"/>
      <c r="F45" s="70"/>
      <c r="G45" s="70"/>
      <c r="H45" s="70"/>
      <c r="I45" s="70"/>
      <c r="J45" s="70"/>
      <c r="K45" s="70"/>
      <c r="L45" s="70"/>
      <c r="M45" s="70"/>
      <c r="N45" s="70"/>
      <c r="O45" s="70"/>
      <c r="P45" s="70"/>
      <c r="Q45" s="380"/>
      <c r="R45" s="109"/>
      <c r="S45" s="109"/>
      <c r="T45" s="109"/>
      <c r="U45" s="70"/>
    </row>
  </sheetData>
  <mergeCells count="6">
    <mergeCell ref="T1:V1"/>
    <mergeCell ref="T2:U2"/>
    <mergeCell ref="E3:G3"/>
    <mergeCell ref="T3:U3"/>
    <mergeCell ref="A37:B38"/>
    <mergeCell ref="C37:D37"/>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topLeftCell="J2" zoomScale="80" zoomScaleNormal="80" workbookViewId="0">
      <selection activeCell="H42" sqref="H42"/>
    </sheetView>
  </sheetViews>
  <sheetFormatPr defaultColWidth="17.44140625" defaultRowHeight="15.75" customHeight="1" x14ac:dyDescent="0.3"/>
  <cols>
    <col min="1" max="1" width="12.44140625" style="2" customWidth="1"/>
    <col min="2" max="2" width="27.5546875" style="2" bestFit="1" customWidth="1"/>
    <col min="3" max="3" width="14" style="2" bestFit="1" customWidth="1"/>
    <col min="4" max="4" width="20" style="2" bestFit="1" customWidth="1"/>
    <col min="5" max="5" width="10.5546875" style="3" bestFit="1" customWidth="1"/>
    <col min="6" max="7" width="13.5546875" style="2" bestFit="1" customWidth="1"/>
    <col min="8" max="8" width="14.44140625" style="2" bestFit="1" customWidth="1"/>
    <col min="9" max="9" width="17.44140625" style="3" bestFit="1" customWidth="1"/>
    <col min="10" max="10" width="19.5546875" style="2" bestFit="1" customWidth="1"/>
    <col min="11" max="11" width="16.44140625" style="3" bestFit="1" customWidth="1"/>
    <col min="12" max="12" width="18" style="2" customWidth="1"/>
    <col min="13" max="13" width="22.109375" style="2" customWidth="1"/>
    <col min="14" max="14" width="11.5546875" style="2" bestFit="1" customWidth="1"/>
    <col min="15" max="15" width="11.44140625" style="2" bestFit="1" customWidth="1"/>
    <col min="16" max="16" width="8.44140625" style="2" bestFit="1" customWidth="1"/>
    <col min="17" max="17" width="7.88671875" style="3" bestFit="1" customWidth="1"/>
    <col min="18" max="18" width="14.5546875" style="2" bestFit="1" customWidth="1"/>
    <col min="19" max="19" width="20.5546875" style="2" bestFit="1" customWidth="1"/>
    <col min="20" max="20" width="21" style="3" bestFit="1" customWidth="1"/>
    <col min="21" max="21" width="12" style="3" bestFit="1" customWidth="1"/>
    <col min="22" max="22" width="17.44140625" style="3"/>
    <col min="23" max="16384" width="17.44140625" style="2"/>
  </cols>
  <sheetData>
    <row r="1" spans="1:23" ht="14.4" x14ac:dyDescent="0.3">
      <c r="A1" s="5"/>
      <c r="B1" s="6"/>
      <c r="C1" s="7"/>
      <c r="D1" s="8"/>
      <c r="E1" s="129"/>
      <c r="F1" s="10"/>
      <c r="G1" s="11"/>
      <c r="H1" s="12"/>
      <c r="I1" s="96"/>
      <c r="J1" s="13"/>
      <c r="K1" s="378"/>
      <c r="L1" s="14"/>
      <c r="M1" s="15"/>
      <c r="N1" s="11"/>
      <c r="O1" s="16"/>
      <c r="P1" s="17"/>
      <c r="Q1" s="378"/>
      <c r="R1" s="17"/>
      <c r="S1" s="18"/>
      <c r="T1" s="879" t="s">
        <v>9</v>
      </c>
      <c r="U1" s="880"/>
      <c r="V1" s="881"/>
      <c r="W1" s="19"/>
    </row>
    <row r="2" spans="1:23" ht="14.4" x14ac:dyDescent="0.3">
      <c r="A2" s="20"/>
      <c r="B2" s="21"/>
      <c r="C2" s="22"/>
      <c r="D2" s="23"/>
      <c r="E2" s="130"/>
      <c r="F2" s="127"/>
      <c r="G2" s="24"/>
      <c r="H2" s="25"/>
      <c r="I2" s="97"/>
      <c r="J2" s="26"/>
      <c r="K2" s="741"/>
      <c r="L2" s="28"/>
      <c r="M2" s="29"/>
      <c r="N2" s="26"/>
      <c r="O2" s="1"/>
      <c r="S2" s="4"/>
      <c r="T2" s="882" t="s">
        <v>10</v>
      </c>
      <c r="U2" s="883"/>
      <c r="V2" s="744"/>
      <c r="W2" s="30"/>
    </row>
    <row r="3" spans="1:23" ht="14.4" x14ac:dyDescent="0.3">
      <c r="A3" s="20"/>
      <c r="B3" s="21"/>
      <c r="C3" s="22"/>
      <c r="D3" s="31"/>
      <c r="E3" s="863" t="s">
        <v>11</v>
      </c>
      <c r="F3" s="864"/>
      <c r="G3" s="865"/>
      <c r="H3" s="32"/>
      <c r="I3" s="98"/>
      <c r="J3" s="26"/>
      <c r="K3" s="98"/>
      <c r="L3" s="33"/>
      <c r="M3" s="34"/>
      <c r="N3" s="26"/>
      <c r="O3" s="35"/>
      <c r="P3" s="26"/>
      <c r="Q3" s="98"/>
      <c r="R3" s="36"/>
      <c r="S3" s="37"/>
      <c r="T3" s="884" t="s">
        <v>12</v>
      </c>
      <c r="U3" s="885"/>
      <c r="V3" s="744"/>
      <c r="W3" s="38"/>
    </row>
    <row r="4" spans="1:23" s="52" customFormat="1" ht="39.6" x14ac:dyDescent="0.3">
      <c r="A4" s="39" t="s">
        <v>13</v>
      </c>
      <c r="B4" s="40" t="s">
        <v>14</v>
      </c>
      <c r="C4" s="41" t="s">
        <v>15</v>
      </c>
      <c r="D4" s="42" t="s">
        <v>16</v>
      </c>
      <c r="E4" s="131" t="s">
        <v>17</v>
      </c>
      <c r="F4" s="40" t="s">
        <v>18</v>
      </c>
      <c r="G4" s="44" t="s">
        <v>19</v>
      </c>
      <c r="H4" s="45" t="s">
        <v>20</v>
      </c>
      <c r="I4" s="99" t="s">
        <v>21</v>
      </c>
      <c r="J4" s="44" t="s">
        <v>22</v>
      </c>
      <c r="K4" s="99" t="s">
        <v>23</v>
      </c>
      <c r="L4" s="46" t="s">
        <v>24</v>
      </c>
      <c r="M4" s="46" t="s">
        <v>25</v>
      </c>
      <c r="N4" s="44" t="s">
        <v>26</v>
      </c>
      <c r="O4" s="47" t="s">
        <v>27</v>
      </c>
      <c r="P4" s="44" t="s">
        <v>28</v>
      </c>
      <c r="Q4" s="99" t="s">
        <v>29</v>
      </c>
      <c r="R4" s="48" t="s">
        <v>7</v>
      </c>
      <c r="S4" s="49" t="s">
        <v>8</v>
      </c>
      <c r="T4" s="50" t="s">
        <v>30</v>
      </c>
      <c r="U4" s="50" t="s">
        <v>31</v>
      </c>
      <c r="V4" s="745" t="s">
        <v>2</v>
      </c>
      <c r="W4" s="41" t="s">
        <v>32</v>
      </c>
    </row>
    <row r="5" spans="1:23" ht="15" thickBot="1" x14ac:dyDescent="0.35">
      <c r="A5" s="53" t="s">
        <v>33</v>
      </c>
      <c r="B5" s="54"/>
      <c r="C5" s="55"/>
      <c r="D5" s="56"/>
      <c r="E5" s="65" t="s">
        <v>34</v>
      </c>
      <c r="F5" s="57" t="s">
        <v>34</v>
      </c>
      <c r="G5" s="57" t="s">
        <v>34</v>
      </c>
      <c r="H5" s="137" t="s">
        <v>34</v>
      </c>
      <c r="I5" s="138" t="s">
        <v>34</v>
      </c>
      <c r="J5" s="57" t="s">
        <v>34</v>
      </c>
      <c r="K5" s="379" t="s">
        <v>35</v>
      </c>
      <c r="L5" s="59" t="s">
        <v>34</v>
      </c>
      <c r="M5" s="60" t="s">
        <v>34</v>
      </c>
      <c r="N5" s="60" t="s">
        <v>35</v>
      </c>
      <c r="O5" s="61" t="s">
        <v>36</v>
      </c>
      <c r="P5" s="62" t="s">
        <v>36</v>
      </c>
      <c r="Q5" s="379" t="s">
        <v>36</v>
      </c>
      <c r="R5" s="63" t="s">
        <v>36</v>
      </c>
      <c r="S5" s="64" t="s">
        <v>36</v>
      </c>
      <c r="T5" s="65" t="s">
        <v>34</v>
      </c>
      <c r="U5" s="65" t="s">
        <v>34</v>
      </c>
      <c r="V5" s="746" t="s">
        <v>34</v>
      </c>
      <c r="W5" s="67"/>
    </row>
    <row r="6" spans="1:23" ht="14.4" x14ac:dyDescent="0.3">
      <c r="A6" s="299">
        <v>44679</v>
      </c>
      <c r="B6" s="297" t="s">
        <v>83</v>
      </c>
      <c r="C6" s="338" t="s">
        <v>86</v>
      </c>
      <c r="D6" s="338" t="s">
        <v>52</v>
      </c>
      <c r="E6" s="298">
        <v>12.2</v>
      </c>
      <c r="F6" s="298">
        <v>0.24</v>
      </c>
      <c r="G6" s="341">
        <f>E6-F6</f>
        <v>11.959999999999999</v>
      </c>
      <c r="H6" s="111"/>
      <c r="I6" s="298">
        <v>3.85</v>
      </c>
      <c r="J6" s="298">
        <v>3.95</v>
      </c>
      <c r="K6" s="337">
        <v>0.46</v>
      </c>
      <c r="L6" s="298">
        <f>G6-I6</f>
        <v>8.11</v>
      </c>
      <c r="M6" s="297"/>
      <c r="N6" s="111"/>
      <c r="O6" s="298"/>
      <c r="P6" s="298">
        <f>I6*K6</f>
        <v>1.7710000000000001</v>
      </c>
      <c r="Q6" s="298"/>
      <c r="R6" s="300"/>
      <c r="S6" s="343"/>
      <c r="T6" s="300"/>
      <c r="U6" s="300"/>
      <c r="V6" s="749"/>
      <c r="W6" s="214"/>
    </row>
    <row r="7" spans="1:23" ht="14.4" x14ac:dyDescent="0.3">
      <c r="A7" s="299">
        <v>44821</v>
      </c>
      <c r="B7" s="297" t="s">
        <v>83</v>
      </c>
      <c r="C7" s="338" t="s">
        <v>86</v>
      </c>
      <c r="D7" s="338" t="s">
        <v>53</v>
      </c>
      <c r="E7" s="298">
        <v>6.1</v>
      </c>
      <c r="F7" s="298">
        <v>-0.06</v>
      </c>
      <c r="G7" s="341">
        <f>E7-F7</f>
        <v>6.1599999999999993</v>
      </c>
      <c r="H7" s="111"/>
      <c r="I7" s="298"/>
      <c r="J7" s="297"/>
      <c r="K7" s="337"/>
      <c r="L7" s="297"/>
      <c r="M7" s="297"/>
      <c r="N7" s="111"/>
      <c r="O7" s="298">
        <f>Q7-P6</f>
        <v>-3.5260000000000002</v>
      </c>
      <c r="P7" s="298"/>
      <c r="Q7" s="298">
        <f>(G7-L6)*0.9</f>
        <v>-1.7550000000000001</v>
      </c>
      <c r="R7" s="300"/>
      <c r="S7" s="343">
        <v>0</v>
      </c>
      <c r="T7" s="300"/>
      <c r="U7" s="300"/>
      <c r="V7" s="749"/>
      <c r="W7" s="214"/>
    </row>
    <row r="8" spans="1:23" ht="14.4" x14ac:dyDescent="0.3">
      <c r="A8" s="299">
        <v>44821</v>
      </c>
      <c r="B8" s="297" t="s">
        <v>83</v>
      </c>
      <c r="C8" s="338" t="s">
        <v>86</v>
      </c>
      <c r="D8" s="338" t="s">
        <v>53</v>
      </c>
      <c r="E8" s="298">
        <v>10.45</v>
      </c>
      <c r="F8" s="298">
        <f>E8-G8</f>
        <v>4.2899999999999991</v>
      </c>
      <c r="G8" s="111">
        <v>6.16</v>
      </c>
      <c r="H8" s="111"/>
      <c r="I8" s="298"/>
      <c r="J8" s="297"/>
      <c r="K8" s="337"/>
      <c r="L8" s="297"/>
      <c r="M8" s="297"/>
      <c r="N8" s="111"/>
      <c r="O8" s="298"/>
      <c r="P8" s="298"/>
      <c r="Q8" s="298"/>
      <c r="R8" s="300"/>
      <c r="S8" s="343"/>
      <c r="T8" s="300"/>
      <c r="U8" s="300"/>
      <c r="V8" s="749"/>
      <c r="W8" s="214"/>
    </row>
    <row r="9" spans="1:23" ht="14.4" x14ac:dyDescent="0.3">
      <c r="A9" s="299">
        <v>45052</v>
      </c>
      <c r="B9" s="297" t="s">
        <v>106</v>
      </c>
      <c r="C9" s="338" t="s">
        <v>86</v>
      </c>
      <c r="D9" s="338" t="s">
        <v>52</v>
      </c>
      <c r="E9" s="298">
        <v>12.2</v>
      </c>
      <c r="F9" s="298">
        <f>E9-G9</f>
        <v>3.4699999999999989</v>
      </c>
      <c r="G9" s="111">
        <v>8.73</v>
      </c>
      <c r="H9" s="111"/>
      <c r="I9" s="298"/>
      <c r="J9" s="298">
        <f>AVERAGE(2.65,2.68,2.67,2.38)</f>
        <v>2.5949999999999998</v>
      </c>
      <c r="K9" s="337">
        <v>0.43</v>
      </c>
      <c r="L9" s="298">
        <f>G9-J9</f>
        <v>6.1350000000000007</v>
      </c>
      <c r="M9" s="297"/>
      <c r="N9" s="111"/>
      <c r="O9" s="298"/>
      <c r="P9" s="298">
        <f>J9*K9</f>
        <v>1.1158499999999998</v>
      </c>
      <c r="Q9" s="298"/>
      <c r="R9" s="300">
        <f>(L9-G8)*0.9</f>
        <v>-2.249999999999952E-2</v>
      </c>
      <c r="S9" s="343"/>
      <c r="T9" s="298">
        <v>394976.75599999999</v>
      </c>
      <c r="U9" s="298">
        <v>6697915.6560000004</v>
      </c>
      <c r="V9" s="320">
        <v>1054.7239999999999</v>
      </c>
      <c r="W9" s="214"/>
    </row>
    <row r="10" spans="1:23" ht="14.4" x14ac:dyDescent="0.3">
      <c r="A10" s="299">
        <v>45176</v>
      </c>
      <c r="B10" s="297" t="s">
        <v>97</v>
      </c>
      <c r="C10" s="338" t="s">
        <v>86</v>
      </c>
      <c r="D10" s="338" t="s">
        <v>53</v>
      </c>
      <c r="E10" s="298">
        <v>6.1</v>
      </c>
      <c r="F10" s="298">
        <v>2.29</v>
      </c>
      <c r="G10" s="341">
        <f>E10-F10</f>
        <v>3.8099999999999996</v>
      </c>
      <c r="H10" s="111"/>
      <c r="I10" s="298"/>
      <c r="J10" s="298"/>
      <c r="K10" s="337"/>
      <c r="L10" s="298"/>
      <c r="M10" s="297"/>
      <c r="N10" s="111"/>
      <c r="O10" s="298">
        <f>P10-P9</f>
        <v>-1.1158499999999998</v>
      </c>
      <c r="P10" s="298"/>
      <c r="Q10" s="298">
        <f>(G10-L9)*0.9</f>
        <v>-2.0925000000000011</v>
      </c>
      <c r="R10" s="300"/>
      <c r="S10" s="343">
        <v>0</v>
      </c>
      <c r="T10" s="300"/>
      <c r="U10" s="300"/>
      <c r="V10" s="749"/>
      <c r="W10" s="214"/>
    </row>
    <row r="11" spans="1:23" ht="14.4" x14ac:dyDescent="0.3">
      <c r="A11" s="299">
        <v>45176</v>
      </c>
      <c r="B11" s="297" t="s">
        <v>97</v>
      </c>
      <c r="C11" s="338" t="s">
        <v>86</v>
      </c>
      <c r="D11" s="338" t="s">
        <v>53</v>
      </c>
      <c r="E11" s="298">
        <v>8.1</v>
      </c>
      <c r="F11" s="298">
        <f>E11-G11</f>
        <v>4.2899999999999991</v>
      </c>
      <c r="G11" s="111">
        <v>3.81</v>
      </c>
      <c r="H11" s="341">
        <f>G11-L9</f>
        <v>-2.3250000000000006</v>
      </c>
      <c r="I11" s="298"/>
      <c r="J11" s="298"/>
      <c r="K11" s="337"/>
      <c r="L11" s="298"/>
      <c r="M11" s="297"/>
      <c r="N11" s="111"/>
      <c r="O11" s="298"/>
      <c r="P11" s="298"/>
      <c r="Q11" s="298"/>
      <c r="R11" s="300"/>
      <c r="S11" s="343"/>
      <c r="T11" s="300"/>
      <c r="U11" s="300"/>
      <c r="V11" s="749"/>
      <c r="W11" s="214"/>
    </row>
    <row r="12" spans="1:23" ht="14.4" x14ac:dyDescent="0.3">
      <c r="A12" s="299">
        <v>45406</v>
      </c>
      <c r="B12" s="297" t="s">
        <v>225</v>
      </c>
      <c r="C12" s="338" t="s">
        <v>86</v>
      </c>
      <c r="D12" s="338" t="s">
        <v>52</v>
      </c>
      <c r="E12" s="298">
        <v>8.1</v>
      </c>
      <c r="F12" s="298">
        <v>1.1599999999999999</v>
      </c>
      <c r="G12" s="341">
        <f>E12-F12</f>
        <v>6.9399999999999995</v>
      </c>
      <c r="H12" s="341">
        <f>L12-G11</f>
        <v>0.23799999999999999</v>
      </c>
      <c r="I12" s="298">
        <f>AVERAGE(SiteB_PitCore_20240424!V22:V26)/100</f>
        <v>2.8919999999999999</v>
      </c>
      <c r="J12" s="298">
        <f>SiteB_PitCore_20240424!I3</f>
        <v>2.8963157894736842</v>
      </c>
      <c r="K12" s="337">
        <f>SiteB_PitCore_20240424!I4</f>
        <v>0.42462765384672868</v>
      </c>
      <c r="L12" s="298">
        <f>G12-I12</f>
        <v>4.048</v>
      </c>
      <c r="M12" s="297"/>
      <c r="N12" s="111"/>
      <c r="O12" s="298"/>
      <c r="P12" s="298">
        <f>I12*K12</f>
        <v>1.2280231749247392</v>
      </c>
      <c r="Q12" s="298"/>
      <c r="R12" s="300" t="s">
        <v>54</v>
      </c>
      <c r="S12" s="343"/>
      <c r="T12" s="298">
        <v>394991.413</v>
      </c>
      <c r="U12" s="298">
        <v>6697867.7209999999</v>
      </c>
      <c r="V12" s="320">
        <v>1048.3979999999999</v>
      </c>
      <c r="W12" s="214"/>
    </row>
    <row r="13" spans="1:23" ht="14.4" x14ac:dyDescent="0.3">
      <c r="A13" s="299">
        <v>45552</v>
      </c>
      <c r="B13" s="297" t="s">
        <v>202</v>
      </c>
      <c r="C13" s="338" t="s">
        <v>86</v>
      </c>
      <c r="D13" s="338" t="s">
        <v>53</v>
      </c>
      <c r="E13" s="298">
        <v>3.05</v>
      </c>
      <c r="F13" s="298">
        <v>1.38</v>
      </c>
      <c r="G13" s="341">
        <f>E13-F13</f>
        <v>1.67</v>
      </c>
      <c r="H13" s="341"/>
      <c r="I13" s="298"/>
      <c r="J13" s="298"/>
      <c r="K13" s="337"/>
      <c r="L13" s="298"/>
      <c r="M13" s="297"/>
      <c r="N13" s="111"/>
      <c r="O13" s="298">
        <f>Q13-P12</f>
        <v>-3.3682231749247391</v>
      </c>
      <c r="P13" s="298"/>
      <c r="Q13" s="298">
        <f>(G13-L12)*0.9</f>
        <v>-2.1402000000000001</v>
      </c>
      <c r="R13" s="300"/>
      <c r="S13" s="343">
        <v>0</v>
      </c>
      <c r="T13" s="298">
        <v>395000.902</v>
      </c>
      <c r="U13" s="298">
        <v>6697851.0789999999</v>
      </c>
      <c r="V13" s="320">
        <v>1044.5219999999999</v>
      </c>
      <c r="W13" s="214"/>
    </row>
    <row r="14" spans="1:23" ht="14.4" x14ac:dyDescent="0.3">
      <c r="A14" s="299">
        <v>45552</v>
      </c>
      <c r="B14" s="297" t="s">
        <v>202</v>
      </c>
      <c r="C14" s="338" t="s">
        <v>86</v>
      </c>
      <c r="D14" s="338" t="s">
        <v>53</v>
      </c>
      <c r="E14" s="298">
        <v>6.1</v>
      </c>
      <c r="F14" s="298">
        <f>E14-G14</f>
        <v>4.43</v>
      </c>
      <c r="G14" s="341">
        <f>G13</f>
        <v>1.67</v>
      </c>
      <c r="H14" s="341"/>
      <c r="I14" s="298"/>
      <c r="J14" s="298"/>
      <c r="K14" s="337"/>
      <c r="L14" s="298"/>
      <c r="M14" s="297"/>
      <c r="N14" s="111"/>
      <c r="O14" s="298"/>
      <c r="P14" s="298"/>
      <c r="Q14" s="298"/>
      <c r="R14" s="300"/>
      <c r="S14" s="343"/>
      <c r="T14" s="298"/>
      <c r="U14" s="298"/>
      <c r="V14" s="320"/>
      <c r="W14" s="214"/>
    </row>
    <row r="15" spans="1:23" ht="14.4" x14ac:dyDescent="0.3">
      <c r="A15" s="70"/>
      <c r="B15" s="70"/>
      <c r="C15" s="222"/>
      <c r="D15" s="222"/>
      <c r="E15" s="71"/>
      <c r="F15" s="71"/>
      <c r="G15" s="215"/>
      <c r="H15" s="215"/>
      <c r="I15" s="71"/>
      <c r="J15" s="70"/>
      <c r="K15" s="743"/>
      <c r="L15" s="70"/>
      <c r="M15" s="70"/>
      <c r="N15" s="215"/>
      <c r="O15" s="70"/>
      <c r="P15" s="70"/>
      <c r="Q15" s="71"/>
      <c r="R15" s="72"/>
      <c r="S15" s="220"/>
      <c r="T15" s="103"/>
      <c r="U15" s="103"/>
      <c r="V15" s="748"/>
    </row>
    <row r="16" spans="1:23" s="256" customFormat="1" ht="14.4" x14ac:dyDescent="0.3">
      <c r="A16" s="364">
        <v>45052</v>
      </c>
      <c r="B16" s="361" t="s">
        <v>97</v>
      </c>
      <c r="C16" s="365" t="s">
        <v>101</v>
      </c>
      <c r="D16" s="365" t="s">
        <v>52</v>
      </c>
      <c r="E16" s="362">
        <v>12.2</v>
      </c>
      <c r="F16" s="362">
        <v>0.62</v>
      </c>
      <c r="G16" s="370">
        <f>E16-F16</f>
        <v>11.58</v>
      </c>
      <c r="H16" s="366"/>
      <c r="I16" s="362"/>
      <c r="J16" s="362">
        <f>AVERAGE(2.76,2.69,2.79,2.79)</f>
        <v>2.7574999999999994</v>
      </c>
      <c r="K16" s="371">
        <v>0.43</v>
      </c>
      <c r="L16" s="362">
        <f>G16-J16</f>
        <v>8.8225000000000016</v>
      </c>
      <c r="M16" s="361"/>
      <c r="N16" s="366"/>
      <c r="O16" s="361"/>
      <c r="P16" s="362">
        <f>J16*K16</f>
        <v>1.1857249999999997</v>
      </c>
      <c r="Q16" s="362"/>
      <c r="R16" s="363"/>
      <c r="S16" s="369"/>
      <c r="T16" s="362">
        <v>394957.91700000002</v>
      </c>
      <c r="U16" s="362">
        <v>6697980.21</v>
      </c>
      <c r="V16" s="270">
        <v>1058.954</v>
      </c>
    </row>
    <row r="17" spans="1:22" s="256" customFormat="1" ht="14.4" x14ac:dyDescent="0.3">
      <c r="A17" s="364">
        <v>45176</v>
      </c>
      <c r="B17" s="361" t="s">
        <v>97</v>
      </c>
      <c r="C17" s="365" t="s">
        <v>101</v>
      </c>
      <c r="D17" s="365" t="s">
        <v>53</v>
      </c>
      <c r="E17" s="362">
        <v>9.15</v>
      </c>
      <c r="F17" s="362">
        <v>2.4500000000000002</v>
      </c>
      <c r="G17" s="370">
        <f>E17-F17</f>
        <v>6.7</v>
      </c>
      <c r="H17" s="366"/>
      <c r="I17" s="362"/>
      <c r="J17" s="362"/>
      <c r="K17" s="371"/>
      <c r="L17" s="361"/>
      <c r="M17" s="361"/>
      <c r="N17" s="366"/>
      <c r="O17" s="362">
        <f>Q17-P16</f>
        <v>-3.095975000000001</v>
      </c>
      <c r="P17" s="362"/>
      <c r="Q17" s="362">
        <f>(G17-L16)*0.9</f>
        <v>-1.9102500000000013</v>
      </c>
      <c r="R17" s="363"/>
      <c r="S17" s="369">
        <v>0</v>
      </c>
      <c r="T17" s="747"/>
      <c r="U17" s="747"/>
      <c r="V17" s="374"/>
    </row>
    <row r="18" spans="1:22" s="256" customFormat="1" ht="14.4" x14ac:dyDescent="0.3">
      <c r="A18" s="364">
        <v>45176</v>
      </c>
      <c r="B18" s="361" t="s">
        <v>97</v>
      </c>
      <c r="C18" s="365" t="s">
        <v>101</v>
      </c>
      <c r="D18" s="365" t="s">
        <v>53</v>
      </c>
      <c r="E18" s="362">
        <v>11.15</v>
      </c>
      <c r="F18" s="362">
        <f>E18-G18</f>
        <v>4.45</v>
      </c>
      <c r="G18" s="370">
        <v>6.7</v>
      </c>
      <c r="H18" s="366"/>
      <c r="I18" s="362"/>
      <c r="J18" s="362"/>
      <c r="K18" s="371"/>
      <c r="L18" s="361"/>
      <c r="M18" s="361"/>
      <c r="N18" s="366"/>
      <c r="O18" s="361"/>
      <c r="P18" s="362"/>
      <c r="Q18" s="362"/>
      <c r="R18" s="363"/>
      <c r="S18" s="369"/>
      <c r="T18" s="747"/>
      <c r="U18" s="747"/>
      <c r="V18" s="374"/>
    </row>
    <row r="19" spans="1:22" s="256" customFormat="1" ht="14.4" x14ac:dyDescent="0.3">
      <c r="A19" s="364">
        <v>45301</v>
      </c>
      <c r="B19" s="361" t="s">
        <v>107</v>
      </c>
      <c r="C19" s="365" t="s">
        <v>101</v>
      </c>
      <c r="D19" s="365" t="s">
        <v>52</v>
      </c>
      <c r="E19" s="362">
        <v>11.15</v>
      </c>
      <c r="F19" s="362">
        <v>2.6</v>
      </c>
      <c r="G19" s="370">
        <f>E19-F19</f>
        <v>8.5500000000000007</v>
      </c>
      <c r="H19" s="370">
        <f>G19-G18</f>
        <v>1.8500000000000005</v>
      </c>
      <c r="I19" s="362"/>
      <c r="J19" s="362"/>
      <c r="K19" s="371"/>
      <c r="L19" s="361"/>
      <c r="M19" s="361"/>
      <c r="N19" s="366"/>
      <c r="O19" s="361"/>
      <c r="P19" s="362"/>
      <c r="Q19" s="362"/>
      <c r="R19" s="363"/>
      <c r="S19" s="369"/>
      <c r="T19" s="747"/>
      <c r="U19" s="747"/>
      <c r="V19" s="374"/>
    </row>
    <row r="20" spans="1:22" s="256" customFormat="1" ht="14.4" x14ac:dyDescent="0.3">
      <c r="A20" s="364">
        <v>45301</v>
      </c>
      <c r="B20" s="361" t="s">
        <v>107</v>
      </c>
      <c r="C20" s="365" t="s">
        <v>101</v>
      </c>
      <c r="D20" s="365" t="s">
        <v>52</v>
      </c>
      <c r="E20" s="362">
        <v>12.15</v>
      </c>
      <c r="F20" s="362">
        <v>3.6</v>
      </c>
      <c r="G20" s="370">
        <f>E20-F20</f>
        <v>8.5500000000000007</v>
      </c>
      <c r="H20" s="366"/>
      <c r="I20" s="362"/>
      <c r="J20" s="362"/>
      <c r="K20" s="371"/>
      <c r="L20" s="361"/>
      <c r="M20" s="361"/>
      <c r="N20" s="366"/>
      <c r="O20" s="361"/>
      <c r="P20" s="362"/>
      <c r="Q20" s="362"/>
      <c r="R20" s="363"/>
      <c r="S20" s="369"/>
      <c r="T20" s="747"/>
      <c r="U20" s="747"/>
      <c r="V20" s="374"/>
    </row>
    <row r="21" spans="1:22" s="256" customFormat="1" ht="14.4" x14ac:dyDescent="0.3">
      <c r="A21" s="364">
        <v>45406</v>
      </c>
      <c r="B21" s="361" t="s">
        <v>225</v>
      </c>
      <c r="C21" s="365" t="s">
        <v>101</v>
      </c>
      <c r="D21" s="365" t="s">
        <v>52</v>
      </c>
      <c r="E21" s="362">
        <v>12.15</v>
      </c>
      <c r="F21" s="362">
        <v>2.67</v>
      </c>
      <c r="G21" s="370">
        <f>E21-F21</f>
        <v>9.48</v>
      </c>
      <c r="H21" s="366"/>
      <c r="I21" s="362"/>
      <c r="J21" s="362"/>
      <c r="K21" s="371"/>
      <c r="L21" s="361"/>
      <c r="M21" s="361"/>
      <c r="N21" s="366"/>
      <c r="O21" s="361"/>
      <c r="P21" s="362"/>
      <c r="Q21" s="362"/>
      <c r="R21" s="363"/>
      <c r="S21" s="369"/>
      <c r="T21" s="747"/>
      <c r="U21" s="747"/>
      <c r="V21" s="374"/>
    </row>
    <row r="22" spans="1:22" s="256" customFormat="1" ht="14.4" x14ac:dyDescent="0.3">
      <c r="A22" s="364">
        <v>45406</v>
      </c>
      <c r="B22" s="361" t="s">
        <v>225</v>
      </c>
      <c r="C22" s="365" t="s">
        <v>101</v>
      </c>
      <c r="D22" s="365" t="s">
        <v>52</v>
      </c>
      <c r="E22" s="362">
        <v>11.15</v>
      </c>
      <c r="F22" s="362">
        <v>1.67</v>
      </c>
      <c r="G22" s="370">
        <f>E22-F22</f>
        <v>9.48</v>
      </c>
      <c r="H22" s="366"/>
      <c r="I22" s="362">
        <f>AVERAGE(SiteB_PitCore_20240424!V17:V21)/100</f>
        <v>2.8319999999999999</v>
      </c>
      <c r="J22" s="362">
        <f>SiteB_PitCore_20240424!I3</f>
        <v>2.8963157894736842</v>
      </c>
      <c r="K22" s="371">
        <f>SiteB_PitCore_20240424!I4</f>
        <v>0.42462765384672868</v>
      </c>
      <c r="L22" s="362">
        <f>G22-I22</f>
        <v>6.6480000000000006</v>
      </c>
      <c r="M22" s="361"/>
      <c r="N22" s="366"/>
      <c r="O22" s="361"/>
      <c r="P22" s="362">
        <f>I22*K22</f>
        <v>1.2025455156939355</v>
      </c>
      <c r="Q22" s="362"/>
      <c r="R22" s="363">
        <f>(L22-G18)*0.9</f>
        <v>-4.679999999999964E-2</v>
      </c>
      <c r="S22" s="369"/>
      <c r="T22" s="362">
        <v>394976.23599999998</v>
      </c>
      <c r="U22" s="362">
        <v>6697932.4740000004</v>
      </c>
      <c r="V22" s="270">
        <v>1052.5509999999999</v>
      </c>
    </row>
    <row r="23" spans="1:22" s="256" customFormat="1" ht="14.4" x14ac:dyDescent="0.3">
      <c r="A23" s="364">
        <v>45552</v>
      </c>
      <c r="B23" s="361" t="s">
        <v>202</v>
      </c>
      <c r="C23" s="365" t="s">
        <v>101</v>
      </c>
      <c r="D23" s="365" t="s">
        <v>53</v>
      </c>
      <c r="E23" s="362">
        <v>6.1</v>
      </c>
      <c r="F23" s="362">
        <v>1.58</v>
      </c>
      <c r="G23" s="370">
        <f>E23-F23</f>
        <v>4.5199999999999996</v>
      </c>
      <c r="H23" s="366"/>
      <c r="I23" s="362"/>
      <c r="J23" s="362"/>
      <c r="K23" s="371"/>
      <c r="L23" s="362"/>
      <c r="M23" s="361"/>
      <c r="N23" s="366"/>
      <c r="O23" s="362">
        <f>Q23-P22</f>
        <v>-3.1177455156939367</v>
      </c>
      <c r="P23" s="362"/>
      <c r="Q23" s="362">
        <f>(G23-L22)*0.9</f>
        <v>-1.9152000000000009</v>
      </c>
      <c r="R23" s="363"/>
      <c r="S23" s="369">
        <v>0</v>
      </c>
      <c r="T23" s="362">
        <v>394987.62599999999</v>
      </c>
      <c r="U23" s="362">
        <v>6697914.2340000002</v>
      </c>
      <c r="V23" s="270">
        <v>1048.97</v>
      </c>
    </row>
    <row r="24" spans="1:22" s="256" customFormat="1" ht="14.4" x14ac:dyDescent="0.3">
      <c r="A24" s="364">
        <v>45552</v>
      </c>
      <c r="B24" s="361" t="s">
        <v>202</v>
      </c>
      <c r="C24" s="365" t="s">
        <v>101</v>
      </c>
      <c r="D24" s="365" t="s">
        <v>53</v>
      </c>
      <c r="E24" s="362">
        <v>9.15</v>
      </c>
      <c r="F24" s="362">
        <f>E24-G24</f>
        <v>4.6300000000000008</v>
      </c>
      <c r="G24" s="370">
        <f>G23</f>
        <v>4.5199999999999996</v>
      </c>
      <c r="H24" s="366"/>
      <c r="I24" s="362"/>
      <c r="J24" s="362"/>
      <c r="K24" s="371"/>
      <c r="L24" s="362"/>
      <c r="M24" s="361"/>
      <c r="N24" s="366"/>
      <c r="O24" s="361"/>
      <c r="P24" s="362"/>
      <c r="Q24" s="362"/>
      <c r="R24" s="363"/>
      <c r="S24" s="369"/>
      <c r="T24" s="362"/>
      <c r="U24" s="362"/>
      <c r="V24" s="270"/>
    </row>
    <row r="25" spans="1:22" ht="14.4" x14ac:dyDescent="0.3">
      <c r="A25" s="70"/>
      <c r="B25" s="70"/>
      <c r="C25" s="222"/>
      <c r="D25" s="222"/>
      <c r="E25" s="71"/>
      <c r="F25" s="71"/>
      <c r="G25" s="215"/>
      <c r="H25" s="215"/>
      <c r="I25" s="71"/>
      <c r="J25" s="70"/>
      <c r="K25" s="743"/>
      <c r="L25" s="70"/>
      <c r="M25" s="70"/>
      <c r="N25" s="215"/>
      <c r="O25" s="70"/>
      <c r="P25" s="70"/>
      <c r="Q25" s="71"/>
      <c r="R25" s="72"/>
      <c r="S25" s="220"/>
      <c r="T25" s="103"/>
      <c r="U25" s="103"/>
      <c r="V25" s="748"/>
    </row>
    <row r="26" spans="1:22" s="729" customFormat="1" ht="14.4" x14ac:dyDescent="0.3">
      <c r="A26" s="730">
        <v>45406</v>
      </c>
      <c r="B26" s="295" t="s">
        <v>202</v>
      </c>
      <c r="C26" s="736" t="s">
        <v>208</v>
      </c>
      <c r="D26" s="736" t="s">
        <v>52</v>
      </c>
      <c r="E26" s="727">
        <v>12</v>
      </c>
      <c r="F26" s="727">
        <v>-0.02</v>
      </c>
      <c r="G26" s="739">
        <f>E26-F26</f>
        <v>12.02</v>
      </c>
      <c r="H26" s="234"/>
      <c r="I26" s="727">
        <f>AVERAGE(SiteB_PitCore_20240424!V13:V16)/100</f>
        <v>3.13</v>
      </c>
      <c r="J26" s="727">
        <f>SiteB_PitCore_20240424!I3</f>
        <v>2.8963157894736842</v>
      </c>
      <c r="K26" s="740">
        <f>SiteB_PitCore_20240424!I4</f>
        <v>0.42462765384672868</v>
      </c>
      <c r="L26" s="727">
        <f>G26-I26</f>
        <v>8.89</v>
      </c>
      <c r="M26" s="295"/>
      <c r="N26" s="234"/>
      <c r="O26" s="295"/>
      <c r="P26" s="727">
        <f>I26*K26</f>
        <v>1.3290845565402607</v>
      </c>
      <c r="Q26" s="727"/>
      <c r="R26" s="728"/>
      <c r="S26" s="738"/>
      <c r="T26" s="727">
        <v>394963.11700000003</v>
      </c>
      <c r="U26" s="727">
        <v>6697982.6519999998</v>
      </c>
      <c r="V26" s="750">
        <v>1057.8489999999999</v>
      </c>
    </row>
    <row r="27" spans="1:22" s="729" customFormat="1" ht="14.4" x14ac:dyDescent="0.3">
      <c r="A27" s="730">
        <v>45552</v>
      </c>
      <c r="B27" s="295" t="s">
        <v>107</v>
      </c>
      <c r="C27" s="736" t="s">
        <v>208</v>
      </c>
      <c r="D27" s="839" t="s">
        <v>53</v>
      </c>
      <c r="E27" s="727">
        <v>10</v>
      </c>
      <c r="F27" s="727">
        <v>2.78</v>
      </c>
      <c r="G27" s="739">
        <f>E27-F27</f>
        <v>7.2200000000000006</v>
      </c>
      <c r="H27" s="234"/>
      <c r="I27" s="727"/>
      <c r="J27" s="727"/>
      <c r="K27" s="740"/>
      <c r="L27" s="727"/>
      <c r="M27" s="295"/>
      <c r="N27" s="234"/>
      <c r="O27" s="727">
        <f>Q27-P26</f>
        <v>-2.8320845565402606</v>
      </c>
      <c r="P27" s="727"/>
      <c r="Q27" s="727">
        <f>(G27-L26)*0.9</f>
        <v>-1.5029999999999999</v>
      </c>
      <c r="R27" s="728"/>
      <c r="S27" s="738">
        <v>0</v>
      </c>
      <c r="T27" s="727">
        <v>394973.174</v>
      </c>
      <c r="U27" s="727">
        <v>6697961.7759999996</v>
      </c>
      <c r="V27" s="750">
        <v>1052.3130000000001</v>
      </c>
    </row>
    <row r="28" spans="1:22" s="729" customFormat="1" ht="14.4" x14ac:dyDescent="0.3">
      <c r="A28" s="730">
        <v>45552</v>
      </c>
      <c r="B28" s="295" t="s">
        <v>107</v>
      </c>
      <c r="C28" s="736" t="s">
        <v>208</v>
      </c>
      <c r="D28" s="839" t="s">
        <v>53</v>
      </c>
      <c r="E28" s="727">
        <v>11.5</v>
      </c>
      <c r="F28" s="727">
        <f>E28-G28</f>
        <v>4.2799999999999994</v>
      </c>
      <c r="G28" s="739">
        <f>G27</f>
        <v>7.2200000000000006</v>
      </c>
      <c r="H28" s="234"/>
      <c r="I28" s="727"/>
      <c r="J28" s="727"/>
      <c r="K28" s="740"/>
      <c r="L28" s="727"/>
      <c r="M28" s="295"/>
      <c r="N28" s="234"/>
      <c r="O28" s="295"/>
      <c r="P28" s="727"/>
      <c r="Q28" s="727"/>
      <c r="R28" s="728"/>
      <c r="S28" s="738"/>
      <c r="T28" s="727"/>
      <c r="U28" s="727"/>
      <c r="V28" s="750"/>
    </row>
    <row r="29" spans="1:22" ht="14.4" x14ac:dyDescent="0.3">
      <c r="A29" s="70"/>
      <c r="B29" s="70"/>
      <c r="C29" s="222"/>
      <c r="D29" s="224"/>
      <c r="E29" s="71"/>
      <c r="F29" s="71"/>
      <c r="G29" s="215"/>
      <c r="H29" s="215"/>
      <c r="I29" s="71"/>
      <c r="J29" s="70"/>
      <c r="K29" s="743"/>
      <c r="L29" s="70"/>
      <c r="M29" s="70"/>
      <c r="N29" s="215"/>
      <c r="O29" s="70"/>
      <c r="P29" s="70"/>
      <c r="Q29" s="71"/>
      <c r="R29" s="72"/>
      <c r="S29" s="220"/>
      <c r="T29" s="103"/>
      <c r="U29" s="103"/>
      <c r="V29" s="748"/>
    </row>
    <row r="30" spans="1:22" ht="15" thickBot="1" x14ac:dyDescent="0.35">
      <c r="A30" s="70"/>
      <c r="B30" s="70"/>
      <c r="C30" s="70"/>
      <c r="D30" s="70"/>
      <c r="E30" s="71"/>
      <c r="F30" s="71"/>
      <c r="G30" s="70"/>
      <c r="H30" s="70"/>
      <c r="I30" s="71"/>
      <c r="J30" s="70"/>
      <c r="K30" s="71"/>
      <c r="L30" s="70"/>
      <c r="M30" s="70"/>
      <c r="N30" s="70"/>
      <c r="O30" s="70"/>
      <c r="P30" s="70"/>
      <c r="Q30" s="71"/>
      <c r="R30" s="72"/>
      <c r="S30" s="72"/>
      <c r="T30" s="103"/>
      <c r="U30" s="103"/>
    </row>
    <row r="31" spans="1:22" ht="14.4" customHeight="1" x14ac:dyDescent="0.3">
      <c r="A31" s="868" t="s">
        <v>37</v>
      </c>
      <c r="B31" s="869"/>
      <c r="C31" s="872" t="s">
        <v>38</v>
      </c>
      <c r="D31" s="873"/>
      <c r="E31" s="132" t="s">
        <v>39</v>
      </c>
      <c r="F31" s="74"/>
      <c r="G31" s="73" t="s">
        <v>40</v>
      </c>
      <c r="H31" s="74"/>
      <c r="I31" s="100" t="s">
        <v>41</v>
      </c>
      <c r="Q31" s="385"/>
      <c r="R31" s="68"/>
      <c r="S31" s="68"/>
      <c r="T31" s="386"/>
      <c r="U31" s="103"/>
    </row>
    <row r="32" spans="1:22" ht="14.4" customHeight="1" x14ac:dyDescent="0.3">
      <c r="A32" s="870"/>
      <c r="B32" s="871"/>
      <c r="C32" s="76" t="s">
        <v>42</v>
      </c>
      <c r="D32" s="76" t="s">
        <v>43</v>
      </c>
      <c r="E32" s="133">
        <f>A18</f>
        <v>45176</v>
      </c>
      <c r="F32" s="78" t="s">
        <v>44</v>
      </c>
      <c r="G32" s="79">
        <f>A26</f>
        <v>45406</v>
      </c>
      <c r="H32" s="78" t="s">
        <v>44</v>
      </c>
      <c r="I32" s="80">
        <f>A27</f>
        <v>45552</v>
      </c>
      <c r="Q32" s="385"/>
      <c r="R32" s="81"/>
      <c r="S32" s="81"/>
      <c r="T32" s="386"/>
      <c r="U32" s="103"/>
    </row>
    <row r="33" spans="1:21" ht="14.4" x14ac:dyDescent="0.3">
      <c r="A33" s="82"/>
      <c r="B33" s="83" t="s">
        <v>45</v>
      </c>
      <c r="C33" s="84">
        <f>AVERAGE(P12,P22,P26)</f>
        <v>1.2532177490529783</v>
      </c>
      <c r="D33" s="84"/>
      <c r="E33" s="84"/>
      <c r="F33" s="85"/>
      <c r="G33" s="86"/>
      <c r="H33" s="84"/>
      <c r="I33" s="101"/>
      <c r="Q33" s="385"/>
      <c r="R33" s="81"/>
      <c r="S33" s="81"/>
      <c r="T33" s="386"/>
      <c r="U33" s="103"/>
    </row>
    <row r="34" spans="1:21" ht="14.4" x14ac:dyDescent="0.3">
      <c r="A34" s="82"/>
      <c r="B34" s="83" t="s">
        <v>46</v>
      </c>
      <c r="C34" s="84">
        <f>C35-C33</f>
        <v>-3.1060177490529783</v>
      </c>
      <c r="D34" s="84"/>
      <c r="E34" s="84"/>
      <c r="F34" s="85"/>
      <c r="G34" s="86"/>
      <c r="H34" s="84"/>
      <c r="I34" s="101"/>
      <c r="Q34" s="385"/>
      <c r="R34" s="81"/>
      <c r="S34" s="81"/>
      <c r="T34" s="386"/>
      <c r="U34" s="103"/>
    </row>
    <row r="35" spans="1:21" ht="14.4" x14ac:dyDescent="0.3">
      <c r="A35" s="82"/>
      <c r="B35" s="83" t="s">
        <v>47</v>
      </c>
      <c r="C35" s="84">
        <f>AVERAGE(Q27,Q23,Q13)</f>
        <v>-1.8528000000000002</v>
      </c>
      <c r="D35" s="84"/>
      <c r="E35" s="84"/>
      <c r="F35" s="85"/>
      <c r="G35" s="86"/>
      <c r="H35" s="84"/>
      <c r="I35" s="101"/>
      <c r="Q35" s="385"/>
      <c r="R35" s="81"/>
      <c r="S35" s="81"/>
      <c r="T35" s="386"/>
      <c r="U35" s="103"/>
    </row>
    <row r="36" spans="1:21" ht="14.4" x14ac:dyDescent="0.3">
      <c r="A36" s="82"/>
      <c r="B36" s="88" t="s">
        <v>48</v>
      </c>
      <c r="C36" s="84">
        <f>S17</f>
        <v>0</v>
      </c>
      <c r="D36" s="84"/>
      <c r="E36" s="84"/>
      <c r="F36" s="85"/>
      <c r="G36" s="84"/>
      <c r="H36" s="84"/>
      <c r="I36" s="101"/>
      <c r="Q36" s="385"/>
      <c r="R36" s="81"/>
      <c r="S36" s="81"/>
      <c r="T36" s="386"/>
      <c r="U36" s="103"/>
    </row>
    <row r="37" spans="1:21" ht="14.4" x14ac:dyDescent="0.3">
      <c r="A37" s="82"/>
      <c r="B37" s="89" t="s">
        <v>49</v>
      </c>
      <c r="C37" s="84">
        <f>R22</f>
        <v>-4.679999999999964E-2</v>
      </c>
      <c r="D37" s="84"/>
      <c r="E37" s="84"/>
      <c r="F37" s="85"/>
      <c r="G37" s="84"/>
      <c r="H37" s="84"/>
      <c r="I37" s="101"/>
      <c r="Q37" s="385"/>
      <c r="R37" s="81"/>
      <c r="S37" s="81"/>
      <c r="T37" s="386"/>
      <c r="U37" s="103"/>
    </row>
    <row r="38" spans="1:21" ht="15" thickBot="1" x14ac:dyDescent="0.35">
      <c r="A38" s="90"/>
      <c r="B38" s="91" t="s">
        <v>50</v>
      </c>
      <c r="C38" s="92">
        <f>AVERAGE(S27,S23,S13)</f>
        <v>0</v>
      </c>
      <c r="D38" s="92"/>
      <c r="E38" s="92"/>
      <c r="F38" s="93"/>
      <c r="G38" s="94"/>
      <c r="H38" s="94"/>
      <c r="I38" s="102"/>
      <c r="Q38" s="385"/>
      <c r="R38" s="81"/>
      <c r="S38" s="81"/>
      <c r="T38" s="386"/>
      <c r="U38" s="103"/>
    </row>
    <row r="39" spans="1:21" ht="14.4" x14ac:dyDescent="0.3">
      <c r="A39" s="72"/>
      <c r="B39" s="72"/>
      <c r="C39" s="72"/>
      <c r="D39" s="72"/>
      <c r="E39" s="103"/>
      <c r="F39" s="72"/>
      <c r="G39" s="72"/>
      <c r="H39" s="72"/>
      <c r="I39" s="103"/>
      <c r="J39" s="72"/>
      <c r="K39" s="103"/>
      <c r="L39" s="72"/>
      <c r="M39" s="72"/>
      <c r="N39" s="72"/>
      <c r="O39" s="72"/>
      <c r="P39" s="72"/>
      <c r="Q39" s="386"/>
      <c r="R39" s="68"/>
      <c r="S39" s="68"/>
      <c r="T39" s="386"/>
      <c r="U39" s="103"/>
    </row>
  </sheetData>
  <mergeCells count="6">
    <mergeCell ref="T1:V1"/>
    <mergeCell ref="T2:U2"/>
    <mergeCell ref="E3:G3"/>
    <mergeCell ref="T3:U3"/>
    <mergeCell ref="A31:B32"/>
    <mergeCell ref="C31:D31"/>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3"/>
  <sheetViews>
    <sheetView topLeftCell="D35" zoomScale="68" zoomScaleNormal="68" workbookViewId="0">
      <selection activeCell="U55" sqref="U55"/>
    </sheetView>
  </sheetViews>
  <sheetFormatPr defaultColWidth="17.44140625" defaultRowHeight="15.75" customHeight="1" x14ac:dyDescent="0.3"/>
  <cols>
    <col min="1" max="1" width="12.44140625" style="2" customWidth="1"/>
    <col min="2" max="2" width="27.44140625" style="2" customWidth="1"/>
    <col min="3" max="3" width="11.44140625" style="2" bestFit="1" customWidth="1"/>
    <col min="4" max="4" width="20" style="2" bestFit="1" customWidth="1"/>
    <col min="5" max="5" width="10.5546875" style="2" bestFit="1" customWidth="1"/>
    <col min="6" max="7" width="13.5546875" style="2" bestFit="1" customWidth="1"/>
    <col min="8" max="8" width="14.44140625" style="2" bestFit="1" customWidth="1"/>
    <col min="9" max="9" width="17.44140625" style="3" bestFit="1" customWidth="1"/>
    <col min="10" max="10" width="19.5546875" style="2" bestFit="1" customWidth="1"/>
    <col min="11" max="11" width="16.44140625" style="2" bestFit="1" customWidth="1"/>
    <col min="12" max="12" width="18" style="2" customWidth="1"/>
    <col min="13" max="13" width="22.109375" style="2" customWidth="1"/>
    <col min="14" max="14" width="11.5546875" style="2" bestFit="1" customWidth="1"/>
    <col min="15" max="15" width="11.44140625" style="2" bestFit="1" customWidth="1"/>
    <col min="16" max="16" width="7.88671875" style="2" bestFit="1" customWidth="1"/>
    <col min="17" max="17" width="7.88671875" style="3" bestFit="1" customWidth="1"/>
    <col min="18" max="19" width="20.5546875" style="2" bestFit="1" customWidth="1"/>
    <col min="20" max="20" width="21" style="2" bestFit="1" customWidth="1"/>
    <col min="21" max="21" width="13.44140625" style="2" bestFit="1" customWidth="1"/>
    <col min="22" max="16384" width="17.44140625" style="2"/>
  </cols>
  <sheetData>
    <row r="1" spans="1:26" ht="14.4" x14ac:dyDescent="0.3">
      <c r="A1" s="5"/>
      <c r="B1" s="6"/>
      <c r="C1" s="7"/>
      <c r="D1" s="8"/>
      <c r="E1" s="9"/>
      <c r="F1" s="10"/>
      <c r="G1" s="11"/>
      <c r="H1" s="12"/>
      <c r="I1" s="96"/>
      <c r="J1" s="13"/>
      <c r="K1" s="10"/>
      <c r="L1" s="14"/>
      <c r="M1" s="15"/>
      <c r="N1" s="11"/>
      <c r="O1" s="16"/>
      <c r="P1" s="17"/>
      <c r="Q1" s="755"/>
      <c r="R1" s="17"/>
      <c r="S1" s="18"/>
      <c r="T1" s="874" t="s">
        <v>9</v>
      </c>
      <c r="U1" s="875"/>
      <c r="V1" s="876"/>
      <c r="W1" s="19"/>
    </row>
    <row r="2" spans="1:26" ht="14.4" x14ac:dyDescent="0.3">
      <c r="A2" s="20"/>
      <c r="B2" s="21"/>
      <c r="C2" s="22"/>
      <c r="D2" s="23"/>
      <c r="E2" s="126"/>
      <c r="F2" s="127"/>
      <c r="G2" s="24"/>
      <c r="H2" s="25"/>
      <c r="I2" s="97"/>
      <c r="J2" s="26"/>
      <c r="K2" s="27"/>
      <c r="L2" s="28"/>
      <c r="M2" s="29"/>
      <c r="N2" s="26"/>
      <c r="O2" s="1"/>
      <c r="Q2" s="756"/>
      <c r="S2" s="4"/>
      <c r="T2" s="877" t="s">
        <v>10</v>
      </c>
      <c r="U2" s="878"/>
      <c r="V2" s="128"/>
      <c r="W2" s="30"/>
    </row>
    <row r="3" spans="1:26" ht="14.4" x14ac:dyDescent="0.3">
      <c r="A3" s="20"/>
      <c r="B3" s="21"/>
      <c r="C3" s="22"/>
      <c r="D3" s="31"/>
      <c r="E3" s="863" t="s">
        <v>11</v>
      </c>
      <c r="F3" s="864"/>
      <c r="G3" s="865"/>
      <c r="H3" s="32"/>
      <c r="I3" s="98"/>
      <c r="J3" s="26"/>
      <c r="K3" s="127"/>
      <c r="L3" s="33"/>
      <c r="M3" s="34"/>
      <c r="N3" s="26"/>
      <c r="O3" s="35"/>
      <c r="P3" s="26"/>
      <c r="Q3" s="757"/>
      <c r="R3" s="36"/>
      <c r="S3" s="37"/>
      <c r="T3" s="866" t="s">
        <v>12</v>
      </c>
      <c r="U3" s="867"/>
      <c r="V3" s="128"/>
      <c r="W3" s="38"/>
    </row>
    <row r="4" spans="1:26" s="52" customFormat="1" ht="39.6" x14ac:dyDescent="0.3">
      <c r="A4" s="39" t="s">
        <v>13</v>
      </c>
      <c r="B4" s="40" t="s">
        <v>14</v>
      </c>
      <c r="C4" s="41" t="s">
        <v>15</v>
      </c>
      <c r="D4" s="42" t="s">
        <v>16</v>
      </c>
      <c r="E4" s="43" t="s">
        <v>17</v>
      </c>
      <c r="F4" s="40" t="s">
        <v>18</v>
      </c>
      <c r="G4" s="44" t="s">
        <v>19</v>
      </c>
      <c r="H4" s="45" t="s">
        <v>20</v>
      </c>
      <c r="I4" s="99" t="s">
        <v>21</v>
      </c>
      <c r="J4" s="44" t="s">
        <v>22</v>
      </c>
      <c r="K4" s="40" t="s">
        <v>23</v>
      </c>
      <c r="L4" s="46" t="s">
        <v>24</v>
      </c>
      <c r="M4" s="46" t="s">
        <v>25</v>
      </c>
      <c r="N4" s="44" t="s">
        <v>26</v>
      </c>
      <c r="O4" s="47" t="s">
        <v>27</v>
      </c>
      <c r="P4" s="44" t="s">
        <v>28</v>
      </c>
      <c r="Q4" s="758" t="s">
        <v>29</v>
      </c>
      <c r="R4" s="48" t="s">
        <v>7</v>
      </c>
      <c r="S4" s="49" t="s">
        <v>8</v>
      </c>
      <c r="T4" s="50" t="s">
        <v>30</v>
      </c>
      <c r="U4" s="50" t="s">
        <v>31</v>
      </c>
      <c r="V4" s="51" t="s">
        <v>2</v>
      </c>
      <c r="W4" s="41" t="s">
        <v>32</v>
      </c>
    </row>
    <row r="5" spans="1:26" ht="15" thickBot="1" x14ac:dyDescent="0.35">
      <c r="A5" s="53" t="s">
        <v>33</v>
      </c>
      <c r="B5" s="54"/>
      <c r="C5" s="55"/>
      <c r="D5" s="56"/>
      <c r="E5" s="57" t="s">
        <v>34</v>
      </c>
      <c r="F5" s="57" t="s">
        <v>34</v>
      </c>
      <c r="G5" s="139" t="s">
        <v>34</v>
      </c>
      <c r="H5" s="140" t="s">
        <v>34</v>
      </c>
      <c r="I5" s="65" t="s">
        <v>34</v>
      </c>
      <c r="J5" s="57" t="s">
        <v>34</v>
      </c>
      <c r="K5" s="58" t="s">
        <v>35</v>
      </c>
      <c r="L5" s="59" t="s">
        <v>34</v>
      </c>
      <c r="M5" s="60" t="s">
        <v>34</v>
      </c>
      <c r="N5" s="60" t="s">
        <v>35</v>
      </c>
      <c r="O5" s="61" t="s">
        <v>36</v>
      </c>
      <c r="P5" s="62" t="s">
        <v>36</v>
      </c>
      <c r="Q5" s="759" t="s">
        <v>36</v>
      </c>
      <c r="R5" s="63" t="s">
        <v>36</v>
      </c>
      <c r="S5" s="64" t="s">
        <v>36</v>
      </c>
      <c r="T5" s="65" t="s">
        <v>34</v>
      </c>
      <c r="U5" s="65" t="s">
        <v>34</v>
      </c>
      <c r="V5" s="66" t="s">
        <v>34</v>
      </c>
      <c r="W5" s="67"/>
    </row>
    <row r="6" spans="1:26" ht="14.4" x14ac:dyDescent="0.3">
      <c r="A6" s="134">
        <v>43963</v>
      </c>
      <c r="B6" s="135" t="s">
        <v>62</v>
      </c>
      <c r="C6" s="161" t="s">
        <v>69</v>
      </c>
      <c r="D6" s="163" t="s">
        <v>68</v>
      </c>
      <c r="E6" s="135">
        <v>12.2</v>
      </c>
      <c r="F6" s="135">
        <v>0.14000000000000001</v>
      </c>
      <c r="G6" s="158">
        <f>E6-F6</f>
        <v>12.059999999999999</v>
      </c>
      <c r="H6" s="159"/>
      <c r="I6" s="136">
        <v>4.3499999999999996</v>
      </c>
      <c r="J6" s="135">
        <v>4.3499999999999996</v>
      </c>
      <c r="K6" s="164">
        <v>0.43</v>
      </c>
      <c r="L6" s="135">
        <f>G6-I6</f>
        <v>7.7099999999999991</v>
      </c>
      <c r="M6" s="135"/>
      <c r="N6" s="158"/>
      <c r="O6" s="136"/>
      <c r="P6" s="136">
        <f>I6*K6</f>
        <v>1.8704999999999998</v>
      </c>
      <c r="Q6" s="164"/>
      <c r="R6" s="763" t="s">
        <v>54</v>
      </c>
      <c r="S6" s="158"/>
      <c r="T6" s="768"/>
      <c r="U6" s="161"/>
      <c r="V6" s="158"/>
      <c r="W6" s="135"/>
      <c r="X6" s="135"/>
      <c r="Y6" s="135"/>
      <c r="Z6" s="135"/>
    </row>
    <row r="7" spans="1:26" ht="14.4" x14ac:dyDescent="0.3">
      <c r="A7" s="134">
        <v>44084</v>
      </c>
      <c r="B7" s="135" t="s">
        <v>63</v>
      </c>
      <c r="C7" s="161" t="s">
        <v>69</v>
      </c>
      <c r="D7" s="163" t="s">
        <v>53</v>
      </c>
      <c r="E7" s="135">
        <v>9.15</v>
      </c>
      <c r="F7" s="135">
        <f>E7-G7</f>
        <v>2.67</v>
      </c>
      <c r="G7" s="158">
        <v>6.48</v>
      </c>
      <c r="H7" s="159"/>
      <c r="I7" s="136"/>
      <c r="J7" s="135"/>
      <c r="K7" s="161"/>
      <c r="L7" s="135"/>
      <c r="M7" s="135"/>
      <c r="N7" s="158"/>
      <c r="O7" s="136">
        <f>Q7-P6</f>
        <v>-2.9774999999999987</v>
      </c>
      <c r="P7" s="136"/>
      <c r="Q7" s="164">
        <f>(G7-L6)*0.9</f>
        <v>-1.1069999999999989</v>
      </c>
      <c r="R7" s="763"/>
      <c r="S7" s="158"/>
      <c r="T7" s="768"/>
      <c r="U7" s="161"/>
      <c r="V7" s="158"/>
      <c r="W7" s="135"/>
      <c r="X7" s="135"/>
      <c r="Y7" s="135"/>
      <c r="Z7" s="135"/>
    </row>
    <row r="8" spans="1:26" ht="14.4" x14ac:dyDescent="0.3">
      <c r="A8" s="134">
        <v>44084</v>
      </c>
      <c r="B8" s="135" t="s">
        <v>63</v>
      </c>
      <c r="C8" s="161" t="s">
        <v>69</v>
      </c>
      <c r="D8" s="163" t="s">
        <v>53</v>
      </c>
      <c r="E8" s="135">
        <v>10</v>
      </c>
      <c r="F8" s="135">
        <f>E8-G8</f>
        <v>3.5199999999999996</v>
      </c>
      <c r="G8" s="158">
        <v>6.48</v>
      </c>
      <c r="H8" s="159"/>
      <c r="I8" s="136"/>
      <c r="J8" s="135"/>
      <c r="K8" s="161"/>
      <c r="L8" s="135"/>
      <c r="M8" s="135"/>
      <c r="N8" s="158"/>
      <c r="O8" s="136"/>
      <c r="P8" s="136"/>
      <c r="Q8" s="164"/>
      <c r="R8" s="763"/>
      <c r="S8" s="158"/>
      <c r="T8" s="768"/>
      <c r="U8" s="161"/>
      <c r="V8" s="158"/>
      <c r="W8" s="135" t="s">
        <v>71</v>
      </c>
      <c r="X8" s="135"/>
      <c r="Y8" s="135"/>
      <c r="Z8" s="135"/>
    </row>
    <row r="9" spans="1:26" ht="14.4" x14ac:dyDescent="0.3">
      <c r="A9" s="134">
        <v>44185</v>
      </c>
      <c r="B9" s="135" t="s">
        <v>62</v>
      </c>
      <c r="C9" s="161" t="s">
        <v>69</v>
      </c>
      <c r="D9" s="163" t="s">
        <v>52</v>
      </c>
      <c r="E9" s="135">
        <v>10</v>
      </c>
      <c r="F9" s="135">
        <v>0.93</v>
      </c>
      <c r="G9" s="158">
        <f>E9-F9</f>
        <v>9.07</v>
      </c>
      <c r="H9" s="159"/>
      <c r="I9" s="136"/>
      <c r="J9" s="135">
        <f>G9-G8</f>
        <v>2.59</v>
      </c>
      <c r="K9" s="161"/>
      <c r="L9" s="135"/>
      <c r="M9" s="135"/>
      <c r="N9" s="158"/>
      <c r="O9" s="136"/>
      <c r="P9" s="136"/>
      <c r="Q9" s="164"/>
      <c r="R9" s="763"/>
      <c r="S9" s="158"/>
      <c r="T9" s="768"/>
      <c r="U9" s="161"/>
      <c r="V9" s="158"/>
      <c r="W9" s="135"/>
      <c r="X9" s="135"/>
      <c r="Y9" s="135"/>
      <c r="Z9" s="135"/>
    </row>
    <row r="10" spans="1:26" ht="14.4" x14ac:dyDescent="0.3">
      <c r="A10" s="134">
        <v>44185</v>
      </c>
      <c r="B10" s="135" t="s">
        <v>62</v>
      </c>
      <c r="C10" s="161" t="s">
        <v>69</v>
      </c>
      <c r="D10" s="163" t="s">
        <v>52</v>
      </c>
      <c r="E10" s="135">
        <v>13.05</v>
      </c>
      <c r="F10" s="135">
        <f>E10-G10</f>
        <v>3.9800000000000004</v>
      </c>
      <c r="G10" s="158">
        <f>G9</f>
        <v>9.07</v>
      </c>
      <c r="H10" s="159"/>
      <c r="I10" s="136"/>
      <c r="J10" s="135"/>
      <c r="K10" s="161"/>
      <c r="L10" s="135"/>
      <c r="M10" s="135"/>
      <c r="N10" s="158"/>
      <c r="O10" s="136"/>
      <c r="P10" s="136"/>
      <c r="Q10" s="164"/>
      <c r="R10" s="763"/>
      <c r="S10" s="158"/>
      <c r="T10" s="768"/>
      <c r="U10" s="161"/>
      <c r="V10" s="158"/>
      <c r="W10" s="135"/>
      <c r="X10" s="135"/>
      <c r="Y10" s="135"/>
      <c r="Z10" s="135"/>
    </row>
    <row r="11" spans="1:26" ht="14.4" x14ac:dyDescent="0.3">
      <c r="A11" s="134">
        <v>44221</v>
      </c>
      <c r="B11" s="135" t="s">
        <v>73</v>
      </c>
      <c r="C11" s="161" t="s">
        <v>69</v>
      </c>
      <c r="D11" s="163" t="s">
        <v>52</v>
      </c>
      <c r="E11" s="135" t="s">
        <v>61</v>
      </c>
      <c r="F11" s="135"/>
      <c r="G11" s="158"/>
      <c r="H11" s="159"/>
      <c r="I11" s="136"/>
      <c r="J11" s="135"/>
      <c r="K11" s="161"/>
      <c r="L11" s="135"/>
      <c r="M11" s="135"/>
      <c r="N11" s="158"/>
      <c r="O11" s="136"/>
      <c r="P11" s="136"/>
      <c r="Q11" s="164"/>
      <c r="R11" s="763"/>
      <c r="S11" s="158"/>
      <c r="T11" s="768"/>
      <c r="U11" s="161"/>
      <c r="V11" s="158"/>
      <c r="W11" s="135"/>
      <c r="X11" s="135"/>
      <c r="Y11" s="135"/>
      <c r="Z11" s="135"/>
    </row>
    <row r="12" spans="1:26" ht="14.4" x14ac:dyDescent="0.3">
      <c r="A12" s="134">
        <v>44446</v>
      </c>
      <c r="B12" s="135" t="s">
        <v>63</v>
      </c>
      <c r="C12" s="161" t="s">
        <v>69</v>
      </c>
      <c r="D12" s="163" t="s">
        <v>72</v>
      </c>
      <c r="E12" s="135">
        <v>13.05</v>
      </c>
      <c r="F12" s="135">
        <f>E12-G12</f>
        <v>6.7300000000000013</v>
      </c>
      <c r="G12" s="158">
        <f>6.1+0.22</f>
        <v>6.3199999999999994</v>
      </c>
      <c r="H12" s="159">
        <f>G12-G8</f>
        <v>-0.16000000000000103</v>
      </c>
      <c r="I12" s="136">
        <v>0</v>
      </c>
      <c r="J12" s="135">
        <v>0</v>
      </c>
      <c r="K12" s="161">
        <v>0.8</v>
      </c>
      <c r="L12" s="135"/>
      <c r="M12" s="135"/>
      <c r="N12" s="158"/>
      <c r="O12" s="136"/>
      <c r="P12" s="136"/>
      <c r="Q12" s="164">
        <f>K12*H12</f>
        <v>-0.12800000000000084</v>
      </c>
      <c r="R12" s="763" t="s">
        <v>54</v>
      </c>
      <c r="S12" s="158">
        <v>0</v>
      </c>
      <c r="T12" s="768"/>
      <c r="U12" s="161"/>
      <c r="V12" s="158"/>
      <c r="W12" s="135"/>
      <c r="X12" s="135"/>
      <c r="Y12" s="135"/>
      <c r="Z12" s="135"/>
    </row>
    <row r="13" spans="1:26" ht="14.4" x14ac:dyDescent="0.3">
      <c r="A13" s="134">
        <v>44446</v>
      </c>
      <c r="B13" s="135" t="s">
        <v>63</v>
      </c>
      <c r="C13" s="161" t="s">
        <v>69</v>
      </c>
      <c r="D13" s="163" t="s">
        <v>72</v>
      </c>
      <c r="E13" s="135">
        <v>10</v>
      </c>
      <c r="F13" s="135">
        <f>E13-G13</f>
        <v>3.6800000000000006</v>
      </c>
      <c r="G13" s="158">
        <f>G12</f>
        <v>6.3199999999999994</v>
      </c>
      <c r="H13" s="159"/>
      <c r="I13" s="136"/>
      <c r="J13" s="135"/>
      <c r="K13" s="161"/>
      <c r="L13" s="135"/>
      <c r="M13" s="135"/>
      <c r="N13" s="158"/>
      <c r="O13" s="136"/>
      <c r="P13" s="136"/>
      <c r="Q13" s="164"/>
      <c r="R13" s="763"/>
      <c r="S13" s="158"/>
      <c r="T13" s="768"/>
      <c r="U13" s="161"/>
      <c r="V13" s="158"/>
      <c r="W13" s="135"/>
      <c r="X13" s="135"/>
      <c r="Y13" s="135"/>
      <c r="Z13" s="135"/>
    </row>
    <row r="14" spans="1:26" ht="14.4" x14ac:dyDescent="0.3">
      <c r="A14" s="134">
        <v>44678</v>
      </c>
      <c r="B14" s="135" t="s">
        <v>83</v>
      </c>
      <c r="C14" s="161" t="s">
        <v>69</v>
      </c>
      <c r="D14" s="163" t="s">
        <v>68</v>
      </c>
      <c r="E14" s="135" t="s">
        <v>65</v>
      </c>
      <c r="F14" s="135"/>
      <c r="G14" s="158"/>
      <c r="H14" s="159"/>
      <c r="I14" s="136"/>
      <c r="J14" s="135"/>
      <c r="K14" s="161"/>
      <c r="L14" s="135"/>
      <c r="M14" s="135"/>
      <c r="N14" s="158"/>
      <c r="O14" s="136"/>
      <c r="P14" s="136"/>
      <c r="Q14" s="164"/>
      <c r="R14" s="763"/>
      <c r="S14" s="158"/>
      <c r="T14" s="768"/>
      <c r="U14" s="161"/>
      <c r="V14" s="158"/>
      <c r="W14" s="135"/>
      <c r="X14" s="135"/>
      <c r="Y14" s="135"/>
      <c r="Z14" s="135"/>
    </row>
    <row r="15" spans="1:26" ht="14.4" x14ac:dyDescent="0.3">
      <c r="A15" s="134">
        <v>44821</v>
      </c>
      <c r="B15" s="135" t="s">
        <v>83</v>
      </c>
      <c r="C15" s="161" t="s">
        <v>69</v>
      </c>
      <c r="D15" s="163" t="s">
        <v>53</v>
      </c>
      <c r="E15" s="136">
        <v>6.1</v>
      </c>
      <c r="F15" s="136">
        <v>0.06</v>
      </c>
      <c r="G15" s="325">
        <f>E15-F15</f>
        <v>6.04</v>
      </c>
      <c r="H15" s="159"/>
      <c r="I15" s="136"/>
      <c r="J15" s="135"/>
      <c r="K15" s="161"/>
      <c r="L15" s="135"/>
      <c r="M15" s="135"/>
      <c r="N15" s="158"/>
      <c r="O15" s="136"/>
      <c r="P15" s="136"/>
      <c r="Q15" s="164"/>
      <c r="R15" s="763"/>
      <c r="S15" s="158">
        <v>0</v>
      </c>
      <c r="T15" s="768"/>
      <c r="U15" s="161"/>
      <c r="V15" s="158"/>
      <c r="W15" s="135"/>
      <c r="X15" s="135"/>
      <c r="Y15" s="135"/>
      <c r="Z15" s="135"/>
    </row>
    <row r="16" spans="1:26" ht="14.4" x14ac:dyDescent="0.3">
      <c r="A16" s="134">
        <v>44821</v>
      </c>
      <c r="B16" s="135" t="s">
        <v>83</v>
      </c>
      <c r="C16" s="161" t="s">
        <v>69</v>
      </c>
      <c r="D16" s="163" t="s">
        <v>53</v>
      </c>
      <c r="E16" s="136">
        <v>10</v>
      </c>
      <c r="F16" s="136">
        <f>E16-G16</f>
        <v>3.96</v>
      </c>
      <c r="G16" s="325">
        <v>6.04</v>
      </c>
      <c r="H16" s="326">
        <f>G16-G13</f>
        <v>-0.27999999999999936</v>
      </c>
      <c r="I16" s="136"/>
      <c r="J16" s="135"/>
      <c r="K16" s="161"/>
      <c r="L16" s="135"/>
      <c r="M16" s="135"/>
      <c r="N16" s="158"/>
      <c r="O16" s="136"/>
      <c r="P16" s="136"/>
      <c r="Q16" s="164"/>
      <c r="R16" s="763"/>
      <c r="S16" s="158"/>
      <c r="T16" s="768"/>
      <c r="U16" s="161"/>
      <c r="V16" s="158"/>
      <c r="W16" s="135"/>
      <c r="X16" s="135"/>
      <c r="Y16" s="135"/>
      <c r="Z16" s="135"/>
    </row>
    <row r="17" spans="1:26" ht="14.4" x14ac:dyDescent="0.3">
      <c r="A17" s="134">
        <v>44911</v>
      </c>
      <c r="B17" s="135" t="s">
        <v>94</v>
      </c>
      <c r="C17" s="161" t="s">
        <v>69</v>
      </c>
      <c r="D17" s="163" t="s">
        <v>93</v>
      </c>
      <c r="E17" s="136">
        <v>10</v>
      </c>
      <c r="F17" s="136">
        <v>1.49</v>
      </c>
      <c r="G17" s="325">
        <f>E17-F17</f>
        <v>8.51</v>
      </c>
      <c r="H17" s="326">
        <f>G17-G16</f>
        <v>2.4699999999999998</v>
      </c>
      <c r="I17" s="136"/>
      <c r="J17" s="135"/>
      <c r="K17" s="161"/>
      <c r="L17" s="135"/>
      <c r="M17" s="135"/>
      <c r="N17" s="158"/>
      <c r="O17" s="136"/>
      <c r="P17" s="136"/>
      <c r="Q17" s="164"/>
      <c r="R17" s="763"/>
      <c r="S17" s="158"/>
      <c r="T17" s="768"/>
      <c r="U17" s="161"/>
      <c r="V17" s="158"/>
      <c r="W17" s="135"/>
      <c r="X17" s="135"/>
      <c r="Y17" s="135"/>
      <c r="Z17" s="135"/>
    </row>
    <row r="18" spans="1:26" ht="14.4" x14ac:dyDescent="0.3">
      <c r="A18" s="134">
        <v>45176</v>
      </c>
      <c r="B18" s="135" t="s">
        <v>97</v>
      </c>
      <c r="C18" s="161" t="s">
        <v>69</v>
      </c>
      <c r="D18" s="163" t="s">
        <v>53</v>
      </c>
      <c r="E18" s="136">
        <v>6.1</v>
      </c>
      <c r="F18" s="136">
        <v>0.24</v>
      </c>
      <c r="G18" s="325">
        <f>E18-F18</f>
        <v>5.8599999999999994</v>
      </c>
      <c r="H18" s="326">
        <f>G18-G16</f>
        <v>-0.1800000000000006</v>
      </c>
      <c r="I18" s="136"/>
      <c r="J18" s="135"/>
      <c r="K18" s="161"/>
      <c r="L18" s="135"/>
      <c r="M18" s="135"/>
      <c r="N18" s="158"/>
      <c r="O18" s="136"/>
      <c r="P18" s="136"/>
      <c r="Q18" s="164"/>
      <c r="R18" s="763"/>
      <c r="S18" s="158"/>
      <c r="T18" s="768"/>
      <c r="U18" s="161"/>
      <c r="V18" s="158"/>
      <c r="W18" s="135"/>
      <c r="X18" s="135"/>
      <c r="Y18" s="135"/>
      <c r="Z18" s="135"/>
    </row>
    <row r="19" spans="1:26" ht="14.4" x14ac:dyDescent="0.3">
      <c r="A19" s="134">
        <v>45176</v>
      </c>
      <c r="B19" s="135" t="s">
        <v>97</v>
      </c>
      <c r="C19" s="161" t="s">
        <v>69</v>
      </c>
      <c r="D19" s="163" t="s">
        <v>53</v>
      </c>
      <c r="E19" s="136">
        <v>10</v>
      </c>
      <c r="F19" s="136">
        <f>E19-G19</f>
        <v>4.1399999999999997</v>
      </c>
      <c r="G19" s="325">
        <v>5.86</v>
      </c>
      <c r="H19" s="326"/>
      <c r="I19" s="136"/>
      <c r="J19" s="135"/>
      <c r="K19" s="161"/>
      <c r="L19" s="135"/>
      <c r="M19" s="135"/>
      <c r="N19" s="158"/>
      <c r="O19" s="136"/>
      <c r="P19" s="136"/>
      <c r="Q19" s="164"/>
      <c r="R19" s="763"/>
      <c r="S19" s="158"/>
      <c r="T19" s="768"/>
      <c r="U19" s="161"/>
      <c r="V19" s="158"/>
      <c r="W19" s="135"/>
      <c r="X19" s="135"/>
      <c r="Y19" s="135"/>
      <c r="Z19" s="135"/>
    </row>
    <row r="20" spans="1:26" ht="14.4" x14ac:dyDescent="0.3">
      <c r="A20" s="134">
        <v>45552</v>
      </c>
      <c r="B20" s="135" t="s">
        <v>202</v>
      </c>
      <c r="C20" s="161" t="s">
        <v>69</v>
      </c>
      <c r="D20" s="163" t="s">
        <v>59</v>
      </c>
      <c r="E20" s="136">
        <v>6.1</v>
      </c>
      <c r="F20" s="136">
        <v>-0.03</v>
      </c>
      <c r="G20" s="325">
        <f>E20-F20</f>
        <v>6.13</v>
      </c>
      <c r="H20" s="326"/>
      <c r="I20" s="136">
        <f>AVERAGE(SiteS_Probe_20240917!M20:M23)/100</f>
        <v>0.16500000000000001</v>
      </c>
      <c r="J20" s="135"/>
      <c r="K20" s="164">
        <f>SiteTU_Pit_20240916!I4</f>
        <v>0.5302705789962161</v>
      </c>
      <c r="L20" s="136">
        <f>G20-I20</f>
        <v>5.9649999999999999</v>
      </c>
      <c r="M20" s="135"/>
      <c r="N20" s="158"/>
      <c r="O20" s="136"/>
      <c r="P20" s="136"/>
      <c r="Q20" s="164">
        <f>I20*K20</f>
        <v>8.7494645534375665E-2</v>
      </c>
      <c r="R20" s="763"/>
      <c r="S20" s="158"/>
      <c r="T20" s="768">
        <v>396631.81699999998</v>
      </c>
      <c r="U20" s="161">
        <v>6698093.4649999999</v>
      </c>
      <c r="V20" s="158">
        <v>1230.2139999999999</v>
      </c>
      <c r="W20" s="135"/>
      <c r="X20" s="135"/>
      <c r="Y20" s="135"/>
      <c r="Z20" s="135"/>
    </row>
    <row r="21" spans="1:26" s="69" customFormat="1" ht="14.4" x14ac:dyDescent="0.3">
      <c r="A21" s="238"/>
      <c r="B21" s="110"/>
      <c r="C21" s="244"/>
      <c r="D21" s="246"/>
      <c r="E21" s="110"/>
      <c r="F21" s="110"/>
      <c r="G21" s="250"/>
      <c r="H21" s="252"/>
      <c r="I21" s="239"/>
      <c r="J21" s="110"/>
      <c r="K21" s="244"/>
      <c r="L21" s="110"/>
      <c r="M21" s="110"/>
      <c r="N21" s="250"/>
      <c r="O21" s="239"/>
      <c r="P21" s="239"/>
      <c r="Q21" s="248"/>
      <c r="R21" s="764"/>
      <c r="S21" s="250"/>
      <c r="T21" s="769"/>
      <c r="U21" s="244"/>
      <c r="V21" s="250"/>
      <c r="W21" s="110"/>
      <c r="X21" s="110"/>
      <c r="Y21" s="110"/>
      <c r="Z21" s="110"/>
    </row>
    <row r="22" spans="1:26" s="243" customFormat="1" ht="14.4" x14ac:dyDescent="0.3">
      <c r="A22" s="240">
        <v>44307</v>
      </c>
      <c r="B22" s="241" t="s">
        <v>75</v>
      </c>
      <c r="C22" s="245" t="s">
        <v>79</v>
      </c>
      <c r="D22" s="247" t="s">
        <v>52</v>
      </c>
      <c r="E22" s="241">
        <v>9.15</v>
      </c>
      <c r="F22" s="241">
        <v>0.22</v>
      </c>
      <c r="G22" s="251">
        <f>E22-F22</f>
        <v>8.93</v>
      </c>
      <c r="H22" s="253"/>
      <c r="I22" s="242"/>
      <c r="J22" s="241">
        <v>5.17</v>
      </c>
      <c r="K22" s="245">
        <v>0.48</v>
      </c>
      <c r="L22" s="241"/>
      <c r="M22" s="241"/>
      <c r="N22" s="251"/>
      <c r="O22" s="242"/>
      <c r="P22" s="242">
        <f>J22*K22</f>
        <v>2.4815999999999998</v>
      </c>
      <c r="Q22" s="249"/>
      <c r="R22" s="765"/>
      <c r="S22" s="251"/>
      <c r="T22" s="770">
        <v>396645.049</v>
      </c>
      <c r="U22" s="245">
        <v>6698101.1629999997</v>
      </c>
      <c r="V22" s="251">
        <v>1225.96</v>
      </c>
      <c r="W22" s="241"/>
      <c r="X22" s="241"/>
      <c r="Y22" s="241"/>
      <c r="Z22" s="241"/>
    </row>
    <row r="23" spans="1:26" s="243" customFormat="1" ht="14.4" x14ac:dyDescent="0.3">
      <c r="A23" s="240">
        <v>44309</v>
      </c>
      <c r="B23" s="241" t="s">
        <v>75</v>
      </c>
      <c r="C23" s="245" t="s">
        <v>79</v>
      </c>
      <c r="D23" s="247" t="s">
        <v>52</v>
      </c>
      <c r="E23" s="241">
        <v>9.15</v>
      </c>
      <c r="F23" s="241">
        <v>0.27</v>
      </c>
      <c r="G23" s="251">
        <f>E23-F23</f>
        <v>8.8800000000000008</v>
      </c>
      <c r="H23" s="253">
        <f>G23-G22</f>
        <v>-4.9999999999998934E-2</v>
      </c>
      <c r="I23" s="242"/>
      <c r="J23" s="241">
        <f>J22+H23</f>
        <v>5.120000000000001</v>
      </c>
      <c r="K23" s="249">
        <f>J22*K22/J23</f>
        <v>0.48468749999999988</v>
      </c>
      <c r="L23" s="241">
        <f>G23-J23</f>
        <v>3.76</v>
      </c>
      <c r="M23" s="241"/>
      <c r="N23" s="251"/>
      <c r="O23" s="242"/>
      <c r="P23" s="242"/>
      <c r="Q23" s="249"/>
      <c r="R23" s="765"/>
      <c r="S23" s="251"/>
      <c r="T23" s="770"/>
      <c r="U23" s="245"/>
      <c r="V23" s="251"/>
      <c r="W23" s="241"/>
      <c r="X23" s="241"/>
      <c r="Y23" s="241"/>
      <c r="Z23" s="241"/>
    </row>
    <row r="24" spans="1:26" s="243" customFormat="1" ht="14.4" x14ac:dyDescent="0.3">
      <c r="A24" s="240">
        <v>44446</v>
      </c>
      <c r="B24" s="241" t="s">
        <v>75</v>
      </c>
      <c r="C24" s="245" t="s">
        <v>79</v>
      </c>
      <c r="D24" s="247" t="s">
        <v>52</v>
      </c>
      <c r="E24" s="241">
        <v>9.15</v>
      </c>
      <c r="F24" s="241">
        <f>E24-G24</f>
        <v>5.4500000000000011</v>
      </c>
      <c r="G24" s="251">
        <f>6.1-2.4</f>
        <v>3.6999999999999997</v>
      </c>
      <c r="H24" s="253">
        <f>G24-G23</f>
        <v>-5.1800000000000015</v>
      </c>
      <c r="I24" s="242">
        <v>0</v>
      </c>
      <c r="J24" s="241">
        <v>0</v>
      </c>
      <c r="K24" s="245">
        <v>0.8</v>
      </c>
      <c r="L24" s="241"/>
      <c r="M24" s="241"/>
      <c r="N24" s="251"/>
      <c r="O24" s="242"/>
      <c r="P24" s="242"/>
      <c r="Q24" s="249">
        <f>(G24-L23)*K24</f>
        <v>-4.8000000000000043E-2</v>
      </c>
      <c r="R24" s="765" t="s">
        <v>54</v>
      </c>
      <c r="S24" s="251">
        <v>0</v>
      </c>
      <c r="T24" s="770"/>
      <c r="U24" s="245"/>
      <c r="V24" s="251"/>
      <c r="W24" s="241"/>
      <c r="X24" s="241"/>
      <c r="Y24" s="241"/>
      <c r="Z24" s="241"/>
    </row>
    <row r="25" spans="1:26" s="243" customFormat="1" ht="14.4" x14ac:dyDescent="0.3">
      <c r="A25" s="240">
        <v>44678</v>
      </c>
      <c r="B25" s="241" t="s">
        <v>83</v>
      </c>
      <c r="C25" s="245" t="s">
        <v>79</v>
      </c>
      <c r="D25" s="247" t="s">
        <v>52</v>
      </c>
      <c r="E25" s="241" t="s">
        <v>65</v>
      </c>
      <c r="F25" s="241"/>
      <c r="G25" s="251"/>
      <c r="H25" s="253"/>
      <c r="I25" s="242"/>
      <c r="J25" s="241"/>
      <c r="K25" s="245"/>
      <c r="L25" s="241"/>
      <c r="M25" s="241"/>
      <c r="N25" s="251"/>
      <c r="O25" s="242"/>
      <c r="P25" s="242"/>
      <c r="Q25" s="249"/>
      <c r="R25" s="765" t="s">
        <v>54</v>
      </c>
      <c r="S25" s="251"/>
      <c r="T25" s="770"/>
      <c r="U25" s="245"/>
      <c r="V25" s="251"/>
      <c r="W25" s="241"/>
      <c r="X25" s="241"/>
      <c r="Y25" s="241"/>
      <c r="Z25" s="241"/>
    </row>
    <row r="26" spans="1:26" s="243" customFormat="1" ht="14.4" x14ac:dyDescent="0.3">
      <c r="A26" s="240">
        <v>44821</v>
      </c>
      <c r="B26" s="241" t="s">
        <v>83</v>
      </c>
      <c r="C26" s="245" t="s">
        <v>79</v>
      </c>
      <c r="D26" s="245" t="s">
        <v>53</v>
      </c>
      <c r="E26" s="242">
        <v>8</v>
      </c>
      <c r="F26" s="242">
        <v>1.37</v>
      </c>
      <c r="G26" s="327">
        <f>E26-F26</f>
        <v>6.63</v>
      </c>
      <c r="H26" s="347">
        <f>G26-G24</f>
        <v>2.93</v>
      </c>
      <c r="I26" s="242"/>
      <c r="J26" s="241"/>
      <c r="K26" s="245"/>
      <c r="L26" s="241"/>
      <c r="M26" s="241"/>
      <c r="N26" s="251"/>
      <c r="O26" s="242"/>
      <c r="P26" s="242"/>
      <c r="Q26" s="249"/>
      <c r="R26" s="765"/>
      <c r="S26" s="251">
        <v>0</v>
      </c>
      <c r="T26" s="770"/>
      <c r="U26" s="245"/>
      <c r="V26" s="251"/>
      <c r="W26" s="241"/>
      <c r="X26" s="241"/>
      <c r="Y26" s="241"/>
      <c r="Z26" s="241"/>
    </row>
    <row r="27" spans="1:26" s="243" customFormat="1" ht="14.4" x14ac:dyDescent="0.3">
      <c r="A27" s="240">
        <v>44821</v>
      </c>
      <c r="B27" s="241" t="s">
        <v>83</v>
      </c>
      <c r="C27" s="245" t="s">
        <v>79</v>
      </c>
      <c r="D27" s="245" t="s">
        <v>53</v>
      </c>
      <c r="E27" s="242">
        <v>11.05</v>
      </c>
      <c r="F27" s="242">
        <f>E27-G27</f>
        <v>4.4200000000000008</v>
      </c>
      <c r="G27" s="327">
        <v>6.63</v>
      </c>
      <c r="H27" s="253"/>
      <c r="I27" s="242"/>
      <c r="J27" s="241"/>
      <c r="K27" s="245"/>
      <c r="L27" s="241"/>
      <c r="M27" s="241"/>
      <c r="N27" s="251"/>
      <c r="O27" s="242"/>
      <c r="P27" s="242"/>
      <c r="Q27" s="249"/>
      <c r="R27" s="765"/>
      <c r="S27" s="251"/>
      <c r="T27" s="770"/>
      <c r="U27" s="245"/>
      <c r="V27" s="251"/>
      <c r="W27" s="241"/>
      <c r="X27" s="241"/>
      <c r="Y27" s="241"/>
      <c r="Z27" s="241"/>
    </row>
    <row r="28" spans="1:26" s="243" customFormat="1" ht="14.4" x14ac:dyDescent="0.3">
      <c r="A28" s="240">
        <v>44911</v>
      </c>
      <c r="B28" s="241" t="s">
        <v>92</v>
      </c>
      <c r="C28" s="245" t="s">
        <v>79</v>
      </c>
      <c r="D28" s="245" t="s">
        <v>93</v>
      </c>
      <c r="E28" s="242">
        <v>11.05</v>
      </c>
      <c r="F28" s="242">
        <v>1.85</v>
      </c>
      <c r="G28" s="327">
        <f>E28-F28</f>
        <v>9.2000000000000011</v>
      </c>
      <c r="H28" s="347">
        <f>G28-G27</f>
        <v>2.5700000000000012</v>
      </c>
      <c r="I28" s="242"/>
      <c r="J28" s="241"/>
      <c r="K28" s="245"/>
      <c r="L28" s="241"/>
      <c r="M28" s="241"/>
      <c r="N28" s="251"/>
      <c r="O28" s="242"/>
      <c r="P28" s="242"/>
      <c r="Q28" s="249"/>
      <c r="R28" s="765"/>
      <c r="S28" s="251"/>
      <c r="T28" s="770"/>
      <c r="U28" s="245"/>
      <c r="V28" s="251"/>
      <c r="W28" s="241"/>
      <c r="X28" s="241"/>
      <c r="Y28" s="241"/>
      <c r="Z28" s="241"/>
    </row>
    <row r="29" spans="1:26" s="243" customFormat="1" ht="14.4" x14ac:dyDescent="0.3">
      <c r="A29" s="240">
        <v>44911</v>
      </c>
      <c r="B29" s="241" t="s">
        <v>92</v>
      </c>
      <c r="C29" s="245" t="s">
        <v>79</v>
      </c>
      <c r="D29" s="245" t="s">
        <v>93</v>
      </c>
      <c r="E29" s="242">
        <v>13.75</v>
      </c>
      <c r="F29" s="242">
        <f>E29-G29</f>
        <v>4.5499999999999989</v>
      </c>
      <c r="G29" s="327">
        <f>G28</f>
        <v>9.2000000000000011</v>
      </c>
      <c r="H29" s="253"/>
      <c r="I29" s="242"/>
      <c r="J29" s="241"/>
      <c r="K29" s="245"/>
      <c r="L29" s="241"/>
      <c r="M29" s="241"/>
      <c r="N29" s="251"/>
      <c r="O29" s="242"/>
      <c r="P29" s="242"/>
      <c r="Q29" s="249"/>
      <c r="R29" s="765"/>
      <c r="S29" s="251"/>
      <c r="T29" s="770"/>
      <c r="U29" s="245"/>
      <c r="V29" s="251"/>
      <c r="W29" s="241"/>
      <c r="X29" s="241"/>
      <c r="Y29" s="241"/>
      <c r="Z29" s="241"/>
    </row>
    <row r="30" spans="1:26" s="243" customFormat="1" ht="14.4" x14ac:dyDescent="0.3">
      <c r="A30" s="240">
        <v>45176</v>
      </c>
      <c r="B30" s="241" t="s">
        <v>97</v>
      </c>
      <c r="C30" s="245" t="s">
        <v>79</v>
      </c>
      <c r="D30" s="245" t="s">
        <v>53</v>
      </c>
      <c r="E30" s="242">
        <v>8</v>
      </c>
      <c r="F30" s="242">
        <v>1.59</v>
      </c>
      <c r="G30" s="327">
        <f>E30-F30</f>
        <v>6.41</v>
      </c>
      <c r="H30" s="347">
        <f>G30-G27</f>
        <v>-0.21999999999999975</v>
      </c>
      <c r="I30" s="242"/>
      <c r="J30" s="241"/>
      <c r="K30" s="245"/>
      <c r="L30" s="241"/>
      <c r="M30" s="241"/>
      <c r="N30" s="251"/>
      <c r="O30" s="242"/>
      <c r="P30" s="242"/>
      <c r="Q30" s="249"/>
      <c r="R30" s="765">
        <f>H30*0.9</f>
        <v>-0.19799999999999979</v>
      </c>
      <c r="S30" s="251">
        <v>0</v>
      </c>
      <c r="T30" s="770"/>
      <c r="U30" s="245"/>
      <c r="V30" s="251"/>
      <c r="W30" s="241"/>
      <c r="X30" s="241"/>
      <c r="Y30" s="241"/>
      <c r="Z30" s="241"/>
    </row>
    <row r="31" spans="1:26" s="243" customFormat="1" ht="14.4" x14ac:dyDescent="0.3">
      <c r="A31" s="240">
        <v>45176</v>
      </c>
      <c r="B31" s="241" t="s">
        <v>97</v>
      </c>
      <c r="C31" s="245" t="s">
        <v>79</v>
      </c>
      <c r="D31" s="245" t="s">
        <v>53</v>
      </c>
      <c r="E31" s="242">
        <v>8</v>
      </c>
      <c r="F31" s="242">
        <v>1.59</v>
      </c>
      <c r="G31" s="327">
        <f>E31-F31</f>
        <v>6.41</v>
      </c>
      <c r="H31" s="253"/>
      <c r="I31" s="242"/>
      <c r="J31" s="241"/>
      <c r="K31" s="245"/>
      <c r="L31" s="241"/>
      <c r="M31" s="241"/>
      <c r="N31" s="251"/>
      <c r="O31" s="242"/>
      <c r="P31" s="242"/>
      <c r="Q31" s="249"/>
      <c r="R31" s="765"/>
      <c r="S31" s="251"/>
      <c r="T31" s="770"/>
      <c r="U31" s="245"/>
      <c r="V31" s="251"/>
      <c r="W31" s="241"/>
      <c r="X31" s="241"/>
      <c r="Y31" s="241"/>
      <c r="Z31" s="241"/>
    </row>
    <row r="32" spans="1:26" ht="14.4" x14ac:dyDescent="0.3">
      <c r="A32" s="70"/>
      <c r="B32" s="70"/>
      <c r="C32" s="222"/>
      <c r="D32" s="222"/>
      <c r="E32" s="71"/>
      <c r="F32" s="71"/>
      <c r="G32" s="215"/>
      <c r="H32" s="218"/>
      <c r="I32" s="71"/>
      <c r="J32" s="70"/>
      <c r="K32" s="222"/>
      <c r="L32" s="70"/>
      <c r="M32" s="70"/>
      <c r="N32" s="215"/>
      <c r="O32" s="71"/>
      <c r="P32" s="71"/>
      <c r="Q32" s="743"/>
      <c r="R32" s="766"/>
      <c r="S32" s="220"/>
      <c r="T32" s="771"/>
      <c r="U32" s="345"/>
      <c r="V32" s="4"/>
    </row>
    <row r="33" spans="1:26" ht="14.4" x14ac:dyDescent="0.3">
      <c r="A33" s="299">
        <v>44678</v>
      </c>
      <c r="B33" s="297" t="s">
        <v>83</v>
      </c>
      <c r="C33" s="338" t="s">
        <v>87</v>
      </c>
      <c r="D33" s="338" t="s">
        <v>52</v>
      </c>
      <c r="E33" s="298">
        <v>12.2</v>
      </c>
      <c r="F33" s="298">
        <v>0.47</v>
      </c>
      <c r="G33" s="341">
        <f>E33-F33</f>
        <v>11.729999999999999</v>
      </c>
      <c r="H33" s="342"/>
      <c r="I33" s="298">
        <v>5.83</v>
      </c>
      <c r="J33" s="298">
        <v>5.83</v>
      </c>
      <c r="K33" s="337">
        <v>0.46</v>
      </c>
      <c r="L33" s="298">
        <f>G33-I33</f>
        <v>5.8999999999999986</v>
      </c>
      <c r="M33" s="297"/>
      <c r="N33" s="111"/>
      <c r="O33" s="298"/>
      <c r="P33" s="298">
        <f>J33*K33</f>
        <v>2.6818</v>
      </c>
      <c r="Q33" s="337"/>
      <c r="R33" s="767"/>
      <c r="S33" s="762"/>
      <c r="T33" s="772"/>
      <c r="U33" s="346"/>
      <c r="V33" s="344"/>
      <c r="W33" s="214"/>
      <c r="X33" s="214"/>
      <c r="Y33" s="214"/>
      <c r="Z33" s="214"/>
    </row>
    <row r="34" spans="1:26" ht="14.4" x14ac:dyDescent="0.3">
      <c r="A34" s="299">
        <v>44821</v>
      </c>
      <c r="B34" s="297" t="s">
        <v>83</v>
      </c>
      <c r="C34" s="338" t="s">
        <v>87</v>
      </c>
      <c r="D34" s="338" t="s">
        <v>53</v>
      </c>
      <c r="E34" s="298">
        <v>6.1</v>
      </c>
      <c r="F34" s="298">
        <v>1.21</v>
      </c>
      <c r="G34" s="341">
        <f>E34-F34</f>
        <v>4.8899999999999997</v>
      </c>
      <c r="H34" s="342"/>
      <c r="I34" s="298"/>
      <c r="J34" s="297"/>
      <c r="K34" s="338"/>
      <c r="L34" s="297"/>
      <c r="M34" s="297"/>
      <c r="N34" s="111"/>
      <c r="O34" s="298">
        <f>Q34-P33</f>
        <v>-3.5907999999999989</v>
      </c>
      <c r="P34" s="298"/>
      <c r="Q34" s="337">
        <f>(G34-L33)*0.9</f>
        <v>-0.90899999999999903</v>
      </c>
      <c r="R34" s="767"/>
      <c r="S34" s="762">
        <v>0</v>
      </c>
      <c r="T34" s="772"/>
      <c r="U34" s="346"/>
      <c r="V34" s="344"/>
      <c r="W34" s="214"/>
      <c r="X34" s="214"/>
      <c r="Y34" s="214"/>
      <c r="Z34" s="214"/>
    </row>
    <row r="35" spans="1:26" ht="14.4" x14ac:dyDescent="0.3">
      <c r="A35" s="299">
        <v>44821</v>
      </c>
      <c r="B35" s="297" t="s">
        <v>83</v>
      </c>
      <c r="C35" s="338" t="s">
        <v>87</v>
      </c>
      <c r="D35" s="338" t="s">
        <v>53</v>
      </c>
      <c r="E35" s="298">
        <v>9.15</v>
      </c>
      <c r="F35" s="298">
        <f>E35-G35</f>
        <v>4.2600000000000007</v>
      </c>
      <c r="G35" s="111">
        <v>4.8899999999999997</v>
      </c>
      <c r="H35" s="342"/>
      <c r="I35" s="298"/>
      <c r="J35" s="297"/>
      <c r="K35" s="338"/>
      <c r="L35" s="297"/>
      <c r="M35" s="297"/>
      <c r="N35" s="111"/>
      <c r="O35" s="298"/>
      <c r="P35" s="298"/>
      <c r="Q35" s="337"/>
      <c r="R35" s="767"/>
      <c r="S35" s="762"/>
      <c r="T35" s="772"/>
      <c r="U35" s="346"/>
      <c r="V35" s="344"/>
      <c r="W35" s="214"/>
      <c r="X35" s="214"/>
      <c r="Y35" s="214"/>
      <c r="Z35" s="214"/>
    </row>
    <row r="36" spans="1:26" ht="14.4" x14ac:dyDescent="0.3">
      <c r="A36" s="299">
        <v>44911</v>
      </c>
      <c r="B36" s="297" t="s">
        <v>94</v>
      </c>
      <c r="C36" s="338" t="s">
        <v>87</v>
      </c>
      <c r="D36" s="338" t="s">
        <v>93</v>
      </c>
      <c r="E36" s="298">
        <v>9.15</v>
      </c>
      <c r="F36" s="298">
        <v>1.75</v>
      </c>
      <c r="G36" s="341">
        <f>E36-F36</f>
        <v>7.4</v>
      </c>
      <c r="H36" s="348">
        <f>G36-G35</f>
        <v>2.5100000000000007</v>
      </c>
      <c r="I36" s="298"/>
      <c r="J36" s="297"/>
      <c r="K36" s="338"/>
      <c r="L36" s="297"/>
      <c r="M36" s="297"/>
      <c r="N36" s="111"/>
      <c r="O36" s="298"/>
      <c r="P36" s="298"/>
      <c r="Q36" s="337"/>
      <c r="R36" s="767"/>
      <c r="S36" s="762"/>
      <c r="T36" s="772"/>
      <c r="U36" s="346"/>
      <c r="V36" s="344"/>
      <c r="W36" s="214"/>
      <c r="X36" s="214"/>
      <c r="Y36" s="214"/>
      <c r="Z36" s="214"/>
    </row>
    <row r="37" spans="1:26" ht="14.4" x14ac:dyDescent="0.3">
      <c r="A37" s="299">
        <v>45176</v>
      </c>
      <c r="B37" s="297" t="s">
        <v>97</v>
      </c>
      <c r="C37" s="338" t="s">
        <v>87</v>
      </c>
      <c r="D37" s="338" t="s">
        <v>53</v>
      </c>
      <c r="E37" s="298">
        <v>6.1</v>
      </c>
      <c r="F37" s="298">
        <v>1.92</v>
      </c>
      <c r="G37" s="341">
        <f>E37-F37</f>
        <v>4.18</v>
      </c>
      <c r="H37" s="348">
        <f>G37-G35</f>
        <v>-0.71</v>
      </c>
      <c r="I37" s="298"/>
      <c r="J37" s="297"/>
      <c r="K37" s="338"/>
      <c r="L37" s="297"/>
      <c r="M37" s="297"/>
      <c r="N37" s="111"/>
      <c r="O37" s="298"/>
      <c r="P37" s="298"/>
      <c r="Q37" s="337"/>
      <c r="R37" s="767">
        <f>(G37-G35)</f>
        <v>-0.71</v>
      </c>
      <c r="S37" s="762">
        <v>0</v>
      </c>
      <c r="T37" s="772"/>
      <c r="U37" s="346"/>
      <c r="V37" s="344"/>
      <c r="W37" s="214"/>
      <c r="X37" s="214"/>
      <c r="Y37" s="214"/>
      <c r="Z37" s="214"/>
    </row>
    <row r="38" spans="1:26" ht="14.4" x14ac:dyDescent="0.3">
      <c r="A38" s="299">
        <v>45176</v>
      </c>
      <c r="B38" s="297" t="s">
        <v>97</v>
      </c>
      <c r="C38" s="338" t="s">
        <v>87</v>
      </c>
      <c r="D38" s="338" t="s">
        <v>53</v>
      </c>
      <c r="E38" s="298">
        <v>3.05</v>
      </c>
      <c r="F38" s="298">
        <f>E38-G38</f>
        <v>-1.1299999999999999</v>
      </c>
      <c r="G38" s="111">
        <v>4.18</v>
      </c>
      <c r="H38" s="342"/>
      <c r="I38" s="298"/>
      <c r="J38" s="297"/>
      <c r="K38" s="338"/>
      <c r="L38" s="297"/>
      <c r="M38" s="297"/>
      <c r="N38" s="111"/>
      <c r="O38" s="298"/>
      <c r="P38" s="298"/>
      <c r="Q38" s="337"/>
      <c r="R38" s="767"/>
      <c r="S38" s="762"/>
      <c r="T38" s="772"/>
      <c r="U38" s="346"/>
      <c r="V38" s="344"/>
      <c r="W38" s="214"/>
      <c r="X38" s="214"/>
      <c r="Y38" s="214"/>
      <c r="Z38" s="214"/>
    </row>
    <row r="39" spans="1:26" ht="14.4" x14ac:dyDescent="0.3">
      <c r="A39" s="299">
        <v>45552</v>
      </c>
      <c r="B39" s="297" t="s">
        <v>202</v>
      </c>
      <c r="C39" s="338" t="s">
        <v>87</v>
      </c>
      <c r="D39" s="338" t="s">
        <v>59</v>
      </c>
      <c r="E39" s="298" t="s">
        <v>256</v>
      </c>
      <c r="F39" s="298"/>
      <c r="G39" s="111"/>
      <c r="H39" s="342"/>
      <c r="I39" s="298"/>
      <c r="J39" s="297"/>
      <c r="K39" s="338"/>
      <c r="L39" s="297"/>
      <c r="M39" s="297"/>
      <c r="N39" s="111"/>
      <c r="O39" s="298"/>
      <c r="P39" s="298"/>
      <c r="Q39" s="337"/>
      <c r="R39" s="300"/>
      <c r="S39" s="762"/>
      <c r="T39" s="772"/>
      <c r="U39" s="346"/>
      <c r="V39" s="344"/>
      <c r="W39" s="214"/>
      <c r="X39" s="214"/>
      <c r="Y39" s="214"/>
      <c r="Z39" s="214"/>
    </row>
    <row r="40" spans="1:26" ht="14.4" x14ac:dyDescent="0.3">
      <c r="A40" s="70"/>
      <c r="B40" s="70"/>
      <c r="C40" s="222"/>
      <c r="D40" s="222"/>
      <c r="E40" s="71"/>
      <c r="F40" s="71"/>
      <c r="G40" s="215"/>
      <c r="H40" s="218"/>
      <c r="I40" s="71"/>
      <c r="J40" s="70"/>
      <c r="K40" s="222"/>
      <c r="L40" s="70"/>
      <c r="M40" s="70"/>
      <c r="N40" s="215"/>
      <c r="O40" s="70"/>
      <c r="P40" s="70"/>
      <c r="Q40" s="743"/>
      <c r="R40" s="72"/>
      <c r="S40" s="220"/>
      <c r="T40" s="771"/>
      <c r="U40" s="345"/>
      <c r="V40" s="4"/>
    </row>
    <row r="41" spans="1:26" s="256" customFormat="1" ht="14.4" x14ac:dyDescent="0.3">
      <c r="A41" s="364">
        <v>45052</v>
      </c>
      <c r="B41" s="361" t="s">
        <v>83</v>
      </c>
      <c r="C41" s="365" t="s">
        <v>100</v>
      </c>
      <c r="D41" s="365" t="s">
        <v>52</v>
      </c>
      <c r="E41" s="362">
        <v>12.2</v>
      </c>
      <c r="F41" s="362">
        <v>0.73</v>
      </c>
      <c r="G41" s="370">
        <f>E41-F41</f>
        <v>11.469999999999999</v>
      </c>
      <c r="H41" s="367"/>
      <c r="I41" s="362"/>
      <c r="J41" s="362">
        <f>AVERAGE(4.76,4.78,4.77,4.78)</f>
        <v>4.7725</v>
      </c>
      <c r="K41" s="371">
        <v>0.41</v>
      </c>
      <c r="L41" s="362">
        <f>G41-J41</f>
        <v>6.6974999999999989</v>
      </c>
      <c r="M41" s="361"/>
      <c r="N41" s="366"/>
      <c r="O41" s="361"/>
      <c r="P41" s="362">
        <f>J41*K41</f>
        <v>1.9567249999999998</v>
      </c>
      <c r="Q41" s="371"/>
      <c r="R41" s="363"/>
      <c r="S41" s="369"/>
      <c r="T41" s="774">
        <v>396638.63699999999</v>
      </c>
      <c r="U41" s="365">
        <v>6698075.5769999996</v>
      </c>
      <c r="V41" s="258">
        <v>1234.595</v>
      </c>
    </row>
    <row r="42" spans="1:26" s="256" customFormat="1" ht="14.4" x14ac:dyDescent="0.3">
      <c r="A42" s="364">
        <v>45176</v>
      </c>
      <c r="B42" s="361" t="s">
        <v>97</v>
      </c>
      <c r="C42" s="365" t="s">
        <v>100</v>
      </c>
      <c r="D42" s="365" t="s">
        <v>53</v>
      </c>
      <c r="E42" s="362">
        <v>6.1</v>
      </c>
      <c r="F42" s="362">
        <v>0.28000000000000003</v>
      </c>
      <c r="G42" s="370">
        <v>5.8199999999999994</v>
      </c>
      <c r="H42" s="367"/>
      <c r="I42" s="362"/>
      <c r="J42" s="362"/>
      <c r="K42" s="371"/>
      <c r="L42" s="361"/>
      <c r="M42" s="361"/>
      <c r="N42" s="366"/>
      <c r="O42" s="362">
        <f>Q42-P41</f>
        <v>-2.7464749999999993</v>
      </c>
      <c r="P42" s="362"/>
      <c r="Q42" s="371">
        <f>(G42-L41)*0.9</f>
        <v>-0.78974999999999962</v>
      </c>
      <c r="R42" s="363"/>
      <c r="S42" s="369">
        <v>0</v>
      </c>
      <c r="T42" s="773"/>
      <c r="U42" s="742"/>
      <c r="V42" s="261"/>
    </row>
    <row r="43" spans="1:26" s="256" customFormat="1" ht="14.4" x14ac:dyDescent="0.3">
      <c r="A43" s="364">
        <v>45176</v>
      </c>
      <c r="B43" s="361" t="s">
        <v>97</v>
      </c>
      <c r="C43" s="365" t="s">
        <v>100</v>
      </c>
      <c r="D43" s="365" t="s">
        <v>53</v>
      </c>
      <c r="E43" s="362">
        <v>10.15</v>
      </c>
      <c r="F43" s="362">
        <v>4.330000000000001</v>
      </c>
      <c r="G43" s="370">
        <v>5.8199999999999994</v>
      </c>
      <c r="H43" s="367"/>
      <c r="I43" s="362"/>
      <c r="J43" s="362"/>
      <c r="K43" s="371"/>
      <c r="L43" s="361"/>
      <c r="M43" s="361"/>
      <c r="N43" s="366"/>
      <c r="O43" s="361"/>
      <c r="P43" s="362"/>
      <c r="Q43" s="371"/>
      <c r="R43" s="363"/>
      <c r="S43" s="369"/>
      <c r="T43" s="363"/>
      <c r="U43" s="742"/>
      <c r="V43" s="261"/>
    </row>
    <row r="44" spans="1:26" s="256" customFormat="1" ht="14.4" x14ac:dyDescent="0.3">
      <c r="A44" s="364">
        <v>45301</v>
      </c>
      <c r="B44" s="361" t="s">
        <v>107</v>
      </c>
      <c r="C44" s="365" t="s">
        <v>100</v>
      </c>
      <c r="D44" s="365" t="s">
        <v>52</v>
      </c>
      <c r="E44" s="362">
        <v>10.15</v>
      </c>
      <c r="F44" s="362">
        <v>0</v>
      </c>
      <c r="G44" s="370">
        <f>E44-F44</f>
        <v>10.15</v>
      </c>
      <c r="H44" s="392">
        <f>G44-G43</f>
        <v>4.330000000000001</v>
      </c>
      <c r="I44" s="362"/>
      <c r="J44" s="362"/>
      <c r="K44" s="371"/>
      <c r="L44" s="361"/>
      <c r="M44" s="361"/>
      <c r="N44" s="366"/>
      <c r="O44" s="361"/>
      <c r="P44" s="362"/>
      <c r="Q44" s="371"/>
      <c r="R44" s="363"/>
      <c r="S44" s="369"/>
      <c r="T44" s="363"/>
      <c r="U44" s="742"/>
      <c r="V44" s="261"/>
    </row>
    <row r="45" spans="1:26" s="256" customFormat="1" ht="14.4" x14ac:dyDescent="0.3">
      <c r="A45" s="364">
        <v>45301</v>
      </c>
      <c r="B45" s="361" t="s">
        <v>107</v>
      </c>
      <c r="C45" s="365" t="s">
        <v>100</v>
      </c>
      <c r="D45" s="365" t="s">
        <v>52</v>
      </c>
      <c r="E45" s="362">
        <v>14.15</v>
      </c>
      <c r="F45" s="362">
        <v>4.4000000000000004</v>
      </c>
      <c r="G45" s="370">
        <f>E45-F45</f>
        <v>9.75</v>
      </c>
      <c r="H45" s="367"/>
      <c r="I45" s="362"/>
      <c r="J45" s="362"/>
      <c r="K45" s="371"/>
      <c r="L45" s="361"/>
      <c r="M45" s="361"/>
      <c r="N45" s="366"/>
      <c r="O45" s="361"/>
      <c r="P45" s="362"/>
      <c r="Q45" s="371"/>
      <c r="R45" s="363"/>
      <c r="S45" s="369"/>
      <c r="T45" s="363"/>
      <c r="U45" s="742"/>
      <c r="V45" s="261"/>
    </row>
    <row r="46" spans="1:26" s="256" customFormat="1" ht="14.4" x14ac:dyDescent="0.3">
      <c r="A46" s="364">
        <v>45406</v>
      </c>
      <c r="B46" s="361" t="s">
        <v>225</v>
      </c>
      <c r="C46" s="365" t="s">
        <v>100</v>
      </c>
      <c r="D46" s="365" t="s">
        <v>52</v>
      </c>
      <c r="E46" s="362">
        <v>14.15</v>
      </c>
      <c r="F46" s="362">
        <v>2.5099999999999998</v>
      </c>
      <c r="G46" s="370">
        <f>E46-F46</f>
        <v>11.64</v>
      </c>
      <c r="H46" s="367"/>
      <c r="I46" s="362"/>
      <c r="J46" s="362"/>
      <c r="K46" s="371"/>
      <c r="L46" s="361"/>
      <c r="M46" s="361"/>
      <c r="N46" s="366"/>
      <c r="O46" s="361"/>
      <c r="P46" s="362"/>
      <c r="Q46" s="371"/>
      <c r="R46" s="363"/>
      <c r="S46" s="369"/>
      <c r="T46" s="363"/>
      <c r="U46" s="742"/>
      <c r="V46" s="261"/>
    </row>
    <row r="47" spans="1:26" s="256" customFormat="1" ht="14.4" x14ac:dyDescent="0.3">
      <c r="A47" s="364">
        <v>45406</v>
      </c>
      <c r="B47" s="361" t="s">
        <v>225</v>
      </c>
      <c r="C47" s="365" t="s">
        <v>100</v>
      </c>
      <c r="D47" s="365" t="s">
        <v>52</v>
      </c>
      <c r="E47" s="362">
        <v>11.15</v>
      </c>
      <c r="F47" s="362">
        <f>E47-G47</f>
        <v>-0.49000000000000021</v>
      </c>
      <c r="G47" s="370">
        <f>G46</f>
        <v>11.64</v>
      </c>
      <c r="H47" s="367"/>
      <c r="I47" s="362">
        <v>5.34</v>
      </c>
      <c r="J47" s="362"/>
      <c r="K47" s="371">
        <f>SiteC_PitCore_20240425!I4</f>
        <v>0.44432014427020783</v>
      </c>
      <c r="L47" s="362">
        <f>G47-I47</f>
        <v>6.3000000000000007</v>
      </c>
      <c r="M47" s="361"/>
      <c r="N47" s="366"/>
      <c r="O47" s="361"/>
      <c r="P47" s="362">
        <f>I47*K47</f>
        <v>2.3726695704029099</v>
      </c>
      <c r="Q47" s="371"/>
      <c r="R47" s="747">
        <f>(L47-G43)*0.9</f>
        <v>0.43200000000000122</v>
      </c>
      <c r="S47" s="369"/>
      <c r="T47" s="361">
        <v>396634.45299999998</v>
      </c>
      <c r="U47" s="365">
        <v>6698072.8949999996</v>
      </c>
      <c r="V47" s="258">
        <v>1232.9639999999999</v>
      </c>
    </row>
    <row r="48" spans="1:26" s="256" customFormat="1" ht="14.4" x14ac:dyDescent="0.3">
      <c r="A48" s="364">
        <v>45552</v>
      </c>
      <c r="B48" s="361" t="s">
        <v>107</v>
      </c>
      <c r="C48" s="365" t="s">
        <v>100</v>
      </c>
      <c r="D48" s="365" t="s">
        <v>59</v>
      </c>
      <c r="E48" s="362">
        <v>11.15</v>
      </c>
      <c r="F48" s="362">
        <v>5.21</v>
      </c>
      <c r="G48" s="370">
        <f>E48-F48</f>
        <v>5.94</v>
      </c>
      <c r="H48" s="367"/>
      <c r="I48" s="362">
        <f>AVERAGE(SiteS_Probe_20240917!M16:M19)/100</f>
        <v>0.17</v>
      </c>
      <c r="J48" s="362"/>
      <c r="K48" s="371">
        <f>SiteTU_Pit_20240916!I4</f>
        <v>0.5302705789962161</v>
      </c>
      <c r="L48" s="362">
        <f>G48-I48</f>
        <v>5.7700000000000005</v>
      </c>
      <c r="M48" s="361"/>
      <c r="N48" s="366"/>
      <c r="O48" s="362">
        <f>Q48-P47</f>
        <v>-2.2825235719735533</v>
      </c>
      <c r="P48" s="362"/>
      <c r="Q48" s="371">
        <f>I48*K48</f>
        <v>9.014599842935675E-2</v>
      </c>
      <c r="R48" s="747">
        <f>(L48-G43)*0.9</f>
        <v>-4.4999999999999041E-2</v>
      </c>
      <c r="S48" s="369">
        <v>0</v>
      </c>
      <c r="T48" s="361">
        <v>396638.08600000001</v>
      </c>
      <c r="U48" s="365">
        <v>6698075.7740000002</v>
      </c>
      <c r="V48" s="258">
        <v>1228.8810000000001</v>
      </c>
    </row>
    <row r="49" spans="1:22" ht="14.4" x14ac:dyDescent="0.3">
      <c r="A49" s="70"/>
      <c r="B49" s="70"/>
      <c r="C49" s="222"/>
      <c r="D49" s="222"/>
      <c r="E49" s="71"/>
      <c r="F49" s="71"/>
      <c r="G49" s="215"/>
      <c r="H49" s="218"/>
      <c r="I49" s="71"/>
      <c r="J49" s="70"/>
      <c r="K49" s="222"/>
      <c r="L49" s="70"/>
      <c r="M49" s="70"/>
      <c r="N49" s="215"/>
      <c r="O49" s="70"/>
      <c r="P49" s="70"/>
      <c r="Q49" s="743"/>
      <c r="R49" s="72"/>
      <c r="S49" s="220"/>
      <c r="T49" s="72"/>
      <c r="U49" s="345"/>
      <c r="V49" s="4"/>
    </row>
    <row r="50" spans="1:22" s="734" customFormat="1" ht="14.4" x14ac:dyDescent="0.3">
      <c r="A50" s="735">
        <v>45406</v>
      </c>
      <c r="B50" s="731" t="s">
        <v>202</v>
      </c>
      <c r="C50" s="761" t="s">
        <v>210</v>
      </c>
      <c r="D50" s="761" t="s">
        <v>52</v>
      </c>
      <c r="E50" s="732">
        <v>12</v>
      </c>
      <c r="F50" s="732">
        <v>0.11</v>
      </c>
      <c r="G50" s="751">
        <f>E50-F50</f>
        <v>11.89</v>
      </c>
      <c r="H50" s="752"/>
      <c r="I50" s="732">
        <v>5.24</v>
      </c>
      <c r="J50" s="731"/>
      <c r="K50" s="760">
        <f>SiteC_PitCore_20240425!I4</f>
        <v>0.44432014427020783</v>
      </c>
      <c r="L50" s="732">
        <f>G50-I50</f>
        <v>6.65</v>
      </c>
      <c r="M50" s="731"/>
      <c r="N50" s="753"/>
      <c r="O50" s="731"/>
      <c r="P50" s="732">
        <f>I50*K50</f>
        <v>2.328237555975889</v>
      </c>
      <c r="Q50" s="760"/>
      <c r="R50" s="733"/>
      <c r="S50" s="754"/>
      <c r="T50" s="731">
        <v>396643.11</v>
      </c>
      <c r="U50" s="761">
        <v>6698073.4330000002</v>
      </c>
      <c r="V50" s="271">
        <v>1232.771</v>
      </c>
    </row>
    <row r="51" spans="1:22" s="734" customFormat="1" ht="14.4" x14ac:dyDescent="0.3">
      <c r="A51" s="735">
        <v>45552</v>
      </c>
      <c r="B51" s="731" t="s">
        <v>202</v>
      </c>
      <c r="C51" s="761" t="s">
        <v>210</v>
      </c>
      <c r="D51" s="761" t="s">
        <v>59</v>
      </c>
      <c r="E51" s="732">
        <v>10</v>
      </c>
      <c r="F51" s="732">
        <v>3.24</v>
      </c>
      <c r="G51" s="751">
        <f>E51-F51</f>
        <v>6.76</v>
      </c>
      <c r="H51" s="752"/>
      <c r="I51" s="732">
        <f>AVERAGE(SiteS_Probe_20240917!M12:M15)/100</f>
        <v>0.105</v>
      </c>
      <c r="J51" s="732"/>
      <c r="K51" s="760">
        <f>SiteTU_Pit_20240916!I4</f>
        <v>0.5302705789962161</v>
      </c>
      <c r="L51" s="732">
        <f>G51-I51</f>
        <v>6.6549999999999994</v>
      </c>
      <c r="M51" s="732">
        <f>AVERAGE(L50:L51)</f>
        <v>6.6524999999999999</v>
      </c>
      <c r="N51" s="753"/>
      <c r="O51" s="732">
        <f>Q51-P50</f>
        <v>-2.2725591451812863</v>
      </c>
      <c r="P51" s="732"/>
      <c r="Q51" s="760">
        <f>I51*K51</f>
        <v>5.5678410794602687E-2</v>
      </c>
      <c r="R51" s="733"/>
      <c r="S51" s="754">
        <v>0</v>
      </c>
      <c r="T51" s="731">
        <v>396644.55099999998</v>
      </c>
      <c r="U51" s="761">
        <v>6698074.6459999997</v>
      </c>
      <c r="V51" s="271">
        <v>1229.752</v>
      </c>
    </row>
    <row r="52" spans="1:22" s="734" customFormat="1" ht="14.4" x14ac:dyDescent="0.3">
      <c r="A52" s="735">
        <v>45552</v>
      </c>
      <c r="B52" s="731" t="s">
        <v>202</v>
      </c>
      <c r="C52" s="761" t="s">
        <v>210</v>
      </c>
      <c r="D52" s="761" t="s">
        <v>59</v>
      </c>
      <c r="E52" s="732">
        <v>11</v>
      </c>
      <c r="F52" s="732">
        <f>E52-G52</f>
        <v>4.24</v>
      </c>
      <c r="G52" s="751">
        <f>G51</f>
        <v>6.76</v>
      </c>
      <c r="H52" s="752"/>
      <c r="I52" s="732"/>
      <c r="J52" s="731"/>
      <c r="K52" s="760"/>
      <c r="L52" s="732"/>
      <c r="M52" s="731"/>
      <c r="N52" s="753"/>
      <c r="O52" s="731"/>
      <c r="P52" s="732"/>
      <c r="Q52" s="760"/>
      <c r="R52" s="733"/>
      <c r="S52" s="754"/>
      <c r="T52" s="731"/>
      <c r="U52" s="761"/>
      <c r="V52" s="271"/>
    </row>
    <row r="53" spans="1:22" ht="14.4" x14ac:dyDescent="0.3">
      <c r="A53" s="70"/>
      <c r="B53" s="70"/>
      <c r="C53" s="222"/>
      <c r="D53" s="222"/>
      <c r="E53" s="71"/>
      <c r="F53" s="71"/>
      <c r="G53" s="215"/>
      <c r="H53" s="218"/>
      <c r="I53" s="71"/>
      <c r="J53" s="70"/>
      <c r="K53" s="222"/>
      <c r="L53" s="70"/>
      <c r="M53" s="70"/>
      <c r="N53" s="215"/>
      <c r="O53" s="70"/>
      <c r="P53" s="70"/>
      <c r="Q53" s="743"/>
      <c r="R53" s="72"/>
      <c r="S53" s="220"/>
      <c r="T53" s="72"/>
      <c r="U53" s="345"/>
      <c r="V53" s="4"/>
    </row>
    <row r="54" spans="1:22" ht="15" thickBot="1" x14ac:dyDescent="0.35">
      <c r="A54" s="70"/>
      <c r="B54" s="70"/>
      <c r="C54" s="70"/>
      <c r="D54" s="70"/>
      <c r="E54" s="71"/>
      <c r="F54" s="71"/>
      <c r="G54" s="70"/>
      <c r="H54" s="70"/>
      <c r="I54" s="71"/>
      <c r="J54" s="70"/>
      <c r="K54" s="70"/>
      <c r="L54" s="70"/>
      <c r="M54" s="70"/>
      <c r="N54" s="70"/>
      <c r="O54" s="70"/>
      <c r="P54" s="70"/>
      <c r="Q54" s="71"/>
      <c r="R54" s="72"/>
      <c r="S54" s="72"/>
      <c r="T54" s="72"/>
      <c r="U54" s="72"/>
    </row>
    <row r="55" spans="1:22" ht="14.4" customHeight="1" x14ac:dyDescent="0.3">
      <c r="A55" s="868" t="s">
        <v>37</v>
      </c>
      <c r="B55" s="869"/>
      <c r="C55" s="872" t="s">
        <v>38</v>
      </c>
      <c r="D55" s="873"/>
      <c r="E55" s="73" t="s">
        <v>39</v>
      </c>
      <c r="F55" s="74"/>
      <c r="G55" s="73" t="s">
        <v>40</v>
      </c>
      <c r="H55" s="74"/>
      <c r="I55" s="100" t="s">
        <v>41</v>
      </c>
      <c r="Q55" s="385"/>
      <c r="R55" s="68"/>
      <c r="S55" s="68"/>
      <c r="T55" s="68"/>
      <c r="U55" s="72"/>
    </row>
    <row r="56" spans="1:22" ht="14.4" customHeight="1" x14ac:dyDescent="0.3">
      <c r="A56" s="870"/>
      <c r="B56" s="871"/>
      <c r="C56" s="76" t="s">
        <v>42</v>
      </c>
      <c r="D56" s="76" t="s">
        <v>43</v>
      </c>
      <c r="E56" s="77">
        <f>A43</f>
        <v>45176</v>
      </c>
      <c r="F56" s="78" t="s">
        <v>44</v>
      </c>
      <c r="G56" s="79">
        <f>A50</f>
        <v>45406</v>
      </c>
      <c r="H56" s="78" t="s">
        <v>44</v>
      </c>
      <c r="I56" s="80">
        <f>A51</f>
        <v>45552</v>
      </c>
      <c r="Q56" s="385"/>
      <c r="R56" s="81"/>
      <c r="S56" s="81"/>
      <c r="T56" s="68"/>
      <c r="U56" s="72"/>
    </row>
    <row r="57" spans="1:22" ht="14.4" x14ac:dyDescent="0.3">
      <c r="A57" s="82"/>
      <c r="B57" s="83" t="s">
        <v>45</v>
      </c>
      <c r="C57" s="84">
        <f>AVERAGE(P47,P50)</f>
        <v>2.3504535631893995</v>
      </c>
      <c r="D57" s="84"/>
      <c r="E57" s="85"/>
      <c r="F57" s="85"/>
      <c r="G57" s="86"/>
      <c r="H57" s="84"/>
      <c r="I57" s="101"/>
      <c r="Q57" s="385"/>
      <c r="R57" s="81"/>
      <c r="S57" s="81"/>
      <c r="T57" s="68"/>
      <c r="U57" s="72"/>
    </row>
    <row r="58" spans="1:22" ht="14.4" x14ac:dyDescent="0.3">
      <c r="A58" s="82"/>
      <c r="B58" s="83" t="s">
        <v>46</v>
      </c>
      <c r="C58" s="84">
        <f>C59-C57</f>
        <v>-2.272680544936621</v>
      </c>
      <c r="D58" s="84"/>
      <c r="E58" s="85"/>
      <c r="F58" s="85"/>
      <c r="G58" s="86"/>
      <c r="H58" s="84"/>
      <c r="I58" s="101"/>
      <c r="Q58" s="385"/>
      <c r="R58" s="81"/>
      <c r="S58" s="81"/>
      <c r="T58" s="68"/>
      <c r="U58" s="72"/>
    </row>
    <row r="59" spans="1:22" ht="14.4" x14ac:dyDescent="0.3">
      <c r="A59" s="82"/>
      <c r="B59" s="83" t="s">
        <v>47</v>
      </c>
      <c r="C59" s="84">
        <f>AVERAGE(Q51,Q48,Q20)</f>
        <v>7.7773018252778367E-2</v>
      </c>
      <c r="D59" s="84"/>
      <c r="E59" s="85"/>
      <c r="F59" s="85"/>
      <c r="G59" s="86"/>
      <c r="H59" s="84"/>
      <c r="I59" s="101"/>
      <c r="Q59" s="385"/>
      <c r="R59" s="81"/>
      <c r="S59" s="81"/>
      <c r="T59" s="68"/>
      <c r="U59" s="72"/>
    </row>
    <row r="60" spans="1:22" ht="14.4" x14ac:dyDescent="0.3">
      <c r="A60" s="82"/>
      <c r="B60" s="88" t="s">
        <v>48</v>
      </c>
      <c r="C60" s="84">
        <f>S42</f>
        <v>0</v>
      </c>
      <c r="D60" s="84"/>
      <c r="E60" s="85"/>
      <c r="F60" s="85"/>
      <c r="G60" s="84"/>
      <c r="H60" s="84"/>
      <c r="I60" s="101"/>
      <c r="Q60" s="385"/>
      <c r="R60" s="81"/>
      <c r="S60" s="81"/>
      <c r="T60" s="68"/>
      <c r="U60" s="72"/>
    </row>
    <row r="61" spans="1:22" ht="14.4" x14ac:dyDescent="0.3">
      <c r="A61" s="82"/>
      <c r="B61" s="89" t="s">
        <v>49</v>
      </c>
      <c r="C61" s="84">
        <f>R48</f>
        <v>-4.4999999999999041E-2</v>
      </c>
      <c r="D61" s="84"/>
      <c r="E61" s="85"/>
      <c r="F61" s="85"/>
      <c r="G61" s="84"/>
      <c r="H61" s="84"/>
      <c r="I61" s="101"/>
      <c r="Q61" s="385"/>
      <c r="R61" s="81"/>
      <c r="S61" s="81"/>
      <c r="T61" s="68"/>
      <c r="U61" s="72"/>
    </row>
    <row r="62" spans="1:22" ht="15" thickBot="1" x14ac:dyDescent="0.35">
      <c r="A62" s="90"/>
      <c r="B62" s="91" t="s">
        <v>50</v>
      </c>
      <c r="C62" s="92">
        <f>S51</f>
        <v>0</v>
      </c>
      <c r="D62" s="92"/>
      <c r="E62" s="93"/>
      <c r="F62" s="93"/>
      <c r="G62" s="94"/>
      <c r="H62" s="94"/>
      <c r="I62" s="102"/>
      <c r="Q62" s="385"/>
      <c r="R62" s="81"/>
      <c r="S62" s="81"/>
      <c r="T62" s="68"/>
      <c r="U62" s="72"/>
    </row>
    <row r="63" spans="1:22" ht="14.4" x14ac:dyDescent="0.3">
      <c r="A63" s="72"/>
      <c r="B63" s="72"/>
      <c r="C63" s="72"/>
      <c r="D63" s="72"/>
      <c r="E63" s="72"/>
      <c r="F63" s="72"/>
      <c r="G63" s="72"/>
      <c r="H63" s="72"/>
      <c r="I63" s="103"/>
      <c r="J63" s="72"/>
      <c r="K63" s="72"/>
      <c r="L63" s="72"/>
      <c r="M63" s="72"/>
      <c r="N63" s="72"/>
      <c r="O63" s="72"/>
      <c r="P63" s="72"/>
      <c r="Q63" s="386"/>
      <c r="R63" s="68"/>
      <c r="S63" s="68"/>
      <c r="T63" s="68"/>
      <c r="U63" s="72"/>
    </row>
  </sheetData>
  <mergeCells count="6">
    <mergeCell ref="T1:V1"/>
    <mergeCell ref="T2:U2"/>
    <mergeCell ref="E3:G3"/>
    <mergeCell ref="T3:U3"/>
    <mergeCell ref="A55:B56"/>
    <mergeCell ref="C55:D55"/>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8"/>
  <sheetViews>
    <sheetView topLeftCell="J4" zoomScale="80" zoomScaleNormal="80" workbookViewId="0">
      <pane ySplit="1" topLeftCell="A28" activePane="bottomLeft" state="frozen"/>
      <selection activeCell="A4" sqref="A4"/>
      <selection pane="bottomLeft" activeCell="W35" sqref="W35"/>
    </sheetView>
  </sheetViews>
  <sheetFormatPr defaultColWidth="17.44140625" defaultRowHeight="15.75" customHeight="1" x14ac:dyDescent="0.3"/>
  <cols>
    <col min="1" max="1" width="12.44140625" style="2" customWidth="1"/>
    <col min="2" max="2" width="27.44140625" style="2" customWidth="1"/>
    <col min="3" max="3" width="11.44140625" style="2" bestFit="1" customWidth="1"/>
    <col min="4" max="4" width="20" style="2" bestFit="1" customWidth="1"/>
    <col min="5" max="5" width="11.5546875" style="2" bestFit="1" customWidth="1"/>
    <col min="6" max="7" width="13.5546875" style="2" bestFit="1" customWidth="1"/>
    <col min="8" max="8" width="14.44140625" style="2" bestFit="1" customWidth="1"/>
    <col min="9" max="9" width="17.44140625" style="2" bestFit="1" customWidth="1"/>
    <col min="10" max="10" width="19.5546875" style="3" bestFit="1" customWidth="1"/>
    <col min="11" max="11" width="16.44140625" style="2" bestFit="1" customWidth="1"/>
    <col min="12" max="12" width="18" style="2" customWidth="1"/>
    <col min="13" max="13" width="22.109375" style="2" customWidth="1"/>
    <col min="14" max="14" width="11.5546875" style="2" bestFit="1" customWidth="1"/>
    <col min="15" max="15" width="11.44140625" style="2" bestFit="1" customWidth="1"/>
    <col min="16" max="16" width="7.88671875" style="2" bestFit="1" customWidth="1"/>
    <col min="17" max="17" width="7.88671875" style="3" bestFit="1" customWidth="1"/>
    <col min="18" max="18" width="14.5546875" style="2" bestFit="1" customWidth="1"/>
    <col min="19" max="19" width="20.5546875" style="2" bestFit="1" customWidth="1"/>
    <col min="20" max="20" width="21.33203125" style="2" bestFit="1" customWidth="1"/>
    <col min="21" max="21" width="12.33203125" style="2" bestFit="1" customWidth="1"/>
    <col min="22" max="22" width="17.6640625" style="2" bestFit="1" customWidth="1"/>
    <col min="23" max="16384" width="17.44140625" style="2"/>
  </cols>
  <sheetData>
    <row r="1" spans="1:23" ht="14.4" x14ac:dyDescent="0.3">
      <c r="A1" s="5"/>
      <c r="B1" s="6"/>
      <c r="C1" s="7"/>
      <c r="D1" s="8"/>
      <c r="E1" s="9"/>
      <c r="F1" s="10"/>
      <c r="G1" s="11"/>
      <c r="H1" s="12"/>
      <c r="I1" s="11"/>
      <c r="J1" s="387"/>
      <c r="K1" s="10"/>
      <c r="L1" s="14"/>
      <c r="M1" s="15"/>
      <c r="N1" s="11"/>
      <c r="O1" s="16"/>
      <c r="P1" s="17"/>
      <c r="Q1" s="378"/>
      <c r="R1" s="17"/>
      <c r="S1" s="18"/>
      <c r="T1" s="874" t="s">
        <v>9</v>
      </c>
      <c r="U1" s="875"/>
      <c r="V1" s="876"/>
      <c r="W1" s="19"/>
    </row>
    <row r="2" spans="1:23" ht="14.4" x14ac:dyDescent="0.3">
      <c r="A2" s="20"/>
      <c r="B2" s="21"/>
      <c r="C2" s="22"/>
      <c r="D2" s="23"/>
      <c r="E2" s="126"/>
      <c r="F2" s="127"/>
      <c r="G2" s="24"/>
      <c r="H2" s="25"/>
      <c r="I2" s="24"/>
      <c r="J2" s="98"/>
      <c r="K2" s="27"/>
      <c r="L2" s="28"/>
      <c r="M2" s="29"/>
      <c r="N2" s="26"/>
      <c r="O2" s="1"/>
      <c r="S2" s="4"/>
      <c r="T2" s="877" t="s">
        <v>10</v>
      </c>
      <c r="U2" s="878"/>
      <c r="V2" s="128"/>
      <c r="W2" s="30"/>
    </row>
    <row r="3" spans="1:23" ht="14.4" x14ac:dyDescent="0.3">
      <c r="A3" s="20"/>
      <c r="B3" s="21"/>
      <c r="C3" s="22"/>
      <c r="D3" s="31"/>
      <c r="E3" s="863" t="s">
        <v>11</v>
      </c>
      <c r="F3" s="864"/>
      <c r="G3" s="865"/>
      <c r="H3" s="32"/>
      <c r="I3" s="127"/>
      <c r="J3" s="98"/>
      <c r="K3" s="127"/>
      <c r="L3" s="33"/>
      <c r="M3" s="34"/>
      <c r="N3" s="26"/>
      <c r="O3" s="35"/>
      <c r="P3" s="26"/>
      <c r="Q3" s="98"/>
      <c r="R3" s="36"/>
      <c r="S3" s="37"/>
      <c r="T3" s="866" t="s">
        <v>12</v>
      </c>
      <c r="U3" s="867"/>
      <c r="V3" s="128"/>
      <c r="W3" s="38"/>
    </row>
    <row r="4" spans="1:23" s="52" customFormat="1" ht="39.6" x14ac:dyDescent="0.3">
      <c r="A4" s="39" t="s">
        <v>13</v>
      </c>
      <c r="B4" s="40" t="s">
        <v>14</v>
      </c>
      <c r="C4" s="41" t="s">
        <v>15</v>
      </c>
      <c r="D4" s="42" t="s">
        <v>16</v>
      </c>
      <c r="E4" s="43" t="s">
        <v>17</v>
      </c>
      <c r="F4" s="40" t="s">
        <v>18</v>
      </c>
      <c r="G4" s="44" t="s">
        <v>19</v>
      </c>
      <c r="H4" s="45" t="s">
        <v>20</v>
      </c>
      <c r="I4" s="44" t="s">
        <v>21</v>
      </c>
      <c r="J4" s="99" t="s">
        <v>22</v>
      </c>
      <c r="K4" s="40" t="s">
        <v>23</v>
      </c>
      <c r="L4" s="46" t="s">
        <v>24</v>
      </c>
      <c r="M4" s="46" t="s">
        <v>25</v>
      </c>
      <c r="N4" s="44" t="s">
        <v>26</v>
      </c>
      <c r="O4" s="47" t="s">
        <v>27</v>
      </c>
      <c r="P4" s="44" t="s">
        <v>28</v>
      </c>
      <c r="Q4" s="99" t="s">
        <v>29</v>
      </c>
      <c r="R4" s="48" t="s">
        <v>7</v>
      </c>
      <c r="S4" s="49" t="s">
        <v>8</v>
      </c>
      <c r="T4" s="50" t="s">
        <v>30</v>
      </c>
      <c r="U4" s="50" t="s">
        <v>31</v>
      </c>
      <c r="V4" s="51" t="s">
        <v>2</v>
      </c>
      <c r="W4" s="41" t="s">
        <v>32</v>
      </c>
    </row>
    <row r="5" spans="1:23" ht="15" thickBot="1" x14ac:dyDescent="0.35">
      <c r="A5" s="53" t="s">
        <v>33</v>
      </c>
      <c r="B5" s="54"/>
      <c r="C5" s="55"/>
      <c r="D5" s="56"/>
      <c r="E5" s="57" t="s">
        <v>34</v>
      </c>
      <c r="F5" s="57" t="s">
        <v>34</v>
      </c>
      <c r="G5" s="139" t="s">
        <v>34</v>
      </c>
      <c r="H5" s="140" t="s">
        <v>34</v>
      </c>
      <c r="I5" s="57" t="s">
        <v>34</v>
      </c>
      <c r="J5" s="65" t="s">
        <v>34</v>
      </c>
      <c r="K5" s="58" t="s">
        <v>35</v>
      </c>
      <c r="L5" s="141" t="s">
        <v>34</v>
      </c>
      <c r="M5" s="60" t="s">
        <v>34</v>
      </c>
      <c r="N5" s="60" t="s">
        <v>35</v>
      </c>
      <c r="O5" s="61" t="s">
        <v>36</v>
      </c>
      <c r="P5" s="62" t="s">
        <v>36</v>
      </c>
      <c r="Q5" s="379" t="s">
        <v>36</v>
      </c>
      <c r="R5" s="63" t="s">
        <v>36</v>
      </c>
      <c r="S5" s="64" t="s">
        <v>36</v>
      </c>
      <c r="T5" s="65" t="s">
        <v>34</v>
      </c>
      <c r="U5" s="65" t="s">
        <v>34</v>
      </c>
      <c r="V5" s="66" t="s">
        <v>34</v>
      </c>
      <c r="W5" s="67"/>
    </row>
    <row r="6" spans="1:23" s="197" customFormat="1" ht="16.8" x14ac:dyDescent="0.4">
      <c r="A6" s="193">
        <v>44304</v>
      </c>
      <c r="B6" s="194" t="s">
        <v>75</v>
      </c>
      <c r="C6" s="199" t="s">
        <v>76</v>
      </c>
      <c r="D6" s="198" t="s">
        <v>52</v>
      </c>
      <c r="E6" s="195">
        <v>12.2</v>
      </c>
      <c r="F6" s="195">
        <v>-0.66</v>
      </c>
      <c r="G6" s="200">
        <f>E6-F6</f>
        <v>12.86</v>
      </c>
      <c r="H6" s="201"/>
      <c r="I6" s="194"/>
      <c r="J6" s="195">
        <v>5.0599999999999996</v>
      </c>
      <c r="K6" s="199">
        <v>0.43</v>
      </c>
      <c r="L6" s="203">
        <f>G6-J6</f>
        <v>7.8</v>
      </c>
      <c r="M6" s="194"/>
      <c r="N6" s="202"/>
      <c r="O6" s="194"/>
      <c r="P6" s="195">
        <f>K6*J6</f>
        <v>2.1757999999999997</v>
      </c>
      <c r="Q6" s="195"/>
      <c r="R6" s="196"/>
      <c r="S6" s="204"/>
      <c r="T6" s="845"/>
      <c r="U6" s="845"/>
      <c r="V6" s="840"/>
    </row>
    <row r="7" spans="1:23" s="197" customFormat="1" ht="16.8" x14ac:dyDescent="0.4">
      <c r="A7" s="193">
        <v>44438</v>
      </c>
      <c r="B7" s="194" t="s">
        <v>82</v>
      </c>
      <c r="C7" s="199" t="s">
        <v>76</v>
      </c>
      <c r="D7" s="198" t="s">
        <v>59</v>
      </c>
      <c r="E7" s="195">
        <v>13.2</v>
      </c>
      <c r="F7" s="195">
        <f>E7-G7</f>
        <v>4.18</v>
      </c>
      <c r="G7" s="200">
        <v>9.02</v>
      </c>
      <c r="H7" s="272">
        <f>G7-G6</f>
        <v>-3.84</v>
      </c>
      <c r="I7" s="195">
        <f>G7-L6</f>
        <v>1.2199999999999998</v>
      </c>
      <c r="J7" s="195">
        <v>1.405</v>
      </c>
      <c r="K7" s="199">
        <v>0.6</v>
      </c>
      <c r="L7" s="198"/>
      <c r="M7" s="194"/>
      <c r="N7" s="202"/>
      <c r="O7" s="195">
        <f>Q7-P6</f>
        <v>-1.3327999999999998</v>
      </c>
      <c r="P7" s="194"/>
      <c r="Q7" s="195">
        <f>J7*K7</f>
        <v>0.84299999999999997</v>
      </c>
      <c r="R7" s="196"/>
      <c r="S7" s="204"/>
      <c r="T7" s="845"/>
      <c r="U7" s="845"/>
      <c r="V7" s="840"/>
    </row>
    <row r="8" spans="1:23" s="197" customFormat="1" ht="16.8" x14ac:dyDescent="0.4">
      <c r="A8" s="193">
        <v>44446</v>
      </c>
      <c r="B8" s="194" t="s">
        <v>75</v>
      </c>
      <c r="C8" s="199" t="s">
        <v>76</v>
      </c>
      <c r="D8" s="198" t="s">
        <v>59</v>
      </c>
      <c r="E8" s="195">
        <v>13.2</v>
      </c>
      <c r="F8" s="195">
        <f>E8-G8</f>
        <v>4.4699999999999989</v>
      </c>
      <c r="G8" s="200">
        <v>8.73</v>
      </c>
      <c r="H8" s="272">
        <f>G8-G7</f>
        <v>-0.28999999999999915</v>
      </c>
      <c r="I8" s="195"/>
      <c r="J8" s="195">
        <f>J7+H8</f>
        <v>1.1150000000000009</v>
      </c>
      <c r="K8" s="199">
        <v>0.6</v>
      </c>
      <c r="L8" s="198"/>
      <c r="M8" s="194"/>
      <c r="N8" s="202"/>
      <c r="O8" s="195">
        <f>Q8-P6</f>
        <v>-1.5067999999999993</v>
      </c>
      <c r="P8" s="194"/>
      <c r="Q8" s="195">
        <f>J8*K8</f>
        <v>0.66900000000000048</v>
      </c>
      <c r="R8" s="196"/>
      <c r="S8" s="204">
        <v>0</v>
      </c>
      <c r="T8" s="845"/>
      <c r="U8" s="845"/>
      <c r="V8" s="840"/>
    </row>
    <row r="9" spans="1:23" s="197" customFormat="1" ht="16.8" x14ac:dyDescent="0.4">
      <c r="A9" s="193">
        <v>44509</v>
      </c>
      <c r="B9" s="194" t="s">
        <v>75</v>
      </c>
      <c r="C9" s="199" t="s">
        <v>76</v>
      </c>
      <c r="D9" s="198" t="s">
        <v>52</v>
      </c>
      <c r="E9" s="195">
        <f>E8+2.58</f>
        <v>15.78</v>
      </c>
      <c r="F9" s="195">
        <f>E9-G9</f>
        <v>3.5</v>
      </c>
      <c r="G9" s="200">
        <v>12.28</v>
      </c>
      <c r="H9" s="272">
        <f>G9-G8</f>
        <v>3.5499999999999989</v>
      </c>
      <c r="I9" s="195">
        <v>3.58</v>
      </c>
      <c r="J9" s="195"/>
      <c r="K9" s="199"/>
      <c r="L9" s="203">
        <f>G9-I9</f>
        <v>8.6999999999999993</v>
      </c>
      <c r="M9" s="194"/>
      <c r="N9" s="202"/>
      <c r="O9" s="195"/>
      <c r="P9" s="194"/>
      <c r="Q9" s="195"/>
      <c r="R9" s="196">
        <f>(H9-I9)*K8</f>
        <v>-1.8000000000000682E-2</v>
      </c>
      <c r="S9" s="204"/>
      <c r="T9" s="845"/>
      <c r="U9" s="845"/>
      <c r="V9" s="840"/>
    </row>
    <row r="10" spans="1:23" s="197" customFormat="1" ht="16.8" x14ac:dyDescent="0.4">
      <c r="A10" s="193">
        <v>44592</v>
      </c>
      <c r="B10" s="194" t="s">
        <v>80</v>
      </c>
      <c r="C10" s="199" t="s">
        <v>76</v>
      </c>
      <c r="D10" s="198" t="s">
        <v>52</v>
      </c>
      <c r="E10" s="195">
        <v>15.78</v>
      </c>
      <c r="F10" s="195">
        <v>2.37</v>
      </c>
      <c r="G10" s="200">
        <f>E10-F10</f>
        <v>13.41</v>
      </c>
      <c r="H10" s="272"/>
      <c r="I10" s="195"/>
      <c r="J10" s="195"/>
      <c r="K10" s="199"/>
      <c r="L10" s="203"/>
      <c r="M10" s="194"/>
      <c r="N10" s="202"/>
      <c r="O10" s="195"/>
      <c r="P10" s="194"/>
      <c r="Q10" s="195"/>
      <c r="R10" s="196"/>
      <c r="S10" s="204"/>
      <c r="T10" s="845"/>
      <c r="U10" s="845"/>
      <c r="V10" s="840"/>
    </row>
    <row r="11" spans="1:23" s="197" customFormat="1" ht="16.8" x14ac:dyDescent="0.4">
      <c r="A11" s="193">
        <v>44592</v>
      </c>
      <c r="B11" s="194" t="s">
        <v>80</v>
      </c>
      <c r="C11" s="199" t="s">
        <v>76</v>
      </c>
      <c r="D11" s="198" t="s">
        <v>52</v>
      </c>
      <c r="E11" s="195">
        <v>17.43</v>
      </c>
      <c r="F11" s="195">
        <f>E11-G10</f>
        <v>4.0199999999999996</v>
      </c>
      <c r="G11" s="200">
        <f>E11-F11</f>
        <v>13.41</v>
      </c>
      <c r="H11" s="272">
        <f>G11-G8</f>
        <v>4.68</v>
      </c>
      <c r="I11" s="195"/>
      <c r="J11" s="195"/>
      <c r="K11" s="199"/>
      <c r="L11" s="203"/>
      <c r="M11" s="194"/>
      <c r="N11" s="202"/>
      <c r="O11" s="195"/>
      <c r="P11" s="195"/>
      <c r="Q11" s="195"/>
      <c r="R11" s="304"/>
      <c r="S11" s="305"/>
      <c r="T11" s="845"/>
      <c r="U11" s="845"/>
      <c r="V11" s="840"/>
    </row>
    <row r="12" spans="1:23" s="197" customFormat="1" ht="16.8" x14ac:dyDescent="0.4">
      <c r="A12" s="193">
        <v>44677</v>
      </c>
      <c r="B12" s="194" t="s">
        <v>83</v>
      </c>
      <c r="C12" s="199" t="s">
        <v>76</v>
      </c>
      <c r="D12" s="198" t="s">
        <v>52</v>
      </c>
      <c r="E12" s="195">
        <v>17.43</v>
      </c>
      <c r="F12" s="195">
        <v>1.52</v>
      </c>
      <c r="G12" s="200">
        <f>E12-F12</f>
        <v>15.91</v>
      </c>
      <c r="H12" s="272"/>
      <c r="I12" s="195"/>
      <c r="J12" s="195"/>
      <c r="K12" s="199"/>
      <c r="L12" s="203"/>
      <c r="M12" s="194"/>
      <c r="N12" s="202"/>
      <c r="O12" s="195"/>
      <c r="P12" s="195"/>
      <c r="Q12" s="195"/>
      <c r="R12" s="304"/>
      <c r="S12" s="305"/>
      <c r="T12" s="845"/>
      <c r="U12" s="845"/>
      <c r="V12" s="840"/>
    </row>
    <row r="13" spans="1:23" s="197" customFormat="1" ht="16.8" x14ac:dyDescent="0.4">
      <c r="A13" s="193">
        <v>44678</v>
      </c>
      <c r="B13" s="194" t="s">
        <v>85</v>
      </c>
      <c r="C13" s="199" t="s">
        <v>76</v>
      </c>
      <c r="D13" s="198" t="s">
        <v>52</v>
      </c>
      <c r="E13" s="195">
        <v>16.25</v>
      </c>
      <c r="F13" s="195">
        <v>0.59</v>
      </c>
      <c r="G13" s="200">
        <f>E13-F13</f>
        <v>15.66</v>
      </c>
      <c r="H13" s="201"/>
      <c r="I13" s="194">
        <v>6.27</v>
      </c>
      <c r="J13" s="195">
        <v>6.27</v>
      </c>
      <c r="K13" s="303">
        <v>0.44</v>
      </c>
      <c r="L13" s="203">
        <f>G13-J13</f>
        <v>9.39</v>
      </c>
      <c r="M13" s="194"/>
      <c r="N13" s="202"/>
      <c r="O13" s="195"/>
      <c r="P13" s="195"/>
      <c r="Q13" s="195"/>
      <c r="R13" s="304">
        <f>(L13-G8)*K8</f>
        <v>0.39600000000000007</v>
      </c>
      <c r="S13" s="305"/>
      <c r="T13" s="845"/>
      <c r="U13" s="845"/>
      <c r="V13" s="840"/>
    </row>
    <row r="14" spans="1:23" s="197" customFormat="1" ht="16.8" x14ac:dyDescent="0.4">
      <c r="A14" s="193">
        <v>44820</v>
      </c>
      <c r="B14" s="194" t="s">
        <v>92</v>
      </c>
      <c r="C14" s="199" t="s">
        <v>76</v>
      </c>
      <c r="D14" s="199" t="s">
        <v>52</v>
      </c>
      <c r="E14" s="195">
        <v>13.86</v>
      </c>
      <c r="F14" s="195">
        <v>3.95</v>
      </c>
      <c r="G14" s="200">
        <f>E14-F14</f>
        <v>9.91</v>
      </c>
      <c r="H14" s="272">
        <f>L14-G8</f>
        <v>0.45999999999999908</v>
      </c>
      <c r="I14" s="194"/>
      <c r="J14" s="195">
        <v>0.72</v>
      </c>
      <c r="K14" s="303">
        <v>0.53238686779059452</v>
      </c>
      <c r="L14" s="203">
        <f>G14-J14</f>
        <v>9.19</v>
      </c>
      <c r="M14" s="194"/>
      <c r="N14" s="202"/>
      <c r="O14" s="195"/>
      <c r="P14" s="195"/>
      <c r="Q14" s="195"/>
      <c r="R14" s="304"/>
      <c r="S14" s="305"/>
      <c r="T14" s="845"/>
      <c r="U14" s="845"/>
      <c r="V14" s="840"/>
    </row>
    <row r="15" spans="1:23" s="197" customFormat="1" ht="16.8" x14ac:dyDescent="0.4">
      <c r="A15" s="193">
        <v>44911</v>
      </c>
      <c r="B15" s="194" t="s">
        <v>94</v>
      </c>
      <c r="C15" s="199" t="s">
        <v>76</v>
      </c>
      <c r="D15" s="199" t="s">
        <v>93</v>
      </c>
      <c r="E15" s="195">
        <v>13.86</v>
      </c>
      <c r="F15" s="195">
        <f>E15-G15</f>
        <v>2.6799999999999997</v>
      </c>
      <c r="G15" s="200">
        <f>12.2-1.02</f>
        <v>11.18</v>
      </c>
      <c r="H15" s="272">
        <f>G15-G14</f>
        <v>1.2699999999999996</v>
      </c>
      <c r="I15" s="194"/>
      <c r="J15" s="195"/>
      <c r="K15" s="303"/>
      <c r="L15" s="203"/>
      <c r="M15" s="194"/>
      <c r="N15" s="202"/>
      <c r="O15" s="195"/>
      <c r="P15" s="195"/>
      <c r="Q15" s="195"/>
      <c r="R15" s="304"/>
      <c r="S15" s="305"/>
      <c r="T15" s="845"/>
      <c r="U15" s="845"/>
      <c r="V15" s="840"/>
    </row>
    <row r="16" spans="1:23" s="197" customFormat="1" ht="16.8" x14ac:dyDescent="0.4">
      <c r="A16" s="193">
        <v>44911</v>
      </c>
      <c r="B16" s="194" t="s">
        <v>92</v>
      </c>
      <c r="C16" s="199" t="s">
        <v>76</v>
      </c>
      <c r="D16" s="199" t="s">
        <v>93</v>
      </c>
      <c r="E16" s="195">
        <v>15.26</v>
      </c>
      <c r="F16" s="195">
        <f>E16-G16</f>
        <v>4.08</v>
      </c>
      <c r="G16" s="200">
        <v>11.18</v>
      </c>
      <c r="H16" s="272"/>
      <c r="I16" s="194"/>
      <c r="J16" s="195"/>
      <c r="K16" s="303"/>
      <c r="L16" s="203"/>
      <c r="M16" s="194"/>
      <c r="N16" s="202"/>
      <c r="O16" s="195"/>
      <c r="P16" s="195"/>
      <c r="Q16" s="195"/>
      <c r="R16" s="304"/>
      <c r="S16" s="305"/>
      <c r="T16" s="846"/>
      <c r="U16" s="846"/>
      <c r="V16" s="841"/>
    </row>
    <row r="17" spans="1:23" s="197" customFormat="1" ht="16.8" x14ac:dyDescent="0.4">
      <c r="A17" s="193">
        <v>45051</v>
      </c>
      <c r="B17" s="194" t="s">
        <v>95</v>
      </c>
      <c r="C17" s="199" t="s">
        <v>76</v>
      </c>
      <c r="D17" s="199" t="s">
        <v>93</v>
      </c>
      <c r="E17" s="195">
        <v>15.26</v>
      </c>
      <c r="F17" s="195">
        <v>0.18</v>
      </c>
      <c r="G17" s="200">
        <f>E17-F17</f>
        <v>15.08</v>
      </c>
      <c r="H17" s="272">
        <f>G17-G14</f>
        <v>5.17</v>
      </c>
      <c r="I17" s="194">
        <v>4.55</v>
      </c>
      <c r="J17" s="195"/>
      <c r="K17" s="303">
        <v>0.41</v>
      </c>
      <c r="L17" s="203">
        <f>G17-I17</f>
        <v>10.530000000000001</v>
      </c>
      <c r="M17" s="194"/>
      <c r="N17" s="202"/>
      <c r="O17" s="195"/>
      <c r="P17" s="195">
        <f>I17*K17</f>
        <v>1.8654999999999997</v>
      </c>
      <c r="Q17" s="195"/>
      <c r="R17" s="304">
        <f>(L17-G14)*0.9</f>
        <v>0.55800000000000094</v>
      </c>
      <c r="S17" s="305"/>
      <c r="T17" s="846">
        <v>394252.69500000001</v>
      </c>
      <c r="U17" s="846">
        <v>6699703.5190000003</v>
      </c>
      <c r="V17" s="841">
        <v>1293.104</v>
      </c>
    </row>
    <row r="18" spans="1:23" s="197" customFormat="1" ht="16.8" x14ac:dyDescent="0.4">
      <c r="A18" s="193">
        <v>45174</v>
      </c>
      <c r="B18" s="194" t="s">
        <v>103</v>
      </c>
      <c r="C18" s="199" t="s">
        <v>76</v>
      </c>
      <c r="D18" s="199" t="s">
        <v>59</v>
      </c>
      <c r="E18" s="195">
        <v>12.2</v>
      </c>
      <c r="F18" s="195">
        <v>2.09</v>
      </c>
      <c r="G18" s="200">
        <f>E18-F18</f>
        <v>10.11</v>
      </c>
      <c r="H18" s="272">
        <f>L18-G14</f>
        <v>-0.16999999999999993</v>
      </c>
      <c r="I18" s="194"/>
      <c r="J18" s="195">
        <v>0.37</v>
      </c>
      <c r="K18" s="303">
        <v>0.56000000000000005</v>
      </c>
      <c r="L18" s="203">
        <f>G18-J18</f>
        <v>9.74</v>
      </c>
      <c r="M18" s="194"/>
      <c r="N18" s="202"/>
      <c r="O18" s="195"/>
      <c r="P18" s="195"/>
      <c r="Q18" s="195"/>
      <c r="R18" s="304">
        <f>(L18-G14)*K14</f>
        <v>-9.0505767524401037E-2</v>
      </c>
      <c r="S18" s="305"/>
      <c r="T18" s="846"/>
      <c r="U18" s="846"/>
      <c r="V18" s="841"/>
    </row>
    <row r="19" spans="1:23" s="197" customFormat="1" ht="16.8" x14ac:dyDescent="0.4">
      <c r="A19" s="193">
        <v>45174</v>
      </c>
      <c r="B19" s="194" t="s">
        <v>103</v>
      </c>
      <c r="C19" s="199" t="s">
        <v>76</v>
      </c>
      <c r="D19" s="199" t="s">
        <v>59</v>
      </c>
      <c r="E19" s="195">
        <v>13.86</v>
      </c>
      <c r="F19" s="195">
        <f>E19-G19</f>
        <v>3.75</v>
      </c>
      <c r="G19" s="200">
        <v>10.11</v>
      </c>
      <c r="H19" s="201"/>
      <c r="I19" s="194"/>
      <c r="J19" s="195"/>
      <c r="K19" s="303"/>
      <c r="L19" s="203"/>
      <c r="M19" s="194"/>
      <c r="N19" s="202"/>
      <c r="O19" s="195"/>
      <c r="P19" s="195"/>
      <c r="Q19" s="195"/>
      <c r="R19" s="304"/>
      <c r="S19" s="305"/>
      <c r="T19" s="846"/>
      <c r="U19" s="846"/>
      <c r="V19" s="841"/>
    </row>
    <row r="20" spans="1:23" s="197" customFormat="1" ht="16.8" x14ac:dyDescent="0.4">
      <c r="A20" s="193">
        <v>45551</v>
      </c>
      <c r="B20" s="194" t="s">
        <v>202</v>
      </c>
      <c r="C20" s="199" t="s">
        <v>76</v>
      </c>
      <c r="D20" s="199" t="s">
        <v>59</v>
      </c>
      <c r="E20" s="195">
        <v>12.2</v>
      </c>
      <c r="F20" s="195">
        <v>0.84</v>
      </c>
      <c r="G20" s="200">
        <f>E20-F20</f>
        <v>11.36</v>
      </c>
      <c r="H20" s="201"/>
      <c r="I20" s="194"/>
      <c r="J20" s="195"/>
      <c r="K20" s="303"/>
      <c r="L20" s="203"/>
      <c r="M20" s="194"/>
      <c r="N20" s="202"/>
      <c r="O20" s="195"/>
      <c r="P20" s="195"/>
      <c r="Q20" s="195"/>
      <c r="R20" s="304"/>
      <c r="S20" s="305"/>
      <c r="T20" s="846"/>
      <c r="U20" s="846"/>
      <c r="V20" s="841"/>
    </row>
    <row r="21" spans="1:23" s="197" customFormat="1" ht="16.8" x14ac:dyDescent="0.4">
      <c r="A21" s="193">
        <v>45551</v>
      </c>
      <c r="B21" s="194" t="s">
        <v>202</v>
      </c>
      <c r="C21" s="199" t="s">
        <v>76</v>
      </c>
      <c r="D21" s="199" t="s">
        <v>59</v>
      </c>
      <c r="E21" s="195">
        <v>13.86</v>
      </c>
      <c r="F21" s="195">
        <f>E21-G21</f>
        <v>2.5</v>
      </c>
      <c r="G21" s="200">
        <v>11.36</v>
      </c>
      <c r="H21" s="201"/>
      <c r="I21" s="194"/>
      <c r="J21" s="195">
        <f>SiteC_PitCore_20240916!I3</f>
        <v>0.94</v>
      </c>
      <c r="K21" s="303">
        <f>SiteC_PitCore_20240916!I4</f>
        <v>0.61025490627237333</v>
      </c>
      <c r="L21" s="203">
        <f>G21-J21</f>
        <v>10.42</v>
      </c>
      <c r="M21" s="195"/>
      <c r="N21" s="202"/>
      <c r="O21" s="195"/>
      <c r="P21" s="195"/>
      <c r="Q21" s="195"/>
      <c r="R21" s="304">
        <f>(L21-G19)*K18</f>
        <v>0.17360000000000028</v>
      </c>
      <c r="S21" s="305"/>
      <c r="T21" s="846"/>
      <c r="U21" s="846"/>
      <c r="V21" s="841"/>
    </row>
    <row r="22" spans="1:23" ht="16.8" x14ac:dyDescent="0.4">
      <c r="A22" s="70"/>
      <c r="B22" s="70"/>
      <c r="C22" s="222"/>
      <c r="D22" s="222"/>
      <c r="E22" s="71"/>
      <c r="F22" s="71"/>
      <c r="G22" s="215"/>
      <c r="H22" s="218"/>
      <c r="I22" s="70"/>
      <c r="J22" s="71"/>
      <c r="K22" s="222"/>
      <c r="L22" s="224"/>
      <c r="M22" s="70"/>
      <c r="N22" s="215"/>
      <c r="O22" s="71"/>
      <c r="P22" s="71"/>
      <c r="Q22" s="71"/>
      <c r="R22" s="103"/>
      <c r="S22" s="331"/>
      <c r="T22" s="829"/>
      <c r="U22" s="829"/>
      <c r="V22" s="836"/>
    </row>
    <row r="23" spans="1:23" ht="16.8" x14ac:dyDescent="0.4">
      <c r="A23" s="299">
        <v>44678</v>
      </c>
      <c r="B23" s="297" t="s">
        <v>83</v>
      </c>
      <c r="C23" s="338" t="s">
        <v>88</v>
      </c>
      <c r="D23" s="338" t="s">
        <v>52</v>
      </c>
      <c r="E23" s="298">
        <v>12.2</v>
      </c>
      <c r="F23" s="298">
        <v>0.69</v>
      </c>
      <c r="G23" s="341">
        <f>E23-F23</f>
        <v>11.51</v>
      </c>
      <c r="H23" s="342"/>
      <c r="I23" s="297">
        <v>6.27</v>
      </c>
      <c r="J23" s="298">
        <v>6.27</v>
      </c>
      <c r="K23" s="337">
        <v>0.44</v>
      </c>
      <c r="L23" s="339">
        <f>G23-I23</f>
        <v>5.24</v>
      </c>
      <c r="M23" s="297"/>
      <c r="N23" s="111"/>
      <c r="O23" s="298"/>
      <c r="P23" s="298">
        <f>J23*K23</f>
        <v>2.7587999999999999</v>
      </c>
      <c r="Q23" s="298"/>
      <c r="R23" s="300"/>
      <c r="S23" s="343"/>
      <c r="T23" s="847"/>
      <c r="U23" s="847"/>
      <c r="V23" s="842"/>
      <c r="W23" s="214"/>
    </row>
    <row r="24" spans="1:23" ht="16.8" x14ac:dyDescent="0.4">
      <c r="A24" s="299">
        <v>44820</v>
      </c>
      <c r="B24" s="297" t="s">
        <v>83</v>
      </c>
      <c r="C24" s="338" t="s">
        <v>88</v>
      </c>
      <c r="D24" s="338" t="s">
        <v>52</v>
      </c>
      <c r="E24" s="298">
        <v>9.15</v>
      </c>
      <c r="F24" s="298">
        <v>3.05</v>
      </c>
      <c r="G24" s="341">
        <v>6.1</v>
      </c>
      <c r="H24" s="342"/>
      <c r="I24" s="297"/>
      <c r="J24" s="298">
        <v>0.72</v>
      </c>
      <c r="K24" s="337">
        <v>0.53</v>
      </c>
      <c r="L24" s="339">
        <f>G24-J24</f>
        <v>5.38</v>
      </c>
      <c r="M24" s="297"/>
      <c r="N24" s="111"/>
      <c r="O24" s="298">
        <f>Q24-P23</f>
        <v>-2.3771999999999998</v>
      </c>
      <c r="P24" s="298"/>
      <c r="Q24" s="298">
        <f>J24*K24</f>
        <v>0.38159999999999999</v>
      </c>
      <c r="R24" s="300"/>
      <c r="S24" s="343">
        <v>0</v>
      </c>
      <c r="T24" s="847"/>
      <c r="U24" s="847"/>
      <c r="V24" s="842"/>
      <c r="W24" s="214"/>
    </row>
    <row r="25" spans="1:23" ht="16.8" x14ac:dyDescent="0.4">
      <c r="A25" s="299">
        <v>44820</v>
      </c>
      <c r="B25" s="297" t="s">
        <v>83</v>
      </c>
      <c r="C25" s="338" t="s">
        <v>88</v>
      </c>
      <c r="D25" s="338" t="s">
        <v>52</v>
      </c>
      <c r="E25" s="298">
        <v>10.55</v>
      </c>
      <c r="F25" s="298">
        <f>E25-G25</f>
        <v>4.4500000000000011</v>
      </c>
      <c r="G25" s="341">
        <v>6.1</v>
      </c>
      <c r="H25" s="342"/>
      <c r="I25" s="297"/>
      <c r="J25" s="298"/>
      <c r="K25" s="338"/>
      <c r="L25" s="340"/>
      <c r="M25" s="297"/>
      <c r="N25" s="111"/>
      <c r="O25" s="298"/>
      <c r="P25" s="298"/>
      <c r="Q25" s="298"/>
      <c r="R25" s="300"/>
      <c r="S25" s="343"/>
      <c r="T25" s="847"/>
      <c r="U25" s="847"/>
      <c r="V25" s="842"/>
      <c r="W25" s="214"/>
    </row>
    <row r="26" spans="1:23" ht="16.8" x14ac:dyDescent="0.4">
      <c r="A26" s="299">
        <v>44911</v>
      </c>
      <c r="B26" s="297" t="s">
        <v>92</v>
      </c>
      <c r="C26" s="338" t="s">
        <v>88</v>
      </c>
      <c r="D26" s="338" t="s">
        <v>93</v>
      </c>
      <c r="E26" s="298">
        <v>10.55</v>
      </c>
      <c r="F26" s="298">
        <v>3.07</v>
      </c>
      <c r="G26" s="341">
        <f>E26-F26</f>
        <v>7.48</v>
      </c>
      <c r="H26" s="348">
        <f>G26-G25</f>
        <v>1.3800000000000008</v>
      </c>
      <c r="I26" s="297"/>
      <c r="J26" s="298"/>
      <c r="K26" s="338"/>
      <c r="L26" s="340"/>
      <c r="M26" s="297"/>
      <c r="N26" s="111"/>
      <c r="O26" s="298"/>
      <c r="P26" s="298"/>
      <c r="Q26" s="298"/>
      <c r="R26" s="300"/>
      <c r="S26" s="343"/>
      <c r="T26" s="847"/>
      <c r="U26" s="847"/>
      <c r="V26" s="842"/>
      <c r="W26" s="214"/>
    </row>
    <row r="27" spans="1:23" ht="16.8" x14ac:dyDescent="0.4">
      <c r="A27" s="299">
        <v>44911</v>
      </c>
      <c r="B27" s="297" t="s">
        <v>92</v>
      </c>
      <c r="C27" s="338" t="s">
        <v>88</v>
      </c>
      <c r="D27" s="338" t="s">
        <v>93</v>
      </c>
      <c r="E27" s="298">
        <v>12</v>
      </c>
      <c r="F27" s="298">
        <f>E27-G27</f>
        <v>4.5199999999999996</v>
      </c>
      <c r="G27" s="341">
        <f>G26</f>
        <v>7.48</v>
      </c>
      <c r="H27" s="342"/>
      <c r="I27" s="297"/>
      <c r="J27" s="298"/>
      <c r="K27" s="338"/>
      <c r="L27" s="340"/>
      <c r="M27" s="297"/>
      <c r="N27" s="111"/>
      <c r="O27" s="298"/>
      <c r="P27" s="298"/>
      <c r="Q27" s="298"/>
      <c r="R27" s="300"/>
      <c r="S27" s="343"/>
      <c r="T27" s="847"/>
      <c r="U27" s="847"/>
      <c r="V27" s="842"/>
      <c r="W27" s="214"/>
    </row>
    <row r="28" spans="1:23" ht="16.8" x14ac:dyDescent="0.4">
      <c r="A28" s="299">
        <v>45051</v>
      </c>
      <c r="B28" s="297" t="s">
        <v>95</v>
      </c>
      <c r="C28" s="338" t="s">
        <v>88</v>
      </c>
      <c r="D28" s="338" t="s">
        <v>93</v>
      </c>
      <c r="E28" s="298">
        <v>12</v>
      </c>
      <c r="F28" s="298">
        <v>0.23</v>
      </c>
      <c r="G28" s="341">
        <f>E28-F28</f>
        <v>11.77</v>
      </c>
      <c r="H28" s="348">
        <f>G28-G25</f>
        <v>5.67</v>
      </c>
      <c r="I28" s="297">
        <v>4.46</v>
      </c>
      <c r="J28" s="298"/>
      <c r="K28" s="337">
        <v>0.41</v>
      </c>
      <c r="L28" s="339">
        <f>G28-I28</f>
        <v>7.31</v>
      </c>
      <c r="M28" s="297"/>
      <c r="N28" s="111"/>
      <c r="O28" s="298"/>
      <c r="P28" s="298">
        <f>I28*K28</f>
        <v>1.8285999999999998</v>
      </c>
      <c r="Q28" s="298"/>
      <c r="R28" s="300">
        <f>(L28-G25)*0.9</f>
        <v>1.089</v>
      </c>
      <c r="S28" s="343"/>
      <c r="T28" s="847">
        <v>394258.50300000003</v>
      </c>
      <c r="U28" s="847">
        <v>6699705.7419999996</v>
      </c>
      <c r="V28" s="842">
        <v>1293.4490000000001</v>
      </c>
      <c r="W28" s="214"/>
    </row>
    <row r="29" spans="1:23" ht="16.8" x14ac:dyDescent="0.4">
      <c r="A29" s="299">
        <v>45174</v>
      </c>
      <c r="B29" s="297" t="s">
        <v>97</v>
      </c>
      <c r="C29" s="338" t="s">
        <v>88</v>
      </c>
      <c r="D29" s="338" t="s">
        <v>59</v>
      </c>
      <c r="E29" s="298">
        <v>9.15</v>
      </c>
      <c r="F29" s="298">
        <v>2.5299999999999998</v>
      </c>
      <c r="G29" s="341">
        <f>E29-F29</f>
        <v>6.620000000000001</v>
      </c>
      <c r="H29" s="348"/>
      <c r="I29" s="297"/>
      <c r="J29" s="298">
        <v>0.37</v>
      </c>
      <c r="K29" s="337">
        <v>0.56000000000000005</v>
      </c>
      <c r="L29" s="339">
        <f>G29-J29</f>
        <v>6.2500000000000009</v>
      </c>
      <c r="M29" s="297"/>
      <c r="N29" s="111"/>
      <c r="O29" s="298"/>
      <c r="P29" s="298"/>
      <c r="Q29" s="298"/>
      <c r="R29" s="300"/>
      <c r="S29" s="343"/>
      <c r="T29" s="847"/>
      <c r="U29" s="847"/>
      <c r="V29" s="842"/>
      <c r="W29" s="214"/>
    </row>
    <row r="30" spans="1:23" ht="16.8" x14ac:dyDescent="0.4">
      <c r="A30" s="299">
        <v>45174</v>
      </c>
      <c r="B30" s="297" t="s">
        <v>97</v>
      </c>
      <c r="C30" s="338" t="s">
        <v>88</v>
      </c>
      <c r="D30" s="338" t="s">
        <v>59</v>
      </c>
      <c r="E30" s="298">
        <v>11.05</v>
      </c>
      <c r="F30" s="298">
        <f>E30-G30</f>
        <v>4.4300000000000006</v>
      </c>
      <c r="G30" s="341">
        <v>6.62</v>
      </c>
      <c r="H30" s="348"/>
      <c r="I30" s="297"/>
      <c r="J30" s="298"/>
      <c r="K30" s="337"/>
      <c r="L30" s="339"/>
      <c r="M30" s="297"/>
      <c r="N30" s="111"/>
      <c r="O30" s="298"/>
      <c r="P30" s="298"/>
      <c r="Q30" s="298"/>
      <c r="R30" s="300"/>
      <c r="S30" s="343"/>
      <c r="T30" s="847"/>
      <c r="U30" s="847"/>
      <c r="V30" s="842"/>
      <c r="W30" s="214"/>
    </row>
    <row r="31" spans="1:23" ht="16.8" x14ac:dyDescent="0.4">
      <c r="A31" s="299">
        <v>45551</v>
      </c>
      <c r="B31" s="297" t="s">
        <v>202</v>
      </c>
      <c r="C31" s="338" t="s">
        <v>88</v>
      </c>
      <c r="D31" s="338" t="s">
        <v>59</v>
      </c>
      <c r="E31" s="298">
        <v>9.15</v>
      </c>
      <c r="F31" s="298">
        <v>1.06</v>
      </c>
      <c r="G31" s="341">
        <f>E31-F31</f>
        <v>8.09</v>
      </c>
      <c r="H31" s="348"/>
      <c r="I31" s="297"/>
      <c r="J31" s="298">
        <f>SiteC_PitCore_20240916!I3</f>
        <v>0.94</v>
      </c>
      <c r="K31" s="337">
        <f>SiteC_PitCore_20240916!I4</f>
        <v>0.61025490627237333</v>
      </c>
      <c r="L31" s="339">
        <f>G31-J31</f>
        <v>7.15</v>
      </c>
      <c r="M31" s="297"/>
      <c r="N31" s="111"/>
      <c r="O31" s="298"/>
      <c r="P31" s="298"/>
      <c r="Q31" s="298"/>
      <c r="R31" s="300">
        <f>(L31-G29)*K29</f>
        <v>0.29679999999999968</v>
      </c>
      <c r="S31" s="343"/>
      <c r="T31" s="847">
        <v>394252.06900000002</v>
      </c>
      <c r="U31" s="847">
        <v>6699670.3459999999</v>
      </c>
      <c r="V31" s="842">
        <v>1286.6199999999999</v>
      </c>
      <c r="W31" s="214"/>
    </row>
    <row r="32" spans="1:23" ht="16.8" x14ac:dyDescent="0.4">
      <c r="A32" s="70"/>
      <c r="B32" s="70"/>
      <c r="C32" s="222"/>
      <c r="D32" s="222"/>
      <c r="E32" s="71"/>
      <c r="F32" s="71"/>
      <c r="G32" s="215"/>
      <c r="H32" s="218"/>
      <c r="I32" s="70"/>
      <c r="J32" s="71"/>
      <c r="K32" s="222"/>
      <c r="L32" s="224"/>
      <c r="M32" s="70"/>
      <c r="N32" s="215"/>
      <c r="O32" s="70"/>
      <c r="P32" s="70"/>
      <c r="Q32" s="71"/>
      <c r="R32" s="72"/>
      <c r="S32" s="220"/>
      <c r="T32" s="829"/>
      <c r="U32" s="829"/>
      <c r="V32" s="836"/>
    </row>
    <row r="33" spans="1:22" s="256" customFormat="1" ht="16.8" x14ac:dyDescent="0.4">
      <c r="A33" s="364">
        <v>45051</v>
      </c>
      <c r="B33" s="361" t="s">
        <v>103</v>
      </c>
      <c r="C33" s="365" t="s">
        <v>104</v>
      </c>
      <c r="D33" s="365" t="s">
        <v>52</v>
      </c>
      <c r="E33" s="362">
        <v>12.2</v>
      </c>
      <c r="F33" s="362">
        <v>0.91</v>
      </c>
      <c r="G33" s="370">
        <f>E33-F33</f>
        <v>11.29</v>
      </c>
      <c r="H33" s="367"/>
      <c r="I33" s="361"/>
      <c r="J33" s="362">
        <v>4.47</v>
      </c>
      <c r="K33" s="371">
        <f>K28</f>
        <v>0.41</v>
      </c>
      <c r="L33" s="388">
        <f>G33-J33</f>
        <v>6.8199999999999994</v>
      </c>
      <c r="M33" s="361"/>
      <c r="N33" s="366"/>
      <c r="O33" s="361"/>
      <c r="P33" s="362">
        <f>J33*K33</f>
        <v>1.8326999999999998</v>
      </c>
      <c r="Q33" s="362"/>
      <c r="R33" s="363"/>
      <c r="S33" s="369"/>
      <c r="T33" s="831">
        <v>394239.58799999999</v>
      </c>
      <c r="U33" s="831">
        <v>6699756.9869999997</v>
      </c>
      <c r="V33" s="821">
        <v>1294.9190000000001</v>
      </c>
    </row>
    <row r="34" spans="1:22" s="256" customFormat="1" ht="16.8" x14ac:dyDescent="0.4">
      <c r="A34" s="364">
        <v>45174</v>
      </c>
      <c r="B34" s="361" t="s">
        <v>97</v>
      </c>
      <c r="C34" s="365" t="s">
        <v>104</v>
      </c>
      <c r="D34" s="365" t="s">
        <v>59</v>
      </c>
      <c r="E34" s="362">
        <v>9.15</v>
      </c>
      <c r="F34" s="362">
        <v>1.81</v>
      </c>
      <c r="G34" s="370">
        <f>E34-F34</f>
        <v>7.34</v>
      </c>
      <c r="H34" s="367"/>
      <c r="I34" s="361"/>
      <c r="J34" s="362">
        <v>0.37</v>
      </c>
      <c r="K34" s="371">
        <v>0.56000000000000005</v>
      </c>
      <c r="L34" s="388">
        <f>G34-J34</f>
        <v>6.97</v>
      </c>
      <c r="M34" s="361"/>
      <c r="N34" s="366"/>
      <c r="O34" s="362">
        <f>Q34-P33</f>
        <v>-1.6254999999999997</v>
      </c>
      <c r="P34" s="362"/>
      <c r="Q34" s="362">
        <f>J34*K34</f>
        <v>0.20720000000000002</v>
      </c>
      <c r="R34" s="363"/>
      <c r="S34" s="369">
        <v>0</v>
      </c>
      <c r="T34" s="831"/>
      <c r="U34" s="831"/>
      <c r="V34" s="821"/>
    </row>
    <row r="35" spans="1:22" s="256" customFormat="1" ht="16.8" x14ac:dyDescent="0.4">
      <c r="A35" s="364">
        <v>45174</v>
      </c>
      <c r="B35" s="361" t="s">
        <v>97</v>
      </c>
      <c r="C35" s="365" t="s">
        <v>104</v>
      </c>
      <c r="D35" s="365" t="s">
        <v>59</v>
      </c>
      <c r="E35" s="362">
        <v>11.65</v>
      </c>
      <c r="F35" s="362">
        <f>E35-G35</f>
        <v>4.3100000000000005</v>
      </c>
      <c r="G35" s="370">
        <v>7.34</v>
      </c>
      <c r="H35" s="367"/>
      <c r="I35" s="361"/>
      <c r="J35" s="362"/>
      <c r="K35" s="371"/>
      <c r="L35" s="368"/>
      <c r="M35" s="361"/>
      <c r="N35" s="366"/>
      <c r="O35" s="361"/>
      <c r="P35" s="362"/>
      <c r="Q35" s="362"/>
      <c r="R35" s="363"/>
      <c r="S35" s="369"/>
      <c r="T35" s="831"/>
      <c r="U35" s="831"/>
      <c r="V35" s="821"/>
    </row>
    <row r="36" spans="1:22" s="256" customFormat="1" ht="16.8" x14ac:dyDescent="0.4">
      <c r="A36" s="364">
        <v>45301</v>
      </c>
      <c r="B36" s="361" t="s">
        <v>107</v>
      </c>
      <c r="C36" s="365" t="s">
        <v>104</v>
      </c>
      <c r="D36" s="365" t="s">
        <v>52</v>
      </c>
      <c r="E36" s="362">
        <v>11.65</v>
      </c>
      <c r="F36" s="362">
        <v>0.18</v>
      </c>
      <c r="G36" s="370">
        <f>E36-F36</f>
        <v>11.47</v>
      </c>
      <c r="H36" s="392">
        <f>G36-G35</f>
        <v>4.1300000000000008</v>
      </c>
      <c r="I36" s="361"/>
      <c r="J36" s="362"/>
      <c r="K36" s="371"/>
      <c r="L36" s="368"/>
      <c r="M36" s="361"/>
      <c r="N36" s="366"/>
      <c r="O36" s="361"/>
      <c r="P36" s="362"/>
      <c r="Q36" s="362"/>
      <c r="R36" s="363"/>
      <c r="S36" s="369"/>
      <c r="T36" s="831"/>
      <c r="U36" s="831"/>
      <c r="V36" s="821"/>
    </row>
    <row r="37" spans="1:22" s="256" customFormat="1" ht="16.8" x14ac:dyDescent="0.4">
      <c r="A37" s="364">
        <v>45301</v>
      </c>
      <c r="B37" s="361" t="s">
        <v>107</v>
      </c>
      <c r="C37" s="365" t="s">
        <v>104</v>
      </c>
      <c r="D37" s="365" t="s">
        <v>52</v>
      </c>
      <c r="E37" s="362">
        <v>15.65</v>
      </c>
      <c r="F37" s="362">
        <v>4.18</v>
      </c>
      <c r="G37" s="370">
        <f>E37-F37</f>
        <v>11.47</v>
      </c>
      <c r="H37" s="367"/>
      <c r="I37" s="361"/>
      <c r="J37" s="362"/>
      <c r="K37" s="371"/>
      <c r="L37" s="368"/>
      <c r="M37" s="361"/>
      <c r="N37" s="366"/>
      <c r="O37" s="361"/>
      <c r="P37" s="362"/>
      <c r="Q37" s="362"/>
      <c r="R37" s="363"/>
      <c r="S37" s="369"/>
      <c r="T37" s="831"/>
      <c r="U37" s="831"/>
      <c r="V37" s="821"/>
    </row>
    <row r="38" spans="1:22" s="256" customFormat="1" ht="16.8" x14ac:dyDescent="0.4">
      <c r="A38" s="364">
        <v>45407</v>
      </c>
      <c r="B38" s="361" t="s">
        <v>225</v>
      </c>
      <c r="C38" s="365" t="s">
        <v>104</v>
      </c>
      <c r="D38" s="365" t="s">
        <v>52</v>
      </c>
      <c r="E38" s="362">
        <v>15.65</v>
      </c>
      <c r="F38" s="362">
        <v>2.72</v>
      </c>
      <c r="G38" s="370">
        <f>E38-F38</f>
        <v>12.93</v>
      </c>
      <c r="H38" s="367"/>
      <c r="I38" s="361"/>
      <c r="J38" s="362"/>
      <c r="K38" s="371"/>
      <c r="L38" s="368"/>
      <c r="M38" s="361"/>
      <c r="N38" s="366"/>
      <c r="O38" s="361"/>
      <c r="P38" s="362"/>
      <c r="Q38" s="362"/>
      <c r="R38" s="363"/>
      <c r="S38" s="369"/>
      <c r="T38" s="831"/>
      <c r="U38" s="831"/>
      <c r="V38" s="821"/>
    </row>
    <row r="39" spans="1:22" s="256" customFormat="1" ht="16.8" x14ac:dyDescent="0.4">
      <c r="A39" s="364">
        <v>45407</v>
      </c>
      <c r="B39" s="361" t="s">
        <v>225</v>
      </c>
      <c r="C39" s="365" t="s">
        <v>104</v>
      </c>
      <c r="D39" s="365" t="s">
        <v>52</v>
      </c>
      <c r="E39" s="362">
        <v>13.65</v>
      </c>
      <c r="F39" s="362">
        <v>0.72</v>
      </c>
      <c r="G39" s="370">
        <f>E39-F39</f>
        <v>12.93</v>
      </c>
      <c r="H39" s="367"/>
      <c r="I39" s="361"/>
      <c r="J39" s="362">
        <f>SiteC_PitCore_20240425!I3</f>
        <v>4.7300000000000004</v>
      </c>
      <c r="K39" s="371">
        <f>SiteC_PitCore_20240425!I4</f>
        <v>0.44432014427020783</v>
      </c>
      <c r="L39" s="388">
        <f>G39-J39</f>
        <v>8.1999999999999993</v>
      </c>
      <c r="M39" s="361"/>
      <c r="N39" s="366"/>
      <c r="O39" s="361"/>
      <c r="P39" s="362"/>
      <c r="Q39" s="362"/>
      <c r="R39" s="363">
        <f>(L39-G35)*0.9</f>
        <v>0.77399999999999947</v>
      </c>
      <c r="S39" s="369"/>
      <c r="T39" s="831">
        <v>394231.43599999999</v>
      </c>
      <c r="U39" s="831">
        <v>6699728.5130000003</v>
      </c>
      <c r="V39" s="821">
        <v>1295.0119999999999</v>
      </c>
    </row>
    <row r="40" spans="1:22" s="256" customFormat="1" ht="16.8" x14ac:dyDescent="0.4">
      <c r="A40" s="364">
        <v>45551</v>
      </c>
      <c r="B40" s="361" t="s">
        <v>107</v>
      </c>
      <c r="C40" s="365" t="s">
        <v>104</v>
      </c>
      <c r="D40" s="365" t="s">
        <v>59</v>
      </c>
      <c r="E40" s="362">
        <v>13.65</v>
      </c>
      <c r="F40" s="362">
        <v>4.7699999999999996</v>
      </c>
      <c r="G40" s="370">
        <f>E40-F40</f>
        <v>8.8800000000000008</v>
      </c>
      <c r="H40" s="367"/>
      <c r="I40" s="361"/>
      <c r="J40" s="362">
        <f>SiteC_PitCore_20240916!I3</f>
        <v>0.94</v>
      </c>
      <c r="K40" s="371">
        <f>SiteC_PitCore_20240916!I4</f>
        <v>0.61025490627237333</v>
      </c>
      <c r="L40" s="388">
        <f>G40-J40</f>
        <v>7.9400000000000013</v>
      </c>
      <c r="M40" s="361"/>
      <c r="N40" s="366"/>
      <c r="O40" s="361"/>
      <c r="P40" s="362"/>
      <c r="Q40" s="362">
        <f>J40*K40</f>
        <v>0.57363961189603085</v>
      </c>
      <c r="R40" s="363">
        <f>(L40-G35)*K34</f>
        <v>0.33600000000000085</v>
      </c>
      <c r="S40" s="369"/>
      <c r="T40" s="831">
        <v>394232.16600000003</v>
      </c>
      <c r="U40" s="831">
        <v>6699720.5959999999</v>
      </c>
      <c r="V40" s="821">
        <v>1287.9069999999999</v>
      </c>
    </row>
    <row r="41" spans="1:22" ht="16.8" x14ac:dyDescent="0.4">
      <c r="A41" s="70"/>
      <c r="B41" s="70"/>
      <c r="C41" s="222"/>
      <c r="D41" s="222"/>
      <c r="E41" s="71"/>
      <c r="F41" s="71"/>
      <c r="G41" s="215"/>
      <c r="H41" s="218"/>
      <c r="I41" s="70"/>
      <c r="J41" s="71"/>
      <c r="K41" s="222"/>
      <c r="L41" s="224"/>
      <c r="M41" s="70"/>
      <c r="N41" s="215"/>
      <c r="O41" s="70"/>
      <c r="P41" s="70"/>
      <c r="Q41" s="71"/>
      <c r="R41" s="72"/>
      <c r="S41" s="220"/>
      <c r="T41" s="848"/>
      <c r="U41" s="848"/>
      <c r="V41" s="843"/>
    </row>
    <row r="42" spans="1:22" s="729" customFormat="1" ht="16.8" x14ac:dyDescent="0.4">
      <c r="A42" s="730">
        <v>45407</v>
      </c>
      <c r="B42" s="295" t="s">
        <v>202</v>
      </c>
      <c r="C42" s="736" t="s">
        <v>211</v>
      </c>
      <c r="D42" s="736" t="s">
        <v>52</v>
      </c>
      <c r="E42" s="727">
        <v>12</v>
      </c>
      <c r="F42" s="727">
        <v>0.98</v>
      </c>
      <c r="G42" s="739">
        <f>E42-F42</f>
        <v>11.02</v>
      </c>
      <c r="H42" s="737"/>
      <c r="I42" s="295"/>
      <c r="J42" s="727">
        <f>SiteC_PitCore_20240425!I3</f>
        <v>4.7300000000000004</v>
      </c>
      <c r="K42" s="740">
        <f>SiteC_PitCore_20240425!I4</f>
        <v>0.44432014427020783</v>
      </c>
      <c r="L42" s="808">
        <f>G42-J42</f>
        <v>6.2899999999999991</v>
      </c>
      <c r="M42" s="295"/>
      <c r="N42" s="234"/>
      <c r="O42" s="295"/>
      <c r="P42" s="727">
        <f>J42*K42</f>
        <v>2.1016342823980834</v>
      </c>
      <c r="Q42" s="727"/>
      <c r="R42" s="728"/>
      <c r="S42" s="738"/>
      <c r="T42" s="828">
        <v>394251.53100000002</v>
      </c>
      <c r="U42" s="828">
        <v>6699756.5549999997</v>
      </c>
      <c r="V42" s="844">
        <v>1298.616</v>
      </c>
    </row>
    <row r="43" spans="1:22" s="729" customFormat="1" ht="16.8" x14ac:dyDescent="0.4">
      <c r="A43" s="730">
        <v>45551</v>
      </c>
      <c r="B43" s="295" t="s">
        <v>107</v>
      </c>
      <c r="C43" s="736" t="s">
        <v>211</v>
      </c>
      <c r="D43" s="736" t="s">
        <v>59</v>
      </c>
      <c r="E43" s="727">
        <v>10</v>
      </c>
      <c r="F43" s="727">
        <v>2.8</v>
      </c>
      <c r="G43" s="739">
        <f>E43-F43</f>
        <v>7.2</v>
      </c>
      <c r="H43" s="737"/>
      <c r="I43" s="295"/>
      <c r="J43" s="727">
        <f>SiteC_PitCore_20240916!I3</f>
        <v>0.94</v>
      </c>
      <c r="K43" s="740">
        <f>SiteC_PitCore_20240916!I4</f>
        <v>0.61025490627237333</v>
      </c>
      <c r="L43" s="808">
        <f>G43-J43</f>
        <v>6.26</v>
      </c>
      <c r="M43" s="727">
        <f>AVERAGE(L42:L43)</f>
        <v>6.2749999999999995</v>
      </c>
      <c r="N43" s="234"/>
      <c r="O43" s="727">
        <f>Q43-P42</f>
        <v>-1.5279946705020526</v>
      </c>
      <c r="P43" s="727"/>
      <c r="Q43" s="727">
        <f>J43*K43</f>
        <v>0.57363961189603085</v>
      </c>
      <c r="R43" s="728"/>
      <c r="S43" s="738">
        <v>0</v>
      </c>
      <c r="T43" s="828">
        <v>394251.38799999998</v>
      </c>
      <c r="U43" s="828">
        <v>6699747.6050000004</v>
      </c>
      <c r="V43" s="844">
        <v>1289.8900000000001</v>
      </c>
    </row>
    <row r="44" spans="1:22" s="729" customFormat="1" ht="16.8" x14ac:dyDescent="0.4">
      <c r="A44" s="730">
        <v>45551</v>
      </c>
      <c r="B44" s="295" t="s">
        <v>107</v>
      </c>
      <c r="C44" s="736" t="s">
        <v>211</v>
      </c>
      <c r="D44" s="736" t="s">
        <v>59</v>
      </c>
      <c r="E44" s="727">
        <v>11.5</v>
      </c>
      <c r="F44" s="727">
        <f>E44-G44</f>
        <v>4.3</v>
      </c>
      <c r="G44" s="739">
        <f>G43</f>
        <v>7.2</v>
      </c>
      <c r="H44" s="737"/>
      <c r="I44" s="295"/>
      <c r="J44" s="727"/>
      <c r="K44" s="740"/>
      <c r="L44" s="808"/>
      <c r="M44" s="295"/>
      <c r="N44" s="234"/>
      <c r="O44" s="295"/>
      <c r="P44" s="727"/>
      <c r="Q44" s="727"/>
      <c r="R44" s="728"/>
      <c r="S44" s="738"/>
      <c r="T44" s="828"/>
      <c r="U44" s="828"/>
      <c r="V44" s="844"/>
    </row>
    <row r="45" spans="1:22" ht="16.8" x14ac:dyDescent="0.4">
      <c r="A45" s="70"/>
      <c r="B45" s="70"/>
      <c r="C45" s="222"/>
      <c r="D45" s="222"/>
      <c r="E45" s="71"/>
      <c r="F45" s="71"/>
      <c r="G45" s="215"/>
      <c r="H45" s="218"/>
      <c r="I45" s="70"/>
      <c r="J45" s="71"/>
      <c r="K45" s="222"/>
      <c r="L45" s="224"/>
      <c r="M45" s="70"/>
      <c r="N45" s="215"/>
      <c r="O45" s="70"/>
      <c r="P45" s="70"/>
      <c r="Q45" s="71"/>
      <c r="R45" s="72"/>
      <c r="S45" s="220"/>
      <c r="T45" s="848"/>
      <c r="U45" s="848"/>
      <c r="V45" s="843"/>
    </row>
    <row r="46" spans="1:22" ht="14.4" x14ac:dyDescent="0.3">
      <c r="A46" s="70"/>
      <c r="B46" s="70"/>
      <c r="C46" s="222"/>
      <c r="D46" s="222"/>
      <c r="E46" s="71"/>
      <c r="F46" s="71"/>
      <c r="G46" s="215"/>
      <c r="H46" s="218"/>
      <c r="I46" s="70"/>
      <c r="J46" s="71"/>
      <c r="K46" s="222"/>
      <c r="L46" s="224"/>
      <c r="M46" s="70"/>
      <c r="N46" s="215"/>
      <c r="O46" s="70"/>
      <c r="P46" s="70"/>
      <c r="Q46" s="71"/>
      <c r="R46" s="72"/>
      <c r="S46" s="220"/>
      <c r="T46" s="103"/>
      <c r="U46" s="103"/>
      <c r="V46" s="748"/>
    </row>
    <row r="47" spans="1:22" ht="14.4" x14ac:dyDescent="0.3">
      <c r="A47" s="70"/>
      <c r="B47" s="70"/>
      <c r="C47" s="222"/>
      <c r="D47" s="222"/>
      <c r="E47" s="71"/>
      <c r="F47" s="71"/>
      <c r="G47" s="215"/>
      <c r="H47" s="218"/>
      <c r="I47" s="70"/>
      <c r="J47" s="71"/>
      <c r="K47" s="222"/>
      <c r="L47" s="224"/>
      <c r="M47" s="70"/>
      <c r="N47" s="215"/>
      <c r="O47" s="70"/>
      <c r="P47" s="70"/>
      <c r="Q47" s="71"/>
      <c r="R47" s="72"/>
      <c r="S47" s="220"/>
      <c r="T47" s="103"/>
      <c r="U47" s="103"/>
      <c r="V47" s="748"/>
    </row>
    <row r="48" spans="1:22" ht="14.4" x14ac:dyDescent="0.3">
      <c r="A48" s="70"/>
      <c r="B48" s="70"/>
      <c r="C48" s="222"/>
      <c r="D48" s="222"/>
      <c r="E48" s="71"/>
      <c r="F48" s="71"/>
      <c r="G48" s="215"/>
      <c r="H48" s="218"/>
      <c r="I48" s="70"/>
      <c r="J48" s="71"/>
      <c r="K48" s="222"/>
      <c r="L48" s="224"/>
      <c r="M48" s="70"/>
      <c r="N48" s="215"/>
      <c r="O48" s="70"/>
      <c r="P48" s="70"/>
      <c r="Q48" s="71"/>
      <c r="R48" s="72"/>
      <c r="S48" s="220"/>
      <c r="T48" s="72"/>
      <c r="U48" s="72"/>
      <c r="V48" s="4"/>
    </row>
    <row r="49" spans="1:21" ht="15" thickBot="1" x14ac:dyDescent="0.35">
      <c r="A49" s="70"/>
      <c r="B49" s="70"/>
      <c r="C49" s="70"/>
      <c r="D49" s="70"/>
      <c r="E49" s="71"/>
      <c r="F49" s="71"/>
      <c r="G49" s="70"/>
      <c r="H49" s="70"/>
      <c r="I49" s="70"/>
      <c r="J49" s="71"/>
      <c r="K49" s="70"/>
      <c r="L49" s="70"/>
      <c r="M49" s="70"/>
      <c r="N49" s="215"/>
      <c r="O49" s="70"/>
      <c r="P49" s="70"/>
      <c r="Q49" s="71"/>
      <c r="R49" s="72"/>
      <c r="S49" s="72"/>
      <c r="T49" s="72"/>
      <c r="U49" s="72"/>
    </row>
    <row r="50" spans="1:21" ht="14.4" customHeight="1" x14ac:dyDescent="0.3">
      <c r="A50" s="868" t="s">
        <v>37</v>
      </c>
      <c r="B50" s="869"/>
      <c r="C50" s="872" t="s">
        <v>38</v>
      </c>
      <c r="D50" s="873"/>
      <c r="E50" s="73" t="s">
        <v>39</v>
      </c>
      <c r="F50" s="74"/>
      <c r="G50" s="73" t="s">
        <v>40</v>
      </c>
      <c r="H50" s="74"/>
      <c r="I50" s="75" t="s">
        <v>41</v>
      </c>
      <c r="Q50" s="385"/>
      <c r="R50" s="68"/>
      <c r="S50" s="68"/>
      <c r="T50" s="68"/>
      <c r="U50" s="72"/>
    </row>
    <row r="51" spans="1:21" ht="14.4" customHeight="1" x14ac:dyDescent="0.3">
      <c r="A51" s="870"/>
      <c r="B51" s="871"/>
      <c r="C51" s="76" t="s">
        <v>42</v>
      </c>
      <c r="D51" s="76" t="s">
        <v>43</v>
      </c>
      <c r="E51" s="77">
        <f>A35</f>
        <v>45174</v>
      </c>
      <c r="F51" s="78" t="s">
        <v>44</v>
      </c>
      <c r="G51" s="79">
        <f>A42</f>
        <v>45407</v>
      </c>
      <c r="H51" s="78" t="s">
        <v>44</v>
      </c>
      <c r="I51" s="80">
        <f>A43</f>
        <v>45551</v>
      </c>
      <c r="Q51" s="385"/>
      <c r="R51" s="81"/>
      <c r="S51" s="81"/>
      <c r="T51" s="68"/>
      <c r="U51" s="72"/>
    </row>
    <row r="52" spans="1:21" ht="14.4" x14ac:dyDescent="0.3">
      <c r="A52" s="82"/>
      <c r="B52" s="83" t="s">
        <v>45</v>
      </c>
      <c r="C52" s="84">
        <f>P42</f>
        <v>2.1016342823980834</v>
      </c>
      <c r="D52" s="84"/>
      <c r="E52" s="85"/>
      <c r="F52" s="85"/>
      <c r="G52" s="86"/>
      <c r="H52" s="84"/>
      <c r="I52" s="87"/>
      <c r="Q52" s="385"/>
      <c r="R52" s="81"/>
      <c r="S52" s="81"/>
      <c r="T52" s="68"/>
      <c r="U52" s="72"/>
    </row>
    <row r="53" spans="1:21" ht="14.4" x14ac:dyDescent="0.3">
      <c r="A53" s="82"/>
      <c r="B53" s="83" t="s">
        <v>46</v>
      </c>
      <c r="C53" s="84">
        <f>C54-C52</f>
        <v>-1.5279946705020526</v>
      </c>
      <c r="D53" s="84"/>
      <c r="E53" s="85"/>
      <c r="F53" s="85"/>
      <c r="G53" s="86"/>
      <c r="H53" s="84"/>
      <c r="I53" s="87"/>
      <c r="Q53" s="385"/>
      <c r="R53" s="81"/>
      <c r="S53" s="81"/>
      <c r="T53" s="68"/>
      <c r="U53" s="72"/>
    </row>
    <row r="54" spans="1:21" ht="14.4" x14ac:dyDescent="0.3">
      <c r="A54" s="82"/>
      <c r="B54" s="83" t="s">
        <v>47</v>
      </c>
      <c r="C54" s="84">
        <f>Q43</f>
        <v>0.57363961189603085</v>
      </c>
      <c r="D54" s="84"/>
      <c r="E54" s="85"/>
      <c r="F54" s="85"/>
      <c r="G54" s="86"/>
      <c r="H54" s="84"/>
      <c r="I54" s="87"/>
      <c r="Q54" s="385"/>
      <c r="R54" s="81"/>
      <c r="S54" s="81"/>
      <c r="T54" s="68"/>
      <c r="U54" s="72"/>
    </row>
    <row r="55" spans="1:21" ht="14.4" x14ac:dyDescent="0.3">
      <c r="A55" s="82"/>
      <c r="B55" s="88" t="s">
        <v>48</v>
      </c>
      <c r="C55" s="84">
        <f>S34</f>
        <v>0</v>
      </c>
      <c r="D55" s="84"/>
      <c r="E55" s="85"/>
      <c r="F55" s="85"/>
      <c r="G55" s="84"/>
      <c r="H55" s="84"/>
      <c r="I55" s="87"/>
      <c r="Q55" s="385"/>
      <c r="R55" s="81"/>
      <c r="S55" s="81"/>
      <c r="T55" s="68"/>
      <c r="U55" s="72"/>
    </row>
    <row r="56" spans="1:21" ht="14.4" x14ac:dyDescent="0.3">
      <c r="A56" s="82"/>
      <c r="B56" s="89" t="s">
        <v>49</v>
      </c>
      <c r="C56" s="84" t="s">
        <v>54</v>
      </c>
      <c r="D56" s="84"/>
      <c r="E56" s="85"/>
      <c r="F56" s="85"/>
      <c r="G56" s="84"/>
      <c r="H56" s="84"/>
      <c r="I56" s="87"/>
      <c r="Q56" s="385"/>
      <c r="R56" s="81"/>
      <c r="S56" s="81"/>
      <c r="T56" s="68"/>
      <c r="U56" s="72"/>
    </row>
    <row r="57" spans="1:21" ht="15" thickBot="1" x14ac:dyDescent="0.35">
      <c r="A57" s="90"/>
      <c r="B57" s="91" t="s">
        <v>50</v>
      </c>
      <c r="C57" s="92">
        <f>S43</f>
        <v>0</v>
      </c>
      <c r="D57" s="92"/>
      <c r="E57" s="93"/>
      <c r="F57" s="93"/>
      <c r="G57" s="94"/>
      <c r="H57" s="94"/>
      <c r="I57" s="95"/>
      <c r="Q57" s="385"/>
      <c r="R57" s="81"/>
      <c r="S57" s="81"/>
      <c r="T57" s="68"/>
      <c r="U57" s="72"/>
    </row>
    <row r="58" spans="1:21" ht="14.4" x14ac:dyDescent="0.3">
      <c r="A58" s="72"/>
      <c r="B58" s="72"/>
      <c r="C58" s="72"/>
      <c r="D58" s="72"/>
      <c r="E58" s="72"/>
      <c r="F58" s="72"/>
      <c r="G58" s="72"/>
      <c r="H58" s="72"/>
      <c r="I58" s="72"/>
      <c r="J58" s="103"/>
      <c r="K58" s="72"/>
      <c r="L58" s="72"/>
      <c r="M58" s="72"/>
      <c r="N58" s="72"/>
      <c r="O58" s="72"/>
      <c r="P58" s="72"/>
      <c r="Q58" s="386"/>
      <c r="R58" s="68"/>
      <c r="S58" s="68"/>
      <c r="T58" s="68"/>
      <c r="U58" s="72"/>
    </row>
  </sheetData>
  <mergeCells count="6">
    <mergeCell ref="T1:V1"/>
    <mergeCell ref="T2:U2"/>
    <mergeCell ref="E3:G3"/>
    <mergeCell ref="T3:U3"/>
    <mergeCell ref="A50:B51"/>
    <mergeCell ref="C50:D50"/>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29"/>
  <sheetViews>
    <sheetView topLeftCell="A2" zoomScale="80" zoomScaleNormal="80" workbookViewId="0">
      <selection activeCell="L29" sqref="L29"/>
    </sheetView>
  </sheetViews>
  <sheetFormatPr defaultColWidth="17.44140625" defaultRowHeight="15.75" customHeight="1" x14ac:dyDescent="0.3"/>
  <cols>
    <col min="1" max="1" width="12.44140625" style="2" customWidth="1"/>
    <col min="2" max="2" width="27.44140625" style="2" customWidth="1"/>
    <col min="3" max="3" width="11.44140625" style="2" bestFit="1" customWidth="1"/>
    <col min="4" max="4" width="20" style="2" bestFit="1" customWidth="1"/>
    <col min="5" max="5" width="11.33203125" style="2" bestFit="1" customWidth="1"/>
    <col min="6" max="7" width="13.5546875" style="2" bestFit="1" customWidth="1"/>
    <col min="8" max="8" width="14.44140625" style="2" bestFit="1" customWidth="1"/>
    <col min="9" max="9" width="17.44140625" style="2" bestFit="1" customWidth="1"/>
    <col min="10" max="10" width="19.5546875" style="2" bestFit="1" customWidth="1"/>
    <col min="11" max="11" width="16.44140625" style="2" bestFit="1" customWidth="1"/>
    <col min="12" max="12" width="18" style="2" customWidth="1"/>
    <col min="13" max="13" width="22.109375" style="2" customWidth="1"/>
    <col min="14" max="14" width="11.5546875" style="2" bestFit="1" customWidth="1"/>
    <col min="15" max="15" width="11.44140625" style="2" bestFit="1" customWidth="1"/>
    <col min="16" max="17" width="7.88671875" style="2" bestFit="1" customWidth="1"/>
    <col min="18" max="18" width="14.5546875" style="2" bestFit="1" customWidth="1"/>
    <col min="19" max="19" width="20.5546875" style="2" bestFit="1" customWidth="1"/>
    <col min="20" max="20" width="21" style="2" bestFit="1" customWidth="1"/>
    <col min="21" max="21" width="21.109375" style="2" customWidth="1"/>
    <col min="22" max="16384" width="17.44140625" style="2"/>
  </cols>
  <sheetData>
    <row r="1" spans="1:23" ht="14.4" x14ac:dyDescent="0.3">
      <c r="A1" s="5"/>
      <c r="B1" s="6"/>
      <c r="C1" s="7"/>
      <c r="D1" s="8"/>
      <c r="E1" s="9"/>
      <c r="F1" s="10"/>
      <c r="G1" s="11"/>
      <c r="H1" s="12"/>
      <c r="I1" s="11"/>
      <c r="J1" s="13"/>
      <c r="K1" s="10"/>
      <c r="L1" s="14"/>
      <c r="M1" s="15"/>
      <c r="N1" s="11"/>
      <c r="O1" s="16"/>
      <c r="P1" s="17"/>
      <c r="Q1" s="17"/>
      <c r="R1" s="17"/>
      <c r="S1" s="18"/>
      <c r="T1" s="874" t="s">
        <v>9</v>
      </c>
      <c r="U1" s="875"/>
      <c r="V1" s="876"/>
      <c r="W1" s="19"/>
    </row>
    <row r="2" spans="1:23" ht="14.4" x14ac:dyDescent="0.3">
      <c r="A2" s="20"/>
      <c r="B2" s="21"/>
      <c r="C2" s="22"/>
      <c r="D2" s="23"/>
      <c r="E2" s="126"/>
      <c r="F2" s="127"/>
      <c r="G2" s="24"/>
      <c r="H2" s="25"/>
      <c r="I2" s="24"/>
      <c r="J2" s="26"/>
      <c r="K2" s="27"/>
      <c r="L2" s="28"/>
      <c r="M2" s="29"/>
      <c r="N2" s="26"/>
      <c r="O2" s="1"/>
      <c r="S2" s="4"/>
      <c r="T2" s="877" t="s">
        <v>10</v>
      </c>
      <c r="U2" s="878"/>
      <c r="V2" s="128"/>
      <c r="W2" s="30"/>
    </row>
    <row r="3" spans="1:23" ht="14.4" x14ac:dyDescent="0.3">
      <c r="A3" s="20"/>
      <c r="B3" s="21"/>
      <c r="C3" s="22"/>
      <c r="D3" s="31"/>
      <c r="E3" s="863" t="s">
        <v>11</v>
      </c>
      <c r="F3" s="864"/>
      <c r="G3" s="865"/>
      <c r="H3" s="32"/>
      <c r="I3" s="127"/>
      <c r="J3" s="26"/>
      <c r="K3" s="127"/>
      <c r="L3" s="33"/>
      <c r="M3" s="34"/>
      <c r="N3" s="26"/>
      <c r="O3" s="35"/>
      <c r="P3" s="26"/>
      <c r="Q3" s="26"/>
      <c r="R3" s="36"/>
      <c r="S3" s="37"/>
      <c r="T3" s="866" t="s">
        <v>12</v>
      </c>
      <c r="U3" s="867"/>
      <c r="V3" s="128"/>
      <c r="W3" s="38"/>
    </row>
    <row r="4" spans="1:23" s="52" customFormat="1" ht="39.6" x14ac:dyDescent="0.3">
      <c r="A4" s="39" t="s">
        <v>13</v>
      </c>
      <c r="B4" s="40" t="s">
        <v>14</v>
      </c>
      <c r="C4" s="41" t="s">
        <v>15</v>
      </c>
      <c r="D4" s="42" t="s">
        <v>16</v>
      </c>
      <c r="E4" s="43" t="s">
        <v>17</v>
      </c>
      <c r="F4" s="40" t="s">
        <v>18</v>
      </c>
      <c r="G4" s="44" t="s">
        <v>19</v>
      </c>
      <c r="H4" s="45" t="s">
        <v>20</v>
      </c>
      <c r="I4" s="44" t="s">
        <v>21</v>
      </c>
      <c r="J4" s="44" t="s">
        <v>22</v>
      </c>
      <c r="K4" s="40" t="s">
        <v>23</v>
      </c>
      <c r="L4" s="46" t="s">
        <v>24</v>
      </c>
      <c r="M4" s="46" t="s">
        <v>25</v>
      </c>
      <c r="N4" s="44" t="s">
        <v>26</v>
      </c>
      <c r="O4" s="47" t="s">
        <v>27</v>
      </c>
      <c r="P4" s="44" t="s">
        <v>28</v>
      </c>
      <c r="Q4" s="44" t="s">
        <v>29</v>
      </c>
      <c r="R4" s="48" t="s">
        <v>7</v>
      </c>
      <c r="S4" s="49" t="s">
        <v>8</v>
      </c>
      <c r="T4" s="50" t="s">
        <v>30</v>
      </c>
      <c r="U4" s="50" t="s">
        <v>31</v>
      </c>
      <c r="V4" s="51" t="s">
        <v>2</v>
      </c>
      <c r="W4" s="41" t="s">
        <v>32</v>
      </c>
    </row>
    <row r="5" spans="1:23" s="108" customFormat="1" ht="15" thickBot="1" x14ac:dyDescent="0.35">
      <c r="A5" s="144" t="s">
        <v>33</v>
      </c>
      <c r="B5" s="145"/>
      <c r="C5" s="146"/>
      <c r="D5" s="147"/>
      <c r="E5" s="148" t="s">
        <v>34</v>
      </c>
      <c r="F5" s="148" t="s">
        <v>34</v>
      </c>
      <c r="G5" s="149" t="s">
        <v>34</v>
      </c>
      <c r="H5" s="150" t="s">
        <v>34</v>
      </c>
      <c r="I5" s="148" t="s">
        <v>34</v>
      </c>
      <c r="J5" s="148" t="s">
        <v>34</v>
      </c>
      <c r="K5" s="145" t="s">
        <v>35</v>
      </c>
      <c r="L5" s="151" t="s">
        <v>34</v>
      </c>
      <c r="M5" s="152" t="s">
        <v>34</v>
      </c>
      <c r="N5" s="152" t="s">
        <v>35</v>
      </c>
      <c r="O5" s="153" t="s">
        <v>36</v>
      </c>
      <c r="P5" s="152" t="s">
        <v>36</v>
      </c>
      <c r="Q5" s="152" t="s">
        <v>36</v>
      </c>
      <c r="R5" s="154" t="s">
        <v>36</v>
      </c>
      <c r="S5" s="155" t="s">
        <v>36</v>
      </c>
      <c r="T5" s="156" t="s">
        <v>34</v>
      </c>
      <c r="U5" s="156" t="s">
        <v>34</v>
      </c>
      <c r="V5" s="157" t="s">
        <v>34</v>
      </c>
      <c r="W5" s="146"/>
    </row>
    <row r="6" spans="1:23" s="351" customFormat="1" ht="16.8" x14ac:dyDescent="0.3">
      <c r="A6" s="372">
        <v>45051</v>
      </c>
      <c r="B6" s="349" t="s">
        <v>95</v>
      </c>
      <c r="C6" s="352" t="s">
        <v>96</v>
      </c>
      <c r="D6" s="353" t="s">
        <v>93</v>
      </c>
      <c r="E6" s="350">
        <v>12.2</v>
      </c>
      <c r="F6" s="350">
        <v>1.41</v>
      </c>
      <c r="G6" s="354">
        <f>E6-F6</f>
        <v>10.79</v>
      </c>
      <c r="H6" s="355"/>
      <c r="I6" s="349"/>
      <c r="J6" s="350">
        <v>4.17</v>
      </c>
      <c r="K6" s="373">
        <v>0.41</v>
      </c>
      <c r="L6" s="377">
        <f>G6-J6</f>
        <v>6.6199999999999992</v>
      </c>
      <c r="M6" s="349"/>
      <c r="N6" s="354"/>
      <c r="O6" s="350"/>
      <c r="P6" s="350">
        <f>J6*K6</f>
        <v>1.7096999999999998</v>
      </c>
      <c r="Q6" s="350"/>
      <c r="R6" s="350"/>
      <c r="S6" s="356"/>
      <c r="T6" s="856">
        <v>395978.21</v>
      </c>
      <c r="U6" s="856">
        <v>6699654.9280000003</v>
      </c>
      <c r="V6" s="857">
        <v>1370.59</v>
      </c>
    </row>
    <row r="7" spans="1:23" s="351" customFormat="1" ht="16.8" x14ac:dyDescent="0.3">
      <c r="A7" s="372">
        <v>45175</v>
      </c>
      <c r="B7" s="349" t="s">
        <v>103</v>
      </c>
      <c r="C7" s="352" t="s">
        <v>96</v>
      </c>
      <c r="D7" s="353" t="s">
        <v>59</v>
      </c>
      <c r="E7" s="350">
        <v>9.15</v>
      </c>
      <c r="F7" s="350">
        <v>2.64</v>
      </c>
      <c r="G7" s="356">
        <f>E7-F7</f>
        <v>6.51</v>
      </c>
      <c r="H7" s="355"/>
      <c r="I7" s="349"/>
      <c r="J7" s="350"/>
      <c r="K7" s="373"/>
      <c r="L7" s="377">
        <f>G7-J7</f>
        <v>6.51</v>
      </c>
      <c r="M7" s="349"/>
      <c r="N7" s="354"/>
      <c r="O7" s="350">
        <f>Q7-P6</f>
        <v>-1.7679999999999996</v>
      </c>
      <c r="P7" s="350"/>
      <c r="Q7" s="350">
        <f>(L7-L6)*0.53</f>
        <v>-5.8299999999999699E-2</v>
      </c>
      <c r="R7" s="350"/>
      <c r="S7" s="356">
        <v>0</v>
      </c>
      <c r="T7" s="856"/>
      <c r="U7" s="856"/>
      <c r="V7" s="857"/>
    </row>
    <row r="8" spans="1:23" s="351" customFormat="1" ht="16.8" x14ac:dyDescent="0.3">
      <c r="A8" s="372">
        <v>45175</v>
      </c>
      <c r="B8" s="349" t="s">
        <v>103</v>
      </c>
      <c r="C8" s="352" t="s">
        <v>96</v>
      </c>
      <c r="D8" s="353" t="s">
        <v>59</v>
      </c>
      <c r="E8" s="350">
        <v>11</v>
      </c>
      <c r="F8" s="350">
        <f>E8-G8</f>
        <v>4.49</v>
      </c>
      <c r="G8" s="354">
        <v>6.51</v>
      </c>
      <c r="H8" s="355"/>
      <c r="I8" s="349"/>
      <c r="J8" s="350"/>
      <c r="K8" s="373"/>
      <c r="L8" s="377"/>
      <c r="M8" s="349"/>
      <c r="N8" s="354"/>
      <c r="O8" s="350"/>
      <c r="P8" s="350"/>
      <c r="Q8" s="350"/>
      <c r="R8" s="350"/>
      <c r="S8" s="356"/>
      <c r="T8" s="856"/>
      <c r="U8" s="856"/>
      <c r="V8" s="857"/>
    </row>
    <row r="9" spans="1:23" s="351" customFormat="1" ht="16.8" x14ac:dyDescent="0.3">
      <c r="A9" s="372">
        <v>45301</v>
      </c>
      <c r="B9" s="349" t="s">
        <v>107</v>
      </c>
      <c r="C9" s="352" t="s">
        <v>96</v>
      </c>
      <c r="D9" s="353" t="s">
        <v>52</v>
      </c>
      <c r="E9" s="350">
        <v>11</v>
      </c>
      <c r="F9" s="350">
        <v>0.1</v>
      </c>
      <c r="G9" s="356">
        <f>E9-F9</f>
        <v>10.9</v>
      </c>
      <c r="H9" s="393">
        <f>G9-G8</f>
        <v>4.3900000000000006</v>
      </c>
      <c r="I9" s="349"/>
      <c r="J9" s="350"/>
      <c r="K9" s="373"/>
      <c r="L9" s="377"/>
      <c r="M9" s="349"/>
      <c r="N9" s="354"/>
      <c r="O9" s="350"/>
      <c r="P9" s="350"/>
      <c r="Q9" s="350"/>
      <c r="R9" s="350"/>
      <c r="S9" s="356"/>
      <c r="T9" s="856"/>
      <c r="U9" s="856"/>
      <c r="V9" s="857"/>
    </row>
    <row r="10" spans="1:23" s="351" customFormat="1" ht="16.8" x14ac:dyDescent="0.3">
      <c r="A10" s="372">
        <v>45301</v>
      </c>
      <c r="B10" s="349" t="s">
        <v>107</v>
      </c>
      <c r="C10" s="352" t="s">
        <v>96</v>
      </c>
      <c r="D10" s="353" t="s">
        <v>52</v>
      </c>
      <c r="E10" s="350">
        <v>15</v>
      </c>
      <c r="F10" s="350">
        <v>4.6100000000000003</v>
      </c>
      <c r="G10" s="356">
        <f>E10-F10</f>
        <v>10.39</v>
      </c>
      <c r="H10" s="393"/>
      <c r="I10" s="349"/>
      <c r="J10" s="350"/>
      <c r="K10" s="373"/>
      <c r="L10" s="377"/>
      <c r="M10" s="349"/>
      <c r="N10" s="354"/>
      <c r="O10" s="350"/>
      <c r="P10" s="350"/>
      <c r="Q10" s="350"/>
      <c r="R10" s="350"/>
      <c r="S10" s="356"/>
      <c r="T10" s="856"/>
      <c r="U10" s="856"/>
      <c r="V10" s="857"/>
    </row>
    <row r="11" spans="1:23" s="351" customFormat="1" ht="16.8" x14ac:dyDescent="0.3">
      <c r="A11" s="372">
        <v>45407</v>
      </c>
      <c r="B11" s="349" t="s">
        <v>225</v>
      </c>
      <c r="C11" s="352" t="s">
        <v>96</v>
      </c>
      <c r="D11" s="353" t="s">
        <v>52</v>
      </c>
      <c r="E11" s="350">
        <v>15</v>
      </c>
      <c r="F11" s="350">
        <v>3.61</v>
      </c>
      <c r="G11" s="356">
        <f>E11-F11</f>
        <v>11.39</v>
      </c>
      <c r="H11" s="393"/>
      <c r="I11" s="349"/>
      <c r="J11" s="350"/>
      <c r="K11" s="373"/>
      <c r="L11" s="377"/>
      <c r="M11" s="349"/>
      <c r="N11" s="354"/>
      <c r="O11" s="350"/>
      <c r="P11" s="350"/>
      <c r="Q11" s="350"/>
      <c r="R11" s="350"/>
      <c r="S11" s="356"/>
      <c r="T11" s="856"/>
      <c r="U11" s="856"/>
      <c r="V11" s="857"/>
    </row>
    <row r="12" spans="1:23" s="351" customFormat="1" ht="16.8" x14ac:dyDescent="0.3">
      <c r="A12" s="372">
        <v>45407</v>
      </c>
      <c r="B12" s="349" t="s">
        <v>225</v>
      </c>
      <c r="C12" s="352" t="s">
        <v>96</v>
      </c>
      <c r="D12" s="353" t="s">
        <v>52</v>
      </c>
      <c r="E12" s="350">
        <v>13</v>
      </c>
      <c r="F12" s="350">
        <v>1.61</v>
      </c>
      <c r="G12" s="356">
        <f>E12-F12</f>
        <v>11.39</v>
      </c>
      <c r="H12" s="393"/>
      <c r="I12" s="349"/>
      <c r="J12" s="350">
        <f>SiteTU_PitCore_20240425!I3</f>
        <v>4.3899999999999997</v>
      </c>
      <c r="K12" s="373">
        <f>SiteTU_PitCore_20240425!I4</f>
        <v>0.43148866414679971</v>
      </c>
      <c r="L12" s="377">
        <f>G12-J12</f>
        <v>7.0000000000000009</v>
      </c>
      <c r="M12" s="349"/>
      <c r="N12" s="354"/>
      <c r="O12" s="350"/>
      <c r="P12" s="350">
        <f>J12*K12</f>
        <v>1.8942352356044505</v>
      </c>
      <c r="Q12" s="350"/>
      <c r="R12" s="350">
        <f>(L12-G8)*0.9</f>
        <v>0.441000000000001</v>
      </c>
      <c r="S12" s="356"/>
      <c r="T12" s="856">
        <v>395957.47399999999</v>
      </c>
      <c r="U12" s="856">
        <v>6699641.6370000001</v>
      </c>
      <c r="V12" s="857">
        <v>1369.787</v>
      </c>
    </row>
    <row r="13" spans="1:23" s="351" customFormat="1" ht="16.8" x14ac:dyDescent="0.3">
      <c r="A13" s="372">
        <v>45551</v>
      </c>
      <c r="B13" s="349" t="s">
        <v>202</v>
      </c>
      <c r="C13" s="352" t="s">
        <v>96</v>
      </c>
      <c r="D13" s="353" t="s">
        <v>59</v>
      </c>
      <c r="E13" s="350">
        <v>9.15</v>
      </c>
      <c r="F13" s="350">
        <v>1.61</v>
      </c>
      <c r="G13" s="356">
        <f>E13-F13</f>
        <v>7.54</v>
      </c>
      <c r="H13" s="393"/>
      <c r="I13" s="349"/>
      <c r="J13" s="350">
        <f>SiteTU_Pit_20240916!I3</f>
        <v>0.87</v>
      </c>
      <c r="K13" s="373">
        <f>SiteTU_Pit_20240916!I4</f>
        <v>0.5302705789962161</v>
      </c>
      <c r="L13" s="377">
        <f>G13-J13</f>
        <v>6.67</v>
      </c>
      <c r="M13" s="349"/>
      <c r="N13" s="354"/>
      <c r="O13" s="350"/>
      <c r="P13" s="350"/>
      <c r="Q13" s="350">
        <f>J13*K13</f>
        <v>0.461335403726708</v>
      </c>
      <c r="R13" s="350"/>
      <c r="S13" s="356"/>
      <c r="T13" s="856">
        <v>395951.071</v>
      </c>
      <c r="U13" s="856">
        <v>6699639.4119999995</v>
      </c>
      <c r="V13" s="857">
        <v>1365.9259999999999</v>
      </c>
    </row>
    <row r="14" spans="1:23" s="351" customFormat="1" ht="14.25" customHeight="1" x14ac:dyDescent="0.3">
      <c r="A14" s="372">
        <v>45551</v>
      </c>
      <c r="B14" s="349" t="s">
        <v>202</v>
      </c>
      <c r="C14" s="352" t="s">
        <v>96</v>
      </c>
      <c r="D14" s="353" t="s">
        <v>59</v>
      </c>
      <c r="E14" s="350">
        <v>11</v>
      </c>
      <c r="F14" s="350">
        <f>E14-G14</f>
        <v>3.46</v>
      </c>
      <c r="G14" s="356">
        <f>G13</f>
        <v>7.54</v>
      </c>
      <c r="H14" s="393"/>
      <c r="I14" s="349"/>
      <c r="J14" s="350"/>
      <c r="K14" s="373"/>
      <c r="L14" s="377"/>
      <c r="M14" s="349"/>
      <c r="N14" s="354"/>
      <c r="O14" s="350"/>
      <c r="P14" s="350"/>
      <c r="Q14" s="350"/>
      <c r="R14" s="350"/>
      <c r="S14" s="356"/>
      <c r="T14" s="856"/>
      <c r="U14" s="856"/>
      <c r="V14" s="857"/>
    </row>
    <row r="15" spans="1:23" s="175" customFormat="1" ht="16.8" x14ac:dyDescent="0.3">
      <c r="A15" s="167"/>
      <c r="B15" s="167"/>
      <c r="C15" s="168"/>
      <c r="D15" s="169"/>
      <c r="E15" s="170"/>
      <c r="F15" s="170"/>
      <c r="G15" s="173"/>
      <c r="H15" s="172"/>
      <c r="I15" s="167"/>
      <c r="J15" s="167"/>
      <c r="K15" s="168"/>
      <c r="L15" s="169"/>
      <c r="M15" s="167"/>
      <c r="N15" s="173"/>
      <c r="O15" s="170"/>
      <c r="P15" s="170"/>
      <c r="Q15" s="170"/>
      <c r="R15" s="170"/>
      <c r="S15" s="171"/>
      <c r="T15" s="854"/>
      <c r="U15" s="854"/>
      <c r="V15" s="855"/>
    </row>
    <row r="16" spans="1:23" s="640" customFormat="1" ht="16.8" x14ac:dyDescent="0.3">
      <c r="A16" s="641">
        <v>45407</v>
      </c>
      <c r="B16" s="638" t="s">
        <v>107</v>
      </c>
      <c r="C16" s="850" t="s">
        <v>174</v>
      </c>
      <c r="D16" s="850" t="s">
        <v>52</v>
      </c>
      <c r="E16" s="639">
        <v>10</v>
      </c>
      <c r="F16" s="639">
        <v>-2.0699999999999998</v>
      </c>
      <c r="G16" s="851">
        <f>E16-F16</f>
        <v>12.07</v>
      </c>
      <c r="H16" s="852"/>
      <c r="I16" s="638"/>
      <c r="J16" s="638">
        <f>SiteTU_PitCore_20240425!I3</f>
        <v>4.3899999999999997</v>
      </c>
      <c r="K16" s="849">
        <f>SiteTU_PitCore_20240425!I4</f>
        <v>0.43148866414679971</v>
      </c>
      <c r="L16" s="849">
        <f>G16-J16</f>
        <v>7.6800000000000006</v>
      </c>
      <c r="M16" s="638"/>
      <c r="N16" s="853"/>
      <c r="O16" s="639"/>
      <c r="P16" s="639">
        <f>J16*K16</f>
        <v>1.8942352356044505</v>
      </c>
      <c r="Q16" s="639"/>
      <c r="R16" s="639"/>
      <c r="S16" s="851"/>
      <c r="T16" s="858">
        <v>395968.07799999998</v>
      </c>
      <c r="U16" s="858">
        <v>6699655.7580000004</v>
      </c>
      <c r="V16" s="859">
        <v>1372.125</v>
      </c>
    </row>
    <row r="17" spans="1:22" s="640" customFormat="1" ht="16.8" x14ac:dyDescent="0.3">
      <c r="A17" s="641">
        <v>45551</v>
      </c>
      <c r="B17" s="638" t="s">
        <v>107</v>
      </c>
      <c r="C17" s="850" t="s">
        <v>174</v>
      </c>
      <c r="D17" s="850" t="s">
        <v>59</v>
      </c>
      <c r="E17" s="639">
        <v>10</v>
      </c>
      <c r="F17" s="639">
        <v>1.53</v>
      </c>
      <c r="G17" s="851">
        <f>E17-F17</f>
        <v>8.4700000000000006</v>
      </c>
      <c r="H17" s="852"/>
      <c r="I17" s="638"/>
      <c r="J17" s="639">
        <f>SiteTU_Pit_20240916!I3</f>
        <v>0.87</v>
      </c>
      <c r="K17" s="849">
        <f>SiteTU_Pit_20240916!I4</f>
        <v>0.5302705789962161</v>
      </c>
      <c r="L17" s="849">
        <f>G17-J17</f>
        <v>7.6000000000000005</v>
      </c>
      <c r="M17" s="638"/>
      <c r="N17" s="853"/>
      <c r="O17" s="639">
        <f>Q17-P16</f>
        <v>-1.4328998318777426</v>
      </c>
      <c r="P17" s="639"/>
      <c r="Q17" s="639">
        <f>J17*K17</f>
        <v>0.461335403726708</v>
      </c>
      <c r="R17" s="639"/>
      <c r="S17" s="851">
        <v>0</v>
      </c>
      <c r="T17" s="858">
        <v>395962.49400000001</v>
      </c>
      <c r="U17" s="858">
        <v>6699653.6430000002</v>
      </c>
      <c r="V17" s="859">
        <v>1365.8689999999999</v>
      </c>
    </row>
    <row r="18" spans="1:22" s="640" customFormat="1" ht="16.8" x14ac:dyDescent="0.3">
      <c r="A18" s="641">
        <v>45551</v>
      </c>
      <c r="B18" s="638" t="s">
        <v>107</v>
      </c>
      <c r="C18" s="850" t="s">
        <v>174</v>
      </c>
      <c r="D18" s="850" t="s">
        <v>59</v>
      </c>
      <c r="E18" s="639">
        <v>13</v>
      </c>
      <c r="F18" s="639">
        <f>E18-G18</f>
        <v>4.5299999999999994</v>
      </c>
      <c r="G18" s="851">
        <f>G17</f>
        <v>8.4700000000000006</v>
      </c>
      <c r="H18" s="852"/>
      <c r="I18" s="638"/>
      <c r="J18" s="639"/>
      <c r="K18" s="849"/>
      <c r="L18" s="849"/>
      <c r="M18" s="638"/>
      <c r="N18" s="853"/>
      <c r="O18" s="639"/>
      <c r="P18" s="639"/>
      <c r="Q18" s="639"/>
      <c r="R18" s="639"/>
      <c r="S18" s="851"/>
      <c r="T18" s="858"/>
      <c r="U18" s="858"/>
      <c r="V18" s="859"/>
    </row>
    <row r="19" spans="1:22" s="175" customFormat="1" ht="14.4" x14ac:dyDescent="0.3">
      <c r="A19" s="167"/>
      <c r="B19" s="167"/>
      <c r="C19" s="168"/>
      <c r="D19" s="168"/>
      <c r="E19" s="170"/>
      <c r="F19" s="170"/>
      <c r="G19" s="173"/>
      <c r="H19" s="172"/>
      <c r="I19" s="167"/>
      <c r="J19" s="167"/>
      <c r="K19" s="167"/>
      <c r="L19" s="167"/>
      <c r="M19" s="167"/>
      <c r="N19" s="173"/>
      <c r="O19" s="170"/>
      <c r="P19" s="170"/>
      <c r="Q19" s="170"/>
      <c r="R19" s="170"/>
      <c r="S19" s="171"/>
      <c r="T19" s="167"/>
      <c r="U19" s="167"/>
      <c r="V19" s="174"/>
    </row>
    <row r="20" spans="1:22" s="108" customFormat="1" ht="15" thickBot="1" x14ac:dyDescent="0.35">
      <c r="A20" s="142"/>
      <c r="B20" s="142"/>
      <c r="C20" s="142"/>
      <c r="D20" s="142"/>
      <c r="E20" s="143"/>
      <c r="F20" s="143"/>
      <c r="G20" s="142"/>
      <c r="H20" s="142"/>
      <c r="I20" s="142"/>
      <c r="J20" s="142"/>
      <c r="K20" s="142"/>
      <c r="L20" s="142"/>
      <c r="M20" s="142"/>
      <c r="N20" s="142"/>
      <c r="O20" s="142"/>
      <c r="P20" s="142"/>
      <c r="Q20" s="142"/>
      <c r="R20" s="142"/>
      <c r="S20" s="142"/>
      <c r="T20" s="142"/>
      <c r="U20" s="142"/>
    </row>
    <row r="21" spans="1:22" ht="14.4" customHeight="1" x14ac:dyDescent="0.3">
      <c r="A21" s="868" t="s">
        <v>37</v>
      </c>
      <c r="B21" s="869"/>
      <c r="C21" s="872" t="s">
        <v>38</v>
      </c>
      <c r="D21" s="873"/>
      <c r="E21" s="73" t="s">
        <v>39</v>
      </c>
      <c r="F21" s="74"/>
      <c r="G21" s="73" t="s">
        <v>40</v>
      </c>
      <c r="H21" s="74"/>
      <c r="I21" s="75" t="s">
        <v>41</v>
      </c>
      <c r="Q21" s="69"/>
      <c r="R21" s="68"/>
      <c r="S21" s="68"/>
      <c r="T21" s="68"/>
      <c r="U21" s="72"/>
    </row>
    <row r="22" spans="1:22" ht="14.4" customHeight="1" x14ac:dyDescent="0.3">
      <c r="A22" s="870"/>
      <c r="B22" s="871"/>
      <c r="C22" s="76" t="s">
        <v>42</v>
      </c>
      <c r="D22" s="76" t="s">
        <v>43</v>
      </c>
      <c r="E22" s="77">
        <f>A8</f>
        <v>45175</v>
      </c>
      <c r="F22" s="78" t="s">
        <v>44</v>
      </c>
      <c r="G22" s="79">
        <f>A16</f>
        <v>45407</v>
      </c>
      <c r="H22" s="78" t="s">
        <v>44</v>
      </c>
      <c r="I22" s="80">
        <f>A13</f>
        <v>45551</v>
      </c>
      <c r="Q22" s="69"/>
      <c r="R22" s="81"/>
      <c r="S22" s="81"/>
      <c r="T22" s="68"/>
      <c r="U22" s="72"/>
    </row>
    <row r="23" spans="1:22" ht="14.4" x14ac:dyDescent="0.3">
      <c r="A23" s="82"/>
      <c r="B23" s="83" t="s">
        <v>45</v>
      </c>
      <c r="C23" s="84">
        <f>P16</f>
        <v>1.8942352356044505</v>
      </c>
      <c r="D23" s="84"/>
      <c r="E23" s="85"/>
      <c r="F23" s="85"/>
      <c r="G23" s="86"/>
      <c r="H23" s="84"/>
      <c r="I23" s="87"/>
      <c r="Q23" s="69"/>
      <c r="R23" s="81"/>
      <c r="S23" s="81"/>
      <c r="T23" s="68"/>
      <c r="U23" s="72"/>
    </row>
    <row r="24" spans="1:22" ht="14.4" x14ac:dyDescent="0.3">
      <c r="A24" s="82"/>
      <c r="B24" s="83" t="s">
        <v>46</v>
      </c>
      <c r="C24" s="84">
        <f>C25-C23</f>
        <v>-1.4328998318777426</v>
      </c>
      <c r="D24" s="84"/>
      <c r="E24" s="85"/>
      <c r="F24" s="85"/>
      <c r="G24" s="86"/>
      <c r="H24" s="84"/>
      <c r="I24" s="87"/>
      <c r="Q24" s="69"/>
      <c r="R24" s="81"/>
      <c r="S24" s="81"/>
      <c r="T24" s="68"/>
      <c r="U24" s="72"/>
    </row>
    <row r="25" spans="1:22" ht="14.4" x14ac:dyDescent="0.3">
      <c r="A25" s="82"/>
      <c r="B25" s="83" t="s">
        <v>47</v>
      </c>
      <c r="C25" s="84">
        <f>Q17</f>
        <v>0.461335403726708</v>
      </c>
      <c r="D25" s="84"/>
      <c r="E25" s="85"/>
      <c r="F25" s="85"/>
      <c r="G25" s="86"/>
      <c r="H25" s="84"/>
      <c r="I25" s="87"/>
      <c r="Q25" s="69"/>
      <c r="R25" s="81"/>
      <c r="S25" s="81"/>
      <c r="T25" s="68"/>
      <c r="U25" s="72"/>
    </row>
    <row r="26" spans="1:22" ht="14.4" x14ac:dyDescent="0.3">
      <c r="A26" s="82"/>
      <c r="B26" s="88" t="s">
        <v>48</v>
      </c>
      <c r="C26" s="84">
        <f>S7</f>
        <v>0</v>
      </c>
      <c r="D26" s="84"/>
      <c r="E26" s="85"/>
      <c r="F26" s="85"/>
      <c r="G26" s="84"/>
      <c r="H26" s="84"/>
      <c r="I26" s="87"/>
      <c r="Q26" s="69"/>
      <c r="R26" s="81"/>
      <c r="S26" s="81"/>
      <c r="T26" s="68"/>
      <c r="U26" s="72"/>
    </row>
    <row r="27" spans="1:22" ht="14.4" x14ac:dyDescent="0.3">
      <c r="A27" s="82"/>
      <c r="B27" s="89" t="s">
        <v>49</v>
      </c>
      <c r="C27" s="84" t="s">
        <v>54</v>
      </c>
      <c r="D27" s="84"/>
      <c r="E27" s="85"/>
      <c r="F27" s="85"/>
      <c r="G27" s="84"/>
      <c r="H27" s="84"/>
      <c r="I27" s="87"/>
      <c r="Q27" s="69"/>
      <c r="R27" s="81"/>
      <c r="S27" s="81"/>
      <c r="T27" s="68"/>
      <c r="U27" s="72"/>
    </row>
    <row r="28" spans="1:22" ht="15" thickBot="1" x14ac:dyDescent="0.35">
      <c r="A28" s="90"/>
      <c r="B28" s="91" t="s">
        <v>50</v>
      </c>
      <c r="C28" s="92">
        <f>S17</f>
        <v>0</v>
      </c>
      <c r="D28" s="92"/>
      <c r="E28" s="93"/>
      <c r="F28" s="93"/>
      <c r="G28" s="94"/>
      <c r="H28" s="94"/>
      <c r="I28" s="95"/>
      <c r="Q28" s="69"/>
      <c r="R28" s="81"/>
      <c r="S28" s="81"/>
      <c r="T28" s="68"/>
      <c r="U28" s="72"/>
    </row>
    <row r="29" spans="1:22" ht="14.4" x14ac:dyDescent="0.3">
      <c r="A29" s="72"/>
      <c r="B29" s="72"/>
      <c r="C29" s="72"/>
      <c r="D29" s="72"/>
      <c r="E29" s="72"/>
      <c r="F29" s="72"/>
      <c r="G29" s="72"/>
      <c r="H29" s="72"/>
      <c r="I29" s="72"/>
      <c r="J29" s="72"/>
      <c r="K29" s="72"/>
      <c r="L29" s="72"/>
      <c r="M29" s="72"/>
      <c r="N29" s="72"/>
      <c r="O29" s="72"/>
      <c r="P29" s="72"/>
      <c r="Q29" s="68"/>
      <c r="R29" s="68"/>
      <c r="S29" s="68"/>
      <c r="T29" s="68"/>
      <c r="U29" s="72"/>
    </row>
  </sheetData>
  <mergeCells count="6">
    <mergeCell ref="T1:V1"/>
    <mergeCell ref="T2:U2"/>
    <mergeCell ref="E3:G3"/>
    <mergeCell ref="T3:U3"/>
    <mergeCell ref="A21:B22"/>
    <mergeCell ref="C21:D21"/>
  </mergeCell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79"/>
  <sheetViews>
    <sheetView topLeftCell="L48" zoomScale="76" zoomScaleNormal="80" workbookViewId="0">
      <selection activeCell="T72" sqref="T72"/>
    </sheetView>
  </sheetViews>
  <sheetFormatPr defaultColWidth="17.44140625" defaultRowHeight="15.75" customHeight="1" x14ac:dyDescent="0.3"/>
  <cols>
    <col min="1" max="1" width="12.44140625" style="2" customWidth="1"/>
    <col min="2" max="2" width="27.44140625" style="2" customWidth="1"/>
    <col min="3" max="3" width="11.5546875" style="2" bestFit="1" customWidth="1"/>
    <col min="4" max="4" width="20" style="2" bestFit="1" customWidth="1"/>
    <col min="5" max="5" width="10.6640625" style="2" bestFit="1" customWidth="1"/>
    <col min="6" max="7" width="13.6640625" style="2" bestFit="1" customWidth="1"/>
    <col min="8" max="8" width="14.5546875" style="2" bestFit="1" customWidth="1"/>
    <col min="9" max="9" width="17.5546875" style="2" bestFit="1" customWidth="1"/>
    <col min="10" max="10" width="19.6640625" style="2" bestFit="1" customWidth="1"/>
    <col min="11" max="11" width="16.5546875" style="2" bestFit="1" customWidth="1"/>
    <col min="12" max="12" width="18" style="2" customWidth="1"/>
    <col min="13" max="13" width="22.109375" style="2" customWidth="1"/>
    <col min="14" max="15" width="11.5546875" style="2" bestFit="1" customWidth="1"/>
    <col min="16" max="16" width="8.5546875" style="2" bestFit="1" customWidth="1"/>
    <col min="17" max="17" width="8" style="3" bestFit="1" customWidth="1"/>
    <col min="18" max="18" width="14.6640625" style="2" bestFit="1" customWidth="1"/>
    <col min="19" max="19" width="20.6640625" style="3" bestFit="1" customWidth="1"/>
    <col min="20" max="20" width="21.109375" style="2" bestFit="1" customWidth="1"/>
    <col min="21" max="21" width="12" style="2" bestFit="1" customWidth="1"/>
    <col min="22" max="16384" width="17.44140625" style="2"/>
  </cols>
  <sheetData>
    <row r="1" spans="1:23" ht="14.4" x14ac:dyDescent="0.3">
      <c r="A1" s="5"/>
      <c r="B1" s="6"/>
      <c r="C1" s="7"/>
      <c r="D1" s="8"/>
      <c r="E1" s="9"/>
      <c r="F1" s="10"/>
      <c r="G1" s="11"/>
      <c r="H1" s="12"/>
      <c r="I1" s="11"/>
      <c r="J1" s="13"/>
      <c r="K1" s="10"/>
      <c r="L1" s="14"/>
      <c r="M1" s="15"/>
      <c r="N1" s="11"/>
      <c r="O1" s="16"/>
      <c r="P1" s="17"/>
      <c r="Q1" s="378"/>
      <c r="R1" s="17"/>
      <c r="S1" s="812"/>
      <c r="T1" s="874" t="s">
        <v>9</v>
      </c>
      <c r="U1" s="875"/>
      <c r="V1" s="876"/>
      <c r="W1" s="19"/>
    </row>
    <row r="2" spans="1:23" ht="14.4" x14ac:dyDescent="0.3">
      <c r="A2" s="20"/>
      <c r="B2" s="21"/>
      <c r="C2" s="22"/>
      <c r="D2" s="23"/>
      <c r="E2" s="126"/>
      <c r="F2" s="127"/>
      <c r="G2" s="24"/>
      <c r="H2" s="25"/>
      <c r="I2" s="24"/>
      <c r="J2" s="26"/>
      <c r="K2" s="27"/>
      <c r="L2" s="28"/>
      <c r="M2" s="29"/>
      <c r="N2" s="26"/>
      <c r="O2" s="1"/>
      <c r="S2" s="748"/>
      <c r="T2" s="877" t="s">
        <v>10</v>
      </c>
      <c r="U2" s="878"/>
      <c r="V2" s="128"/>
      <c r="W2" s="30"/>
    </row>
    <row r="3" spans="1:23" ht="14.4" x14ac:dyDescent="0.3">
      <c r="A3" s="20"/>
      <c r="B3" s="21"/>
      <c r="C3" s="22"/>
      <c r="D3" s="31"/>
      <c r="E3" s="863" t="s">
        <v>11</v>
      </c>
      <c r="F3" s="864"/>
      <c r="G3" s="865"/>
      <c r="H3" s="32"/>
      <c r="I3" s="127"/>
      <c r="J3" s="26"/>
      <c r="K3" s="127"/>
      <c r="L3" s="33"/>
      <c r="M3" s="34"/>
      <c r="N3" s="26"/>
      <c r="O3" s="35"/>
      <c r="P3" s="26"/>
      <c r="Q3" s="98"/>
      <c r="R3" s="36"/>
      <c r="S3" s="813"/>
      <c r="T3" s="866" t="s">
        <v>12</v>
      </c>
      <c r="U3" s="867"/>
      <c r="V3" s="128"/>
      <c r="W3" s="38"/>
    </row>
    <row r="4" spans="1:23" s="52" customFormat="1" ht="39.6" x14ac:dyDescent="0.3">
      <c r="A4" s="39" t="s">
        <v>13</v>
      </c>
      <c r="B4" s="40" t="s">
        <v>14</v>
      </c>
      <c r="C4" s="41" t="s">
        <v>15</v>
      </c>
      <c r="D4" s="42" t="s">
        <v>16</v>
      </c>
      <c r="E4" s="43" t="s">
        <v>17</v>
      </c>
      <c r="F4" s="40" t="s">
        <v>18</v>
      </c>
      <c r="G4" s="44" t="s">
        <v>19</v>
      </c>
      <c r="H4" s="45" t="s">
        <v>20</v>
      </c>
      <c r="I4" s="44" t="s">
        <v>21</v>
      </c>
      <c r="J4" s="44" t="s">
        <v>22</v>
      </c>
      <c r="K4" s="40" t="s">
        <v>23</v>
      </c>
      <c r="L4" s="46" t="s">
        <v>24</v>
      </c>
      <c r="M4" s="46" t="s">
        <v>25</v>
      </c>
      <c r="N4" s="44" t="s">
        <v>26</v>
      </c>
      <c r="O4" s="47" t="s">
        <v>27</v>
      </c>
      <c r="P4" s="44" t="s">
        <v>28</v>
      </c>
      <c r="Q4" s="99" t="s">
        <v>29</v>
      </c>
      <c r="R4" s="48" t="s">
        <v>7</v>
      </c>
      <c r="S4" s="814" t="s">
        <v>8</v>
      </c>
      <c r="T4" s="50" t="s">
        <v>30</v>
      </c>
      <c r="U4" s="50" t="s">
        <v>31</v>
      </c>
      <c r="V4" s="51" t="s">
        <v>2</v>
      </c>
      <c r="W4" s="41" t="s">
        <v>32</v>
      </c>
    </row>
    <row r="5" spans="1:23" ht="15" thickBot="1" x14ac:dyDescent="0.35">
      <c r="A5" s="53" t="s">
        <v>33</v>
      </c>
      <c r="B5" s="54"/>
      <c r="C5" s="55"/>
      <c r="D5" s="56"/>
      <c r="E5" s="57" t="s">
        <v>34</v>
      </c>
      <c r="F5" s="57" t="s">
        <v>34</v>
      </c>
      <c r="G5" s="139" t="s">
        <v>34</v>
      </c>
      <c r="H5" s="140" t="s">
        <v>34</v>
      </c>
      <c r="I5" s="57" t="s">
        <v>34</v>
      </c>
      <c r="J5" s="57" t="s">
        <v>34</v>
      </c>
      <c r="K5" s="58" t="s">
        <v>35</v>
      </c>
      <c r="L5" s="59" t="s">
        <v>34</v>
      </c>
      <c r="M5" s="60" t="s">
        <v>34</v>
      </c>
      <c r="N5" s="60" t="s">
        <v>35</v>
      </c>
      <c r="O5" s="61" t="s">
        <v>36</v>
      </c>
      <c r="P5" s="62" t="s">
        <v>36</v>
      </c>
      <c r="Q5" s="379" t="s">
        <v>36</v>
      </c>
      <c r="R5" s="63" t="s">
        <v>36</v>
      </c>
      <c r="S5" s="815" t="s">
        <v>36</v>
      </c>
      <c r="T5" s="65" t="s">
        <v>34</v>
      </c>
      <c r="U5" s="65" t="s">
        <v>34</v>
      </c>
      <c r="V5" s="66" t="s">
        <v>34</v>
      </c>
      <c r="W5" s="67"/>
    </row>
    <row r="6" spans="1:23" ht="14.4" x14ac:dyDescent="0.3">
      <c r="A6" s="180">
        <v>43961</v>
      </c>
      <c r="B6" s="176" t="s">
        <v>66</v>
      </c>
      <c r="C6" s="223" t="s">
        <v>67</v>
      </c>
      <c r="D6" s="225" t="s">
        <v>52</v>
      </c>
      <c r="E6" s="177">
        <v>12.2</v>
      </c>
      <c r="F6" s="177">
        <v>0.47</v>
      </c>
      <c r="G6" s="217">
        <f>E6-F6</f>
        <v>11.729999999999999</v>
      </c>
      <c r="H6" s="219"/>
      <c r="I6" s="176">
        <v>5.19</v>
      </c>
      <c r="J6" s="176" t="e">
        <f>#REF!</f>
        <v>#REF!</v>
      </c>
      <c r="K6" s="226">
        <v>0.47</v>
      </c>
      <c r="L6" s="177">
        <f>G6-I6</f>
        <v>6.5399999999999983</v>
      </c>
      <c r="M6" s="176"/>
      <c r="N6" s="216"/>
      <c r="O6" s="176"/>
      <c r="P6" s="177">
        <f>I6*K6</f>
        <v>2.4393000000000002</v>
      </c>
      <c r="Q6" s="177"/>
      <c r="R6" s="178"/>
      <c r="S6" s="816"/>
      <c r="T6" s="178"/>
      <c r="U6" s="178"/>
      <c r="V6" s="221"/>
      <c r="W6" s="179"/>
    </row>
    <row r="7" spans="1:23" ht="14.4" x14ac:dyDescent="0.3">
      <c r="A7" s="180">
        <v>44079</v>
      </c>
      <c r="B7" s="176" t="s">
        <v>63</v>
      </c>
      <c r="C7" s="223" t="s">
        <v>67</v>
      </c>
      <c r="D7" s="225" t="s">
        <v>52</v>
      </c>
      <c r="E7" s="177">
        <v>12.2</v>
      </c>
      <c r="F7" s="177">
        <f>E7-G7</f>
        <v>4.6999999999999993</v>
      </c>
      <c r="G7" s="217">
        <v>7.5</v>
      </c>
      <c r="H7" s="219"/>
      <c r="I7" s="177" t="e">
        <f>#REF!</f>
        <v>#REF!</v>
      </c>
      <c r="J7" s="176"/>
      <c r="K7" s="226" t="e">
        <f>#REF!</f>
        <v>#REF!</v>
      </c>
      <c r="L7" s="177" t="e">
        <f>G7-I7</f>
        <v>#REF!</v>
      </c>
      <c r="M7" s="176"/>
      <c r="N7" s="216"/>
      <c r="O7" s="177" t="e">
        <f>Q7-P6</f>
        <v>#REF!</v>
      </c>
      <c r="P7" s="176"/>
      <c r="Q7" s="177" t="e">
        <f>I7*K7</f>
        <v>#REF!</v>
      </c>
      <c r="R7" s="178"/>
      <c r="S7" s="816"/>
      <c r="T7" s="178"/>
      <c r="U7" s="178"/>
      <c r="V7" s="221"/>
      <c r="W7" s="179"/>
    </row>
    <row r="8" spans="1:23" ht="14.4" x14ac:dyDescent="0.3">
      <c r="A8" s="180">
        <v>44079</v>
      </c>
      <c r="B8" s="176" t="s">
        <v>63</v>
      </c>
      <c r="C8" s="223" t="s">
        <v>67</v>
      </c>
      <c r="D8" s="225" t="s">
        <v>52</v>
      </c>
      <c r="E8" s="177">
        <v>11.5</v>
      </c>
      <c r="F8" s="177">
        <f>E8-G8</f>
        <v>4</v>
      </c>
      <c r="G8" s="217">
        <v>7.5</v>
      </c>
      <c r="H8" s="219"/>
      <c r="I8" s="176"/>
      <c r="J8" s="176"/>
      <c r="K8" s="223"/>
      <c r="L8" s="176"/>
      <c r="M8" s="176"/>
      <c r="N8" s="216"/>
      <c r="O8" s="176"/>
      <c r="P8" s="176"/>
      <c r="Q8" s="177"/>
      <c r="R8" s="178"/>
      <c r="S8" s="816"/>
      <c r="T8" s="178"/>
      <c r="U8" s="178"/>
      <c r="V8" s="221"/>
      <c r="W8" s="179" t="s">
        <v>71</v>
      </c>
    </row>
    <row r="9" spans="1:23" ht="14.4" x14ac:dyDescent="0.3">
      <c r="A9" s="180">
        <v>44185</v>
      </c>
      <c r="B9" s="176" t="s">
        <v>62</v>
      </c>
      <c r="C9" s="223" t="s">
        <v>67</v>
      </c>
      <c r="D9" s="225" t="s">
        <v>52</v>
      </c>
      <c r="E9" s="177">
        <v>11.5</v>
      </c>
      <c r="F9" s="177">
        <v>0.11</v>
      </c>
      <c r="G9" s="217">
        <f>E9-F9</f>
        <v>11.39</v>
      </c>
      <c r="H9" s="219"/>
      <c r="I9" s="176"/>
      <c r="J9" s="177">
        <f>G9-G8</f>
        <v>3.8900000000000006</v>
      </c>
      <c r="K9" s="223"/>
      <c r="L9" s="176"/>
      <c r="M9" s="176"/>
      <c r="N9" s="216"/>
      <c r="O9" s="176"/>
      <c r="P9" s="176"/>
      <c r="Q9" s="177"/>
      <c r="R9" s="178"/>
      <c r="S9" s="816"/>
      <c r="T9" s="178"/>
      <c r="U9" s="178"/>
      <c r="V9" s="221"/>
      <c r="W9" s="179"/>
    </row>
    <row r="10" spans="1:23" ht="14.4" x14ac:dyDescent="0.3">
      <c r="A10" s="180">
        <v>44185</v>
      </c>
      <c r="B10" s="176" t="s">
        <v>62</v>
      </c>
      <c r="C10" s="223" t="s">
        <v>67</v>
      </c>
      <c r="D10" s="225" t="s">
        <v>52</v>
      </c>
      <c r="E10" s="177">
        <v>15.85</v>
      </c>
      <c r="F10" s="177">
        <f>E10-G10</f>
        <v>4.4599999999999991</v>
      </c>
      <c r="G10" s="217">
        <f>G9</f>
        <v>11.39</v>
      </c>
      <c r="H10" s="219"/>
      <c r="I10" s="176"/>
      <c r="J10" s="176"/>
      <c r="K10" s="223"/>
      <c r="L10" s="176"/>
      <c r="M10" s="176"/>
      <c r="N10" s="216"/>
      <c r="O10" s="176"/>
      <c r="P10" s="176"/>
      <c r="Q10" s="177"/>
      <c r="R10" s="178"/>
      <c r="S10" s="816"/>
      <c r="T10" s="178"/>
      <c r="U10" s="178"/>
      <c r="V10" s="221"/>
      <c r="W10" s="179"/>
    </row>
    <row r="11" spans="1:23" ht="14.4" x14ac:dyDescent="0.3">
      <c r="A11" s="180">
        <v>44221</v>
      </c>
      <c r="B11" s="176" t="s">
        <v>73</v>
      </c>
      <c r="C11" s="223" t="s">
        <v>67</v>
      </c>
      <c r="D11" s="225" t="s">
        <v>52</v>
      </c>
      <c r="E11" s="177">
        <v>15.85</v>
      </c>
      <c r="F11" s="177">
        <v>1.45</v>
      </c>
      <c r="G11" s="217">
        <f>E11-F11</f>
        <v>14.4</v>
      </c>
      <c r="H11" s="219"/>
      <c r="I11" s="176"/>
      <c r="J11" s="176"/>
      <c r="K11" s="223"/>
      <c r="L11" s="176"/>
      <c r="M11" s="176"/>
      <c r="N11" s="216"/>
      <c r="O11" s="176"/>
      <c r="P11" s="176"/>
      <c r="Q11" s="177"/>
      <c r="R11" s="178"/>
      <c r="S11" s="816"/>
      <c r="T11" s="178"/>
      <c r="U11" s="178"/>
      <c r="V11" s="221"/>
      <c r="W11" s="179" t="s">
        <v>74</v>
      </c>
    </row>
    <row r="12" spans="1:23" ht="15" x14ac:dyDescent="0.35">
      <c r="A12" s="180">
        <v>44221</v>
      </c>
      <c r="B12" s="176" t="s">
        <v>73</v>
      </c>
      <c r="C12" s="223" t="s">
        <v>67</v>
      </c>
      <c r="D12" s="225" t="s">
        <v>52</v>
      </c>
      <c r="E12" s="177">
        <f>14.55 +1.3</f>
        <v>15.850000000000001</v>
      </c>
      <c r="F12" s="177">
        <f>0.3 +1.3</f>
        <v>1.6</v>
      </c>
      <c r="G12" s="217">
        <f>E12-F12</f>
        <v>14.250000000000002</v>
      </c>
      <c r="H12" s="219"/>
      <c r="I12" s="176"/>
      <c r="J12" s="176"/>
      <c r="K12" s="223"/>
      <c r="L12" s="176"/>
      <c r="M12" s="176"/>
      <c r="N12" s="216"/>
      <c r="O12" s="176"/>
      <c r="P12" s="176"/>
      <c r="Q12" s="177"/>
      <c r="R12" s="178"/>
      <c r="S12" s="816"/>
      <c r="T12" s="273"/>
      <c r="U12" s="273"/>
      <c r="V12" s="276"/>
      <c r="W12" s="179"/>
    </row>
    <row r="13" spans="1:23" ht="15" x14ac:dyDescent="0.35">
      <c r="A13" s="180">
        <v>44221</v>
      </c>
      <c r="B13" s="176" t="s">
        <v>73</v>
      </c>
      <c r="C13" s="223" t="s">
        <v>67</v>
      </c>
      <c r="D13" s="225" t="s">
        <v>52</v>
      </c>
      <c r="E13" s="177">
        <f>14.55+3.05+1.3</f>
        <v>18.900000000000002</v>
      </c>
      <c r="F13" s="177">
        <f>E13-G13</f>
        <v>4.6500000000000021</v>
      </c>
      <c r="G13" s="217">
        <f>14.55-0.3</f>
        <v>14.25</v>
      </c>
      <c r="H13" s="219"/>
      <c r="I13" s="176"/>
      <c r="J13" s="176"/>
      <c r="K13" s="223"/>
      <c r="L13" s="176"/>
      <c r="M13" s="176"/>
      <c r="N13" s="216"/>
      <c r="O13" s="176"/>
      <c r="P13" s="176"/>
      <c r="Q13" s="177"/>
      <c r="R13" s="178"/>
      <c r="S13" s="816"/>
      <c r="T13" s="273"/>
      <c r="U13" s="273"/>
      <c r="V13" s="276"/>
      <c r="W13" s="179"/>
    </row>
    <row r="14" spans="1:23" ht="15" x14ac:dyDescent="0.35">
      <c r="A14" s="180">
        <v>44304</v>
      </c>
      <c r="B14" s="176" t="s">
        <v>75</v>
      </c>
      <c r="C14" s="223" t="s">
        <v>67</v>
      </c>
      <c r="D14" s="225" t="s">
        <v>52</v>
      </c>
      <c r="E14" s="177">
        <v>18.899999999999999</v>
      </c>
      <c r="F14" s="177">
        <f>E14-G14</f>
        <v>4.8399999999999981</v>
      </c>
      <c r="G14" s="217">
        <f>G15</f>
        <v>14.06</v>
      </c>
      <c r="H14" s="219"/>
      <c r="I14" s="177">
        <f>G14-G8</f>
        <v>6.5600000000000005</v>
      </c>
      <c r="J14" s="176">
        <v>5.82</v>
      </c>
      <c r="K14" s="223">
        <v>0.46</v>
      </c>
      <c r="L14" s="177">
        <f>G14-I14</f>
        <v>7.5</v>
      </c>
      <c r="M14" s="176"/>
      <c r="N14" s="216"/>
      <c r="O14" s="176"/>
      <c r="P14" s="177">
        <f>J14*K14</f>
        <v>2.6772000000000005</v>
      </c>
      <c r="Q14" s="177"/>
      <c r="R14" s="178"/>
      <c r="S14" s="816"/>
      <c r="T14" s="273"/>
      <c r="U14" s="273"/>
      <c r="V14" s="276"/>
      <c r="W14" s="179"/>
    </row>
    <row r="15" spans="1:23" ht="15" x14ac:dyDescent="0.35">
      <c r="A15" s="180">
        <v>44304</v>
      </c>
      <c r="B15" s="176" t="s">
        <v>75</v>
      </c>
      <c r="C15" s="223" t="s">
        <v>67</v>
      </c>
      <c r="D15" s="225" t="s">
        <v>52</v>
      </c>
      <c r="E15" s="177">
        <v>14.55</v>
      </c>
      <c r="F15" s="177">
        <v>0.49</v>
      </c>
      <c r="G15" s="217">
        <f>E15-F15</f>
        <v>14.06</v>
      </c>
      <c r="H15" s="219"/>
      <c r="I15" s="176"/>
      <c r="J15" s="176"/>
      <c r="K15" s="223"/>
      <c r="L15" s="176"/>
      <c r="M15" s="176"/>
      <c r="N15" s="216"/>
      <c r="O15" s="176"/>
      <c r="P15" s="176"/>
      <c r="Q15" s="177"/>
      <c r="R15" s="178"/>
      <c r="S15" s="816"/>
      <c r="T15" s="273"/>
      <c r="U15" s="273"/>
      <c r="V15" s="276"/>
      <c r="W15" s="179"/>
    </row>
    <row r="16" spans="1:23" ht="15" x14ac:dyDescent="0.35">
      <c r="A16" s="180">
        <v>44310</v>
      </c>
      <c r="B16" s="176" t="s">
        <v>75</v>
      </c>
      <c r="C16" s="223" t="s">
        <v>67</v>
      </c>
      <c r="D16" s="225" t="s">
        <v>52</v>
      </c>
      <c r="E16" s="177">
        <v>14.55</v>
      </c>
      <c r="F16" s="177">
        <v>0.67</v>
      </c>
      <c r="G16" s="217">
        <f>E16-F16</f>
        <v>13.88</v>
      </c>
      <c r="H16" s="217">
        <f>G16-G15</f>
        <v>-0.17999999999999972</v>
      </c>
      <c r="I16" s="176"/>
      <c r="J16" s="177">
        <f>J14+H16</f>
        <v>5.6400000000000006</v>
      </c>
      <c r="K16" s="226">
        <f>J14*K14/J16</f>
        <v>0.47468085106382985</v>
      </c>
      <c r="L16" s="176"/>
      <c r="M16" s="176"/>
      <c r="N16" s="216"/>
      <c r="O16" s="176"/>
      <c r="P16" s="176"/>
      <c r="Q16" s="177"/>
      <c r="R16" s="178"/>
      <c r="S16" s="816"/>
      <c r="T16" s="273">
        <v>393294.62900000002</v>
      </c>
      <c r="U16" s="273">
        <v>6700340.0930000003</v>
      </c>
      <c r="V16" s="276">
        <v>1367.4829999999999</v>
      </c>
      <c r="W16" s="179"/>
    </row>
    <row r="17" spans="1:23" ht="15" x14ac:dyDescent="0.35">
      <c r="A17" s="180">
        <v>44438</v>
      </c>
      <c r="B17" s="176" t="s">
        <v>82</v>
      </c>
      <c r="C17" s="223" t="s">
        <v>67</v>
      </c>
      <c r="D17" s="225" t="s">
        <v>59</v>
      </c>
      <c r="E17" s="177">
        <v>14.55</v>
      </c>
      <c r="F17" s="177">
        <f>E17-G17</f>
        <v>4.08</v>
      </c>
      <c r="G17" s="217">
        <v>10.47</v>
      </c>
      <c r="H17" s="216"/>
      <c r="I17" s="177">
        <f>G17-L14</f>
        <v>2.9700000000000006</v>
      </c>
      <c r="J17" s="176"/>
      <c r="K17" s="223"/>
      <c r="L17" s="176"/>
      <c r="M17" s="176"/>
      <c r="N17" s="216"/>
      <c r="O17" s="176"/>
      <c r="P17" s="176"/>
      <c r="Q17" s="177"/>
      <c r="R17" s="178"/>
      <c r="S17" s="816"/>
      <c r="T17" s="277">
        <v>393290.57900000003</v>
      </c>
      <c r="U17" s="277">
        <v>6700344.5429999996</v>
      </c>
      <c r="V17" s="277">
        <v>1371.896</v>
      </c>
      <c r="W17" s="179"/>
    </row>
    <row r="18" spans="1:23" ht="15" x14ac:dyDescent="0.35">
      <c r="A18" s="180">
        <v>44509</v>
      </c>
      <c r="B18" s="176" t="s">
        <v>75</v>
      </c>
      <c r="C18" s="223" t="s">
        <v>67</v>
      </c>
      <c r="D18" s="225" t="s">
        <v>52</v>
      </c>
      <c r="E18" s="177">
        <f>E17+3.05</f>
        <v>17.600000000000001</v>
      </c>
      <c r="F18" s="177">
        <f>E18-G18</f>
        <v>3.3500000000000014</v>
      </c>
      <c r="G18" s="217">
        <v>14.25</v>
      </c>
      <c r="H18" s="217">
        <f>G18-G17</f>
        <v>3.7799999999999994</v>
      </c>
      <c r="I18" s="177"/>
      <c r="J18" s="176"/>
      <c r="K18" s="223"/>
      <c r="L18" s="176"/>
      <c r="M18" s="176"/>
      <c r="N18" s="216"/>
      <c r="O18" s="176"/>
      <c r="P18" s="176"/>
      <c r="Q18" s="177"/>
      <c r="R18" s="178"/>
      <c r="S18" s="816"/>
      <c r="T18" s="277"/>
      <c r="U18" s="277"/>
      <c r="V18" s="277"/>
      <c r="W18" s="179"/>
    </row>
    <row r="19" spans="1:23" ht="15" x14ac:dyDescent="0.35">
      <c r="A19" s="180">
        <v>44820</v>
      </c>
      <c r="B19" s="176" t="s">
        <v>83</v>
      </c>
      <c r="C19" s="223" t="s">
        <v>67</v>
      </c>
      <c r="D19" s="225" t="s">
        <v>52</v>
      </c>
      <c r="E19" s="177">
        <v>14.55</v>
      </c>
      <c r="F19" s="177">
        <v>1.17</v>
      </c>
      <c r="G19" s="217">
        <f t="shared" ref="G19:G24" si="0">E19-F19</f>
        <v>13.38</v>
      </c>
      <c r="H19" s="217"/>
      <c r="I19" s="177"/>
      <c r="J19" s="176">
        <v>0.05</v>
      </c>
      <c r="K19" s="223">
        <v>0.4</v>
      </c>
      <c r="L19" s="176"/>
      <c r="M19" s="176"/>
      <c r="N19" s="216"/>
      <c r="O19" s="176"/>
      <c r="P19" s="176"/>
      <c r="Q19" s="177"/>
      <c r="R19" s="178"/>
      <c r="S19" s="816"/>
      <c r="T19" s="277"/>
      <c r="U19" s="277"/>
      <c r="V19" s="277"/>
      <c r="W19" s="179"/>
    </row>
    <row r="20" spans="1:23" ht="15" x14ac:dyDescent="0.35">
      <c r="A20" s="180">
        <v>44820</v>
      </c>
      <c r="B20" s="176" t="s">
        <v>83</v>
      </c>
      <c r="C20" s="223" t="s">
        <v>67</v>
      </c>
      <c r="D20" s="225" t="s">
        <v>52</v>
      </c>
      <c r="E20" s="177">
        <v>14.55</v>
      </c>
      <c r="F20" s="177">
        <v>1.22</v>
      </c>
      <c r="G20" s="217">
        <f t="shared" si="0"/>
        <v>13.33</v>
      </c>
      <c r="H20" s="217"/>
      <c r="I20" s="177"/>
      <c r="J20" s="176"/>
      <c r="K20" s="223"/>
      <c r="L20" s="176"/>
      <c r="M20" s="176"/>
      <c r="N20" s="216"/>
      <c r="O20" s="176"/>
      <c r="P20" s="176"/>
      <c r="Q20" s="177"/>
      <c r="R20" s="178"/>
      <c r="S20" s="816"/>
      <c r="T20" s="277"/>
      <c r="U20" s="277"/>
      <c r="V20" s="277"/>
      <c r="W20" s="179"/>
    </row>
    <row r="21" spans="1:23" ht="15" x14ac:dyDescent="0.35">
      <c r="A21" s="180">
        <v>44911</v>
      </c>
      <c r="B21" s="176" t="s">
        <v>94</v>
      </c>
      <c r="C21" s="223" t="s">
        <v>67</v>
      </c>
      <c r="D21" s="225" t="s">
        <v>93</v>
      </c>
      <c r="E21" s="177">
        <v>17.600000000000001</v>
      </c>
      <c r="F21" s="177">
        <v>2.21</v>
      </c>
      <c r="G21" s="217">
        <f t="shared" si="0"/>
        <v>15.39</v>
      </c>
      <c r="H21" s="217">
        <f>G21-G20</f>
        <v>2.0600000000000005</v>
      </c>
      <c r="I21" s="177"/>
      <c r="J21" s="176"/>
      <c r="K21" s="223"/>
      <c r="L21" s="176"/>
      <c r="M21" s="176"/>
      <c r="N21" s="216"/>
      <c r="O21" s="176"/>
      <c r="P21" s="176"/>
      <c r="Q21" s="177"/>
      <c r="R21" s="178"/>
      <c r="S21" s="816"/>
      <c r="T21" s="277"/>
      <c r="U21" s="277"/>
      <c r="V21" s="277"/>
      <c r="W21" s="179"/>
    </row>
    <row r="22" spans="1:23" ht="15" x14ac:dyDescent="0.35">
      <c r="A22" s="180">
        <v>44911</v>
      </c>
      <c r="B22" s="176" t="s">
        <v>94</v>
      </c>
      <c r="C22" s="223" t="s">
        <v>67</v>
      </c>
      <c r="D22" s="225" t="s">
        <v>93</v>
      </c>
      <c r="E22" s="177">
        <v>19.600000000000001</v>
      </c>
      <c r="F22" s="177">
        <v>4.21</v>
      </c>
      <c r="G22" s="217">
        <f t="shared" si="0"/>
        <v>15.39</v>
      </c>
      <c r="H22" s="217"/>
      <c r="I22" s="177"/>
      <c r="J22" s="176"/>
      <c r="K22" s="223"/>
      <c r="L22" s="176"/>
      <c r="M22" s="176"/>
      <c r="N22" s="216"/>
      <c r="O22" s="176"/>
      <c r="P22" s="176"/>
      <c r="Q22" s="177"/>
      <c r="R22" s="178"/>
      <c r="S22" s="816"/>
      <c r="T22" s="277"/>
      <c r="U22" s="277"/>
      <c r="V22" s="277"/>
      <c r="W22" s="179"/>
    </row>
    <row r="23" spans="1:23" ht="15" x14ac:dyDescent="0.35">
      <c r="A23" s="180">
        <v>45174</v>
      </c>
      <c r="B23" s="176" t="s">
        <v>92</v>
      </c>
      <c r="C23" s="223" t="s">
        <v>67</v>
      </c>
      <c r="D23" s="225" t="s">
        <v>59</v>
      </c>
      <c r="E23" s="177">
        <v>17.600000000000001</v>
      </c>
      <c r="F23" s="177">
        <v>2.39</v>
      </c>
      <c r="G23" s="217">
        <f t="shared" si="0"/>
        <v>15.21</v>
      </c>
      <c r="H23" s="217"/>
      <c r="I23" s="177"/>
      <c r="J23" s="176" t="e">
        <f>#REF!</f>
        <v>#REF!</v>
      </c>
      <c r="K23" s="226" t="e">
        <f>#REF!</f>
        <v>#REF!</v>
      </c>
      <c r="L23" s="176"/>
      <c r="M23" s="176"/>
      <c r="N23" s="216"/>
      <c r="O23" s="176"/>
      <c r="P23" s="176"/>
      <c r="Q23" s="177"/>
      <c r="R23" s="178"/>
      <c r="S23" s="816"/>
      <c r="T23" s="277"/>
      <c r="U23" s="277"/>
      <c r="V23" s="277"/>
      <c r="W23" s="179"/>
    </row>
    <row r="24" spans="1:23" ht="15" x14ac:dyDescent="0.35">
      <c r="A24" s="180">
        <v>45174</v>
      </c>
      <c r="B24" s="176" t="s">
        <v>92</v>
      </c>
      <c r="C24" s="223" t="s">
        <v>67</v>
      </c>
      <c r="D24" s="225" t="s">
        <v>59</v>
      </c>
      <c r="E24" s="177">
        <v>17.600000000000001</v>
      </c>
      <c r="F24" s="177">
        <v>2.39</v>
      </c>
      <c r="G24" s="217">
        <f t="shared" si="0"/>
        <v>15.21</v>
      </c>
      <c r="H24" s="217"/>
      <c r="I24" s="177"/>
      <c r="J24" s="176"/>
      <c r="K24" s="223"/>
      <c r="L24" s="176"/>
      <c r="M24" s="176"/>
      <c r="N24" s="216"/>
      <c r="O24" s="176"/>
      <c r="P24" s="176"/>
      <c r="Q24" s="177"/>
      <c r="R24" s="178"/>
      <c r="S24" s="816"/>
      <c r="T24" s="277"/>
      <c r="U24" s="277"/>
      <c r="V24" s="277"/>
      <c r="W24" s="179"/>
    </row>
    <row r="25" spans="1:23" ht="15" x14ac:dyDescent="0.35">
      <c r="A25" s="180">
        <v>45407</v>
      </c>
      <c r="B25" s="176" t="s">
        <v>107</v>
      </c>
      <c r="C25" s="223" t="s">
        <v>67</v>
      </c>
      <c r="D25" s="225" t="s">
        <v>52</v>
      </c>
      <c r="E25" s="177" t="s">
        <v>61</v>
      </c>
      <c r="F25" s="177"/>
      <c r="G25" s="217"/>
      <c r="H25" s="217"/>
      <c r="I25" s="177"/>
      <c r="J25" s="176"/>
      <c r="K25" s="223"/>
      <c r="L25" s="176"/>
      <c r="M25" s="176"/>
      <c r="N25" s="216"/>
      <c r="O25" s="176"/>
      <c r="P25" s="176"/>
      <c r="Q25" s="177"/>
      <c r="R25" s="178"/>
      <c r="S25" s="816"/>
      <c r="T25" s="277"/>
      <c r="U25" s="277"/>
      <c r="V25" s="277"/>
      <c r="W25" s="179"/>
    </row>
    <row r="26" spans="1:23" ht="15" x14ac:dyDescent="0.35">
      <c r="A26" s="180">
        <v>45554</v>
      </c>
      <c r="B26" s="176" t="s">
        <v>202</v>
      </c>
      <c r="C26" s="223" t="s">
        <v>67</v>
      </c>
      <c r="D26" s="225" t="s">
        <v>93</v>
      </c>
      <c r="E26" s="177">
        <v>19.600000000000001</v>
      </c>
      <c r="F26" s="177">
        <v>0.7</v>
      </c>
      <c r="G26" s="217">
        <f>E26-F26</f>
        <v>18.900000000000002</v>
      </c>
      <c r="H26" s="217"/>
      <c r="I26" s="177"/>
      <c r="J26" s="176">
        <v>0.02</v>
      </c>
      <c r="K26" s="223"/>
      <c r="L26" s="176"/>
      <c r="M26" s="176"/>
      <c r="N26" s="216"/>
      <c r="O26" s="176"/>
      <c r="P26" s="176"/>
      <c r="Q26" s="177"/>
      <c r="R26" s="178"/>
      <c r="S26" s="816"/>
      <c r="T26" s="277"/>
      <c r="U26" s="277"/>
      <c r="V26" s="277"/>
      <c r="W26" s="179"/>
    </row>
    <row r="27" spans="1:23" ht="15" x14ac:dyDescent="0.35">
      <c r="A27" s="180">
        <v>45554</v>
      </c>
      <c r="B27" s="176" t="s">
        <v>202</v>
      </c>
      <c r="C27" s="223" t="s">
        <v>67</v>
      </c>
      <c r="D27" s="225" t="s">
        <v>255</v>
      </c>
      <c r="E27" s="177">
        <v>19.600000000000001</v>
      </c>
      <c r="F27" s="177">
        <f>F26+J26</f>
        <v>0.72</v>
      </c>
      <c r="G27" s="217">
        <f>E27-F27</f>
        <v>18.880000000000003</v>
      </c>
      <c r="H27" s="217"/>
      <c r="I27" s="177"/>
      <c r="J27" s="176"/>
      <c r="K27" s="223"/>
      <c r="L27" s="177">
        <f>G27-J67</f>
        <v>16.260000000000002</v>
      </c>
      <c r="M27" s="176"/>
      <c r="N27" s="216"/>
      <c r="O27" s="176"/>
      <c r="P27" s="176"/>
      <c r="Q27" s="177"/>
      <c r="R27" s="178"/>
      <c r="S27" s="816"/>
      <c r="T27" s="277"/>
      <c r="U27" s="277"/>
      <c r="V27" s="277"/>
      <c r="W27" s="179"/>
    </row>
    <row r="28" spans="1:23" s="105" customFormat="1" ht="15" x14ac:dyDescent="0.35">
      <c r="C28" s="160"/>
      <c r="D28" s="162"/>
      <c r="E28" s="165"/>
      <c r="F28" s="165"/>
      <c r="G28" s="389"/>
      <c r="H28" s="107"/>
      <c r="K28" s="160"/>
      <c r="N28" s="107"/>
      <c r="O28" s="165"/>
      <c r="P28" s="165"/>
      <c r="Q28" s="165"/>
      <c r="S28" s="389"/>
      <c r="T28" s="278"/>
      <c r="U28" s="278"/>
      <c r="V28" s="279"/>
    </row>
    <row r="29" spans="1:23" s="207" customFormat="1" ht="15" x14ac:dyDescent="0.35">
      <c r="A29" s="206">
        <v>44304</v>
      </c>
      <c r="B29" s="207" t="s">
        <v>75</v>
      </c>
      <c r="C29" s="208" t="s">
        <v>77</v>
      </c>
      <c r="D29" s="209" t="s">
        <v>52</v>
      </c>
      <c r="E29" s="213">
        <v>12.2</v>
      </c>
      <c r="F29" s="213">
        <v>0.77</v>
      </c>
      <c r="G29" s="320">
        <f>E29-F29</f>
        <v>11.43</v>
      </c>
      <c r="H29" s="211"/>
      <c r="I29" s="207">
        <v>6.6</v>
      </c>
      <c r="J29" s="207">
        <v>5.82</v>
      </c>
      <c r="K29" s="212">
        <v>0.46</v>
      </c>
      <c r="L29" s="207">
        <f>G29-I29</f>
        <v>4.83</v>
      </c>
      <c r="N29" s="210"/>
      <c r="O29" s="213"/>
      <c r="P29" s="213">
        <f>J29*K29</f>
        <v>2.6772000000000005</v>
      </c>
      <c r="Q29" s="213"/>
      <c r="R29" s="207" t="s">
        <v>54</v>
      </c>
      <c r="S29" s="320"/>
      <c r="T29" s="280"/>
      <c r="U29" s="280"/>
      <c r="V29" s="281"/>
    </row>
    <row r="30" spans="1:23" s="207" customFormat="1" ht="15" x14ac:dyDescent="0.35">
      <c r="A30" s="206">
        <v>44310</v>
      </c>
      <c r="B30" s="207" t="s">
        <v>75</v>
      </c>
      <c r="C30" s="208" t="s">
        <v>77</v>
      </c>
      <c r="D30" s="209" t="s">
        <v>52</v>
      </c>
      <c r="E30" s="213">
        <v>12.2</v>
      </c>
      <c r="F30" s="213">
        <v>0.94</v>
      </c>
      <c r="G30" s="320">
        <f>E30-F30</f>
        <v>11.26</v>
      </c>
      <c r="H30" s="211">
        <f>G30-G29</f>
        <v>-0.16999999999999993</v>
      </c>
      <c r="J30" s="213">
        <f>J29+H16</f>
        <v>5.6400000000000006</v>
      </c>
      <c r="K30" s="212">
        <f>J29*K29/J30</f>
        <v>0.47468085106382985</v>
      </c>
      <c r="N30" s="210"/>
      <c r="O30" s="213"/>
      <c r="P30" s="213"/>
      <c r="Q30" s="213"/>
      <c r="S30" s="320"/>
      <c r="T30" s="280"/>
      <c r="U30" s="280"/>
      <c r="V30" s="281"/>
    </row>
    <row r="31" spans="1:23" s="207" customFormat="1" ht="13.35" customHeight="1" x14ac:dyDescent="0.35">
      <c r="A31" s="206">
        <v>44438</v>
      </c>
      <c r="B31" s="207" t="s">
        <v>75</v>
      </c>
      <c r="C31" s="208" t="s">
        <v>77</v>
      </c>
      <c r="D31" s="209" t="s">
        <v>59</v>
      </c>
      <c r="E31" s="213">
        <v>12.2</v>
      </c>
      <c r="F31" s="213">
        <f>E31-G31</f>
        <v>4.3499999999999996</v>
      </c>
      <c r="G31" s="320">
        <v>7.85</v>
      </c>
      <c r="H31" s="211">
        <f>G31-G30</f>
        <v>-3.41</v>
      </c>
      <c r="I31" s="207">
        <f>G31-L29</f>
        <v>3.0199999999999996</v>
      </c>
      <c r="J31" s="207">
        <v>2.75</v>
      </c>
      <c r="K31" s="208">
        <v>0.6</v>
      </c>
      <c r="N31" s="210"/>
      <c r="O31" s="213">
        <f>Q31-P29</f>
        <v>-1.0272000000000006</v>
      </c>
      <c r="P31" s="213"/>
      <c r="Q31" s="213">
        <f>J31*K31</f>
        <v>1.65</v>
      </c>
      <c r="S31" s="320">
        <v>0</v>
      </c>
      <c r="T31" s="280">
        <v>393291.34100000001</v>
      </c>
      <c r="U31" s="280">
        <v>6700353.8059999999</v>
      </c>
      <c r="V31" s="281">
        <v>1367.7760000000001</v>
      </c>
    </row>
    <row r="32" spans="1:23" s="207" customFormat="1" ht="13.35" customHeight="1" x14ac:dyDescent="0.35">
      <c r="A32" s="206">
        <v>44509</v>
      </c>
      <c r="B32" s="207" t="s">
        <v>75</v>
      </c>
      <c r="C32" s="208" t="s">
        <v>77</v>
      </c>
      <c r="D32" s="209" t="s">
        <v>52</v>
      </c>
      <c r="E32" s="213">
        <v>15.25</v>
      </c>
      <c r="F32" s="213">
        <f>E32-G32</f>
        <v>3.5999999999999996</v>
      </c>
      <c r="G32" s="320">
        <v>11.65</v>
      </c>
      <c r="H32" s="211">
        <f>G32-G31</f>
        <v>3.8000000000000007</v>
      </c>
      <c r="K32" s="208"/>
      <c r="N32" s="210"/>
      <c r="O32" s="213"/>
      <c r="P32" s="213"/>
      <c r="Q32" s="213"/>
      <c r="S32" s="320"/>
      <c r="T32" s="280">
        <v>393287.98700000002</v>
      </c>
      <c r="U32" s="280">
        <v>6700358.2110000001</v>
      </c>
      <c r="V32" s="281">
        <v>1372.086</v>
      </c>
    </row>
    <row r="33" spans="1:23" s="207" customFormat="1" ht="13.35" customHeight="1" x14ac:dyDescent="0.35">
      <c r="A33" s="206">
        <v>44592</v>
      </c>
      <c r="B33" s="207" t="s">
        <v>80</v>
      </c>
      <c r="C33" s="208" t="s">
        <v>77</v>
      </c>
      <c r="D33" s="209" t="s">
        <v>52</v>
      </c>
      <c r="E33" s="213">
        <v>15.25</v>
      </c>
      <c r="F33" s="213">
        <v>2.2400000000000002</v>
      </c>
      <c r="G33" s="320">
        <f t="shared" ref="G33:G40" si="1">E33-F33</f>
        <v>13.01</v>
      </c>
      <c r="H33" s="211"/>
      <c r="K33" s="208"/>
      <c r="N33" s="210"/>
      <c r="O33" s="213"/>
      <c r="P33" s="213"/>
      <c r="Q33" s="213"/>
      <c r="S33" s="320"/>
      <c r="T33" s="280"/>
      <c r="U33" s="280"/>
      <c r="V33" s="281"/>
    </row>
    <row r="34" spans="1:23" s="207" customFormat="1" ht="13.35" customHeight="1" x14ac:dyDescent="0.35">
      <c r="A34" s="206">
        <v>44592</v>
      </c>
      <c r="B34" s="207" t="s">
        <v>80</v>
      </c>
      <c r="C34" s="208" t="s">
        <v>77</v>
      </c>
      <c r="D34" s="209" t="s">
        <v>52</v>
      </c>
      <c r="E34" s="213">
        <v>17.010000000000002</v>
      </c>
      <c r="F34" s="213">
        <f>E34-G33</f>
        <v>4.0000000000000018</v>
      </c>
      <c r="G34" s="320">
        <f t="shared" si="1"/>
        <v>13.01</v>
      </c>
      <c r="H34" s="211">
        <f>G34-G31</f>
        <v>5.16</v>
      </c>
      <c r="I34" s="213"/>
      <c r="K34" s="212"/>
      <c r="L34" s="213"/>
      <c r="N34" s="210"/>
      <c r="O34" s="213"/>
      <c r="P34" s="213"/>
      <c r="Q34" s="213"/>
      <c r="R34" s="213"/>
      <c r="S34" s="320"/>
      <c r="T34" s="280"/>
      <c r="U34" s="280"/>
      <c r="V34" s="281"/>
      <c r="W34" s="207" t="s">
        <v>71</v>
      </c>
    </row>
    <row r="35" spans="1:23" s="214" customFormat="1" ht="15" x14ac:dyDescent="0.3">
      <c r="A35" s="311">
        <v>44677</v>
      </c>
      <c r="B35" s="312" t="s">
        <v>85</v>
      </c>
      <c r="C35" s="313" t="s">
        <v>77</v>
      </c>
      <c r="D35" s="314" t="s">
        <v>52</v>
      </c>
      <c r="E35" s="317">
        <v>15.75</v>
      </c>
      <c r="F35" s="317">
        <v>1.27</v>
      </c>
      <c r="G35" s="321">
        <f t="shared" si="1"/>
        <v>14.48</v>
      </c>
      <c r="H35" s="316"/>
      <c r="I35" s="312">
        <v>6.94</v>
      </c>
      <c r="J35" s="312">
        <v>6.94</v>
      </c>
      <c r="K35" s="318">
        <v>0.44</v>
      </c>
      <c r="L35" s="312">
        <f>G35-I35</f>
        <v>7.54</v>
      </c>
      <c r="M35" s="312"/>
      <c r="N35" s="315"/>
      <c r="O35" s="317"/>
      <c r="P35" s="317">
        <f>J35*K35</f>
        <v>3.0536000000000003</v>
      </c>
      <c r="Q35" s="317"/>
      <c r="R35" s="317">
        <f>(L35-G31)*K31</f>
        <v>-0.18599999999999975</v>
      </c>
      <c r="S35" s="321"/>
      <c r="T35" s="309"/>
      <c r="U35" s="309"/>
      <c r="V35" s="310"/>
    </row>
    <row r="36" spans="1:23" s="214" customFormat="1" ht="15" x14ac:dyDescent="0.3">
      <c r="A36" s="311">
        <v>44820</v>
      </c>
      <c r="B36" s="312" t="s">
        <v>83</v>
      </c>
      <c r="C36" s="313" t="s">
        <v>77</v>
      </c>
      <c r="D36" s="314" t="s">
        <v>93</v>
      </c>
      <c r="E36" s="317">
        <v>12.2</v>
      </c>
      <c r="F36" s="317">
        <v>1.9</v>
      </c>
      <c r="G36" s="321">
        <f t="shared" si="1"/>
        <v>10.299999999999999</v>
      </c>
      <c r="H36" s="316"/>
      <c r="I36" s="312"/>
      <c r="J36" s="312">
        <v>0.06</v>
      </c>
      <c r="K36" s="318">
        <v>0.6</v>
      </c>
      <c r="L36" s="312"/>
      <c r="M36" s="312"/>
      <c r="N36" s="315"/>
      <c r="O36" s="317"/>
      <c r="P36" s="317"/>
      <c r="Q36" s="317"/>
      <c r="R36" s="317"/>
      <c r="S36" s="321"/>
      <c r="T36" s="309"/>
      <c r="U36" s="309"/>
      <c r="V36" s="310"/>
    </row>
    <row r="37" spans="1:23" s="214" customFormat="1" ht="15" x14ac:dyDescent="0.3">
      <c r="A37" s="311">
        <v>44820</v>
      </c>
      <c r="B37" s="312" t="s">
        <v>83</v>
      </c>
      <c r="C37" s="313" t="s">
        <v>77</v>
      </c>
      <c r="D37" s="314" t="s">
        <v>52</v>
      </c>
      <c r="E37" s="317">
        <v>12.2</v>
      </c>
      <c r="F37" s="317">
        <v>1.96</v>
      </c>
      <c r="G37" s="321">
        <f t="shared" si="1"/>
        <v>10.239999999999998</v>
      </c>
      <c r="H37" s="316"/>
      <c r="I37" s="312"/>
      <c r="J37" s="312"/>
      <c r="K37" s="318"/>
      <c r="L37" s="312"/>
      <c r="M37" s="312"/>
      <c r="N37" s="315"/>
      <c r="O37" s="317"/>
      <c r="P37" s="317"/>
      <c r="Q37" s="317"/>
      <c r="R37" s="317"/>
      <c r="S37" s="321"/>
      <c r="T37" s="309"/>
      <c r="U37" s="309"/>
      <c r="V37" s="310"/>
    </row>
    <row r="38" spans="1:23" s="214" customFormat="1" ht="15" x14ac:dyDescent="0.3">
      <c r="A38" s="311">
        <v>44822</v>
      </c>
      <c r="B38" s="312" t="s">
        <v>83</v>
      </c>
      <c r="C38" s="313" t="s">
        <v>77</v>
      </c>
      <c r="D38" s="314" t="s">
        <v>52</v>
      </c>
      <c r="E38" s="317">
        <v>12.2</v>
      </c>
      <c r="F38" s="317">
        <v>2.0299999999999998</v>
      </c>
      <c r="G38" s="321">
        <f t="shared" si="1"/>
        <v>10.17</v>
      </c>
      <c r="H38" s="316"/>
      <c r="I38" s="312"/>
      <c r="J38" s="312"/>
      <c r="K38" s="318"/>
      <c r="L38" s="312"/>
      <c r="M38" s="312"/>
      <c r="N38" s="315"/>
      <c r="O38" s="317"/>
      <c r="P38" s="317"/>
      <c r="Q38" s="317"/>
      <c r="R38" s="317"/>
      <c r="S38" s="321"/>
      <c r="T38" s="309"/>
      <c r="U38" s="309"/>
      <c r="V38" s="310"/>
    </row>
    <row r="39" spans="1:23" s="214" customFormat="1" ht="15" x14ac:dyDescent="0.3">
      <c r="A39" s="311">
        <v>44911</v>
      </c>
      <c r="B39" s="312" t="s">
        <v>94</v>
      </c>
      <c r="C39" s="313" t="s">
        <v>77</v>
      </c>
      <c r="D39" s="314" t="s">
        <v>93</v>
      </c>
      <c r="E39" s="317">
        <v>12.2</v>
      </c>
      <c r="F39" s="317">
        <v>0.11</v>
      </c>
      <c r="G39" s="321">
        <f t="shared" si="1"/>
        <v>12.09</v>
      </c>
      <c r="H39" s="316">
        <f>G39-G38</f>
        <v>1.92</v>
      </c>
      <c r="I39" s="312"/>
      <c r="J39" s="312"/>
      <c r="K39" s="318"/>
      <c r="L39" s="312"/>
      <c r="M39" s="312"/>
      <c r="N39" s="315"/>
      <c r="O39" s="317"/>
      <c r="P39" s="317"/>
      <c r="Q39" s="317"/>
      <c r="R39" s="317"/>
      <c r="S39" s="321"/>
      <c r="T39" s="309"/>
      <c r="U39" s="309"/>
      <c r="V39" s="310"/>
    </row>
    <row r="40" spans="1:23" s="214" customFormat="1" ht="15" x14ac:dyDescent="0.3">
      <c r="A40" s="311">
        <v>45174</v>
      </c>
      <c r="B40" s="312" t="s">
        <v>92</v>
      </c>
      <c r="C40" s="313" t="s">
        <v>77</v>
      </c>
      <c r="D40" s="314" t="s">
        <v>59</v>
      </c>
      <c r="E40" s="317">
        <v>12.2</v>
      </c>
      <c r="F40" s="317">
        <v>0.79</v>
      </c>
      <c r="G40" s="321">
        <f t="shared" si="1"/>
        <v>11.41</v>
      </c>
      <c r="H40" s="316"/>
      <c r="I40" s="312"/>
      <c r="J40" s="312">
        <v>0.94</v>
      </c>
      <c r="K40" s="318">
        <v>0.61147357107386857</v>
      </c>
      <c r="L40" s="317">
        <f>G40-J40</f>
        <v>10.47</v>
      </c>
      <c r="M40" s="312"/>
      <c r="N40" s="315"/>
      <c r="O40" s="317"/>
      <c r="P40" s="317"/>
      <c r="Q40" s="317"/>
      <c r="R40" s="317">
        <f>(L40-G38)*K48</f>
        <v>0.16800000000000043</v>
      </c>
      <c r="S40" s="321"/>
      <c r="T40" s="309"/>
      <c r="U40" s="309"/>
      <c r="V40" s="310"/>
    </row>
    <row r="41" spans="1:23" s="214" customFormat="1" ht="15" x14ac:dyDescent="0.3">
      <c r="A41" s="311">
        <v>45174</v>
      </c>
      <c r="B41" s="312" t="s">
        <v>92</v>
      </c>
      <c r="C41" s="313" t="s">
        <v>77</v>
      </c>
      <c r="D41" s="314" t="s">
        <v>59</v>
      </c>
      <c r="E41" s="317">
        <v>15.35</v>
      </c>
      <c r="F41" s="317">
        <f>E41-G41</f>
        <v>3.9399999999999995</v>
      </c>
      <c r="G41" s="321">
        <v>11.41</v>
      </c>
      <c r="H41" s="316"/>
      <c r="I41" s="312"/>
      <c r="J41" s="312"/>
      <c r="K41" s="318"/>
      <c r="L41" s="312"/>
      <c r="M41" s="312"/>
      <c r="N41" s="315"/>
      <c r="O41" s="317"/>
      <c r="P41" s="317"/>
      <c r="Q41" s="317"/>
      <c r="R41" s="317"/>
      <c r="S41" s="321"/>
      <c r="T41" s="309"/>
      <c r="U41" s="309"/>
      <c r="V41" s="310"/>
    </row>
    <row r="42" spans="1:23" s="214" customFormat="1" ht="15" x14ac:dyDescent="0.3">
      <c r="A42" s="311">
        <v>45407</v>
      </c>
      <c r="B42" s="312" t="s">
        <v>107</v>
      </c>
      <c r="C42" s="313" t="s">
        <v>77</v>
      </c>
      <c r="D42" s="314" t="s">
        <v>52</v>
      </c>
      <c r="E42" s="317" t="s">
        <v>61</v>
      </c>
      <c r="F42" s="317"/>
      <c r="G42" s="321"/>
      <c r="H42" s="316"/>
      <c r="I42" s="312"/>
      <c r="J42" s="312"/>
      <c r="K42" s="318"/>
      <c r="L42" s="312"/>
      <c r="M42" s="312"/>
      <c r="N42" s="315"/>
      <c r="O42" s="317"/>
      <c r="P42" s="317"/>
      <c r="Q42" s="317"/>
      <c r="R42" s="317"/>
      <c r="S42" s="321"/>
      <c r="T42" s="309"/>
      <c r="U42" s="309"/>
      <c r="V42" s="310"/>
    </row>
    <row r="43" spans="1:23" s="214" customFormat="1" ht="15" x14ac:dyDescent="0.3">
      <c r="A43" s="311">
        <v>45554</v>
      </c>
      <c r="B43" s="312" t="s">
        <v>202</v>
      </c>
      <c r="C43" s="313" t="s">
        <v>77</v>
      </c>
      <c r="D43" s="314" t="s">
        <v>93</v>
      </c>
      <c r="E43" s="317">
        <v>15.35</v>
      </c>
      <c r="F43" s="317">
        <v>1.21</v>
      </c>
      <c r="G43" s="321">
        <f>E43-F43</f>
        <v>14.14</v>
      </c>
      <c r="H43" s="316"/>
      <c r="I43" s="312"/>
      <c r="J43" s="312">
        <v>0.02</v>
      </c>
      <c r="K43" s="318"/>
      <c r="L43" s="317">
        <f>G43-J67</f>
        <v>11.52</v>
      </c>
      <c r="M43" s="312"/>
      <c r="N43" s="315"/>
      <c r="O43" s="317"/>
      <c r="P43" s="317"/>
      <c r="Q43" s="317"/>
      <c r="R43" s="317"/>
      <c r="S43" s="321"/>
      <c r="T43" s="309"/>
      <c r="U43" s="309"/>
      <c r="V43" s="310"/>
    </row>
    <row r="44" spans="1:23" s="214" customFormat="1" ht="15" x14ac:dyDescent="0.3">
      <c r="A44" s="311">
        <v>45554</v>
      </c>
      <c r="B44" s="312" t="s">
        <v>202</v>
      </c>
      <c r="C44" s="313" t="s">
        <v>77</v>
      </c>
      <c r="D44" s="314" t="s">
        <v>255</v>
      </c>
      <c r="E44" s="317">
        <v>15.35</v>
      </c>
      <c r="F44" s="317">
        <v>1.23</v>
      </c>
      <c r="G44" s="321">
        <f>E44-F44</f>
        <v>14.12</v>
      </c>
      <c r="H44" s="316"/>
      <c r="I44" s="312"/>
      <c r="J44" s="312"/>
      <c r="K44" s="318"/>
      <c r="L44" s="317">
        <f>G44-J67</f>
        <v>11.5</v>
      </c>
      <c r="M44" s="312"/>
      <c r="N44" s="315"/>
      <c r="O44" s="317"/>
      <c r="P44" s="317"/>
      <c r="Q44" s="317"/>
      <c r="R44" s="317"/>
      <c r="S44" s="321"/>
      <c r="T44" s="309"/>
      <c r="U44" s="309"/>
      <c r="V44" s="310"/>
    </row>
    <row r="45" spans="1:23" ht="15" x14ac:dyDescent="0.35">
      <c r="A45" s="70"/>
      <c r="B45" s="70"/>
      <c r="C45" s="222"/>
      <c r="D45" s="224"/>
      <c r="E45" s="71"/>
      <c r="F45" s="71"/>
      <c r="G45" s="390"/>
      <c r="H45" s="218"/>
      <c r="I45" s="70"/>
      <c r="J45" s="70"/>
      <c r="K45" s="222"/>
      <c r="L45" s="70"/>
      <c r="M45" s="70"/>
      <c r="N45" s="215"/>
      <c r="O45" s="71"/>
      <c r="P45" s="71"/>
      <c r="Q45" s="71"/>
      <c r="R45" s="103"/>
      <c r="S45" s="331"/>
      <c r="T45" s="274"/>
      <c r="U45" s="274"/>
      <c r="V45" s="279"/>
    </row>
    <row r="46" spans="1:23" ht="15" x14ac:dyDescent="0.35">
      <c r="A46" s="319">
        <v>44678</v>
      </c>
      <c r="B46" s="306" t="s">
        <v>85</v>
      </c>
      <c r="C46" s="335" t="s">
        <v>89</v>
      </c>
      <c r="D46" s="336" t="s">
        <v>52</v>
      </c>
      <c r="E46" s="307">
        <v>9.15</v>
      </c>
      <c r="F46" s="307">
        <v>-2.4900000000000002</v>
      </c>
      <c r="G46" s="328">
        <f>E46-F46</f>
        <v>11.64</v>
      </c>
      <c r="H46" s="330"/>
      <c r="I46" s="306">
        <v>6.94</v>
      </c>
      <c r="J46" s="306">
        <v>6.94</v>
      </c>
      <c r="K46" s="334">
        <v>0.44</v>
      </c>
      <c r="L46" s="307">
        <f>G46-I46</f>
        <v>4.7</v>
      </c>
      <c r="M46" s="306"/>
      <c r="N46" s="329"/>
      <c r="O46" s="307"/>
      <c r="P46" s="307">
        <f>J46*K46</f>
        <v>3.0536000000000003</v>
      </c>
      <c r="Q46" s="307"/>
      <c r="R46" s="322"/>
      <c r="S46" s="332"/>
      <c r="T46" s="308"/>
      <c r="U46" s="308"/>
      <c r="V46" s="333"/>
      <c r="W46" s="291"/>
    </row>
    <row r="47" spans="1:23" ht="15" x14ac:dyDescent="0.35">
      <c r="A47" s="319">
        <v>44820</v>
      </c>
      <c r="B47" s="306" t="s">
        <v>83</v>
      </c>
      <c r="C47" s="335" t="s">
        <v>89</v>
      </c>
      <c r="D47" s="336" t="s">
        <v>93</v>
      </c>
      <c r="E47" s="307">
        <v>9.15</v>
      </c>
      <c r="F47" s="307">
        <v>2.5499999999999998</v>
      </c>
      <c r="G47" s="328">
        <f>E47-F47</f>
        <v>6.6000000000000005</v>
      </c>
      <c r="H47" s="330"/>
      <c r="I47" s="306"/>
      <c r="J47" s="306">
        <v>0.06</v>
      </c>
      <c r="K47" s="335">
        <v>0.4</v>
      </c>
      <c r="L47" s="306"/>
      <c r="M47" s="306"/>
      <c r="N47" s="329"/>
      <c r="O47" s="307"/>
      <c r="P47" s="307"/>
      <c r="Q47" s="307"/>
      <c r="R47" s="307"/>
      <c r="S47" s="328">
        <f>J47*K47</f>
        <v>2.4E-2</v>
      </c>
      <c r="T47" s="308"/>
      <c r="U47" s="308"/>
      <c r="V47" s="333"/>
      <c r="W47" s="291"/>
    </row>
    <row r="48" spans="1:23" ht="15" x14ac:dyDescent="0.35">
      <c r="A48" s="319">
        <v>44820</v>
      </c>
      <c r="B48" s="306" t="s">
        <v>83</v>
      </c>
      <c r="C48" s="335" t="s">
        <v>89</v>
      </c>
      <c r="D48" s="336" t="s">
        <v>52</v>
      </c>
      <c r="E48" s="307">
        <v>9.15</v>
      </c>
      <c r="F48" s="307">
        <v>2.61</v>
      </c>
      <c r="G48" s="328">
        <f>E48-F48</f>
        <v>6.5400000000000009</v>
      </c>
      <c r="H48" s="330"/>
      <c r="I48" s="306"/>
      <c r="J48" s="306">
        <v>1.79</v>
      </c>
      <c r="K48" s="334">
        <v>0.56000000000000005</v>
      </c>
      <c r="L48" s="307">
        <f>G48-J48</f>
        <v>4.7500000000000009</v>
      </c>
      <c r="M48" s="306"/>
      <c r="N48" s="329"/>
      <c r="O48" s="307">
        <f>Q48-P46</f>
        <v>-2.0512000000000001</v>
      </c>
      <c r="P48" s="307"/>
      <c r="Q48" s="307">
        <f>J48*K48</f>
        <v>1.0024000000000002</v>
      </c>
      <c r="R48" s="307"/>
      <c r="S48" s="328"/>
      <c r="T48" s="308"/>
      <c r="U48" s="308"/>
      <c r="V48" s="333"/>
      <c r="W48" s="291"/>
    </row>
    <row r="49" spans="1:23" ht="15" x14ac:dyDescent="0.35">
      <c r="A49" s="319">
        <v>44820</v>
      </c>
      <c r="B49" s="306" t="s">
        <v>83</v>
      </c>
      <c r="C49" s="335" t="s">
        <v>89</v>
      </c>
      <c r="D49" s="336" t="s">
        <v>52</v>
      </c>
      <c r="E49" s="307">
        <v>11.15</v>
      </c>
      <c r="F49" s="307">
        <f>E49-G49</f>
        <v>4.5500000000000007</v>
      </c>
      <c r="G49" s="328">
        <v>6.6</v>
      </c>
      <c r="H49" s="330"/>
      <c r="I49" s="306"/>
      <c r="J49" s="306"/>
      <c r="K49" s="335"/>
      <c r="L49" s="306"/>
      <c r="M49" s="306"/>
      <c r="N49" s="329"/>
      <c r="O49" s="307"/>
      <c r="P49" s="307"/>
      <c r="Q49" s="307"/>
      <c r="R49" s="307"/>
      <c r="S49" s="328"/>
      <c r="T49" s="308"/>
      <c r="U49" s="308"/>
      <c r="V49" s="333"/>
      <c r="W49" s="291"/>
    </row>
    <row r="50" spans="1:23" ht="15" x14ac:dyDescent="0.35">
      <c r="A50" s="319">
        <v>44911</v>
      </c>
      <c r="B50" s="306" t="s">
        <v>92</v>
      </c>
      <c r="C50" s="335" t="s">
        <v>89</v>
      </c>
      <c r="D50" s="336" t="s">
        <v>93</v>
      </c>
      <c r="E50" s="307">
        <v>11.15</v>
      </c>
      <c r="F50" s="307">
        <f>E50-G50</f>
        <v>2.6100000000000012</v>
      </c>
      <c r="G50" s="328">
        <v>8.5399999999999991</v>
      </c>
      <c r="H50" s="330"/>
      <c r="I50" s="306"/>
      <c r="J50" s="306"/>
      <c r="K50" s="335"/>
      <c r="L50" s="306"/>
      <c r="M50" s="306"/>
      <c r="N50" s="329"/>
      <c r="O50" s="307"/>
      <c r="P50" s="307"/>
      <c r="Q50" s="307"/>
      <c r="R50" s="307"/>
      <c r="S50" s="328"/>
      <c r="T50" s="308"/>
      <c r="U50" s="308"/>
      <c r="V50" s="333"/>
      <c r="W50" s="291"/>
    </row>
    <row r="51" spans="1:23" ht="15" x14ac:dyDescent="0.35">
      <c r="A51" s="319">
        <v>44911</v>
      </c>
      <c r="B51" s="306" t="s">
        <v>92</v>
      </c>
      <c r="C51" s="335" t="s">
        <v>89</v>
      </c>
      <c r="D51" s="336" t="s">
        <v>93</v>
      </c>
      <c r="E51" s="307">
        <v>12.2</v>
      </c>
      <c r="F51" s="307">
        <f>E51-G51</f>
        <v>3.66</v>
      </c>
      <c r="G51" s="328">
        <f>G50</f>
        <v>8.5399999999999991</v>
      </c>
      <c r="H51" s="330">
        <f>G50-G49</f>
        <v>1.9399999999999995</v>
      </c>
      <c r="I51" s="306"/>
      <c r="J51" s="306"/>
      <c r="K51" s="335"/>
      <c r="L51" s="306"/>
      <c r="M51" s="306"/>
      <c r="N51" s="329"/>
      <c r="O51" s="307"/>
      <c r="P51" s="307"/>
      <c r="Q51" s="307"/>
      <c r="R51" s="307"/>
      <c r="S51" s="328"/>
      <c r="T51" s="308"/>
      <c r="U51" s="308"/>
      <c r="V51" s="333"/>
      <c r="W51" s="291"/>
    </row>
    <row r="52" spans="1:23" ht="15" x14ac:dyDescent="0.35">
      <c r="A52" s="319">
        <v>45174</v>
      </c>
      <c r="B52" s="306" t="s">
        <v>92</v>
      </c>
      <c r="C52" s="335" t="s">
        <v>89</v>
      </c>
      <c r="D52" s="336" t="s">
        <v>59</v>
      </c>
      <c r="E52" s="307">
        <v>9.15</v>
      </c>
      <c r="F52" s="307">
        <v>1.29</v>
      </c>
      <c r="G52" s="328">
        <f>E52-F52</f>
        <v>7.86</v>
      </c>
      <c r="H52" s="391">
        <f>G52-G48</f>
        <v>1.3199999999999994</v>
      </c>
      <c r="I52" s="306"/>
      <c r="J52" s="306">
        <v>0.94</v>
      </c>
      <c r="K52" s="334">
        <v>0.61147357107386857</v>
      </c>
      <c r="L52" s="307">
        <f>G52-J52</f>
        <v>6.92</v>
      </c>
      <c r="M52" s="306"/>
      <c r="N52" s="329"/>
      <c r="O52" s="307"/>
      <c r="P52" s="307"/>
      <c r="Q52" s="307"/>
      <c r="R52" s="307">
        <f>(L52-G48)*K48</f>
        <v>0.21279999999999946</v>
      </c>
      <c r="S52" s="328"/>
      <c r="T52" s="308"/>
      <c r="U52" s="308"/>
      <c r="V52" s="333"/>
      <c r="W52" s="291"/>
    </row>
    <row r="53" spans="1:23" ht="15" x14ac:dyDescent="0.35">
      <c r="A53" s="319">
        <v>45174</v>
      </c>
      <c r="B53" s="306" t="s">
        <v>92</v>
      </c>
      <c r="C53" s="335" t="s">
        <v>89</v>
      </c>
      <c r="D53" s="336" t="s">
        <v>59</v>
      </c>
      <c r="E53" s="307">
        <v>12.2</v>
      </c>
      <c r="F53" s="307">
        <f>E53-G53</f>
        <v>4.339999999999999</v>
      </c>
      <c r="G53" s="328">
        <v>7.86</v>
      </c>
      <c r="H53" s="330"/>
      <c r="I53" s="306"/>
      <c r="J53" s="306"/>
      <c r="K53" s="335"/>
      <c r="L53" s="306"/>
      <c r="M53" s="306"/>
      <c r="N53" s="329"/>
      <c r="O53" s="307"/>
      <c r="P53" s="307"/>
      <c r="Q53" s="307"/>
      <c r="R53" s="307"/>
      <c r="S53" s="328"/>
      <c r="T53" s="308"/>
      <c r="U53" s="308"/>
      <c r="V53" s="333"/>
      <c r="W53" s="291"/>
    </row>
    <row r="54" spans="1:23" ht="15" x14ac:dyDescent="0.35">
      <c r="A54" s="319">
        <v>45407</v>
      </c>
      <c r="B54" s="306" t="s">
        <v>107</v>
      </c>
      <c r="C54" s="335" t="s">
        <v>89</v>
      </c>
      <c r="D54" s="335" t="s">
        <v>52</v>
      </c>
      <c r="E54" s="307" t="s">
        <v>61</v>
      </c>
      <c r="F54" s="307"/>
      <c r="G54" s="328"/>
      <c r="H54" s="329"/>
      <c r="I54" s="306"/>
      <c r="J54" s="306"/>
      <c r="K54" s="335"/>
      <c r="L54" s="306"/>
      <c r="M54" s="306"/>
      <c r="N54" s="329"/>
      <c r="O54" s="307"/>
      <c r="P54" s="307"/>
      <c r="Q54" s="307"/>
      <c r="R54" s="307"/>
      <c r="S54" s="328"/>
      <c r="T54" s="308"/>
      <c r="U54" s="308"/>
      <c r="V54" s="333"/>
      <c r="W54" s="291"/>
    </row>
    <row r="55" spans="1:23" ht="15" x14ac:dyDescent="0.35">
      <c r="A55" s="319">
        <v>45554</v>
      </c>
      <c r="B55" s="306" t="s">
        <v>202</v>
      </c>
      <c r="C55" s="335" t="s">
        <v>89</v>
      </c>
      <c r="D55" s="335" t="s">
        <v>93</v>
      </c>
      <c r="E55" s="307">
        <v>12.2</v>
      </c>
      <c r="F55" s="307">
        <v>1.25</v>
      </c>
      <c r="G55" s="328">
        <f>E55-F55</f>
        <v>10.95</v>
      </c>
      <c r="H55" s="329"/>
      <c r="I55" s="306"/>
      <c r="J55" s="306">
        <v>0.02</v>
      </c>
      <c r="K55" s="335"/>
      <c r="L55" s="306"/>
      <c r="M55" s="306"/>
      <c r="N55" s="329"/>
      <c r="O55" s="307"/>
      <c r="P55" s="307"/>
      <c r="Q55" s="307"/>
      <c r="R55" s="307"/>
      <c r="S55" s="328"/>
      <c r="T55" s="308"/>
      <c r="U55" s="308"/>
      <c r="V55" s="333"/>
      <c r="W55" s="291"/>
    </row>
    <row r="56" spans="1:23" ht="15" x14ac:dyDescent="0.35">
      <c r="A56" s="319">
        <v>45554</v>
      </c>
      <c r="B56" s="306" t="s">
        <v>202</v>
      </c>
      <c r="C56" s="335" t="s">
        <v>89</v>
      </c>
      <c r="D56" s="335" t="s">
        <v>255</v>
      </c>
      <c r="E56" s="307">
        <v>12.2</v>
      </c>
      <c r="F56" s="307">
        <f>F55+J55</f>
        <v>1.27</v>
      </c>
      <c r="G56" s="328">
        <f>E56-F56</f>
        <v>10.93</v>
      </c>
      <c r="H56" s="329"/>
      <c r="I56" s="306"/>
      <c r="J56" s="306"/>
      <c r="K56" s="335"/>
      <c r="L56" s="307">
        <f>G56-J67</f>
        <v>8.3099999999999987</v>
      </c>
      <c r="M56" s="306"/>
      <c r="N56" s="329"/>
      <c r="O56" s="307"/>
      <c r="P56" s="307"/>
      <c r="Q56" s="307"/>
      <c r="R56" s="307"/>
      <c r="S56" s="328"/>
      <c r="T56" s="308"/>
      <c r="U56" s="308"/>
      <c r="V56" s="333"/>
      <c r="W56" s="291"/>
    </row>
    <row r="57" spans="1:23" ht="15" x14ac:dyDescent="0.35">
      <c r="A57" s="70"/>
      <c r="B57" s="70"/>
      <c r="C57" s="222"/>
      <c r="D57" s="222"/>
      <c r="E57" s="71"/>
      <c r="F57" s="71"/>
      <c r="G57" s="390"/>
      <c r="H57" s="215"/>
      <c r="I57" s="70"/>
      <c r="J57" s="70"/>
      <c r="K57" s="222"/>
      <c r="L57" s="70"/>
      <c r="M57" s="70"/>
      <c r="N57" s="215"/>
      <c r="O57" s="70"/>
      <c r="P57" s="70"/>
      <c r="Q57" s="71"/>
      <c r="R57" s="70"/>
      <c r="S57" s="390"/>
      <c r="T57" s="274"/>
      <c r="U57" s="274"/>
      <c r="V57" s="279"/>
    </row>
    <row r="58" spans="1:23" s="166" customFormat="1" ht="15.6" customHeight="1" x14ac:dyDescent="0.35">
      <c r="A58" s="360">
        <v>45051</v>
      </c>
      <c r="B58" s="357" t="s">
        <v>97</v>
      </c>
      <c r="C58" s="775" t="s">
        <v>98</v>
      </c>
      <c r="D58" s="775" t="s">
        <v>93</v>
      </c>
      <c r="E58" s="358">
        <v>12.2</v>
      </c>
      <c r="F58" s="358">
        <v>0.82</v>
      </c>
      <c r="G58" s="783">
        <f>E58-F58</f>
        <v>11.379999999999999</v>
      </c>
      <c r="H58" s="779"/>
      <c r="I58" s="357"/>
      <c r="J58" s="357">
        <v>4.76</v>
      </c>
      <c r="K58" s="777">
        <v>0.42</v>
      </c>
      <c r="L58" s="358">
        <f>G58-J58</f>
        <v>6.6199999999999992</v>
      </c>
      <c r="M58" s="357"/>
      <c r="N58" s="779"/>
      <c r="O58" s="357"/>
      <c r="P58" s="358">
        <f>J58*K58</f>
        <v>1.9991999999999999</v>
      </c>
      <c r="Q58" s="358"/>
      <c r="R58" s="357"/>
      <c r="S58" s="783"/>
      <c r="T58" s="359">
        <v>393333.11800000002</v>
      </c>
      <c r="U58" s="359">
        <v>6700331.6919999998</v>
      </c>
      <c r="V58" s="781">
        <v>1369.212</v>
      </c>
    </row>
    <row r="59" spans="1:23" s="166" customFormat="1" ht="15.6" customHeight="1" x14ac:dyDescent="0.35">
      <c r="A59" s="360">
        <v>45174</v>
      </c>
      <c r="B59" s="357" t="s">
        <v>97</v>
      </c>
      <c r="C59" s="775" t="s">
        <v>98</v>
      </c>
      <c r="D59" s="775" t="s">
        <v>59</v>
      </c>
      <c r="E59" s="358">
        <v>6.15</v>
      </c>
      <c r="F59" s="358">
        <v>-1.33</v>
      </c>
      <c r="G59" s="783">
        <f>E59-F59</f>
        <v>7.48</v>
      </c>
      <c r="H59" s="779"/>
      <c r="I59" s="357"/>
      <c r="J59" s="357">
        <v>0.94</v>
      </c>
      <c r="K59" s="777">
        <v>0.61147357107386857</v>
      </c>
      <c r="L59" s="358"/>
      <c r="M59" s="357"/>
      <c r="N59" s="779"/>
      <c r="O59" s="358">
        <f>Q59-P58</f>
        <v>-1.4244148431905634</v>
      </c>
      <c r="P59" s="358"/>
      <c r="Q59" s="358">
        <f>J59*K59</f>
        <v>0.57478515680943643</v>
      </c>
      <c r="R59" s="357"/>
      <c r="S59" s="783">
        <v>0</v>
      </c>
      <c r="T59" s="359"/>
      <c r="U59" s="359"/>
      <c r="V59" s="781"/>
    </row>
    <row r="60" spans="1:23" s="166" customFormat="1" ht="15.6" customHeight="1" x14ac:dyDescent="0.35">
      <c r="A60" s="360">
        <v>45174</v>
      </c>
      <c r="B60" s="357" t="s">
        <v>97</v>
      </c>
      <c r="C60" s="775" t="s">
        <v>98</v>
      </c>
      <c r="D60" s="775" t="s">
        <v>59</v>
      </c>
      <c r="E60" s="358">
        <v>6.15</v>
      </c>
      <c r="F60" s="358">
        <v>-1.33</v>
      </c>
      <c r="G60" s="783">
        <f>E60-F60</f>
        <v>7.48</v>
      </c>
      <c r="H60" s="779"/>
      <c r="I60" s="357"/>
      <c r="J60" s="357"/>
      <c r="K60" s="777"/>
      <c r="L60" s="358"/>
      <c r="M60" s="357"/>
      <c r="N60" s="779"/>
      <c r="O60" s="357"/>
      <c r="P60" s="358"/>
      <c r="Q60" s="358"/>
      <c r="R60" s="357"/>
      <c r="S60" s="783"/>
      <c r="T60" s="359"/>
      <c r="U60" s="359"/>
      <c r="V60" s="781"/>
    </row>
    <row r="61" spans="1:23" s="166" customFormat="1" ht="15.6" customHeight="1" x14ac:dyDescent="0.35">
      <c r="A61" s="360">
        <v>45301</v>
      </c>
      <c r="B61" s="357" t="s">
        <v>107</v>
      </c>
      <c r="C61" s="775" t="s">
        <v>98</v>
      </c>
      <c r="D61" s="775" t="s">
        <v>52</v>
      </c>
      <c r="E61" s="358" t="s">
        <v>61</v>
      </c>
      <c r="F61" s="358"/>
      <c r="G61" s="783"/>
      <c r="H61" s="779"/>
      <c r="I61" s="357"/>
      <c r="J61" s="357"/>
      <c r="K61" s="777"/>
      <c r="L61" s="358"/>
      <c r="M61" s="357"/>
      <c r="N61" s="779"/>
      <c r="O61" s="357"/>
      <c r="P61" s="358"/>
      <c r="Q61" s="358"/>
      <c r="R61" s="357"/>
      <c r="S61" s="783"/>
      <c r="T61" s="359"/>
      <c r="U61" s="359"/>
      <c r="V61" s="781"/>
    </row>
    <row r="62" spans="1:23" s="166" customFormat="1" ht="18" customHeight="1" x14ac:dyDescent="0.35">
      <c r="A62" s="360">
        <v>45407</v>
      </c>
      <c r="B62" s="357" t="s">
        <v>107</v>
      </c>
      <c r="C62" s="775" t="s">
        <v>98</v>
      </c>
      <c r="D62" s="775" t="s">
        <v>52</v>
      </c>
      <c r="E62" s="358" t="s">
        <v>61</v>
      </c>
      <c r="F62" s="358"/>
      <c r="G62" s="783"/>
      <c r="H62" s="779"/>
      <c r="I62" s="357"/>
      <c r="J62" s="357"/>
      <c r="K62" s="777"/>
      <c r="L62" s="358"/>
      <c r="M62" s="357"/>
      <c r="N62" s="779"/>
      <c r="O62" s="357"/>
      <c r="P62" s="358"/>
      <c r="Q62" s="358"/>
      <c r="R62" s="357"/>
      <c r="S62" s="783"/>
      <c r="T62" s="359"/>
      <c r="U62" s="359"/>
      <c r="V62" s="781"/>
    </row>
    <row r="63" spans="1:23" s="166" customFormat="1" ht="18" customHeight="1" x14ac:dyDescent="0.35">
      <c r="A63" s="360">
        <v>45554</v>
      </c>
      <c r="B63" s="357" t="s">
        <v>202</v>
      </c>
      <c r="C63" s="775" t="s">
        <v>98</v>
      </c>
      <c r="D63" s="775" t="s">
        <v>93</v>
      </c>
      <c r="E63" s="358" t="s">
        <v>61</v>
      </c>
      <c r="F63" s="358"/>
      <c r="G63" s="783"/>
      <c r="H63" s="779"/>
      <c r="I63" s="357"/>
      <c r="J63" s="357">
        <v>0.02</v>
      </c>
      <c r="K63" s="777"/>
      <c r="L63" s="358"/>
      <c r="M63" s="357"/>
      <c r="N63" s="779"/>
      <c r="O63" s="357"/>
      <c r="P63" s="358"/>
      <c r="Q63" s="358"/>
      <c r="R63" s="357"/>
      <c r="S63" s="783"/>
      <c r="T63" s="359"/>
      <c r="U63" s="359"/>
      <c r="V63" s="781"/>
    </row>
    <row r="64" spans="1:23" ht="13.95" customHeight="1" x14ac:dyDescent="0.35">
      <c r="A64" s="70"/>
      <c r="B64" s="70"/>
      <c r="C64" s="222"/>
      <c r="D64" s="222"/>
      <c r="E64" s="71"/>
      <c r="F64" s="71"/>
      <c r="G64" s="215"/>
      <c r="H64" s="215"/>
      <c r="I64" s="70"/>
      <c r="J64" s="70"/>
      <c r="K64" s="222"/>
      <c r="L64" s="70"/>
      <c r="M64" s="70"/>
      <c r="N64" s="215"/>
      <c r="O64" s="70"/>
      <c r="P64" s="70"/>
      <c r="Q64" s="71"/>
      <c r="R64" s="70"/>
      <c r="S64" s="390"/>
      <c r="T64" s="274"/>
      <c r="U64" s="274"/>
      <c r="V64" s="279"/>
    </row>
    <row r="65" spans="1:23" s="243" customFormat="1" ht="13.95" customHeight="1" x14ac:dyDescent="0.35">
      <c r="A65" s="637">
        <v>45407</v>
      </c>
      <c r="B65" s="634" t="s">
        <v>107</v>
      </c>
      <c r="C65" s="776" t="s">
        <v>173</v>
      </c>
      <c r="D65" s="776" t="s">
        <v>52</v>
      </c>
      <c r="E65" s="635">
        <v>10</v>
      </c>
      <c r="F65" s="635">
        <v>-1.18</v>
      </c>
      <c r="G65" s="784">
        <f>E65-F65</f>
        <v>11.18</v>
      </c>
      <c r="H65" s="780"/>
      <c r="I65" s="634"/>
      <c r="J65" s="634">
        <f>SiteY_PitCore_20240425!I3</f>
        <v>5.64</v>
      </c>
      <c r="K65" s="778">
        <f>SiteY_PitCore_20240425!I4</f>
        <v>0.43435865086108216</v>
      </c>
      <c r="L65" s="635">
        <f>G65-J65</f>
        <v>5.54</v>
      </c>
      <c r="M65" s="634"/>
      <c r="N65" s="780"/>
      <c r="O65" s="634"/>
      <c r="P65" s="635">
        <f>J65*K65</f>
        <v>2.4497827908565033</v>
      </c>
      <c r="Q65" s="635"/>
      <c r="R65" s="634"/>
      <c r="S65" s="784"/>
      <c r="T65" s="636">
        <v>393339.75199999998</v>
      </c>
      <c r="U65" s="636">
        <v>6700332.2029999997</v>
      </c>
      <c r="V65" s="782">
        <v>1367.413</v>
      </c>
    </row>
    <row r="66" spans="1:23" s="243" customFormat="1" ht="13.95" customHeight="1" x14ac:dyDescent="0.35">
      <c r="A66" s="637">
        <v>45554</v>
      </c>
      <c r="B66" s="634" t="s">
        <v>202</v>
      </c>
      <c r="C66" s="776" t="s">
        <v>173</v>
      </c>
      <c r="D66" s="776" t="s">
        <v>93</v>
      </c>
      <c r="E66" s="635">
        <v>10</v>
      </c>
      <c r="F66" s="635">
        <v>1.82</v>
      </c>
      <c r="G66" s="784">
        <f>E66-F66</f>
        <v>8.18</v>
      </c>
      <c r="H66" s="780"/>
      <c r="I66" s="634"/>
      <c r="J66" s="634">
        <v>0.02</v>
      </c>
      <c r="K66" s="778">
        <f>K36</f>
        <v>0.6</v>
      </c>
      <c r="L66" s="635"/>
      <c r="M66" s="634"/>
      <c r="N66" s="780"/>
      <c r="O66" s="634"/>
      <c r="P66" s="635"/>
      <c r="Q66" s="635"/>
      <c r="R66" s="634"/>
      <c r="S66" s="784">
        <f>J66*K66</f>
        <v>1.2E-2</v>
      </c>
      <c r="T66" s="636"/>
      <c r="U66" s="636"/>
      <c r="V66" s="782"/>
    </row>
    <row r="67" spans="1:23" s="243" customFormat="1" ht="13.95" customHeight="1" x14ac:dyDescent="0.35">
      <c r="A67" s="637">
        <v>45554</v>
      </c>
      <c r="B67" s="634" t="s">
        <v>202</v>
      </c>
      <c r="C67" s="776" t="s">
        <v>173</v>
      </c>
      <c r="D67" s="776" t="s">
        <v>255</v>
      </c>
      <c r="E67" s="635">
        <v>10</v>
      </c>
      <c r="F67" s="635">
        <f>F66+J66</f>
        <v>1.84</v>
      </c>
      <c r="G67" s="784">
        <f>E67-F67</f>
        <v>8.16</v>
      </c>
      <c r="H67" s="780"/>
      <c r="I67" s="634"/>
      <c r="J67" s="635">
        <f>G67-L65</f>
        <v>2.62</v>
      </c>
      <c r="K67" s="778">
        <v>0.56999999999999995</v>
      </c>
      <c r="L67" s="635"/>
      <c r="M67" s="634"/>
      <c r="N67" s="780"/>
      <c r="O67" s="635">
        <f>Q67-P65</f>
        <v>-0.95638279085650346</v>
      </c>
      <c r="P67" s="635"/>
      <c r="Q67" s="635">
        <f>J67*K67</f>
        <v>1.4933999999999998</v>
      </c>
      <c r="R67" s="634"/>
      <c r="S67" s="784"/>
      <c r="T67" s="636">
        <v>393345.391</v>
      </c>
      <c r="U67" s="636">
        <v>6700328.8770000003</v>
      </c>
      <c r="V67" s="782">
        <v>1364.405</v>
      </c>
      <c r="W67" s="243" t="s">
        <v>259</v>
      </c>
    </row>
    <row r="68" spans="1:23" s="243" customFormat="1" ht="13.95" customHeight="1" x14ac:dyDescent="0.35">
      <c r="A68" s="637">
        <v>45554</v>
      </c>
      <c r="B68" s="634" t="s">
        <v>202</v>
      </c>
      <c r="C68" s="776" t="s">
        <v>173</v>
      </c>
      <c r="D68" s="776" t="s">
        <v>93</v>
      </c>
      <c r="E68" s="635">
        <v>12.6</v>
      </c>
      <c r="F68" s="635">
        <f>E68-G68</f>
        <v>4.42</v>
      </c>
      <c r="G68" s="784">
        <f>G66</f>
        <v>8.18</v>
      </c>
      <c r="H68" s="780"/>
      <c r="I68" s="634"/>
      <c r="J68" s="635"/>
      <c r="K68" s="778"/>
      <c r="L68" s="635"/>
      <c r="M68" s="634"/>
      <c r="N68" s="780"/>
      <c r="O68" s="635"/>
      <c r="P68" s="635"/>
      <c r="Q68" s="635"/>
      <c r="R68" s="634"/>
      <c r="S68" s="784"/>
      <c r="T68" s="636"/>
      <c r="U68" s="636"/>
      <c r="V68" s="782"/>
    </row>
    <row r="69" spans="1:23" ht="13.95" customHeight="1" x14ac:dyDescent="0.35">
      <c r="A69" s="70"/>
      <c r="B69" s="70"/>
      <c r="C69" s="222"/>
      <c r="D69" s="222"/>
      <c r="E69" s="71"/>
      <c r="F69" s="71"/>
      <c r="G69" s="215"/>
      <c r="H69" s="215"/>
      <c r="I69" s="70"/>
      <c r="J69" s="70"/>
      <c r="K69" s="222"/>
      <c r="L69" s="70"/>
      <c r="M69" s="70"/>
      <c r="N69" s="215"/>
      <c r="O69" s="70"/>
      <c r="P69" s="70"/>
      <c r="Q69" s="71"/>
      <c r="R69" s="72"/>
      <c r="S69" s="331"/>
      <c r="T69" s="274"/>
      <c r="U69" s="274"/>
      <c r="V69" s="279"/>
    </row>
    <row r="70" spans="1:23" ht="15.6" thickBot="1" x14ac:dyDescent="0.4">
      <c r="A70" s="70"/>
      <c r="B70" s="70"/>
      <c r="C70" s="70"/>
      <c r="D70" s="70"/>
      <c r="E70" s="71"/>
      <c r="F70" s="71"/>
      <c r="G70" s="70"/>
      <c r="H70" s="70"/>
      <c r="I70" s="70"/>
      <c r="J70" s="70"/>
      <c r="K70" s="70"/>
      <c r="L70" s="70"/>
      <c r="M70" s="70"/>
      <c r="N70" s="70"/>
      <c r="O70" s="70"/>
      <c r="P70" s="70"/>
      <c r="Q70" s="71"/>
      <c r="R70" s="72"/>
      <c r="S70" s="103"/>
      <c r="T70" s="274"/>
      <c r="U70" s="274"/>
      <c r="V70" s="278"/>
    </row>
    <row r="71" spans="1:23" ht="14.4" customHeight="1" x14ac:dyDescent="0.35">
      <c r="A71" s="868" t="s">
        <v>37</v>
      </c>
      <c r="B71" s="869"/>
      <c r="C71" s="872" t="s">
        <v>38</v>
      </c>
      <c r="D71" s="873"/>
      <c r="E71" s="73" t="s">
        <v>39</v>
      </c>
      <c r="F71" s="74"/>
      <c r="G71" s="73" t="s">
        <v>40</v>
      </c>
      <c r="H71" s="74"/>
      <c r="I71" s="75" t="s">
        <v>41</v>
      </c>
      <c r="Q71" s="385"/>
      <c r="R71" s="68"/>
      <c r="S71" s="386"/>
      <c r="T71" s="275"/>
      <c r="U71" s="274"/>
      <c r="V71" s="278"/>
    </row>
    <row r="72" spans="1:23" ht="14.4" customHeight="1" x14ac:dyDescent="0.3">
      <c r="A72" s="870"/>
      <c r="B72" s="871"/>
      <c r="C72" s="76" t="s">
        <v>42</v>
      </c>
      <c r="D72" s="76" t="s">
        <v>43</v>
      </c>
      <c r="E72" s="77">
        <f>A60</f>
        <v>45174</v>
      </c>
      <c r="F72" s="78" t="s">
        <v>44</v>
      </c>
      <c r="G72" s="79">
        <f>A65</f>
        <v>45407</v>
      </c>
      <c r="H72" s="78" t="s">
        <v>44</v>
      </c>
      <c r="I72" s="80">
        <f>A66</f>
        <v>45554</v>
      </c>
      <c r="Q72" s="385"/>
      <c r="R72" s="81"/>
      <c r="S72" s="817"/>
      <c r="T72" s="68"/>
      <c r="U72" s="72"/>
    </row>
    <row r="73" spans="1:23" ht="14.4" x14ac:dyDescent="0.3">
      <c r="A73" s="82"/>
      <c r="B73" s="83" t="s">
        <v>45</v>
      </c>
      <c r="C73" s="84">
        <f>P65</f>
        <v>2.4497827908565033</v>
      </c>
      <c r="D73" s="84"/>
      <c r="E73" s="85"/>
      <c r="F73" s="85"/>
      <c r="G73" s="86"/>
      <c r="H73" s="84"/>
      <c r="I73" s="87"/>
      <c r="Q73" s="385"/>
      <c r="R73" s="81"/>
      <c r="S73" s="817"/>
      <c r="T73" s="68"/>
      <c r="U73" s="72"/>
    </row>
    <row r="74" spans="1:23" ht="14.4" x14ac:dyDescent="0.3">
      <c r="A74" s="82"/>
      <c r="B74" s="83" t="s">
        <v>46</v>
      </c>
      <c r="C74" s="84">
        <f>C75-C73</f>
        <v>-0.95638279085650346</v>
      </c>
      <c r="D74" s="84"/>
      <c r="E74" s="85"/>
      <c r="F74" s="85"/>
      <c r="G74" s="86"/>
      <c r="H74" s="84"/>
      <c r="I74" s="87"/>
      <c r="Q74" s="385"/>
      <c r="R74" s="81"/>
      <c r="S74" s="817"/>
      <c r="T74" s="68"/>
      <c r="U74" s="72"/>
    </row>
    <row r="75" spans="1:23" ht="14.4" x14ac:dyDescent="0.3">
      <c r="A75" s="82"/>
      <c r="B75" s="83" t="s">
        <v>47</v>
      </c>
      <c r="C75" s="84">
        <f>Q67</f>
        <v>1.4933999999999998</v>
      </c>
      <c r="D75" s="84"/>
      <c r="E75" s="85"/>
      <c r="F75" s="85"/>
      <c r="G75" s="86"/>
      <c r="H75" s="84"/>
      <c r="I75" s="87"/>
      <c r="Q75" s="385"/>
      <c r="R75" s="81"/>
      <c r="S75" s="817"/>
      <c r="T75" s="68"/>
      <c r="U75" s="72"/>
    </row>
    <row r="76" spans="1:23" ht="14.4" x14ac:dyDescent="0.3">
      <c r="A76" s="82"/>
      <c r="B76" s="88" t="s">
        <v>48</v>
      </c>
      <c r="C76" s="84">
        <f>S59</f>
        <v>0</v>
      </c>
      <c r="D76" s="84"/>
      <c r="E76" s="85"/>
      <c r="F76" s="85"/>
      <c r="G76" s="84"/>
      <c r="H76" s="84"/>
      <c r="I76" s="87"/>
      <c r="Q76" s="385"/>
      <c r="R76" s="81"/>
      <c r="S76" s="817"/>
      <c r="T76" s="68"/>
      <c r="U76" s="72"/>
    </row>
    <row r="77" spans="1:23" ht="14.4" x14ac:dyDescent="0.3">
      <c r="A77" s="82"/>
      <c r="B77" s="89" t="s">
        <v>49</v>
      </c>
      <c r="C77" s="84" t="s">
        <v>54</v>
      </c>
      <c r="D77" s="84"/>
      <c r="E77" s="85"/>
      <c r="F77" s="85"/>
      <c r="G77" s="84"/>
      <c r="H77" s="84"/>
      <c r="I77" s="87"/>
      <c r="Q77" s="385"/>
      <c r="R77" s="81"/>
      <c r="S77" s="817"/>
      <c r="T77" s="68"/>
      <c r="U77" s="72"/>
    </row>
    <row r="78" spans="1:23" ht="15" thickBot="1" x14ac:dyDescent="0.35">
      <c r="A78" s="90"/>
      <c r="B78" s="91" t="s">
        <v>50</v>
      </c>
      <c r="C78" s="92">
        <f>S66</f>
        <v>1.2E-2</v>
      </c>
      <c r="D78" s="92"/>
      <c r="E78" s="93"/>
      <c r="F78" s="93"/>
      <c r="G78" s="94"/>
      <c r="H78" s="94"/>
      <c r="I78" s="95"/>
      <c r="Q78" s="385"/>
      <c r="R78" s="81"/>
      <c r="S78" s="817"/>
      <c r="T78" s="68"/>
      <c r="U78" s="72"/>
    </row>
    <row r="79" spans="1:23" ht="14.4" x14ac:dyDescent="0.3">
      <c r="A79" s="72"/>
      <c r="B79" s="72"/>
      <c r="C79" s="72"/>
      <c r="D79" s="72"/>
      <c r="E79" s="72"/>
      <c r="F79" s="72"/>
      <c r="G79" s="72"/>
      <c r="H79" s="72"/>
      <c r="I79" s="72"/>
      <c r="J79" s="72"/>
      <c r="K79" s="72"/>
      <c r="L79" s="72"/>
      <c r="M79" s="72"/>
      <c r="N79" s="72"/>
      <c r="O79" s="72"/>
      <c r="P79" s="72"/>
      <c r="Q79" s="386"/>
      <c r="R79" s="68"/>
      <c r="S79" s="386"/>
      <c r="T79" s="68"/>
      <c r="U79" s="72"/>
    </row>
  </sheetData>
  <mergeCells count="6">
    <mergeCell ref="T1:V1"/>
    <mergeCell ref="T2:U2"/>
    <mergeCell ref="E3:G3"/>
    <mergeCell ref="T3:U3"/>
    <mergeCell ref="A71:B72"/>
    <mergeCell ref="C71:D7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40"/>
  <sheetViews>
    <sheetView topLeftCell="I8" zoomScale="80" zoomScaleNormal="80" workbookViewId="0">
      <selection activeCell="T36" sqref="T36"/>
    </sheetView>
  </sheetViews>
  <sheetFormatPr defaultColWidth="17.109375" defaultRowHeight="15.75" customHeight="1" x14ac:dyDescent="0.3"/>
  <cols>
    <col min="1" max="1" width="12.44140625" style="2" customWidth="1"/>
    <col min="2" max="2" width="27.109375" style="2" customWidth="1"/>
    <col min="3" max="3" width="11.109375" style="2" bestFit="1" customWidth="1"/>
    <col min="4" max="4" width="20" style="2" bestFit="1" customWidth="1"/>
    <col min="5" max="5" width="12.44140625" style="2" bestFit="1" customWidth="1"/>
    <col min="6" max="7" width="13.88671875" style="2" bestFit="1" customWidth="1"/>
    <col min="8" max="8" width="14.44140625" style="2" bestFit="1" customWidth="1"/>
    <col min="9" max="9" width="17.109375" style="2" bestFit="1" customWidth="1"/>
    <col min="10" max="10" width="19.5546875" style="2" bestFit="1" customWidth="1"/>
    <col min="11" max="11" width="16.44140625" style="2" bestFit="1" customWidth="1"/>
    <col min="12" max="12" width="18" style="2" customWidth="1"/>
    <col min="13" max="13" width="22.109375" style="2" customWidth="1"/>
    <col min="14" max="14" width="11.5546875" style="2" bestFit="1" customWidth="1"/>
    <col min="15" max="15" width="11.109375" style="2" bestFit="1" customWidth="1"/>
    <col min="16" max="17" width="7.88671875" style="2" bestFit="1" customWidth="1"/>
    <col min="18" max="18" width="11.44140625" style="2" customWidth="1"/>
    <col min="19" max="19" width="14.109375" style="2" customWidth="1"/>
    <col min="20" max="20" width="16.109375" style="2" customWidth="1"/>
    <col min="21" max="21" width="12.6640625" style="2" customWidth="1"/>
    <col min="22" max="16384" width="17.109375" style="2"/>
  </cols>
  <sheetData>
    <row r="1" spans="1:23" ht="14.4" x14ac:dyDescent="0.3">
      <c r="A1" s="5"/>
      <c r="B1" s="6"/>
      <c r="C1" s="7"/>
      <c r="D1" s="8"/>
      <c r="E1" s="9"/>
      <c r="F1" s="10"/>
      <c r="G1" s="11"/>
      <c r="H1" s="12"/>
      <c r="I1" s="11"/>
      <c r="J1" s="13"/>
      <c r="K1" s="10"/>
      <c r="L1" s="14"/>
      <c r="M1" s="15"/>
      <c r="N1" s="11"/>
      <c r="O1" s="16"/>
      <c r="P1" s="17"/>
      <c r="Q1" s="17"/>
      <c r="R1" s="17"/>
      <c r="S1" s="18"/>
      <c r="T1" s="874" t="s">
        <v>9</v>
      </c>
      <c r="U1" s="875"/>
      <c r="V1" s="876"/>
      <c r="W1" s="19"/>
    </row>
    <row r="2" spans="1:23" ht="14.4" x14ac:dyDescent="0.3">
      <c r="A2" s="20"/>
      <c r="B2" s="21"/>
      <c r="C2" s="22"/>
      <c r="D2" s="23"/>
      <c r="E2" s="126"/>
      <c r="F2" s="127"/>
      <c r="G2" s="24"/>
      <c r="H2" s="25"/>
      <c r="I2" s="24"/>
      <c r="J2" s="26"/>
      <c r="K2" s="27"/>
      <c r="L2" s="28"/>
      <c r="M2" s="29"/>
      <c r="N2" s="26"/>
      <c r="O2" s="1"/>
      <c r="S2" s="4"/>
      <c r="T2" s="877" t="s">
        <v>10</v>
      </c>
      <c r="U2" s="878"/>
      <c r="V2" s="128"/>
      <c r="W2" s="30"/>
    </row>
    <row r="3" spans="1:23" ht="14.4" x14ac:dyDescent="0.3">
      <c r="A3" s="20"/>
      <c r="B3" s="21"/>
      <c r="C3" s="22"/>
      <c r="D3" s="31"/>
      <c r="E3" s="863" t="s">
        <v>11</v>
      </c>
      <c r="F3" s="864"/>
      <c r="G3" s="865"/>
      <c r="H3" s="32"/>
      <c r="I3" s="127"/>
      <c r="J3" s="26"/>
      <c r="K3" s="127"/>
      <c r="L3" s="33"/>
      <c r="M3" s="34"/>
      <c r="N3" s="26"/>
      <c r="O3" s="35"/>
      <c r="P3" s="26"/>
      <c r="Q3" s="26"/>
      <c r="R3" s="36"/>
      <c r="S3" s="37"/>
      <c r="T3" s="866" t="s">
        <v>12</v>
      </c>
      <c r="U3" s="867"/>
      <c r="V3" s="128"/>
      <c r="W3" s="38"/>
    </row>
    <row r="4" spans="1:23" s="52" customFormat="1" ht="39.6" x14ac:dyDescent="0.3">
      <c r="A4" s="39" t="s">
        <v>13</v>
      </c>
      <c r="B4" s="40" t="s">
        <v>14</v>
      </c>
      <c r="C4" s="41" t="s">
        <v>15</v>
      </c>
      <c r="D4" s="42" t="s">
        <v>16</v>
      </c>
      <c r="E4" s="43" t="s">
        <v>17</v>
      </c>
      <c r="F4" s="40" t="s">
        <v>18</v>
      </c>
      <c r="G4" s="44" t="s">
        <v>19</v>
      </c>
      <c r="H4" s="45" t="s">
        <v>20</v>
      </c>
      <c r="I4" s="44" t="s">
        <v>21</v>
      </c>
      <c r="J4" s="44" t="s">
        <v>22</v>
      </c>
      <c r="K4" s="40" t="s">
        <v>23</v>
      </c>
      <c r="L4" s="46" t="s">
        <v>24</v>
      </c>
      <c r="M4" s="46" t="s">
        <v>25</v>
      </c>
      <c r="N4" s="44" t="s">
        <v>26</v>
      </c>
      <c r="O4" s="47" t="s">
        <v>27</v>
      </c>
      <c r="P4" s="44" t="s">
        <v>28</v>
      </c>
      <c r="Q4" s="44" t="s">
        <v>29</v>
      </c>
      <c r="R4" s="803" t="s">
        <v>7</v>
      </c>
      <c r="S4" s="804" t="s">
        <v>8</v>
      </c>
      <c r="T4" s="50" t="s">
        <v>30</v>
      </c>
      <c r="U4" s="50" t="s">
        <v>31</v>
      </c>
      <c r="V4" s="51" t="s">
        <v>2</v>
      </c>
      <c r="W4" s="41" t="s">
        <v>32</v>
      </c>
    </row>
    <row r="5" spans="1:23" ht="15" thickBot="1" x14ac:dyDescent="0.35">
      <c r="A5" s="53" t="s">
        <v>33</v>
      </c>
      <c r="B5" s="54"/>
      <c r="C5" s="55"/>
      <c r="D5" s="56"/>
      <c r="E5" s="57" t="s">
        <v>34</v>
      </c>
      <c r="F5" s="57" t="s">
        <v>34</v>
      </c>
      <c r="G5" s="139" t="s">
        <v>34</v>
      </c>
      <c r="H5" s="140" t="s">
        <v>34</v>
      </c>
      <c r="I5" s="57" t="s">
        <v>34</v>
      </c>
      <c r="J5" s="57" t="s">
        <v>34</v>
      </c>
      <c r="K5" s="58" t="s">
        <v>35</v>
      </c>
      <c r="L5" s="59" t="s">
        <v>34</v>
      </c>
      <c r="M5" s="60" t="s">
        <v>34</v>
      </c>
      <c r="N5" s="60" t="s">
        <v>35</v>
      </c>
      <c r="O5" s="61" t="s">
        <v>36</v>
      </c>
      <c r="P5" s="62" t="s">
        <v>36</v>
      </c>
      <c r="Q5" s="62" t="s">
        <v>36</v>
      </c>
      <c r="R5" s="63" t="s">
        <v>36</v>
      </c>
      <c r="S5" s="64" t="s">
        <v>36</v>
      </c>
      <c r="T5" s="65" t="s">
        <v>34</v>
      </c>
      <c r="U5" s="65" t="s">
        <v>34</v>
      </c>
      <c r="V5" s="66" t="s">
        <v>34</v>
      </c>
      <c r="W5" s="67"/>
    </row>
    <row r="6" spans="1:23" ht="14.4" x14ac:dyDescent="0.3">
      <c r="A6" s="296">
        <v>44679</v>
      </c>
      <c r="B6" s="292" t="s">
        <v>83</v>
      </c>
      <c r="C6" s="794" t="s">
        <v>90</v>
      </c>
      <c r="D6" s="794" t="s">
        <v>52</v>
      </c>
      <c r="E6" s="293">
        <v>12.2</v>
      </c>
      <c r="F6" s="293">
        <v>0.8</v>
      </c>
      <c r="G6" s="785">
        <f>E6-F6</f>
        <v>11.399999999999999</v>
      </c>
      <c r="H6" s="789"/>
      <c r="I6" s="292"/>
      <c r="J6" s="292">
        <v>7.77</v>
      </c>
      <c r="K6" s="293">
        <v>0.37</v>
      </c>
      <c r="L6" s="293">
        <f>G6-J6</f>
        <v>3.629999999999999</v>
      </c>
      <c r="M6" s="292"/>
      <c r="N6" s="793"/>
      <c r="O6" s="292"/>
      <c r="P6" s="293">
        <f>J6*K6</f>
        <v>2.8748999999999998</v>
      </c>
      <c r="Q6" s="293"/>
      <c r="R6" s="292"/>
      <c r="S6" s="793"/>
      <c r="T6" s="292"/>
      <c r="U6" s="292"/>
      <c r="V6" s="802"/>
      <c r="W6" s="797"/>
    </row>
    <row r="7" spans="1:23" ht="14.4" x14ac:dyDescent="0.3">
      <c r="A7" s="296">
        <v>44822</v>
      </c>
      <c r="B7" s="292" t="s">
        <v>83</v>
      </c>
      <c r="C7" s="795" t="s">
        <v>90</v>
      </c>
      <c r="D7" s="795" t="s">
        <v>52</v>
      </c>
      <c r="E7" s="293">
        <v>6.1</v>
      </c>
      <c r="F7" s="293">
        <v>0.05</v>
      </c>
      <c r="G7" s="786">
        <f>E7-F7</f>
        <v>6.05</v>
      </c>
      <c r="H7" s="790"/>
      <c r="I7" s="292"/>
      <c r="J7" s="292"/>
      <c r="K7" s="292"/>
      <c r="L7" s="292"/>
      <c r="M7" s="292"/>
      <c r="N7" s="787"/>
      <c r="O7" s="292"/>
      <c r="P7" s="293"/>
      <c r="Q7" s="293"/>
      <c r="R7" s="292"/>
      <c r="S7" s="787"/>
      <c r="T7" s="293"/>
      <c r="U7" s="293"/>
      <c r="V7" s="805"/>
      <c r="W7" s="798"/>
    </row>
    <row r="8" spans="1:23" ht="14.4" x14ac:dyDescent="0.3">
      <c r="A8" s="296">
        <v>44822</v>
      </c>
      <c r="B8" s="292" t="s">
        <v>83</v>
      </c>
      <c r="C8" s="795" t="s">
        <v>90</v>
      </c>
      <c r="D8" s="795" t="s">
        <v>52</v>
      </c>
      <c r="E8" s="293">
        <v>10.25</v>
      </c>
      <c r="F8" s="293">
        <f>E8-G8</f>
        <v>4.2</v>
      </c>
      <c r="G8" s="787">
        <v>6.05</v>
      </c>
      <c r="H8" s="790"/>
      <c r="I8" s="292"/>
      <c r="J8" s="292">
        <v>2.1</v>
      </c>
      <c r="K8" s="293">
        <v>0.59</v>
      </c>
      <c r="L8" s="292"/>
      <c r="M8" s="292"/>
      <c r="N8" s="787"/>
      <c r="O8" s="293">
        <f>Q8-P6</f>
        <v>-1.6358999999999999</v>
      </c>
      <c r="P8" s="293"/>
      <c r="Q8" s="293">
        <f>J8*K8</f>
        <v>1.2389999999999999</v>
      </c>
      <c r="R8" s="292"/>
      <c r="S8" s="787">
        <v>0</v>
      </c>
      <c r="T8" s="293"/>
      <c r="U8" s="293"/>
      <c r="V8" s="805"/>
      <c r="W8" s="798"/>
    </row>
    <row r="9" spans="1:23" ht="14.4" x14ac:dyDescent="0.3">
      <c r="A9" s="296">
        <v>44911</v>
      </c>
      <c r="B9" s="292" t="s">
        <v>94</v>
      </c>
      <c r="C9" s="795" t="s">
        <v>90</v>
      </c>
      <c r="D9" s="795" t="s">
        <v>93</v>
      </c>
      <c r="E9" s="293">
        <v>10.25</v>
      </c>
      <c r="F9" s="293">
        <v>2.16</v>
      </c>
      <c r="G9" s="786">
        <f>E9-F9</f>
        <v>8.09</v>
      </c>
      <c r="H9" s="791">
        <f>G9-G8</f>
        <v>2.04</v>
      </c>
      <c r="I9" s="292"/>
      <c r="J9" s="292"/>
      <c r="K9" s="292"/>
      <c r="L9" s="292"/>
      <c r="M9" s="292"/>
      <c r="N9" s="787"/>
      <c r="O9" s="292"/>
      <c r="P9" s="293"/>
      <c r="Q9" s="293"/>
      <c r="R9" s="292"/>
      <c r="S9" s="787"/>
      <c r="T9" s="293"/>
      <c r="U9" s="293"/>
      <c r="V9" s="805"/>
      <c r="W9" s="798"/>
    </row>
    <row r="10" spans="1:23" ht="14.4" x14ac:dyDescent="0.3">
      <c r="A10" s="296">
        <v>44911</v>
      </c>
      <c r="B10" s="292" t="s">
        <v>94</v>
      </c>
      <c r="C10" s="795" t="s">
        <v>90</v>
      </c>
      <c r="D10" s="795" t="s">
        <v>93</v>
      </c>
      <c r="E10" s="293">
        <v>12.2</v>
      </c>
      <c r="F10" s="293">
        <f>E10-G10</f>
        <v>4.1099999999999994</v>
      </c>
      <c r="G10" s="786">
        <v>8.09</v>
      </c>
      <c r="H10" s="791"/>
      <c r="I10" s="292"/>
      <c r="J10" s="292"/>
      <c r="K10" s="292"/>
      <c r="L10" s="292"/>
      <c r="M10" s="292"/>
      <c r="N10" s="787"/>
      <c r="O10" s="292"/>
      <c r="P10" s="293"/>
      <c r="Q10" s="293"/>
      <c r="R10" s="292"/>
      <c r="S10" s="787"/>
      <c r="T10" s="293"/>
      <c r="U10" s="293"/>
      <c r="V10" s="805"/>
      <c r="W10" s="798"/>
    </row>
    <row r="11" spans="1:23" ht="14.4" x14ac:dyDescent="0.3">
      <c r="A11" s="296">
        <v>45174</v>
      </c>
      <c r="B11" s="292" t="s">
        <v>97</v>
      </c>
      <c r="C11" s="795" t="s">
        <v>90</v>
      </c>
      <c r="D11" s="795" t="s">
        <v>59</v>
      </c>
      <c r="E11" s="293">
        <v>9.15</v>
      </c>
      <c r="F11" s="293">
        <v>1.38</v>
      </c>
      <c r="G11" s="786">
        <f>E11-F11</f>
        <v>7.7700000000000005</v>
      </c>
      <c r="H11" s="791"/>
      <c r="I11" s="292"/>
      <c r="J11" s="292">
        <v>1.61</v>
      </c>
      <c r="K11" s="293">
        <v>0.60529077804870202</v>
      </c>
      <c r="L11" s="293">
        <f>G11-J11</f>
        <v>6.16</v>
      </c>
      <c r="M11" s="292"/>
      <c r="N11" s="787"/>
      <c r="O11" s="292"/>
      <c r="P11" s="293"/>
      <c r="Q11" s="293"/>
      <c r="R11" s="292" t="s">
        <v>54</v>
      </c>
      <c r="S11" s="787"/>
      <c r="T11" s="293"/>
      <c r="U11" s="293"/>
      <c r="V11" s="805"/>
      <c r="W11" s="798"/>
    </row>
    <row r="12" spans="1:23" ht="14.4" x14ac:dyDescent="0.3">
      <c r="A12" s="296">
        <v>45174</v>
      </c>
      <c r="B12" s="292" t="s">
        <v>97</v>
      </c>
      <c r="C12" s="795" t="s">
        <v>90</v>
      </c>
      <c r="D12" s="795" t="s">
        <v>59</v>
      </c>
      <c r="E12" s="293">
        <v>12.2</v>
      </c>
      <c r="F12" s="293">
        <f>E12-G12</f>
        <v>4.43</v>
      </c>
      <c r="G12" s="786">
        <v>7.77</v>
      </c>
      <c r="H12" s="791"/>
      <c r="I12" s="292"/>
      <c r="J12" s="292"/>
      <c r="K12" s="292"/>
      <c r="L12" s="292"/>
      <c r="M12" s="292"/>
      <c r="N12" s="787"/>
      <c r="O12" s="292"/>
      <c r="P12" s="293"/>
      <c r="Q12" s="293"/>
      <c r="R12" s="292"/>
      <c r="S12" s="787"/>
      <c r="T12" s="293"/>
      <c r="U12" s="293"/>
      <c r="V12" s="805"/>
      <c r="W12" s="798"/>
    </row>
    <row r="13" spans="1:23" ht="14.4" x14ac:dyDescent="0.3">
      <c r="A13" s="296">
        <v>45301</v>
      </c>
      <c r="B13" s="292" t="s">
        <v>107</v>
      </c>
      <c r="C13" s="795" t="s">
        <v>90</v>
      </c>
      <c r="D13" s="795" t="s">
        <v>52</v>
      </c>
      <c r="E13" s="293" t="s">
        <v>61</v>
      </c>
      <c r="F13" s="293"/>
      <c r="G13" s="786"/>
      <c r="H13" s="791"/>
      <c r="I13" s="292"/>
      <c r="J13" s="292"/>
      <c r="K13" s="292"/>
      <c r="L13" s="292"/>
      <c r="M13" s="292"/>
      <c r="N13" s="787"/>
      <c r="O13" s="292"/>
      <c r="P13" s="293"/>
      <c r="Q13" s="293"/>
      <c r="R13" s="292"/>
      <c r="S13" s="787"/>
      <c r="T13" s="293"/>
      <c r="U13" s="293"/>
      <c r="V13" s="805"/>
      <c r="W13" s="798"/>
    </row>
    <row r="14" spans="1:23" ht="14.4" x14ac:dyDescent="0.3">
      <c r="A14" s="296">
        <v>45554</v>
      </c>
      <c r="B14" s="292" t="s">
        <v>202</v>
      </c>
      <c r="C14" s="795" t="s">
        <v>90</v>
      </c>
      <c r="D14" s="795" t="s">
        <v>93</v>
      </c>
      <c r="E14" s="293">
        <v>12.2</v>
      </c>
      <c r="F14" s="293">
        <v>0.5</v>
      </c>
      <c r="G14" s="786">
        <f>E14-F14</f>
        <v>11.7</v>
      </c>
      <c r="H14" s="791"/>
      <c r="I14" s="292"/>
      <c r="J14" s="292">
        <v>0.02</v>
      </c>
      <c r="K14" s="292"/>
      <c r="L14" s="292"/>
      <c r="M14" s="292"/>
      <c r="N14" s="787"/>
      <c r="O14" s="292"/>
      <c r="P14" s="293"/>
      <c r="Q14" s="293"/>
      <c r="R14" s="292"/>
      <c r="S14" s="787"/>
      <c r="T14" s="293"/>
      <c r="U14" s="293"/>
      <c r="V14" s="805"/>
      <c r="W14" s="798"/>
    </row>
    <row r="15" spans="1:23" ht="14.4" x14ac:dyDescent="0.3">
      <c r="A15" s="296">
        <v>45554</v>
      </c>
      <c r="B15" s="292" t="s">
        <v>202</v>
      </c>
      <c r="C15" s="795" t="s">
        <v>90</v>
      </c>
      <c r="D15" s="795" t="s">
        <v>255</v>
      </c>
      <c r="E15" s="293">
        <v>12.2</v>
      </c>
      <c r="F15" s="293"/>
      <c r="G15" s="786"/>
      <c r="H15" s="791"/>
      <c r="I15" s="292"/>
      <c r="J15" s="292"/>
      <c r="K15" s="292"/>
      <c r="L15" s="292"/>
      <c r="M15" s="292"/>
      <c r="N15" s="787"/>
      <c r="O15" s="292"/>
      <c r="P15" s="293"/>
      <c r="Q15" s="293"/>
      <c r="R15" s="292"/>
      <c r="S15" s="787"/>
      <c r="T15" s="293"/>
      <c r="U15" s="293"/>
      <c r="V15" s="805"/>
      <c r="W15" s="798" t="s">
        <v>257</v>
      </c>
    </row>
    <row r="16" spans="1:23" ht="14.4" x14ac:dyDescent="0.3">
      <c r="A16" s="296">
        <v>45554</v>
      </c>
      <c r="B16" s="292" t="s">
        <v>202</v>
      </c>
      <c r="C16" s="795" t="s">
        <v>90</v>
      </c>
      <c r="D16" s="795" t="s">
        <v>255</v>
      </c>
      <c r="E16" s="293">
        <v>12.2</v>
      </c>
      <c r="F16" s="293"/>
      <c r="G16" s="786"/>
      <c r="H16" s="791"/>
      <c r="I16" s="292"/>
      <c r="J16" s="292"/>
      <c r="K16" s="292"/>
      <c r="L16" s="292"/>
      <c r="M16" s="292"/>
      <c r="N16" s="787"/>
      <c r="O16" s="292"/>
      <c r="P16" s="293"/>
      <c r="Q16" s="293"/>
      <c r="R16" s="292"/>
      <c r="S16" s="787"/>
      <c r="T16" s="293"/>
      <c r="U16" s="293"/>
      <c r="V16" s="805"/>
      <c r="W16" s="798"/>
    </row>
    <row r="17" spans="1:24" ht="14.4" x14ac:dyDescent="0.3">
      <c r="A17" s="70"/>
      <c r="B17" s="70"/>
      <c r="C17" s="222"/>
      <c r="D17" s="222"/>
      <c r="E17" s="71"/>
      <c r="F17" s="71"/>
      <c r="G17" s="215"/>
      <c r="H17" s="218"/>
      <c r="I17" s="70"/>
      <c r="J17" s="70"/>
      <c r="K17" s="70"/>
      <c r="L17" s="70"/>
      <c r="M17" s="70"/>
      <c r="N17" s="215"/>
      <c r="O17" s="70"/>
      <c r="P17" s="71"/>
      <c r="Q17" s="71"/>
      <c r="R17" s="70"/>
      <c r="S17" s="215"/>
      <c r="T17" s="71"/>
      <c r="U17" s="71"/>
      <c r="V17" s="389"/>
      <c r="W17" s="799"/>
    </row>
    <row r="18" spans="1:24" s="256" customFormat="1" ht="14.4" x14ac:dyDescent="0.3">
      <c r="A18" s="364">
        <v>45051</v>
      </c>
      <c r="B18" s="361" t="s">
        <v>97</v>
      </c>
      <c r="C18" s="365" t="s">
        <v>99</v>
      </c>
      <c r="D18" s="365" t="s">
        <v>52</v>
      </c>
      <c r="E18" s="362">
        <v>12.2</v>
      </c>
      <c r="F18" s="362">
        <v>0.9</v>
      </c>
      <c r="G18" s="370">
        <f>E18-F18</f>
        <v>11.299999999999999</v>
      </c>
      <c r="H18" s="367"/>
      <c r="I18" s="361"/>
      <c r="J18" s="361">
        <v>5.42</v>
      </c>
      <c r="K18" s="362">
        <v>0.42</v>
      </c>
      <c r="L18" s="362">
        <f>G18-J18</f>
        <v>5.879999999999999</v>
      </c>
      <c r="M18" s="361"/>
      <c r="N18" s="366"/>
      <c r="O18" s="361"/>
      <c r="P18" s="362">
        <f>J18*K18</f>
        <v>2.2763999999999998</v>
      </c>
      <c r="Q18" s="362"/>
      <c r="R18" s="361"/>
      <c r="S18" s="366"/>
      <c r="T18" s="362">
        <v>394624.446</v>
      </c>
      <c r="U18" s="362">
        <v>6700382.6770000001</v>
      </c>
      <c r="V18" s="270">
        <v>1349.546</v>
      </c>
      <c r="W18" s="800"/>
    </row>
    <row r="19" spans="1:24" s="256" customFormat="1" ht="14.4" x14ac:dyDescent="0.3">
      <c r="A19" s="364">
        <v>45174</v>
      </c>
      <c r="B19" s="361" t="s">
        <v>97</v>
      </c>
      <c r="C19" s="365" t="s">
        <v>99</v>
      </c>
      <c r="D19" s="365" t="s">
        <v>59</v>
      </c>
      <c r="E19" s="362">
        <v>9.15</v>
      </c>
      <c r="F19" s="362">
        <v>1.86</v>
      </c>
      <c r="G19" s="370">
        <f>E19-F19</f>
        <v>7.29</v>
      </c>
      <c r="H19" s="367"/>
      <c r="I19" s="361"/>
      <c r="J19" s="361">
        <v>1.61</v>
      </c>
      <c r="K19" s="362">
        <v>0.61</v>
      </c>
      <c r="L19" s="362">
        <f>G19-J19</f>
        <v>5.68</v>
      </c>
      <c r="M19" s="361"/>
      <c r="N19" s="366"/>
      <c r="O19" s="362">
        <f>Q19-P18</f>
        <v>-1.2942999999999998</v>
      </c>
      <c r="P19" s="362"/>
      <c r="Q19" s="362">
        <f>J19*K19</f>
        <v>0.98210000000000008</v>
      </c>
      <c r="R19" s="361"/>
      <c r="S19" s="366">
        <v>0</v>
      </c>
      <c r="T19" s="362"/>
      <c r="U19" s="362"/>
      <c r="V19" s="270"/>
      <c r="W19" s="800"/>
    </row>
    <row r="20" spans="1:24" s="256" customFormat="1" ht="14.4" x14ac:dyDescent="0.3">
      <c r="A20" s="364">
        <v>45174</v>
      </c>
      <c r="B20" s="361" t="s">
        <v>97</v>
      </c>
      <c r="C20" s="365" t="s">
        <v>99</v>
      </c>
      <c r="D20" s="365" t="s">
        <v>59</v>
      </c>
      <c r="E20" s="362">
        <v>12.2</v>
      </c>
      <c r="F20" s="362">
        <f>E20-G20</f>
        <v>4.9099999999999993</v>
      </c>
      <c r="G20" s="370">
        <v>7.29</v>
      </c>
      <c r="H20" s="367"/>
      <c r="I20" s="361"/>
      <c r="J20" s="361"/>
      <c r="K20" s="362"/>
      <c r="L20" s="362"/>
      <c r="M20" s="361"/>
      <c r="N20" s="366"/>
      <c r="O20" s="361"/>
      <c r="P20" s="362"/>
      <c r="Q20" s="362"/>
      <c r="R20" s="361"/>
      <c r="S20" s="366"/>
      <c r="T20" s="362"/>
      <c r="U20" s="362"/>
      <c r="V20" s="270"/>
      <c r="W20" s="800"/>
    </row>
    <row r="21" spans="1:24" s="256" customFormat="1" ht="14.4" x14ac:dyDescent="0.3">
      <c r="A21" s="364">
        <v>45301</v>
      </c>
      <c r="B21" s="361" t="s">
        <v>107</v>
      </c>
      <c r="C21" s="365" t="s">
        <v>99</v>
      </c>
      <c r="D21" s="365" t="s">
        <v>52</v>
      </c>
      <c r="E21" s="362" t="s">
        <v>61</v>
      </c>
      <c r="F21" s="362"/>
      <c r="G21" s="370"/>
      <c r="H21" s="367"/>
      <c r="I21" s="361"/>
      <c r="J21" s="361"/>
      <c r="K21" s="362"/>
      <c r="L21" s="362"/>
      <c r="M21" s="361"/>
      <c r="N21" s="366"/>
      <c r="O21" s="361"/>
      <c r="P21" s="362"/>
      <c r="Q21" s="362"/>
      <c r="R21" s="361"/>
      <c r="S21" s="366"/>
      <c r="T21" s="362"/>
      <c r="U21" s="362"/>
      <c r="V21" s="270"/>
      <c r="W21" s="800"/>
    </row>
    <row r="22" spans="1:24" s="256" customFormat="1" ht="14.4" x14ac:dyDescent="0.3">
      <c r="A22" s="364">
        <v>45554</v>
      </c>
      <c r="B22" s="361" t="s">
        <v>202</v>
      </c>
      <c r="C22" s="365" t="s">
        <v>99</v>
      </c>
      <c r="D22" s="365" t="s">
        <v>93</v>
      </c>
      <c r="E22" s="362">
        <v>11.6</v>
      </c>
      <c r="F22" s="362">
        <v>1.37</v>
      </c>
      <c r="G22" s="370">
        <f>E22-F22</f>
        <v>10.23</v>
      </c>
      <c r="H22" s="367"/>
      <c r="I22" s="361"/>
      <c r="J22" s="361">
        <v>0.02</v>
      </c>
      <c r="K22" s="362"/>
      <c r="L22" s="362"/>
      <c r="M22" s="361"/>
      <c r="N22" s="366"/>
      <c r="O22" s="361"/>
      <c r="P22" s="362"/>
      <c r="Q22" s="362"/>
      <c r="R22" s="361"/>
      <c r="S22" s="366"/>
      <c r="T22" s="362"/>
      <c r="U22" s="362"/>
      <c r="V22" s="270"/>
      <c r="W22" s="800"/>
    </row>
    <row r="23" spans="1:24" s="256" customFormat="1" ht="14.4" x14ac:dyDescent="0.3">
      <c r="A23" s="364">
        <v>45554</v>
      </c>
      <c r="B23" s="361" t="s">
        <v>202</v>
      </c>
      <c r="C23" s="365" t="s">
        <v>99</v>
      </c>
      <c r="D23" s="365" t="s">
        <v>255</v>
      </c>
      <c r="E23" s="362">
        <v>11.6</v>
      </c>
      <c r="F23" s="362">
        <f>F22+J22</f>
        <v>1.3900000000000001</v>
      </c>
      <c r="G23" s="370">
        <f>E23-F23</f>
        <v>10.209999999999999</v>
      </c>
      <c r="H23" s="367"/>
      <c r="I23" s="361"/>
      <c r="J23" s="361"/>
      <c r="K23" s="362"/>
      <c r="L23" s="362">
        <f>G23-J29</f>
        <v>8.0699999999999985</v>
      </c>
      <c r="M23" s="361"/>
      <c r="N23" s="366"/>
      <c r="O23" s="361"/>
      <c r="P23" s="362"/>
      <c r="Q23" s="362"/>
      <c r="R23" s="361"/>
      <c r="S23" s="366"/>
      <c r="T23" s="362"/>
      <c r="U23" s="362"/>
      <c r="V23" s="270"/>
      <c r="W23" s="800"/>
    </row>
    <row r="24" spans="1:24" s="256" customFormat="1" ht="14.4" x14ac:dyDescent="0.3">
      <c r="A24" s="364">
        <v>45554</v>
      </c>
      <c r="B24" s="361" t="s">
        <v>202</v>
      </c>
      <c r="C24" s="365" t="s">
        <v>99</v>
      </c>
      <c r="D24" s="365" t="s">
        <v>255</v>
      </c>
      <c r="E24" s="362">
        <v>12.2</v>
      </c>
      <c r="F24" s="362">
        <f>E24-G24</f>
        <v>1.9900000000000002</v>
      </c>
      <c r="G24" s="370">
        <f>G23</f>
        <v>10.209999999999999</v>
      </c>
      <c r="H24" s="367"/>
      <c r="I24" s="361"/>
      <c r="J24" s="361"/>
      <c r="K24" s="362"/>
      <c r="L24" s="362"/>
      <c r="M24" s="361"/>
      <c r="N24" s="366"/>
      <c r="O24" s="361"/>
      <c r="P24" s="362"/>
      <c r="Q24" s="362"/>
      <c r="R24" s="361"/>
      <c r="S24" s="366"/>
      <c r="T24" s="362"/>
      <c r="U24" s="362"/>
      <c r="V24" s="270"/>
      <c r="W24" s="800"/>
    </row>
    <row r="25" spans="1:24" ht="14.4" x14ac:dyDescent="0.3">
      <c r="A25" s="70"/>
      <c r="B25" s="70"/>
      <c r="C25" s="222"/>
      <c r="D25" s="222"/>
      <c r="E25" s="71"/>
      <c r="F25" s="71"/>
      <c r="G25" s="215"/>
      <c r="H25" s="218"/>
      <c r="I25" s="70"/>
      <c r="J25" s="70"/>
      <c r="K25" s="70"/>
      <c r="L25" s="70"/>
      <c r="M25" s="70"/>
      <c r="N25" s="215"/>
      <c r="O25" s="70"/>
      <c r="P25" s="71"/>
      <c r="Q25" s="71"/>
      <c r="R25" s="70"/>
      <c r="S25" s="215"/>
      <c r="T25" s="71"/>
      <c r="U25" s="71"/>
      <c r="V25" s="389"/>
      <c r="W25" s="799"/>
    </row>
    <row r="26" spans="1:24" s="729" customFormat="1" ht="14.4" x14ac:dyDescent="0.3">
      <c r="A26" s="730">
        <v>45408</v>
      </c>
      <c r="B26" s="295" t="s">
        <v>225</v>
      </c>
      <c r="C26" s="736" t="s">
        <v>236</v>
      </c>
      <c r="D26" s="736" t="s">
        <v>52</v>
      </c>
      <c r="E26" s="727">
        <v>12</v>
      </c>
      <c r="F26" s="727">
        <v>0.05</v>
      </c>
      <c r="G26" s="739">
        <f>E26-F26</f>
        <v>11.95</v>
      </c>
      <c r="H26" s="737"/>
      <c r="I26" s="295"/>
      <c r="J26" s="295"/>
      <c r="K26" s="295"/>
      <c r="L26" s="295"/>
      <c r="M26" s="295"/>
      <c r="N26" s="234"/>
      <c r="O26" s="295"/>
      <c r="P26" s="727"/>
      <c r="Q26" s="727"/>
      <c r="R26" s="295"/>
      <c r="S26" s="234"/>
      <c r="T26" s="727"/>
      <c r="U26" s="727"/>
      <c r="V26" s="750"/>
      <c r="W26" s="801"/>
    </row>
    <row r="27" spans="1:24" s="729" customFormat="1" ht="14.4" x14ac:dyDescent="0.3">
      <c r="A27" s="730">
        <v>45408</v>
      </c>
      <c r="B27" s="295" t="s">
        <v>225</v>
      </c>
      <c r="C27" s="736" t="s">
        <v>236</v>
      </c>
      <c r="D27" s="736" t="s">
        <v>52</v>
      </c>
      <c r="E27" s="727">
        <v>10</v>
      </c>
      <c r="F27" s="727">
        <f>E27-G27</f>
        <v>-1.9499999999999993</v>
      </c>
      <c r="G27" s="739">
        <v>11.95</v>
      </c>
      <c r="H27" s="737"/>
      <c r="I27" s="295"/>
      <c r="J27" s="295">
        <f>SiteEC_FirnCore_20240426!I3</f>
        <v>5.82</v>
      </c>
      <c r="K27" s="727">
        <f>SiteEC_FirnCore_20240426!I4</f>
        <v>0.447128837986706</v>
      </c>
      <c r="L27" s="727">
        <f>G27-J27</f>
        <v>6.129999999999999</v>
      </c>
      <c r="M27" s="295"/>
      <c r="N27" s="234"/>
      <c r="O27" s="295"/>
      <c r="P27" s="727">
        <f>J27*K27</f>
        <v>2.6022898370826288</v>
      </c>
      <c r="Q27" s="727"/>
      <c r="R27" s="295"/>
      <c r="S27" s="234"/>
      <c r="T27" s="727">
        <v>394622.81699999998</v>
      </c>
      <c r="U27" s="727">
        <v>6700421.892</v>
      </c>
      <c r="V27" s="750">
        <v>1349.4369999999999</v>
      </c>
      <c r="W27" s="801"/>
    </row>
    <row r="28" spans="1:24" s="729" customFormat="1" ht="14.4" x14ac:dyDescent="0.3">
      <c r="A28" s="730">
        <v>45554</v>
      </c>
      <c r="B28" s="295" t="s">
        <v>202</v>
      </c>
      <c r="C28" s="736" t="s">
        <v>236</v>
      </c>
      <c r="D28" s="736" t="s">
        <v>93</v>
      </c>
      <c r="E28" s="727">
        <v>10</v>
      </c>
      <c r="F28" s="727">
        <v>1.71</v>
      </c>
      <c r="G28" s="739">
        <f>E28-F28</f>
        <v>8.2899999999999991</v>
      </c>
      <c r="H28" s="737"/>
      <c r="I28" s="295"/>
      <c r="J28" s="295">
        <v>0.02</v>
      </c>
      <c r="K28" s="727">
        <f>Y!K36</f>
        <v>0.6</v>
      </c>
      <c r="L28" s="727"/>
      <c r="M28" s="295"/>
      <c r="N28" s="234"/>
      <c r="O28" s="295"/>
      <c r="P28" s="727"/>
      <c r="Q28" s="727"/>
      <c r="R28" s="295"/>
      <c r="S28" s="234">
        <f>J28*K28</f>
        <v>1.2E-2</v>
      </c>
      <c r="T28" s="727"/>
      <c r="U28" s="727"/>
      <c r="V28" s="750"/>
      <c r="W28" s="801"/>
    </row>
    <row r="29" spans="1:24" s="729" customFormat="1" ht="14.4" x14ac:dyDescent="0.3">
      <c r="A29" s="730">
        <v>45554</v>
      </c>
      <c r="B29" s="295" t="s">
        <v>202</v>
      </c>
      <c r="C29" s="736" t="s">
        <v>236</v>
      </c>
      <c r="D29" s="736" t="s">
        <v>255</v>
      </c>
      <c r="E29" s="727">
        <v>10</v>
      </c>
      <c r="F29" s="727">
        <f>F28+J28</f>
        <v>1.73</v>
      </c>
      <c r="G29" s="739">
        <f>E29-F29</f>
        <v>8.27</v>
      </c>
      <c r="H29" s="737"/>
      <c r="I29" s="295"/>
      <c r="J29" s="727">
        <f>G29-L27</f>
        <v>2.1400000000000006</v>
      </c>
      <c r="K29" s="727">
        <v>0.56999999999999995</v>
      </c>
      <c r="L29" s="727"/>
      <c r="M29" s="295"/>
      <c r="N29" s="234"/>
      <c r="O29" s="727">
        <f>Q29-P27</f>
        <v>-1.3824898370826286</v>
      </c>
      <c r="P29" s="727"/>
      <c r="Q29" s="727">
        <f>J29*K29</f>
        <v>1.2198000000000002</v>
      </c>
      <c r="R29" s="295"/>
      <c r="S29" s="234"/>
      <c r="T29" s="727">
        <v>394621.49599999998</v>
      </c>
      <c r="U29" s="727">
        <v>6700417.5420000004</v>
      </c>
      <c r="V29" s="750">
        <v>1346.2439999999999</v>
      </c>
      <c r="W29" s="801"/>
      <c r="X29" s="729" t="s">
        <v>259</v>
      </c>
    </row>
    <row r="30" spans="1:24" s="729" customFormat="1" ht="14.4" x14ac:dyDescent="0.3">
      <c r="A30" s="730">
        <v>45554</v>
      </c>
      <c r="B30" s="295" t="s">
        <v>202</v>
      </c>
      <c r="C30" s="736" t="s">
        <v>236</v>
      </c>
      <c r="D30" s="736" t="s">
        <v>255</v>
      </c>
      <c r="E30" s="727">
        <v>12.7</v>
      </c>
      <c r="F30" s="727">
        <f>E30-G30</f>
        <v>4.43</v>
      </c>
      <c r="G30" s="739">
        <f>G29</f>
        <v>8.27</v>
      </c>
      <c r="H30" s="737"/>
      <c r="I30" s="295"/>
      <c r="J30" s="295"/>
      <c r="K30" s="727"/>
      <c r="L30" s="727"/>
      <c r="M30" s="295"/>
      <c r="N30" s="234"/>
      <c r="O30" s="295"/>
      <c r="P30" s="727"/>
      <c r="Q30" s="727"/>
      <c r="R30" s="295"/>
      <c r="S30" s="234"/>
      <c r="T30" s="727"/>
      <c r="U30" s="727"/>
      <c r="V30" s="750"/>
      <c r="W30" s="801"/>
    </row>
    <row r="31" spans="1:24" ht="15" thickBot="1" x14ac:dyDescent="0.35">
      <c r="A31" s="70"/>
      <c r="B31" s="70"/>
      <c r="C31" s="796"/>
      <c r="D31" s="796"/>
      <c r="E31" s="71"/>
      <c r="F31" s="71"/>
      <c r="G31" s="788"/>
      <c r="H31" s="792"/>
      <c r="I31" s="70"/>
      <c r="J31" s="70"/>
      <c r="K31" s="70"/>
      <c r="L31" s="70"/>
      <c r="M31" s="70"/>
      <c r="N31" s="215"/>
      <c r="O31" s="70"/>
      <c r="P31" s="71"/>
      <c r="Q31" s="71"/>
      <c r="R31" s="70"/>
      <c r="S31" s="215"/>
      <c r="T31" s="70"/>
      <c r="U31" s="70"/>
      <c r="V31" s="107"/>
      <c r="W31" s="799"/>
    </row>
    <row r="32" spans="1:24" ht="15" customHeight="1" x14ac:dyDescent="0.3">
      <c r="A32" s="868" t="s">
        <v>37</v>
      </c>
      <c r="B32" s="869"/>
      <c r="C32" s="872" t="s">
        <v>38</v>
      </c>
      <c r="D32" s="873"/>
      <c r="E32" s="73" t="s">
        <v>39</v>
      </c>
      <c r="F32" s="74"/>
      <c r="G32" s="73" t="s">
        <v>40</v>
      </c>
      <c r="H32" s="74"/>
      <c r="I32" s="75" t="s">
        <v>41</v>
      </c>
      <c r="Q32" s="69"/>
      <c r="R32" s="109"/>
      <c r="S32" s="109"/>
      <c r="T32" s="109"/>
      <c r="U32" s="70"/>
      <c r="V32" s="105"/>
    </row>
    <row r="33" spans="1:22" ht="14.4" customHeight="1" x14ac:dyDescent="0.3">
      <c r="A33" s="870"/>
      <c r="B33" s="871"/>
      <c r="C33" s="76" t="s">
        <v>42</v>
      </c>
      <c r="D33" s="76" t="s">
        <v>43</v>
      </c>
      <c r="E33" s="77">
        <f>A20</f>
        <v>45174</v>
      </c>
      <c r="F33" s="78" t="s">
        <v>44</v>
      </c>
      <c r="G33" s="79">
        <f>A27</f>
        <v>45408</v>
      </c>
      <c r="H33" s="78" t="s">
        <v>44</v>
      </c>
      <c r="I33" s="80">
        <f>A29</f>
        <v>45554</v>
      </c>
      <c r="Q33" s="69"/>
      <c r="R33" s="115"/>
      <c r="S33" s="115"/>
      <c r="T33" s="109"/>
      <c r="U33" s="70"/>
      <c r="V33" s="105"/>
    </row>
    <row r="34" spans="1:22" ht="14.4" x14ac:dyDescent="0.3">
      <c r="A34" s="82"/>
      <c r="B34" s="83" t="s">
        <v>45</v>
      </c>
      <c r="C34" s="117">
        <f>P27</f>
        <v>2.6022898370826288</v>
      </c>
      <c r="D34" s="117"/>
      <c r="E34" s="85"/>
      <c r="F34" s="85"/>
      <c r="G34" s="86"/>
      <c r="H34" s="84"/>
      <c r="I34" s="87"/>
      <c r="Q34" s="69"/>
      <c r="R34" s="81"/>
      <c r="S34" s="81"/>
      <c r="T34" s="68"/>
      <c r="U34" s="72"/>
    </row>
    <row r="35" spans="1:22" ht="14.4" x14ac:dyDescent="0.3">
      <c r="A35" s="82"/>
      <c r="B35" s="83" t="s">
        <v>46</v>
      </c>
      <c r="C35" s="117">
        <f>C36-C34</f>
        <v>-1.3824898370826286</v>
      </c>
      <c r="D35" s="117"/>
      <c r="E35" s="85"/>
      <c r="F35" s="85"/>
      <c r="G35" s="86"/>
      <c r="H35" s="84"/>
      <c r="I35" s="87"/>
      <c r="Q35" s="69"/>
      <c r="R35" s="81"/>
      <c r="S35" s="81"/>
      <c r="T35" s="68"/>
      <c r="U35" s="72"/>
    </row>
    <row r="36" spans="1:22" ht="15.75" customHeight="1" x14ac:dyDescent="0.3">
      <c r="A36" s="82"/>
      <c r="B36" s="83" t="s">
        <v>47</v>
      </c>
      <c r="C36" s="117">
        <f>Q29</f>
        <v>1.2198000000000002</v>
      </c>
      <c r="D36" s="117"/>
      <c r="E36" s="85"/>
      <c r="F36" s="85"/>
      <c r="G36" s="86"/>
      <c r="H36" s="84"/>
      <c r="I36" s="87"/>
      <c r="Q36" s="69"/>
      <c r="R36" s="81"/>
      <c r="S36" s="81"/>
      <c r="T36" s="68"/>
      <c r="U36" s="72"/>
    </row>
    <row r="37" spans="1:22" ht="15.75" customHeight="1" x14ac:dyDescent="0.3">
      <c r="A37" s="82"/>
      <c r="B37" s="88" t="s">
        <v>48</v>
      </c>
      <c r="C37" s="117">
        <f>S19</f>
        <v>0</v>
      </c>
      <c r="D37" s="117"/>
      <c r="E37" s="85"/>
      <c r="F37" s="85"/>
      <c r="G37" s="84"/>
      <c r="H37" s="84"/>
      <c r="I37" s="87"/>
      <c r="Q37" s="69"/>
      <c r="R37" s="81"/>
      <c r="S37" s="81"/>
      <c r="T37" s="68"/>
      <c r="U37" s="72"/>
    </row>
    <row r="38" spans="1:22" ht="15.75" customHeight="1" x14ac:dyDescent="0.3">
      <c r="A38" s="82"/>
      <c r="B38" s="89" t="s">
        <v>49</v>
      </c>
      <c r="C38" s="117" t="s">
        <v>54</v>
      </c>
      <c r="D38" s="117"/>
      <c r="E38" s="85"/>
      <c r="F38" s="85"/>
      <c r="G38" s="84"/>
      <c r="H38" s="84"/>
      <c r="I38" s="87"/>
      <c r="Q38" s="69"/>
      <c r="R38" s="81"/>
      <c r="S38" s="81"/>
      <c r="T38" s="68"/>
      <c r="U38" s="72"/>
    </row>
    <row r="39" spans="1:22" ht="15.75" customHeight="1" thickBot="1" x14ac:dyDescent="0.35">
      <c r="A39" s="90"/>
      <c r="B39" s="91" t="s">
        <v>50</v>
      </c>
      <c r="C39" s="122">
        <f>S28</f>
        <v>1.2E-2</v>
      </c>
      <c r="D39" s="122"/>
      <c r="E39" s="93"/>
      <c r="F39" s="93"/>
      <c r="G39" s="94"/>
      <c r="H39" s="94"/>
      <c r="I39" s="95"/>
      <c r="Q39" s="69"/>
      <c r="R39" s="81"/>
      <c r="S39" s="81"/>
      <c r="T39" s="68"/>
      <c r="U39" s="72"/>
    </row>
    <row r="40" spans="1:22" ht="15.75" customHeight="1" x14ac:dyDescent="0.3">
      <c r="A40" s="72"/>
      <c r="B40" s="72"/>
      <c r="C40" s="72"/>
      <c r="D40" s="72"/>
      <c r="E40" s="72"/>
      <c r="F40" s="72"/>
      <c r="G40" s="72"/>
      <c r="H40" s="72"/>
      <c r="I40" s="72"/>
      <c r="J40" s="72"/>
      <c r="K40" s="72"/>
      <c r="L40" s="72"/>
      <c r="M40" s="72"/>
      <c r="N40" s="72"/>
      <c r="O40" s="72"/>
      <c r="P40" s="72"/>
      <c r="Q40" s="68"/>
      <c r="R40" s="68"/>
      <c r="S40" s="68"/>
      <c r="T40" s="68"/>
      <c r="U40" s="72"/>
    </row>
  </sheetData>
  <mergeCells count="6">
    <mergeCell ref="A32:B33"/>
    <mergeCell ref="C32:D32"/>
    <mergeCell ref="T1:V1"/>
    <mergeCell ref="T2:U2"/>
    <mergeCell ref="E3:G3"/>
    <mergeCell ref="T3:U3"/>
  </mergeCells>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E1B6E-C160-4815-A287-7D20AE9EA9B4}">
  <dimension ref="A1:Q169"/>
  <sheetViews>
    <sheetView workbookViewId="0">
      <selection sqref="A1:XFD1048576"/>
    </sheetView>
  </sheetViews>
  <sheetFormatPr defaultColWidth="7.88671875" defaultRowHeight="10.199999999999999" x14ac:dyDescent="0.2"/>
  <cols>
    <col min="1" max="1" width="15.6640625" style="566" bestFit="1" customWidth="1"/>
    <col min="2" max="2" width="9.5546875" style="566" bestFit="1" customWidth="1"/>
    <col min="3" max="3" width="5.109375" style="633" customWidth="1"/>
    <col min="4" max="6" width="7.6640625" style="633" customWidth="1"/>
    <col min="7" max="7" width="6.33203125" style="629" customWidth="1"/>
    <col min="8" max="8" width="6.88671875" style="632" customWidth="1"/>
    <col min="9" max="9" width="9.6640625" style="629" customWidth="1"/>
    <col min="10" max="10" width="8.6640625" style="629" bestFit="1" customWidth="1"/>
    <col min="11" max="11" width="18.6640625" style="623" customWidth="1"/>
    <col min="12" max="12" width="17.33203125" style="630" bestFit="1" customWidth="1"/>
    <col min="13" max="13" width="12.88671875" style="566" customWidth="1"/>
    <col min="14" max="14" width="11.33203125" style="566" customWidth="1"/>
    <col min="15" max="15" width="14.5546875" style="578" customWidth="1"/>
    <col min="16" max="16" width="2.44140625" style="578" customWidth="1"/>
    <col min="17" max="17" width="14" style="566" bestFit="1" customWidth="1"/>
    <col min="18" max="18" width="5.44140625" style="566" customWidth="1"/>
    <col min="19" max="27" width="5.33203125" style="566" customWidth="1"/>
    <col min="28" max="28" width="17" style="566" customWidth="1"/>
    <col min="29" max="16384" width="7.88671875" style="566"/>
  </cols>
  <sheetData>
    <row r="1" spans="1:15" s="402" customFormat="1" ht="13.2" x14ac:dyDescent="0.25">
      <c r="A1" s="669" t="s">
        <v>108</v>
      </c>
      <c r="B1" s="670" t="s">
        <v>163</v>
      </c>
      <c r="C1" s="396"/>
      <c r="D1" s="670"/>
      <c r="E1" s="397"/>
      <c r="F1" s="397"/>
      <c r="G1" s="398"/>
      <c r="H1" s="399" t="s">
        <v>193</v>
      </c>
      <c r="I1" s="400">
        <f>M12</f>
        <v>155</v>
      </c>
      <c r="J1" s="401"/>
      <c r="K1" s="670"/>
      <c r="L1" s="670"/>
      <c r="M1" s="671"/>
      <c r="N1" s="403"/>
    </row>
    <row r="2" spans="1:15" s="402" customFormat="1" ht="13.2" x14ac:dyDescent="0.25">
      <c r="A2" s="672" t="s">
        <v>110</v>
      </c>
      <c r="B2" s="414" t="s">
        <v>201</v>
      </c>
      <c r="C2" s="406"/>
      <c r="D2" s="414"/>
      <c r="E2" s="407"/>
      <c r="F2" s="407"/>
      <c r="G2" s="408"/>
      <c r="H2" s="409" t="s">
        <v>194</v>
      </c>
      <c r="I2" s="673">
        <f>M12</f>
        <v>155</v>
      </c>
      <c r="J2" s="411"/>
      <c r="K2" s="414"/>
      <c r="L2" s="414"/>
      <c r="M2" s="674"/>
      <c r="N2" s="412"/>
    </row>
    <row r="3" spans="1:15" s="416" customFormat="1" ht="11.25" customHeight="1" x14ac:dyDescent="0.25">
      <c r="A3" s="675" t="s">
        <v>112</v>
      </c>
      <c r="B3" s="665">
        <v>45409</v>
      </c>
      <c r="C3" s="406"/>
      <c r="D3" s="407"/>
      <c r="E3" s="407"/>
      <c r="F3" s="407"/>
      <c r="G3" s="408"/>
      <c r="H3" s="413" t="s">
        <v>195</v>
      </c>
      <c r="I3" s="676">
        <f>M53/100</f>
        <v>1.7477777777777777</v>
      </c>
      <c r="J3" s="411"/>
      <c r="K3" s="414"/>
      <c r="L3" s="414"/>
      <c r="M3" s="677"/>
      <c r="N3" s="417"/>
    </row>
    <row r="4" spans="1:15" s="402" customFormat="1" ht="13.2" x14ac:dyDescent="0.25">
      <c r="A4" s="675" t="s">
        <v>114</v>
      </c>
      <c r="B4" s="414" t="s">
        <v>107</v>
      </c>
      <c r="C4" s="406"/>
      <c r="D4" s="407"/>
      <c r="E4" s="407"/>
      <c r="F4" s="407"/>
      <c r="G4" s="408"/>
      <c r="H4" s="413" t="s">
        <v>196</v>
      </c>
      <c r="I4" s="676">
        <f>J27</f>
        <v>0.51793227810058118</v>
      </c>
      <c r="J4" s="411"/>
      <c r="K4" s="414"/>
      <c r="L4" s="414"/>
      <c r="M4" s="674"/>
      <c r="N4" s="403"/>
    </row>
    <row r="5" spans="1:15" s="423" customFormat="1" ht="13.2" x14ac:dyDescent="0.25">
      <c r="A5" s="672" t="s">
        <v>116</v>
      </c>
      <c r="B5" s="420" t="s">
        <v>117</v>
      </c>
      <c r="C5" s="406"/>
      <c r="D5" s="407"/>
      <c r="E5" s="407"/>
      <c r="F5" s="407"/>
      <c r="G5" s="408"/>
      <c r="H5" s="413"/>
      <c r="I5" s="421"/>
      <c r="J5" s="411"/>
      <c r="K5" s="414"/>
      <c r="L5" s="414"/>
      <c r="M5" s="451"/>
      <c r="N5" s="422"/>
    </row>
    <row r="6" spans="1:15" s="422" customFormat="1" ht="13.8" thickBot="1" x14ac:dyDescent="0.25">
      <c r="A6" s="678"/>
      <c r="B6" s="679"/>
      <c r="C6" s="680"/>
      <c r="D6" s="681"/>
      <c r="E6" s="681"/>
      <c r="F6" s="681"/>
      <c r="G6" s="682"/>
      <c r="H6" s="683"/>
      <c r="I6" s="684"/>
      <c r="J6" s="682"/>
      <c r="K6" s="685"/>
      <c r="L6" s="679"/>
      <c r="M6" s="686"/>
    </row>
    <row r="7" spans="1:15" s="423" customFormat="1" ht="13.2" customHeight="1" x14ac:dyDescent="0.2">
      <c r="A7" s="687" t="s">
        <v>118</v>
      </c>
      <c r="B7" s="688"/>
      <c r="C7" s="689"/>
      <c r="D7" s="690"/>
      <c r="E7" s="691" t="s">
        <v>119</v>
      </c>
      <c r="F7" s="688"/>
      <c r="G7" s="645" t="s">
        <v>120</v>
      </c>
      <c r="H7" s="435"/>
      <c r="I7" s="692" t="s">
        <v>121</v>
      </c>
      <c r="J7" s="692"/>
      <c r="K7" s="436"/>
      <c r="L7" s="886" t="s">
        <v>122</v>
      </c>
      <c r="M7" s="887"/>
      <c r="N7" s="422"/>
      <c r="O7" s="422"/>
    </row>
    <row r="8" spans="1:15" s="453" customFormat="1" ht="11.25" customHeight="1" x14ac:dyDescent="0.2">
      <c r="A8" s="437"/>
      <c r="B8" s="432"/>
      <c r="C8" s="438"/>
      <c r="D8" s="447"/>
      <c r="E8" s="693"/>
      <c r="F8" s="447"/>
      <c r="G8" s="694"/>
      <c r="H8" s="449"/>
      <c r="I8" s="475"/>
      <c r="J8" s="475"/>
      <c r="K8" s="450"/>
      <c r="L8" s="451"/>
      <c r="M8" s="451"/>
      <c r="N8" s="452"/>
    </row>
    <row r="9" spans="1:15" s="464" customFormat="1" x14ac:dyDescent="0.2">
      <c r="C9" s="455"/>
      <c r="D9" s="695"/>
      <c r="E9" s="693" t="s">
        <v>125</v>
      </c>
      <c r="F9" s="447"/>
      <c r="G9" s="694"/>
      <c r="H9" s="449"/>
      <c r="I9" s="578"/>
      <c r="J9" s="578"/>
      <c r="K9" s="450"/>
      <c r="L9" s="460"/>
      <c r="M9" s="461"/>
      <c r="N9" s="462"/>
      <c r="O9" s="463"/>
    </row>
    <row r="10" spans="1:15" s="464" customFormat="1" x14ac:dyDescent="0.2">
      <c r="A10" s="465" t="s">
        <v>126</v>
      </c>
      <c r="B10" s="466" t="s">
        <v>51</v>
      </c>
      <c r="C10" s="467" t="s">
        <v>127</v>
      </c>
      <c r="D10" s="474" t="s">
        <v>137</v>
      </c>
      <c r="E10" s="472" t="s">
        <v>138</v>
      </c>
      <c r="F10" s="474" t="s">
        <v>139</v>
      </c>
      <c r="G10" s="694" t="s">
        <v>140</v>
      </c>
      <c r="H10" s="449" t="s">
        <v>141</v>
      </c>
      <c r="I10" s="475" t="s">
        <v>141</v>
      </c>
      <c r="J10" s="475" t="s">
        <v>140</v>
      </c>
      <c r="K10" s="476" t="s">
        <v>142</v>
      </c>
      <c r="L10" s="460" t="s">
        <v>143</v>
      </c>
      <c r="M10" s="460" t="s">
        <v>144</v>
      </c>
      <c r="N10" s="477"/>
    </row>
    <row r="11" spans="1:15" s="464" customFormat="1" ht="12" thickBot="1" x14ac:dyDescent="0.35">
      <c r="A11" s="478" t="s">
        <v>145</v>
      </c>
      <c r="B11" s="479" t="s">
        <v>145</v>
      </c>
      <c r="C11" s="480" t="s">
        <v>146</v>
      </c>
      <c r="D11" s="489" t="s">
        <v>148</v>
      </c>
      <c r="E11" s="487" t="s">
        <v>146</v>
      </c>
      <c r="F11" s="489" t="s">
        <v>146</v>
      </c>
      <c r="G11" s="696" t="s">
        <v>149</v>
      </c>
      <c r="H11" s="491" t="s">
        <v>150</v>
      </c>
      <c r="I11" s="490" t="s">
        <v>150</v>
      </c>
      <c r="J11" s="490" t="s">
        <v>149</v>
      </c>
      <c r="K11" s="493"/>
      <c r="L11" s="494"/>
      <c r="M11" s="495" t="s">
        <v>146</v>
      </c>
      <c r="N11" s="477"/>
    </row>
    <row r="12" spans="1:15" s="464" customFormat="1" x14ac:dyDescent="0.3">
      <c r="A12" s="515"/>
      <c r="B12" s="516"/>
      <c r="C12" s="504">
        <v>0</v>
      </c>
      <c r="D12" s="697"/>
      <c r="E12" s="698"/>
      <c r="F12" s="699"/>
      <c r="G12" s="700"/>
      <c r="H12" s="525"/>
      <c r="I12" s="701"/>
      <c r="J12" s="702"/>
      <c r="K12" s="528"/>
      <c r="L12" s="512" t="s">
        <v>197</v>
      </c>
      <c r="M12" s="513">
        <v>155</v>
      </c>
      <c r="N12" s="514"/>
    </row>
    <row r="13" spans="1:15" s="464" customFormat="1" x14ac:dyDescent="0.3">
      <c r="A13" s="515">
        <v>485</v>
      </c>
      <c r="B13" s="516">
        <v>0</v>
      </c>
      <c r="C13" s="504">
        <v>10</v>
      </c>
      <c r="D13" s="697">
        <v>966</v>
      </c>
      <c r="E13" s="703">
        <f>C12</f>
        <v>0</v>
      </c>
      <c r="F13" s="704">
        <f>(C13+C14-10)/2</f>
        <v>10</v>
      </c>
      <c r="G13" s="524">
        <f t="shared" ref="G13:G27" si="0">(A13-B13)/966</f>
        <v>0.50207039337474124</v>
      </c>
      <c r="H13" s="705">
        <f>(G13*(F13-E13))/100</f>
        <v>5.0207039337474127E-2</v>
      </c>
      <c r="I13" s="706">
        <f>SUM(H$13:H13)</f>
        <v>5.0207039337474127E-2</v>
      </c>
      <c r="J13" s="527">
        <f t="shared" ref="J13:J27" si="1">I13/F13*100</f>
        <v>0.50207039337474124</v>
      </c>
      <c r="K13" s="528"/>
      <c r="L13" s="529" t="s">
        <v>217</v>
      </c>
      <c r="M13" s="530">
        <v>137</v>
      </c>
      <c r="N13" s="477"/>
    </row>
    <row r="14" spans="1:15" s="464" customFormat="1" x14ac:dyDescent="0.3">
      <c r="A14" s="515">
        <v>575</v>
      </c>
      <c r="B14" s="516">
        <v>0</v>
      </c>
      <c r="C14" s="504">
        <v>20</v>
      </c>
      <c r="D14" s="697">
        <v>966</v>
      </c>
      <c r="E14" s="703">
        <f>(C13+C14-10)/2</f>
        <v>10</v>
      </c>
      <c r="F14" s="704">
        <f t="shared" ref="F14:F26" si="2">(C14+C15-10)/2</f>
        <v>20</v>
      </c>
      <c r="G14" s="524">
        <f t="shared" si="0"/>
        <v>0.59523809523809523</v>
      </c>
      <c r="H14" s="705">
        <f t="shared" ref="H14:H26" si="3">(G14*(F14-E14))/100</f>
        <v>5.9523809523809527E-2</v>
      </c>
      <c r="I14" s="706">
        <f>SUM(H$13:H14)</f>
        <v>0.10973084886128365</v>
      </c>
      <c r="J14" s="527">
        <f t="shared" si="1"/>
        <v>0.54865424430641818</v>
      </c>
      <c r="K14" s="528"/>
      <c r="L14" s="529" t="s">
        <v>218</v>
      </c>
      <c r="M14" s="530">
        <v>136</v>
      </c>
      <c r="N14" s="477"/>
    </row>
    <row r="15" spans="1:15" s="464" customFormat="1" x14ac:dyDescent="0.3">
      <c r="A15" s="515">
        <v>485</v>
      </c>
      <c r="B15" s="516">
        <v>0</v>
      </c>
      <c r="C15" s="504">
        <v>30</v>
      </c>
      <c r="D15" s="697">
        <v>966</v>
      </c>
      <c r="E15" s="703">
        <f>(C14+C15-10)/2</f>
        <v>20</v>
      </c>
      <c r="F15" s="704">
        <f t="shared" si="2"/>
        <v>30</v>
      </c>
      <c r="G15" s="524">
        <f t="shared" si="0"/>
        <v>0.50207039337474124</v>
      </c>
      <c r="H15" s="705">
        <f t="shared" si="3"/>
        <v>5.0207039337474127E-2</v>
      </c>
      <c r="I15" s="706">
        <f>SUM(H$13:H15)</f>
        <v>0.15993788819875776</v>
      </c>
      <c r="J15" s="527">
        <f t="shared" si="1"/>
        <v>0.5331262939958592</v>
      </c>
      <c r="K15" s="528"/>
      <c r="L15" s="529" t="s">
        <v>219</v>
      </c>
      <c r="M15" s="531">
        <v>118</v>
      </c>
      <c r="N15" s="477"/>
    </row>
    <row r="16" spans="1:15" s="464" customFormat="1" x14ac:dyDescent="0.3">
      <c r="A16" s="532">
        <v>450</v>
      </c>
      <c r="B16" s="516">
        <v>0</v>
      </c>
      <c r="C16" s="504">
        <v>40</v>
      </c>
      <c r="D16" s="697">
        <v>966</v>
      </c>
      <c r="E16" s="703">
        <f t="shared" ref="E16:E27" si="4">(C15+C16-10)/2</f>
        <v>30</v>
      </c>
      <c r="F16" s="704">
        <f t="shared" si="2"/>
        <v>40</v>
      </c>
      <c r="G16" s="524">
        <f t="shared" si="0"/>
        <v>0.46583850931677018</v>
      </c>
      <c r="H16" s="705">
        <f t="shared" si="3"/>
        <v>4.6583850931677023E-2</v>
      </c>
      <c r="I16" s="706">
        <f>SUM(H$13:H16)</f>
        <v>0.20652173913043478</v>
      </c>
      <c r="J16" s="527">
        <f t="shared" si="1"/>
        <v>0.51630434782608692</v>
      </c>
      <c r="K16" s="528"/>
      <c r="L16" s="529" t="s">
        <v>220</v>
      </c>
      <c r="M16" s="530">
        <v>133</v>
      </c>
      <c r="N16" s="477"/>
    </row>
    <row r="17" spans="1:16" s="464" customFormat="1" x14ac:dyDescent="0.3">
      <c r="A17" s="532">
        <v>445</v>
      </c>
      <c r="B17" s="516">
        <v>0</v>
      </c>
      <c r="C17" s="504">
        <v>50</v>
      </c>
      <c r="D17" s="697">
        <v>966</v>
      </c>
      <c r="E17" s="703">
        <f t="shared" si="4"/>
        <v>40</v>
      </c>
      <c r="F17" s="704">
        <f t="shared" si="2"/>
        <v>50</v>
      </c>
      <c r="G17" s="524">
        <f t="shared" si="0"/>
        <v>0.46066252587991718</v>
      </c>
      <c r="H17" s="705">
        <f t="shared" si="3"/>
        <v>4.6066252587991713E-2</v>
      </c>
      <c r="I17" s="706">
        <f>SUM(H$13:H17)</f>
        <v>0.2525879917184265</v>
      </c>
      <c r="J17" s="527">
        <f t="shared" si="1"/>
        <v>0.50517598343685299</v>
      </c>
      <c r="K17" s="707" t="s">
        <v>155</v>
      </c>
      <c r="L17" s="529" t="s">
        <v>221</v>
      </c>
      <c r="M17" s="530">
        <v>231</v>
      </c>
      <c r="N17" s="462"/>
    </row>
    <row r="18" spans="1:16" s="464" customFormat="1" ht="20.399999999999999" x14ac:dyDescent="0.3">
      <c r="A18" s="532">
        <v>540</v>
      </c>
      <c r="B18" s="516">
        <v>0</v>
      </c>
      <c r="C18" s="504">
        <v>60</v>
      </c>
      <c r="D18" s="697">
        <v>966</v>
      </c>
      <c r="E18" s="703">
        <f t="shared" si="4"/>
        <v>50</v>
      </c>
      <c r="F18" s="704">
        <f t="shared" si="2"/>
        <v>60</v>
      </c>
      <c r="G18" s="524">
        <f t="shared" si="0"/>
        <v>0.55900621118012417</v>
      </c>
      <c r="H18" s="705">
        <f t="shared" si="3"/>
        <v>5.5900621118012417E-2</v>
      </c>
      <c r="I18" s="706">
        <f>SUM(H$13:H18)</f>
        <v>0.30848861283643891</v>
      </c>
      <c r="J18" s="527">
        <f t="shared" si="1"/>
        <v>0.51414768806073152</v>
      </c>
      <c r="K18" s="533" t="s">
        <v>198</v>
      </c>
      <c r="L18" s="529" t="s">
        <v>222</v>
      </c>
      <c r="M18" s="530">
        <v>223</v>
      </c>
      <c r="N18" s="462"/>
    </row>
    <row r="19" spans="1:16" s="464" customFormat="1" ht="10.199999999999999" customHeight="1" x14ac:dyDescent="0.3">
      <c r="A19" s="532">
        <v>470</v>
      </c>
      <c r="B19" s="516">
        <v>0</v>
      </c>
      <c r="C19" s="504">
        <v>70</v>
      </c>
      <c r="D19" s="697">
        <v>966</v>
      </c>
      <c r="E19" s="703">
        <f t="shared" si="4"/>
        <v>60</v>
      </c>
      <c r="F19" s="704">
        <f t="shared" si="2"/>
        <v>70</v>
      </c>
      <c r="G19" s="524">
        <f t="shared" si="0"/>
        <v>0.48654244306418221</v>
      </c>
      <c r="H19" s="705">
        <f t="shared" si="3"/>
        <v>4.8654244306418216E-2</v>
      </c>
      <c r="I19" s="706">
        <f>SUM(H$13:H19)</f>
        <v>0.35714285714285715</v>
      </c>
      <c r="J19" s="527">
        <f t="shared" si="1"/>
        <v>0.51020408163265307</v>
      </c>
      <c r="K19" s="533"/>
      <c r="L19" s="529" t="s">
        <v>223</v>
      </c>
      <c r="M19" s="530">
        <v>218</v>
      </c>
      <c r="N19" s="534"/>
    </row>
    <row r="20" spans="1:16" s="464" customFormat="1" x14ac:dyDescent="0.3">
      <c r="A20" s="532">
        <v>490</v>
      </c>
      <c r="B20" s="516">
        <v>0</v>
      </c>
      <c r="C20" s="504">
        <v>80</v>
      </c>
      <c r="D20" s="697">
        <v>966</v>
      </c>
      <c r="E20" s="703">
        <f t="shared" si="4"/>
        <v>70</v>
      </c>
      <c r="F20" s="704">
        <f t="shared" si="2"/>
        <v>80</v>
      </c>
      <c r="G20" s="524">
        <f t="shared" si="0"/>
        <v>0.50724637681159424</v>
      </c>
      <c r="H20" s="705">
        <f t="shared" si="3"/>
        <v>5.0724637681159424E-2</v>
      </c>
      <c r="I20" s="706">
        <f>SUM(H$13:H20)</f>
        <v>0.40786749482401657</v>
      </c>
      <c r="J20" s="527">
        <f t="shared" si="1"/>
        <v>0.50983436853002073</v>
      </c>
      <c r="K20" s="528"/>
      <c r="L20" s="529" t="s">
        <v>224</v>
      </c>
      <c r="M20" s="530">
        <v>222</v>
      </c>
      <c r="N20" s="535"/>
    </row>
    <row r="21" spans="1:16" s="537" customFormat="1" x14ac:dyDescent="0.3">
      <c r="A21" s="532">
        <v>540</v>
      </c>
      <c r="B21" s="516">
        <v>0</v>
      </c>
      <c r="C21" s="504">
        <v>90</v>
      </c>
      <c r="D21" s="697">
        <v>966</v>
      </c>
      <c r="E21" s="703">
        <f t="shared" si="4"/>
        <v>80</v>
      </c>
      <c r="F21" s="704">
        <f t="shared" si="2"/>
        <v>90</v>
      </c>
      <c r="G21" s="524">
        <f t="shared" si="0"/>
        <v>0.55900621118012417</v>
      </c>
      <c r="H21" s="705">
        <f t="shared" si="3"/>
        <v>5.5900621118012417E-2</v>
      </c>
      <c r="I21" s="706">
        <f>SUM(H$13:H21)</f>
        <v>0.46376811594202899</v>
      </c>
      <c r="J21" s="527">
        <f t="shared" si="1"/>
        <v>0.5152979066022545</v>
      </c>
      <c r="K21" s="536"/>
      <c r="L21" s="529" t="s">
        <v>154</v>
      </c>
      <c r="M21" s="530"/>
      <c r="N21" s="535"/>
    </row>
    <row r="22" spans="1:16" s="537" customFormat="1" x14ac:dyDescent="0.3">
      <c r="A22" s="532">
        <v>470</v>
      </c>
      <c r="B22" s="516">
        <v>0</v>
      </c>
      <c r="C22" s="504">
        <v>100</v>
      </c>
      <c r="D22" s="697">
        <v>966</v>
      </c>
      <c r="E22" s="703">
        <f t="shared" si="4"/>
        <v>90</v>
      </c>
      <c r="F22" s="704">
        <f t="shared" si="2"/>
        <v>100</v>
      </c>
      <c r="G22" s="524">
        <f t="shared" si="0"/>
        <v>0.48654244306418221</v>
      </c>
      <c r="H22" s="705">
        <f t="shared" si="3"/>
        <v>4.8654244306418216E-2</v>
      </c>
      <c r="I22" s="706">
        <f>SUM(H$13:H22)</f>
        <v>0.51242236024844723</v>
      </c>
      <c r="J22" s="527">
        <f t="shared" si="1"/>
        <v>0.51242236024844723</v>
      </c>
      <c r="K22" s="528"/>
      <c r="L22" s="529" t="s">
        <v>154</v>
      </c>
      <c r="M22" s="539"/>
      <c r="N22" s="535"/>
    </row>
    <row r="23" spans="1:16" s="537" customFormat="1" x14ac:dyDescent="0.3">
      <c r="A23" s="532">
        <v>550</v>
      </c>
      <c r="B23" s="516">
        <v>0</v>
      </c>
      <c r="C23" s="504">
        <v>110</v>
      </c>
      <c r="D23" s="697">
        <v>966</v>
      </c>
      <c r="E23" s="703">
        <f t="shared" si="4"/>
        <v>100</v>
      </c>
      <c r="F23" s="704">
        <f t="shared" si="2"/>
        <v>110</v>
      </c>
      <c r="G23" s="524">
        <f t="shared" si="0"/>
        <v>0.56935817805383027</v>
      </c>
      <c r="H23" s="705">
        <f t="shared" si="3"/>
        <v>5.6935817805383024E-2</v>
      </c>
      <c r="I23" s="706">
        <f>SUM(H$13:H23)</f>
        <v>0.56935817805383027</v>
      </c>
      <c r="J23" s="527">
        <f t="shared" si="1"/>
        <v>0.51759834368530022</v>
      </c>
      <c r="K23" s="708"/>
      <c r="L23" s="529" t="s">
        <v>154</v>
      </c>
      <c r="M23" s="554"/>
      <c r="N23" s="555"/>
    </row>
    <row r="24" spans="1:16" s="537" customFormat="1" x14ac:dyDescent="0.3">
      <c r="A24" s="532">
        <v>510</v>
      </c>
      <c r="B24" s="516">
        <v>0</v>
      </c>
      <c r="C24" s="504">
        <v>120</v>
      </c>
      <c r="D24" s="697">
        <v>966</v>
      </c>
      <c r="E24" s="703">
        <f t="shared" si="4"/>
        <v>110</v>
      </c>
      <c r="F24" s="704">
        <f t="shared" si="2"/>
        <v>120</v>
      </c>
      <c r="G24" s="524">
        <f t="shared" si="0"/>
        <v>0.52795031055900621</v>
      </c>
      <c r="H24" s="705">
        <f t="shared" si="3"/>
        <v>5.2795031055900624E-2</v>
      </c>
      <c r="I24" s="706">
        <f>SUM(H$13:H24)</f>
        <v>0.62215320910973093</v>
      </c>
      <c r="J24" s="527">
        <f t="shared" si="1"/>
        <v>0.51846100759144242</v>
      </c>
      <c r="K24" s="709"/>
      <c r="L24" s="529" t="s">
        <v>154</v>
      </c>
      <c r="M24" s="554"/>
      <c r="N24" s="555"/>
    </row>
    <row r="25" spans="1:16" s="537" customFormat="1" x14ac:dyDescent="0.3">
      <c r="A25" s="532">
        <v>535</v>
      </c>
      <c r="B25" s="516">
        <v>0</v>
      </c>
      <c r="C25" s="504">
        <v>130</v>
      </c>
      <c r="D25" s="697">
        <v>966</v>
      </c>
      <c r="E25" s="703">
        <f t="shared" si="4"/>
        <v>120</v>
      </c>
      <c r="F25" s="704">
        <f t="shared" si="2"/>
        <v>130</v>
      </c>
      <c r="G25" s="524">
        <f t="shared" si="0"/>
        <v>0.55383022774327118</v>
      </c>
      <c r="H25" s="705">
        <f t="shared" si="3"/>
        <v>5.5383022774327113E-2</v>
      </c>
      <c r="I25" s="706">
        <f>SUM(H$13:H25)</f>
        <v>0.67753623188405809</v>
      </c>
      <c r="J25" s="527">
        <f t="shared" si="1"/>
        <v>0.52118171683389081</v>
      </c>
      <c r="K25" s="709"/>
      <c r="L25" s="529" t="s">
        <v>154</v>
      </c>
      <c r="M25" s="554"/>
      <c r="N25" s="555"/>
    </row>
    <row r="26" spans="1:16" s="537" customFormat="1" x14ac:dyDescent="0.3">
      <c r="A26" s="532">
        <v>400</v>
      </c>
      <c r="B26" s="516">
        <v>0</v>
      </c>
      <c r="C26" s="504">
        <v>140</v>
      </c>
      <c r="D26" s="697">
        <v>966</v>
      </c>
      <c r="E26" s="703">
        <f t="shared" si="4"/>
        <v>130</v>
      </c>
      <c r="F26" s="704">
        <f t="shared" si="2"/>
        <v>140</v>
      </c>
      <c r="G26" s="524">
        <f t="shared" si="0"/>
        <v>0.41407867494824019</v>
      </c>
      <c r="H26" s="705">
        <f t="shared" si="3"/>
        <v>4.1407867494824016E-2</v>
      </c>
      <c r="I26" s="706">
        <f>SUM(H$13:H26)</f>
        <v>0.71894409937888215</v>
      </c>
      <c r="J26" s="527">
        <f t="shared" si="1"/>
        <v>0.51353149955634436</v>
      </c>
      <c r="K26" s="709" t="s">
        <v>199</v>
      </c>
      <c r="L26" s="529" t="s">
        <v>154</v>
      </c>
      <c r="M26" s="530"/>
      <c r="N26" s="555"/>
    </row>
    <row r="27" spans="1:16" s="537" customFormat="1" x14ac:dyDescent="0.3">
      <c r="A27" s="532">
        <v>540</v>
      </c>
      <c r="B27" s="516">
        <v>0</v>
      </c>
      <c r="C27" s="504">
        <v>150</v>
      </c>
      <c r="D27" s="697">
        <v>966</v>
      </c>
      <c r="E27" s="703">
        <f t="shared" si="4"/>
        <v>140</v>
      </c>
      <c r="F27" s="704">
        <v>155</v>
      </c>
      <c r="G27" s="524">
        <f t="shared" si="0"/>
        <v>0.55900621118012417</v>
      </c>
      <c r="H27" s="705">
        <f>(G27*(F27-E27))/100</f>
        <v>8.3850931677018625E-2</v>
      </c>
      <c r="I27" s="706">
        <f>SUM(H$13:H27)</f>
        <v>0.80279503105590078</v>
      </c>
      <c r="J27" s="527">
        <f t="shared" si="1"/>
        <v>0.51793227810058118</v>
      </c>
      <c r="K27" s="709" t="s">
        <v>200</v>
      </c>
      <c r="L27" s="529" t="s">
        <v>154</v>
      </c>
      <c r="M27" s="530"/>
      <c r="N27" s="555"/>
    </row>
    <row r="28" spans="1:16" s="537" customFormat="1" x14ac:dyDescent="0.3">
      <c r="A28" s="532"/>
      <c r="B28" s="516"/>
      <c r="C28" s="504"/>
      <c r="D28" s="697"/>
      <c r="E28" s="703"/>
      <c r="F28" s="704"/>
      <c r="G28" s="524"/>
      <c r="H28" s="705"/>
      <c r="I28" s="706"/>
      <c r="J28" s="527"/>
      <c r="K28" s="709"/>
      <c r="L28" s="529" t="s">
        <v>154</v>
      </c>
      <c r="M28" s="530"/>
      <c r="N28" s="555"/>
    </row>
    <row r="29" spans="1:16" x14ac:dyDescent="0.2">
      <c r="A29" s="532"/>
      <c r="B29" s="516"/>
      <c r="C29" s="504"/>
      <c r="D29" s="697"/>
      <c r="E29" s="703"/>
      <c r="F29" s="704"/>
      <c r="G29" s="524"/>
      <c r="H29" s="705"/>
      <c r="I29" s="706"/>
      <c r="J29" s="527"/>
      <c r="K29" s="709"/>
      <c r="L29" s="529" t="s">
        <v>154</v>
      </c>
      <c r="M29" s="530"/>
      <c r="N29" s="555"/>
      <c r="O29" s="537"/>
      <c r="P29" s="537"/>
    </row>
    <row r="30" spans="1:16" x14ac:dyDescent="0.2">
      <c r="A30" s="532"/>
      <c r="B30" s="516"/>
      <c r="C30" s="504"/>
      <c r="D30" s="697"/>
      <c r="E30" s="703"/>
      <c r="F30" s="704"/>
      <c r="G30" s="524"/>
      <c r="H30" s="705"/>
      <c r="I30" s="706"/>
      <c r="J30" s="527"/>
      <c r="K30" s="709"/>
      <c r="L30" s="529" t="s">
        <v>154</v>
      </c>
      <c r="M30" s="530"/>
      <c r="N30" s="555"/>
      <c r="O30" s="537"/>
      <c r="P30" s="537"/>
    </row>
    <row r="31" spans="1:16" x14ac:dyDescent="0.2">
      <c r="A31" s="532"/>
      <c r="B31" s="516"/>
      <c r="C31" s="504"/>
      <c r="D31" s="697"/>
      <c r="E31" s="703"/>
      <c r="F31" s="704"/>
      <c r="G31" s="524"/>
      <c r="H31" s="705"/>
      <c r="I31" s="706"/>
      <c r="J31" s="527"/>
      <c r="K31" s="709"/>
      <c r="L31" s="529" t="s">
        <v>154</v>
      </c>
      <c r="M31" s="530"/>
      <c r="N31" s="555"/>
      <c r="O31" s="537"/>
      <c r="P31" s="537"/>
    </row>
    <row r="32" spans="1:16" x14ac:dyDescent="0.2">
      <c r="A32" s="532"/>
      <c r="B32" s="516"/>
      <c r="C32" s="504"/>
      <c r="D32" s="697"/>
      <c r="E32" s="703"/>
      <c r="F32" s="704"/>
      <c r="G32" s="524"/>
      <c r="H32" s="705"/>
      <c r="I32" s="706"/>
      <c r="J32" s="527"/>
      <c r="K32" s="538"/>
      <c r="L32" s="529" t="s">
        <v>154</v>
      </c>
      <c r="M32" s="530"/>
      <c r="N32" s="555"/>
      <c r="O32" s="537"/>
      <c r="P32" s="537"/>
    </row>
    <row r="33" spans="1:17" x14ac:dyDescent="0.2">
      <c r="A33" s="532"/>
      <c r="B33" s="516"/>
      <c r="C33" s="504"/>
      <c r="D33" s="697"/>
      <c r="E33" s="703"/>
      <c r="F33" s="704"/>
      <c r="G33" s="524"/>
      <c r="H33" s="705"/>
      <c r="I33" s="706"/>
      <c r="J33" s="527"/>
      <c r="K33" s="538"/>
      <c r="L33" s="529" t="s">
        <v>154</v>
      </c>
      <c r="M33" s="530"/>
      <c r="N33" s="555"/>
      <c r="O33" s="537"/>
      <c r="P33" s="537"/>
    </row>
    <row r="34" spans="1:17" x14ac:dyDescent="0.2">
      <c r="A34" s="532"/>
      <c r="B34" s="516"/>
      <c r="C34" s="504"/>
      <c r="D34" s="697"/>
      <c r="E34" s="703"/>
      <c r="F34" s="704"/>
      <c r="G34" s="524"/>
      <c r="H34" s="705"/>
      <c r="I34" s="706"/>
      <c r="J34" s="527"/>
      <c r="K34" s="538"/>
      <c r="L34" s="529"/>
      <c r="M34" s="530"/>
      <c r="N34" s="567"/>
      <c r="O34" s="566"/>
      <c r="P34" s="566"/>
    </row>
    <row r="35" spans="1:17" x14ac:dyDescent="0.2">
      <c r="A35" s="532"/>
      <c r="B35" s="516"/>
      <c r="C35" s="504"/>
      <c r="D35" s="697"/>
      <c r="E35" s="703"/>
      <c r="F35" s="704"/>
      <c r="G35" s="524"/>
      <c r="H35" s="705"/>
      <c r="I35" s="706"/>
      <c r="J35" s="527"/>
      <c r="K35" s="538"/>
      <c r="L35" s="529"/>
      <c r="M35" s="530"/>
      <c r="N35" s="568"/>
      <c r="O35" s="569"/>
      <c r="P35" s="570"/>
      <c r="Q35" s="569"/>
    </row>
    <row r="36" spans="1:17" x14ac:dyDescent="0.2">
      <c r="A36" s="532"/>
      <c r="B36" s="516"/>
      <c r="C36" s="504"/>
      <c r="D36" s="697"/>
      <c r="E36" s="703"/>
      <c r="F36" s="704"/>
      <c r="G36" s="524"/>
      <c r="H36" s="705"/>
      <c r="I36" s="706"/>
      <c r="J36" s="527"/>
      <c r="K36" s="538"/>
      <c r="L36" s="529"/>
      <c r="M36" s="530"/>
      <c r="N36" s="568"/>
      <c r="O36" s="569"/>
      <c r="P36" s="571"/>
      <c r="Q36" s="569"/>
    </row>
    <row r="37" spans="1:17" x14ac:dyDescent="0.2">
      <c r="A37" s="532"/>
      <c r="B37" s="516"/>
      <c r="C37" s="504"/>
      <c r="D37" s="697"/>
      <c r="E37" s="703"/>
      <c r="F37" s="704"/>
      <c r="G37" s="524"/>
      <c r="H37" s="705"/>
      <c r="I37" s="706"/>
      <c r="J37" s="527"/>
      <c r="K37" s="538"/>
      <c r="L37" s="529"/>
      <c r="M37" s="530"/>
      <c r="N37" s="572"/>
      <c r="O37" s="569"/>
      <c r="P37" s="569"/>
      <c r="Q37" s="569"/>
    </row>
    <row r="38" spans="1:17" x14ac:dyDescent="0.2">
      <c r="A38" s="532"/>
      <c r="B38" s="516"/>
      <c r="C38" s="504"/>
      <c r="D38" s="697"/>
      <c r="E38" s="703"/>
      <c r="F38" s="704"/>
      <c r="G38" s="524"/>
      <c r="H38" s="705"/>
      <c r="I38" s="706"/>
      <c r="J38" s="527"/>
      <c r="K38" s="538"/>
      <c r="L38" s="529"/>
      <c r="M38" s="530"/>
      <c r="N38" s="573"/>
      <c r="O38" s="574"/>
      <c r="P38" s="566"/>
    </row>
    <row r="39" spans="1:17" x14ac:dyDescent="0.2">
      <c r="A39" s="532"/>
      <c r="B39" s="516"/>
      <c r="C39" s="504"/>
      <c r="D39" s="697"/>
      <c r="E39" s="703"/>
      <c r="F39" s="704"/>
      <c r="G39" s="524"/>
      <c r="H39" s="705"/>
      <c r="I39" s="706"/>
      <c r="J39" s="527"/>
      <c r="K39" s="538"/>
      <c r="L39" s="529"/>
      <c r="M39" s="530"/>
      <c r="N39" s="574"/>
      <c r="O39" s="574"/>
      <c r="P39" s="566"/>
    </row>
    <row r="40" spans="1:17" x14ac:dyDescent="0.2">
      <c r="A40" s="532"/>
      <c r="B40" s="516"/>
      <c r="C40" s="504"/>
      <c r="D40" s="697"/>
      <c r="E40" s="703"/>
      <c r="F40" s="704"/>
      <c r="G40" s="524"/>
      <c r="H40" s="705"/>
      <c r="I40" s="706"/>
      <c r="J40" s="527"/>
      <c r="K40" s="538"/>
      <c r="L40" s="529"/>
      <c r="M40" s="530"/>
      <c r="O40" s="566"/>
      <c r="P40" s="566"/>
    </row>
    <row r="41" spans="1:17" x14ac:dyDescent="0.2">
      <c r="A41" s="532"/>
      <c r="B41" s="516"/>
      <c r="C41" s="504"/>
      <c r="D41" s="697"/>
      <c r="E41" s="703"/>
      <c r="F41" s="704"/>
      <c r="G41" s="524"/>
      <c r="H41" s="705"/>
      <c r="I41" s="706"/>
      <c r="J41" s="527"/>
      <c r="K41" s="538"/>
      <c r="L41" s="529"/>
      <c r="M41" s="530"/>
      <c r="O41" s="566"/>
      <c r="P41" s="566"/>
    </row>
    <row r="42" spans="1:17" x14ac:dyDescent="0.2">
      <c r="A42" s="532"/>
      <c r="B42" s="516"/>
      <c r="C42" s="504"/>
      <c r="D42" s="697"/>
      <c r="E42" s="703"/>
      <c r="F42" s="704"/>
      <c r="G42" s="524"/>
      <c r="H42" s="705"/>
      <c r="I42" s="706"/>
      <c r="J42" s="527"/>
      <c r="K42" s="538"/>
      <c r="L42" s="529"/>
      <c r="M42" s="530"/>
      <c r="O42" s="566"/>
      <c r="P42" s="566"/>
    </row>
    <row r="43" spans="1:17" x14ac:dyDescent="0.2">
      <c r="A43" s="532"/>
      <c r="B43" s="516"/>
      <c r="C43" s="504"/>
      <c r="D43" s="697"/>
      <c r="E43" s="703"/>
      <c r="F43" s="704"/>
      <c r="G43" s="524"/>
      <c r="H43" s="705"/>
      <c r="I43" s="706"/>
      <c r="J43" s="527"/>
      <c r="K43" s="538"/>
      <c r="L43" s="529"/>
      <c r="M43" s="530"/>
      <c r="O43" s="566"/>
      <c r="P43" s="566"/>
    </row>
    <row r="44" spans="1:17" x14ac:dyDescent="0.2">
      <c r="A44" s="532"/>
      <c r="B44" s="516"/>
      <c r="C44" s="504"/>
      <c r="D44" s="697"/>
      <c r="E44" s="703"/>
      <c r="F44" s="704"/>
      <c r="G44" s="524"/>
      <c r="H44" s="705"/>
      <c r="I44" s="706"/>
      <c r="J44" s="527"/>
      <c r="K44" s="538"/>
      <c r="L44" s="529"/>
      <c r="M44" s="530"/>
      <c r="O44" s="566"/>
      <c r="P44" s="566"/>
    </row>
    <row r="45" spans="1:17" x14ac:dyDescent="0.2">
      <c r="A45" s="532"/>
      <c r="B45" s="516"/>
      <c r="C45" s="504"/>
      <c r="D45" s="697"/>
      <c r="E45" s="703"/>
      <c r="F45" s="704"/>
      <c r="G45" s="524"/>
      <c r="H45" s="705"/>
      <c r="I45" s="706"/>
      <c r="J45" s="527"/>
      <c r="K45" s="538"/>
      <c r="L45" s="529"/>
      <c r="M45" s="530"/>
      <c r="O45" s="566"/>
      <c r="P45" s="566"/>
    </row>
    <row r="46" spans="1:17" x14ac:dyDescent="0.2">
      <c r="A46" s="532"/>
      <c r="B46" s="516"/>
      <c r="C46" s="504"/>
      <c r="D46" s="697"/>
      <c r="E46" s="703"/>
      <c r="F46" s="704"/>
      <c r="G46" s="524"/>
      <c r="H46" s="705"/>
      <c r="I46" s="706"/>
      <c r="J46" s="527"/>
      <c r="K46" s="538"/>
      <c r="L46" s="529"/>
      <c r="M46" s="530"/>
      <c r="O46" s="566"/>
      <c r="P46" s="566"/>
    </row>
    <row r="47" spans="1:17" x14ac:dyDescent="0.2">
      <c r="A47" s="532"/>
      <c r="B47" s="516"/>
      <c r="C47" s="504"/>
      <c r="D47" s="697"/>
      <c r="E47" s="703"/>
      <c r="F47" s="704"/>
      <c r="G47" s="524"/>
      <c r="H47" s="705"/>
      <c r="I47" s="706"/>
      <c r="J47" s="527"/>
      <c r="K47" s="538"/>
      <c r="L47" s="529"/>
      <c r="M47" s="530"/>
      <c r="O47" s="566"/>
      <c r="P47" s="566"/>
    </row>
    <row r="48" spans="1:17" x14ac:dyDescent="0.2">
      <c r="A48" s="532"/>
      <c r="B48" s="516"/>
      <c r="C48" s="504"/>
      <c r="D48" s="697"/>
      <c r="E48" s="703"/>
      <c r="F48" s="704"/>
      <c r="G48" s="524"/>
      <c r="H48" s="705"/>
      <c r="I48" s="706"/>
      <c r="J48" s="527"/>
      <c r="K48" s="538"/>
      <c r="L48" s="529"/>
      <c r="M48" s="530"/>
      <c r="O48" s="566"/>
      <c r="P48" s="566"/>
    </row>
    <row r="49" spans="1:17" x14ac:dyDescent="0.2">
      <c r="A49" s="532"/>
      <c r="B49" s="516"/>
      <c r="C49" s="504"/>
      <c r="D49" s="697"/>
      <c r="E49" s="703"/>
      <c r="F49" s="704"/>
      <c r="G49" s="524"/>
      <c r="H49" s="705"/>
      <c r="I49" s="706"/>
      <c r="J49" s="527"/>
      <c r="K49" s="538"/>
      <c r="L49" s="529"/>
      <c r="M49" s="530"/>
      <c r="O49" s="566"/>
      <c r="P49" s="566"/>
    </row>
    <row r="50" spans="1:17" x14ac:dyDescent="0.2">
      <c r="A50" s="532"/>
      <c r="B50" s="516"/>
      <c r="C50" s="504"/>
      <c r="D50" s="697"/>
      <c r="E50" s="703"/>
      <c r="F50" s="704"/>
      <c r="G50" s="524"/>
      <c r="H50" s="705"/>
      <c r="I50" s="706"/>
      <c r="J50" s="527"/>
      <c r="K50" s="538"/>
      <c r="L50" s="529"/>
      <c r="M50" s="530"/>
      <c r="O50" s="566"/>
      <c r="P50" s="566"/>
    </row>
    <row r="51" spans="1:17" x14ac:dyDescent="0.2">
      <c r="A51" s="532"/>
      <c r="B51" s="516"/>
      <c r="C51" s="504"/>
      <c r="D51" s="697"/>
      <c r="E51" s="703"/>
      <c r="F51" s="704"/>
      <c r="G51" s="524"/>
      <c r="H51" s="705"/>
      <c r="I51" s="706"/>
      <c r="J51" s="527"/>
      <c r="K51" s="538"/>
      <c r="L51" s="529"/>
      <c r="M51" s="530"/>
      <c r="O51" s="566"/>
      <c r="P51" s="566"/>
    </row>
    <row r="52" spans="1:17" ht="10.8" thickBot="1" x14ac:dyDescent="0.25">
      <c r="A52" s="532"/>
      <c r="B52" s="516"/>
      <c r="C52" s="504"/>
      <c r="D52" s="697"/>
      <c r="E52" s="703"/>
      <c r="F52" s="704"/>
      <c r="G52" s="524"/>
      <c r="H52" s="705"/>
      <c r="I52" s="706"/>
      <c r="J52" s="527"/>
      <c r="K52" s="538"/>
      <c r="L52" s="529"/>
      <c r="M52" s="575"/>
      <c r="O52" s="566"/>
      <c r="P52" s="566"/>
    </row>
    <row r="53" spans="1:17" x14ac:dyDescent="0.2">
      <c r="A53" s="532"/>
      <c r="B53" s="516"/>
      <c r="C53" s="504"/>
      <c r="D53" s="697"/>
      <c r="E53" s="703"/>
      <c r="F53" s="704"/>
      <c r="G53" s="524"/>
      <c r="H53" s="705"/>
      <c r="I53" s="706"/>
      <c r="J53" s="527"/>
      <c r="K53" s="538"/>
      <c r="L53" s="576" t="s">
        <v>157</v>
      </c>
      <c r="M53" s="577">
        <f>AVERAGE(M12:M52)</f>
        <v>174.77777777777777</v>
      </c>
      <c r="O53" s="566"/>
      <c r="P53" s="566"/>
    </row>
    <row r="54" spans="1:17" x14ac:dyDescent="0.2">
      <c r="A54" s="532"/>
      <c r="B54" s="516"/>
      <c r="C54" s="504"/>
      <c r="D54" s="697"/>
      <c r="E54" s="703"/>
      <c r="F54" s="704"/>
      <c r="G54" s="524"/>
      <c r="H54" s="705"/>
      <c r="I54" s="706"/>
      <c r="J54" s="527"/>
      <c r="K54" s="538"/>
      <c r="L54" s="403" t="s">
        <v>158</v>
      </c>
      <c r="M54" s="575">
        <f>STDEV(M12:M52)</f>
        <v>47.269910560994774</v>
      </c>
      <c r="N54" s="578"/>
      <c r="P54" s="566"/>
    </row>
    <row r="55" spans="1:17" x14ac:dyDescent="0.2">
      <c r="A55" s="579" t="s">
        <v>159</v>
      </c>
      <c r="B55" s="580"/>
      <c r="C55" s="581"/>
      <c r="D55" s="710"/>
      <c r="E55" s="711"/>
      <c r="F55" s="712"/>
      <c r="G55" s="586"/>
      <c r="H55" s="713"/>
      <c r="I55" s="714"/>
      <c r="J55" s="589"/>
      <c r="K55" s="590"/>
      <c r="L55" s="403" t="s">
        <v>160</v>
      </c>
      <c r="M55" s="575">
        <f>M54/SQRT(COUNT(M12:M51))</f>
        <v>15.756636853664924</v>
      </c>
      <c r="N55" s="573"/>
      <c r="Q55" s="578"/>
    </row>
    <row r="56" spans="1:17" x14ac:dyDescent="0.2">
      <c r="A56" s="591"/>
      <c r="B56" s="592"/>
      <c r="C56" s="593"/>
      <c r="D56" s="715"/>
      <c r="E56" s="716"/>
      <c r="F56" s="717"/>
      <c r="G56" s="718"/>
      <c r="H56" s="599"/>
      <c r="I56" s="719"/>
      <c r="J56" s="720"/>
      <c r="K56" s="602"/>
      <c r="L56" s="403" t="s">
        <v>161</v>
      </c>
      <c r="M56" s="575">
        <f>MAX(M12:M51)</f>
        <v>231</v>
      </c>
      <c r="N56" s="573"/>
      <c r="O56" s="566"/>
      <c r="P56" s="566"/>
    </row>
    <row r="57" spans="1:17" ht="10.8" thickBot="1" x14ac:dyDescent="0.25">
      <c r="A57" s="603"/>
      <c r="B57" s="604"/>
      <c r="C57" s="605"/>
      <c r="D57" s="721"/>
      <c r="E57" s="722"/>
      <c r="F57" s="723"/>
      <c r="G57" s="724"/>
      <c r="H57" s="611"/>
      <c r="I57" s="725"/>
      <c r="J57" s="726"/>
      <c r="K57" s="614"/>
      <c r="L57" s="615" t="s">
        <v>162</v>
      </c>
      <c r="M57" s="616">
        <f>MIN(M12:M51)</f>
        <v>118</v>
      </c>
      <c r="N57" s="578"/>
      <c r="O57" s="566"/>
      <c r="P57" s="566"/>
    </row>
    <row r="58" spans="1:17" x14ac:dyDescent="0.2">
      <c r="A58" s="617"/>
      <c r="B58" s="617"/>
      <c r="C58" s="618"/>
      <c r="D58" s="619"/>
      <c r="E58" s="619"/>
      <c r="F58" s="619"/>
      <c r="G58" s="620"/>
      <c r="H58" s="621"/>
      <c r="I58" s="622"/>
      <c r="J58" s="623"/>
      <c r="K58" s="624"/>
      <c r="L58" s="625"/>
      <c r="M58" s="578"/>
      <c r="O58" s="566"/>
      <c r="P58" s="566"/>
    </row>
    <row r="59" spans="1:17" x14ac:dyDescent="0.2">
      <c r="A59" s="578"/>
      <c r="B59" s="578"/>
      <c r="C59" s="627"/>
      <c r="D59" s="627"/>
      <c r="E59" s="627"/>
      <c r="F59" s="627"/>
      <c r="G59" s="622"/>
      <c r="H59" s="621"/>
      <c r="I59" s="622"/>
      <c r="J59" s="623"/>
      <c r="K59" s="628"/>
      <c r="L59" s="625"/>
      <c r="M59" s="578"/>
      <c r="O59" s="566"/>
      <c r="P59" s="566"/>
    </row>
    <row r="60" spans="1:17" x14ac:dyDescent="0.2">
      <c r="A60" s="629"/>
      <c r="B60" s="629"/>
      <c r="C60" s="629"/>
      <c r="D60" s="629"/>
      <c r="E60" s="623"/>
      <c r="F60" s="630"/>
      <c r="G60" s="578"/>
      <c r="H60" s="566"/>
      <c r="I60" s="578"/>
      <c r="J60" s="566"/>
      <c r="K60" s="566"/>
      <c r="L60" s="578"/>
      <c r="M60" s="578"/>
      <c r="O60" s="566"/>
      <c r="P60" s="566"/>
    </row>
    <row r="61" spans="1:17" x14ac:dyDescent="0.2">
      <c r="A61" s="631"/>
      <c r="B61" s="631"/>
      <c r="C61" s="629"/>
      <c r="D61" s="629"/>
      <c r="E61" s="623"/>
      <c r="F61" s="630"/>
      <c r="G61" s="566"/>
      <c r="H61" s="566"/>
      <c r="I61" s="578"/>
      <c r="J61" s="566"/>
      <c r="K61" s="566"/>
      <c r="L61" s="578"/>
      <c r="M61" s="578"/>
      <c r="O61" s="566"/>
      <c r="P61" s="566"/>
    </row>
    <row r="62" spans="1:17" x14ac:dyDescent="0.2">
      <c r="A62" s="475"/>
      <c r="B62" s="475"/>
      <c r="C62" s="629"/>
      <c r="D62" s="629"/>
      <c r="E62" s="623"/>
      <c r="F62" s="630"/>
      <c r="G62" s="566"/>
      <c r="H62" s="566"/>
      <c r="I62" s="578"/>
      <c r="J62" s="566"/>
      <c r="K62" s="566"/>
      <c r="L62" s="578"/>
      <c r="M62" s="578"/>
      <c r="O62" s="566"/>
      <c r="P62" s="566"/>
    </row>
    <row r="63" spans="1:17" x14ac:dyDescent="0.2">
      <c r="A63" s="629"/>
      <c r="B63" s="629"/>
      <c r="C63" s="629"/>
      <c r="D63" s="629"/>
      <c r="E63" s="623"/>
      <c r="F63" s="630"/>
      <c r="G63" s="566"/>
      <c r="H63" s="566"/>
      <c r="I63" s="578"/>
      <c r="J63" s="566"/>
      <c r="K63" s="566"/>
      <c r="L63" s="578"/>
      <c r="M63" s="578"/>
      <c r="O63" s="566"/>
      <c r="P63" s="566"/>
    </row>
    <row r="64" spans="1:17" x14ac:dyDescent="0.2">
      <c r="A64" s="629"/>
      <c r="B64" s="629"/>
      <c r="C64" s="629"/>
      <c r="D64" s="629"/>
      <c r="E64" s="623"/>
      <c r="F64" s="630"/>
      <c r="G64" s="566"/>
      <c r="H64" s="566"/>
      <c r="I64" s="578"/>
      <c r="J64" s="622"/>
      <c r="K64" s="566"/>
      <c r="L64" s="578"/>
      <c r="M64" s="578"/>
      <c r="O64" s="566"/>
      <c r="P64" s="566"/>
    </row>
    <row r="65" spans="1:16" x14ac:dyDescent="0.2">
      <c r="A65" s="629"/>
      <c r="B65" s="629"/>
      <c r="C65" s="629"/>
      <c r="D65" s="629"/>
      <c r="E65" s="623"/>
      <c r="F65" s="630"/>
      <c r="G65" s="566"/>
      <c r="H65" s="566"/>
      <c r="I65" s="578"/>
      <c r="J65" s="622"/>
      <c r="K65" s="566"/>
      <c r="L65" s="578"/>
      <c r="M65" s="578"/>
      <c r="O65" s="566"/>
      <c r="P65" s="566"/>
    </row>
    <row r="66" spans="1:16" x14ac:dyDescent="0.2">
      <c r="A66" s="629"/>
      <c r="B66" s="629"/>
      <c r="C66" s="629"/>
      <c r="D66" s="629"/>
      <c r="E66" s="623"/>
      <c r="F66" s="630"/>
      <c r="G66" s="566"/>
      <c r="H66" s="566"/>
      <c r="I66" s="578"/>
      <c r="J66" s="566"/>
      <c r="K66" s="566"/>
      <c r="L66" s="578"/>
      <c r="M66" s="578"/>
      <c r="O66" s="566"/>
      <c r="P66" s="566"/>
    </row>
    <row r="67" spans="1:16" x14ac:dyDescent="0.2">
      <c r="A67" s="629"/>
      <c r="B67" s="629"/>
      <c r="C67" s="629"/>
      <c r="D67" s="629"/>
      <c r="E67" s="623"/>
      <c r="F67" s="630"/>
      <c r="G67" s="566"/>
      <c r="H67" s="566"/>
      <c r="I67" s="578"/>
      <c r="J67" s="566"/>
      <c r="K67" s="566"/>
      <c r="L67" s="578"/>
      <c r="M67" s="578"/>
      <c r="O67" s="566"/>
      <c r="P67" s="566"/>
    </row>
    <row r="68" spans="1:16" x14ac:dyDescent="0.2">
      <c r="A68" s="629"/>
      <c r="B68" s="629"/>
      <c r="C68" s="629"/>
      <c r="D68" s="629"/>
      <c r="E68" s="623"/>
      <c r="F68" s="630"/>
      <c r="G68" s="566"/>
      <c r="H68" s="566"/>
      <c r="I68" s="578"/>
      <c r="J68" s="566"/>
      <c r="K68" s="566"/>
      <c r="L68" s="578"/>
      <c r="M68" s="578"/>
      <c r="O68" s="566"/>
      <c r="P68" s="566"/>
    </row>
    <row r="69" spans="1:16" x14ac:dyDescent="0.2">
      <c r="A69" s="629"/>
      <c r="B69" s="629"/>
      <c r="C69" s="629"/>
      <c r="D69" s="629"/>
      <c r="E69" s="623"/>
      <c r="F69" s="630"/>
      <c r="G69" s="566"/>
      <c r="H69" s="566"/>
      <c r="I69" s="578"/>
      <c r="J69" s="566"/>
      <c r="K69" s="566"/>
      <c r="L69" s="578"/>
      <c r="M69" s="578"/>
      <c r="O69" s="566"/>
      <c r="P69" s="566"/>
    </row>
    <row r="70" spans="1:16" x14ac:dyDescent="0.2">
      <c r="A70" s="629"/>
      <c r="B70" s="629"/>
      <c r="C70" s="629"/>
      <c r="D70" s="629"/>
      <c r="E70" s="623"/>
      <c r="F70" s="630"/>
      <c r="G70" s="566"/>
      <c r="H70" s="566"/>
      <c r="I70" s="578"/>
      <c r="J70" s="566"/>
      <c r="K70" s="566"/>
      <c r="L70" s="578"/>
      <c r="M70" s="578"/>
      <c r="O70" s="566"/>
      <c r="P70" s="566"/>
    </row>
    <row r="71" spans="1:16" x14ac:dyDescent="0.2">
      <c r="A71" s="629"/>
      <c r="B71" s="629"/>
      <c r="C71" s="629"/>
      <c r="D71" s="629"/>
      <c r="E71" s="623"/>
      <c r="F71" s="630"/>
      <c r="G71" s="566"/>
      <c r="H71" s="566"/>
      <c r="I71" s="578"/>
      <c r="J71" s="566"/>
      <c r="K71" s="566"/>
      <c r="L71" s="578"/>
      <c r="O71" s="566"/>
      <c r="P71" s="566"/>
    </row>
    <row r="72" spans="1:16" x14ac:dyDescent="0.2">
      <c r="A72" s="629"/>
      <c r="B72" s="629"/>
      <c r="C72" s="629"/>
      <c r="D72" s="629"/>
      <c r="E72" s="623"/>
      <c r="F72" s="630"/>
      <c r="G72" s="566"/>
      <c r="H72" s="566"/>
      <c r="I72" s="578"/>
      <c r="J72" s="566"/>
      <c r="K72" s="566"/>
      <c r="L72" s="578"/>
      <c r="O72" s="566"/>
      <c r="P72" s="566"/>
    </row>
    <row r="73" spans="1:16" x14ac:dyDescent="0.2">
      <c r="A73" s="629"/>
      <c r="B73" s="629"/>
      <c r="C73" s="629"/>
      <c r="D73" s="629"/>
      <c r="E73" s="623"/>
      <c r="F73" s="630"/>
      <c r="G73" s="566"/>
      <c r="H73" s="566"/>
      <c r="I73" s="578"/>
      <c r="J73" s="566"/>
      <c r="K73" s="566"/>
      <c r="L73" s="566"/>
      <c r="O73" s="566"/>
      <c r="P73" s="566"/>
    </row>
    <row r="74" spans="1:16" x14ac:dyDescent="0.2">
      <c r="A74" s="629"/>
      <c r="B74" s="629"/>
      <c r="C74" s="629"/>
      <c r="D74" s="629"/>
      <c r="E74" s="623"/>
      <c r="F74" s="630"/>
      <c r="G74" s="566"/>
      <c r="H74" s="566"/>
      <c r="I74" s="578"/>
      <c r="J74" s="566"/>
      <c r="K74" s="566"/>
      <c r="L74" s="566"/>
      <c r="O74" s="566"/>
      <c r="P74" s="566"/>
    </row>
    <row r="75" spans="1:16" x14ac:dyDescent="0.2">
      <c r="A75" s="629"/>
      <c r="B75" s="629"/>
      <c r="C75" s="629"/>
      <c r="D75" s="629"/>
      <c r="E75" s="623"/>
      <c r="F75" s="630"/>
      <c r="G75" s="566"/>
      <c r="H75" s="566"/>
      <c r="I75" s="578"/>
      <c r="J75" s="566"/>
      <c r="K75" s="566"/>
      <c r="L75" s="566"/>
      <c r="O75" s="566"/>
      <c r="P75" s="566"/>
    </row>
    <row r="76" spans="1:16" x14ac:dyDescent="0.2">
      <c r="A76" s="629"/>
      <c r="B76" s="629"/>
      <c r="C76" s="629"/>
      <c r="D76" s="629"/>
      <c r="E76" s="623"/>
      <c r="F76" s="630"/>
      <c r="G76" s="566"/>
      <c r="H76" s="566"/>
      <c r="I76" s="578"/>
      <c r="J76" s="566"/>
      <c r="K76" s="566"/>
      <c r="L76" s="566"/>
      <c r="O76" s="566"/>
      <c r="P76" s="566"/>
    </row>
    <row r="77" spans="1:16" x14ac:dyDescent="0.2">
      <c r="A77" s="629"/>
      <c r="B77" s="629"/>
      <c r="C77" s="629"/>
      <c r="D77" s="629"/>
      <c r="E77" s="623"/>
      <c r="F77" s="630"/>
      <c r="G77" s="566"/>
      <c r="H77" s="566"/>
      <c r="I77" s="578"/>
      <c r="J77" s="566"/>
      <c r="K77" s="566"/>
      <c r="L77" s="566"/>
      <c r="O77" s="566"/>
      <c r="P77" s="566"/>
    </row>
    <row r="78" spans="1:16" x14ac:dyDescent="0.2">
      <c r="A78" s="629"/>
      <c r="B78" s="629"/>
      <c r="C78" s="629"/>
      <c r="D78" s="629"/>
      <c r="E78" s="623"/>
      <c r="F78" s="630"/>
      <c r="G78" s="566"/>
      <c r="H78" s="566"/>
      <c r="I78" s="578"/>
      <c r="J78" s="566"/>
      <c r="K78" s="566"/>
      <c r="L78" s="566"/>
      <c r="O78" s="566"/>
      <c r="P78" s="566"/>
    </row>
    <row r="79" spans="1:16" x14ac:dyDescent="0.2">
      <c r="A79" s="629"/>
      <c r="B79" s="629"/>
      <c r="C79" s="629"/>
      <c r="D79" s="629"/>
      <c r="E79" s="623"/>
      <c r="F79" s="630"/>
      <c r="G79" s="566"/>
      <c r="H79" s="566"/>
      <c r="I79" s="578"/>
      <c r="J79" s="566"/>
      <c r="K79" s="566"/>
      <c r="L79" s="566"/>
      <c r="O79" s="566"/>
      <c r="P79" s="566"/>
    </row>
    <row r="80" spans="1:16" x14ac:dyDescent="0.2">
      <c r="A80" s="629"/>
      <c r="B80" s="629"/>
      <c r="C80" s="629"/>
      <c r="D80" s="629"/>
      <c r="E80" s="623"/>
      <c r="F80" s="630"/>
      <c r="G80" s="566"/>
      <c r="H80" s="566"/>
      <c r="I80" s="578"/>
      <c r="J80" s="566"/>
      <c r="K80" s="566"/>
      <c r="L80" s="566"/>
      <c r="O80" s="566"/>
      <c r="P80" s="566"/>
    </row>
    <row r="81" spans="1:17" x14ac:dyDescent="0.2">
      <c r="A81" s="629"/>
      <c r="B81" s="629"/>
      <c r="C81" s="629"/>
      <c r="D81" s="629"/>
      <c r="E81" s="623"/>
      <c r="F81" s="630"/>
      <c r="G81" s="566"/>
      <c r="H81" s="566"/>
      <c r="I81" s="578"/>
      <c r="J81" s="566"/>
      <c r="K81" s="566"/>
      <c r="L81" s="566"/>
      <c r="O81" s="566"/>
      <c r="P81" s="566"/>
    </row>
    <row r="82" spans="1:17" x14ac:dyDescent="0.2">
      <c r="A82" s="629"/>
      <c r="B82" s="629"/>
      <c r="C82" s="629"/>
      <c r="D82" s="629"/>
      <c r="E82" s="623"/>
      <c r="F82" s="630"/>
      <c r="G82" s="566"/>
      <c r="H82" s="566"/>
      <c r="I82" s="578"/>
      <c r="J82" s="566"/>
      <c r="K82" s="566"/>
      <c r="L82" s="566"/>
      <c r="O82" s="566"/>
      <c r="P82" s="566"/>
    </row>
    <row r="83" spans="1:17" x14ac:dyDescent="0.2">
      <c r="A83" s="629"/>
      <c r="B83" s="629"/>
      <c r="C83" s="629"/>
      <c r="D83" s="629"/>
      <c r="E83" s="623"/>
      <c r="F83" s="630"/>
      <c r="G83" s="566"/>
      <c r="H83" s="566"/>
      <c r="I83" s="578"/>
      <c r="J83" s="566"/>
      <c r="K83" s="566"/>
      <c r="L83" s="566"/>
      <c r="O83" s="566"/>
      <c r="P83" s="566"/>
    </row>
    <row r="84" spans="1:17" x14ac:dyDescent="0.2">
      <c r="A84" s="629"/>
      <c r="B84" s="629"/>
      <c r="C84" s="629"/>
      <c r="D84" s="629"/>
      <c r="E84" s="623"/>
      <c r="F84" s="630"/>
      <c r="G84" s="626"/>
      <c r="H84" s="566"/>
      <c r="I84" s="578"/>
      <c r="J84" s="566"/>
      <c r="K84" s="566"/>
      <c r="L84" s="566"/>
      <c r="O84" s="566"/>
      <c r="P84" s="566"/>
    </row>
    <row r="85" spans="1:17" x14ac:dyDescent="0.2">
      <c r="A85" s="629"/>
      <c r="B85" s="629"/>
      <c r="C85" s="629"/>
      <c r="D85" s="629"/>
      <c r="E85" s="623"/>
      <c r="F85" s="630"/>
      <c r="G85" s="626"/>
      <c r="H85" s="566"/>
      <c r="I85" s="578"/>
      <c r="J85" s="566"/>
      <c r="K85" s="566"/>
      <c r="L85" s="566"/>
      <c r="O85" s="566"/>
      <c r="P85" s="566"/>
    </row>
    <row r="86" spans="1:17" x14ac:dyDescent="0.2">
      <c r="A86" s="629"/>
      <c r="B86" s="629"/>
      <c r="C86" s="629"/>
      <c r="D86" s="629"/>
      <c r="E86" s="623"/>
      <c r="F86" s="630"/>
      <c r="G86" s="626"/>
      <c r="H86" s="566"/>
      <c r="I86" s="578"/>
      <c r="J86" s="566"/>
      <c r="K86" s="566"/>
      <c r="L86" s="566"/>
      <c r="O86" s="566"/>
      <c r="P86" s="566"/>
    </row>
    <row r="87" spans="1:17" x14ac:dyDescent="0.2">
      <c r="A87" s="629"/>
      <c r="B87" s="629"/>
      <c r="C87" s="629"/>
      <c r="D87" s="629"/>
      <c r="E87" s="623"/>
      <c r="F87" s="630"/>
      <c r="G87" s="626"/>
      <c r="H87" s="566"/>
      <c r="I87" s="578"/>
      <c r="J87" s="566"/>
      <c r="K87" s="566"/>
      <c r="L87" s="566"/>
      <c r="O87" s="566"/>
      <c r="P87" s="566"/>
    </row>
    <row r="88" spans="1:17" x14ac:dyDescent="0.2">
      <c r="A88" s="629"/>
      <c r="B88" s="629"/>
      <c r="C88" s="629"/>
      <c r="D88" s="629"/>
      <c r="E88" s="623"/>
      <c r="F88" s="630"/>
      <c r="G88" s="566"/>
      <c r="H88" s="566"/>
      <c r="I88" s="578"/>
      <c r="J88" s="566"/>
      <c r="K88" s="566"/>
      <c r="L88" s="566"/>
      <c r="O88" s="566"/>
      <c r="P88" s="566"/>
    </row>
    <row r="89" spans="1:17" x14ac:dyDescent="0.2">
      <c r="A89" s="629"/>
      <c r="B89" s="629"/>
      <c r="C89" s="629"/>
      <c r="D89" s="629"/>
      <c r="E89" s="623"/>
      <c r="F89" s="630"/>
      <c r="G89" s="566"/>
      <c r="H89" s="566"/>
      <c r="I89" s="578"/>
      <c r="J89" s="566"/>
      <c r="K89" s="566"/>
      <c r="L89" s="566"/>
      <c r="O89" s="566"/>
      <c r="P89" s="566"/>
    </row>
    <row r="90" spans="1:17" s="629" customFormat="1" x14ac:dyDescent="0.2">
      <c r="E90" s="623"/>
      <c r="F90" s="630"/>
      <c r="G90" s="566"/>
      <c r="H90" s="566"/>
      <c r="I90" s="578"/>
      <c r="J90" s="566"/>
      <c r="K90" s="566"/>
      <c r="L90" s="566"/>
      <c r="M90" s="566"/>
      <c r="N90" s="566"/>
      <c r="O90" s="566"/>
      <c r="P90" s="566"/>
      <c r="Q90" s="566"/>
    </row>
    <row r="91" spans="1:17" s="629" customFormat="1" x14ac:dyDescent="0.2">
      <c r="E91" s="623"/>
      <c r="F91" s="630"/>
      <c r="G91" s="566"/>
      <c r="H91" s="566"/>
      <c r="I91" s="578"/>
      <c r="J91" s="566"/>
      <c r="K91" s="566"/>
      <c r="L91" s="566"/>
      <c r="M91" s="566"/>
      <c r="N91" s="566"/>
      <c r="O91" s="566"/>
      <c r="P91" s="566"/>
      <c r="Q91" s="566"/>
    </row>
    <row r="92" spans="1:17" s="629" customFormat="1" x14ac:dyDescent="0.2">
      <c r="E92" s="623"/>
      <c r="F92" s="630"/>
      <c r="G92" s="566"/>
      <c r="H92" s="566"/>
      <c r="I92" s="578"/>
      <c r="J92" s="566"/>
      <c r="K92" s="566"/>
      <c r="L92" s="566"/>
      <c r="M92" s="566"/>
      <c r="N92" s="566"/>
      <c r="O92" s="566"/>
      <c r="P92" s="566"/>
      <c r="Q92" s="566"/>
    </row>
    <row r="93" spans="1:17" s="629" customFormat="1" x14ac:dyDescent="0.2">
      <c r="E93" s="623"/>
      <c r="F93" s="630"/>
      <c r="G93" s="566"/>
      <c r="H93" s="566"/>
      <c r="I93" s="578"/>
      <c r="J93" s="566"/>
      <c r="K93" s="566"/>
      <c r="L93" s="566"/>
      <c r="M93" s="566"/>
      <c r="N93" s="566"/>
      <c r="O93" s="566"/>
      <c r="P93" s="566"/>
      <c r="Q93" s="566"/>
    </row>
    <row r="94" spans="1:17" s="629" customFormat="1" x14ac:dyDescent="0.2">
      <c r="E94" s="623"/>
      <c r="F94" s="630"/>
      <c r="G94" s="566"/>
      <c r="H94" s="566"/>
      <c r="I94" s="578"/>
      <c r="J94" s="566"/>
      <c r="K94" s="566"/>
      <c r="L94" s="566"/>
      <c r="M94" s="566"/>
      <c r="N94" s="566"/>
      <c r="O94" s="566"/>
      <c r="P94" s="566"/>
      <c r="Q94" s="566"/>
    </row>
    <row r="95" spans="1:17" s="629" customFormat="1" x14ac:dyDescent="0.2">
      <c r="E95" s="623"/>
      <c r="F95" s="630"/>
      <c r="G95" s="566"/>
      <c r="H95" s="566"/>
      <c r="I95" s="578"/>
      <c r="J95" s="566"/>
      <c r="K95" s="566"/>
      <c r="L95" s="566"/>
      <c r="M95" s="566"/>
    </row>
    <row r="96" spans="1:17" s="629" customFormat="1" x14ac:dyDescent="0.2">
      <c r="E96" s="623"/>
      <c r="F96" s="630"/>
      <c r="G96" s="566"/>
      <c r="H96" s="566"/>
      <c r="I96" s="578"/>
      <c r="J96" s="566"/>
      <c r="K96" s="566"/>
      <c r="L96" s="566"/>
      <c r="M96" s="566"/>
    </row>
    <row r="97" spans="5:13" s="629" customFormat="1" x14ac:dyDescent="0.2">
      <c r="E97" s="623"/>
      <c r="F97" s="630"/>
      <c r="G97" s="566"/>
      <c r="H97" s="566"/>
      <c r="I97" s="578"/>
      <c r="J97" s="566"/>
      <c r="K97" s="566"/>
      <c r="L97" s="566"/>
      <c r="M97" s="566"/>
    </row>
    <row r="98" spans="5:13" s="629" customFormat="1" x14ac:dyDescent="0.2">
      <c r="E98" s="623"/>
      <c r="F98" s="630"/>
      <c r="G98" s="566"/>
      <c r="H98" s="566"/>
      <c r="I98" s="578"/>
      <c r="J98" s="566"/>
      <c r="K98" s="566"/>
      <c r="L98" s="566"/>
      <c r="M98" s="566"/>
    </row>
    <row r="99" spans="5:13" s="629" customFormat="1" x14ac:dyDescent="0.2">
      <c r="E99" s="623"/>
      <c r="F99" s="630"/>
      <c r="G99" s="566"/>
      <c r="H99" s="566"/>
      <c r="I99" s="578"/>
      <c r="J99" s="566"/>
      <c r="K99" s="566"/>
      <c r="L99" s="566"/>
      <c r="M99" s="566"/>
    </row>
    <row r="100" spans="5:13" s="629" customFormat="1" x14ac:dyDescent="0.2">
      <c r="E100" s="623"/>
      <c r="F100" s="630"/>
      <c r="G100" s="566"/>
      <c r="H100" s="566"/>
      <c r="I100" s="578"/>
      <c r="J100" s="566"/>
      <c r="K100" s="566"/>
      <c r="L100" s="566"/>
      <c r="M100" s="566"/>
    </row>
    <row r="101" spans="5:13" s="629" customFormat="1" x14ac:dyDescent="0.2">
      <c r="E101" s="623"/>
      <c r="F101" s="630"/>
      <c r="G101" s="566"/>
      <c r="H101" s="566"/>
      <c r="I101" s="578"/>
      <c r="J101" s="566"/>
      <c r="K101" s="566"/>
      <c r="L101" s="566"/>
      <c r="M101" s="566"/>
    </row>
    <row r="102" spans="5:13" s="629" customFormat="1" x14ac:dyDescent="0.2">
      <c r="E102" s="623"/>
      <c r="F102" s="630"/>
      <c r="G102" s="566"/>
      <c r="H102" s="566"/>
      <c r="I102" s="578"/>
      <c r="J102" s="566"/>
      <c r="K102" s="566"/>
      <c r="L102" s="566"/>
      <c r="M102" s="566"/>
    </row>
    <row r="103" spans="5:13" s="629" customFormat="1" x14ac:dyDescent="0.2">
      <c r="E103" s="623"/>
      <c r="F103" s="630"/>
      <c r="G103" s="566"/>
      <c r="H103" s="566"/>
      <c r="I103" s="578"/>
      <c r="J103" s="566"/>
      <c r="K103" s="566"/>
      <c r="L103" s="566"/>
      <c r="M103" s="566"/>
    </row>
    <row r="104" spans="5:13" s="629" customFormat="1" x14ac:dyDescent="0.2">
      <c r="E104" s="623"/>
      <c r="F104" s="630"/>
      <c r="G104" s="566"/>
      <c r="H104" s="566"/>
      <c r="I104" s="578"/>
      <c r="J104" s="566"/>
      <c r="K104" s="566"/>
      <c r="L104" s="566"/>
      <c r="M104" s="566"/>
    </row>
    <row r="105" spans="5:13" s="629" customFormat="1" x14ac:dyDescent="0.2">
      <c r="E105" s="623"/>
      <c r="F105" s="630"/>
      <c r="G105" s="566"/>
      <c r="H105" s="566"/>
      <c r="I105" s="578"/>
      <c r="J105" s="566"/>
      <c r="K105" s="566"/>
      <c r="L105" s="566"/>
      <c r="M105" s="566"/>
    </row>
    <row r="106" spans="5:13" s="629" customFormat="1" x14ac:dyDescent="0.2">
      <c r="E106" s="623"/>
      <c r="F106" s="630"/>
      <c r="G106" s="566"/>
      <c r="H106" s="566"/>
      <c r="I106" s="578"/>
      <c r="J106" s="566"/>
      <c r="K106" s="566"/>
      <c r="L106" s="566"/>
      <c r="M106" s="566"/>
    </row>
    <row r="107" spans="5:13" s="629" customFormat="1" x14ac:dyDescent="0.2">
      <c r="E107" s="623"/>
      <c r="F107" s="630"/>
      <c r="G107" s="566"/>
      <c r="H107" s="566"/>
      <c r="I107" s="578"/>
      <c r="J107" s="566"/>
      <c r="K107" s="566"/>
      <c r="L107" s="566"/>
      <c r="M107" s="566"/>
    </row>
    <row r="108" spans="5:13" s="629" customFormat="1" x14ac:dyDescent="0.2">
      <c r="E108" s="623"/>
      <c r="F108" s="630"/>
      <c r="G108" s="566"/>
      <c r="H108" s="566"/>
      <c r="I108" s="578"/>
      <c r="J108" s="566"/>
      <c r="K108" s="566"/>
      <c r="L108" s="566"/>
      <c r="M108" s="566"/>
    </row>
    <row r="109" spans="5:13" s="629" customFormat="1" x14ac:dyDescent="0.2">
      <c r="E109" s="623"/>
      <c r="F109" s="630"/>
      <c r="G109" s="566"/>
      <c r="H109" s="566"/>
      <c r="I109" s="578"/>
      <c r="J109" s="566"/>
      <c r="K109" s="566"/>
      <c r="L109" s="566"/>
      <c r="M109" s="566"/>
    </row>
    <row r="110" spans="5:13" s="629" customFormat="1" x14ac:dyDescent="0.2">
      <c r="E110" s="623"/>
      <c r="F110" s="630"/>
      <c r="G110" s="566"/>
      <c r="H110" s="566"/>
      <c r="I110" s="578"/>
      <c r="J110" s="566"/>
      <c r="K110" s="566"/>
      <c r="L110" s="566"/>
    </row>
    <row r="111" spans="5:13" s="629" customFormat="1" x14ac:dyDescent="0.2">
      <c r="E111" s="623"/>
      <c r="F111" s="630"/>
      <c r="G111" s="566"/>
      <c r="H111" s="566"/>
      <c r="I111" s="578"/>
      <c r="J111" s="566"/>
      <c r="K111" s="566"/>
      <c r="L111" s="566"/>
    </row>
    <row r="112" spans="5:13" s="629" customFormat="1" x14ac:dyDescent="0.2">
      <c r="E112" s="623"/>
      <c r="F112" s="630"/>
      <c r="G112" s="566"/>
      <c r="H112" s="566"/>
      <c r="I112" s="578"/>
      <c r="J112" s="566"/>
      <c r="K112" s="566"/>
      <c r="L112" s="566"/>
    </row>
    <row r="113" spans="5:12" s="629" customFormat="1" x14ac:dyDescent="0.2">
      <c r="E113" s="623"/>
      <c r="F113" s="630"/>
      <c r="G113" s="566"/>
      <c r="H113" s="566"/>
      <c r="I113" s="578"/>
      <c r="J113" s="566"/>
      <c r="K113" s="566"/>
      <c r="L113" s="566"/>
    </row>
    <row r="114" spans="5:12" s="629" customFormat="1" x14ac:dyDescent="0.2">
      <c r="E114" s="623"/>
      <c r="F114" s="630"/>
      <c r="G114" s="566"/>
      <c r="H114" s="566"/>
      <c r="I114" s="578"/>
      <c r="J114" s="566"/>
      <c r="K114" s="566"/>
      <c r="L114" s="566"/>
    </row>
    <row r="115" spans="5:12" s="629" customFormat="1" x14ac:dyDescent="0.2">
      <c r="E115" s="623"/>
      <c r="F115" s="630"/>
      <c r="G115" s="566"/>
      <c r="H115" s="566"/>
      <c r="I115" s="578"/>
      <c r="J115" s="566"/>
      <c r="K115" s="566"/>
      <c r="L115" s="566"/>
    </row>
    <row r="116" spans="5:12" s="629" customFormat="1" x14ac:dyDescent="0.2">
      <c r="E116" s="623"/>
      <c r="F116" s="630"/>
      <c r="G116" s="566"/>
      <c r="H116" s="566"/>
      <c r="I116" s="578"/>
      <c r="J116" s="566"/>
      <c r="K116" s="566"/>
      <c r="L116" s="566"/>
    </row>
    <row r="117" spans="5:12" s="629" customFormat="1" x14ac:dyDescent="0.2">
      <c r="E117" s="623"/>
      <c r="F117" s="630"/>
      <c r="G117" s="566"/>
      <c r="H117" s="566"/>
      <c r="I117" s="578"/>
      <c r="J117" s="566"/>
      <c r="K117" s="566"/>
      <c r="L117" s="566"/>
    </row>
    <row r="118" spans="5:12" s="629" customFormat="1" x14ac:dyDescent="0.2">
      <c r="E118" s="623"/>
      <c r="F118" s="630"/>
      <c r="G118" s="566"/>
      <c r="H118" s="566"/>
      <c r="I118" s="578"/>
      <c r="J118" s="566"/>
      <c r="K118" s="566"/>
      <c r="L118" s="566"/>
    </row>
    <row r="119" spans="5:12" s="629" customFormat="1" x14ac:dyDescent="0.2">
      <c r="E119" s="623"/>
      <c r="F119" s="630"/>
      <c r="G119" s="566"/>
      <c r="H119" s="566"/>
      <c r="I119" s="578"/>
      <c r="J119" s="566"/>
      <c r="K119" s="566"/>
      <c r="L119" s="566"/>
    </row>
    <row r="120" spans="5:12" s="629" customFormat="1" x14ac:dyDescent="0.2">
      <c r="E120" s="623"/>
      <c r="F120" s="630"/>
      <c r="G120" s="566"/>
      <c r="H120" s="566"/>
      <c r="I120" s="578"/>
      <c r="J120" s="566"/>
      <c r="K120" s="566"/>
      <c r="L120" s="566"/>
    </row>
    <row r="121" spans="5:12" s="629" customFormat="1" x14ac:dyDescent="0.2">
      <c r="E121" s="623"/>
      <c r="F121" s="630"/>
      <c r="G121" s="566"/>
      <c r="H121" s="566"/>
      <c r="I121" s="578"/>
      <c r="J121" s="566"/>
      <c r="K121" s="566"/>
      <c r="L121" s="566"/>
    </row>
    <row r="122" spans="5:12" s="629" customFormat="1" x14ac:dyDescent="0.2">
      <c r="E122" s="623"/>
      <c r="F122" s="630"/>
      <c r="G122" s="566"/>
      <c r="H122" s="566"/>
      <c r="I122" s="578"/>
      <c r="J122" s="566"/>
      <c r="K122" s="566"/>
      <c r="L122" s="566"/>
    </row>
    <row r="123" spans="5:12" s="629" customFormat="1" x14ac:dyDescent="0.2">
      <c r="E123" s="623"/>
      <c r="F123" s="630"/>
      <c r="G123" s="566"/>
      <c r="H123" s="566"/>
      <c r="I123" s="578"/>
      <c r="J123" s="566"/>
      <c r="K123" s="566"/>
      <c r="L123" s="566"/>
    </row>
    <row r="124" spans="5:12" s="629" customFormat="1" x14ac:dyDescent="0.2">
      <c r="E124" s="623"/>
      <c r="F124" s="630"/>
      <c r="G124" s="566"/>
      <c r="H124" s="566"/>
      <c r="I124" s="578"/>
      <c r="J124" s="566"/>
      <c r="K124" s="566"/>
      <c r="L124" s="566"/>
    </row>
    <row r="125" spans="5:12" s="629" customFormat="1" x14ac:dyDescent="0.2">
      <c r="E125" s="623"/>
      <c r="F125" s="630"/>
      <c r="G125" s="566"/>
      <c r="H125" s="566"/>
      <c r="I125" s="578"/>
      <c r="J125" s="566"/>
      <c r="K125" s="566"/>
      <c r="L125" s="566"/>
    </row>
    <row r="126" spans="5:12" s="629" customFormat="1" x14ac:dyDescent="0.2">
      <c r="E126" s="623"/>
      <c r="F126" s="630"/>
      <c r="G126" s="566"/>
      <c r="H126" s="566"/>
      <c r="I126" s="578"/>
      <c r="J126" s="566"/>
      <c r="K126" s="566"/>
      <c r="L126" s="566"/>
    </row>
    <row r="127" spans="5:12" s="629" customFormat="1" x14ac:dyDescent="0.2">
      <c r="E127" s="623"/>
      <c r="F127" s="630"/>
      <c r="G127" s="566"/>
      <c r="H127" s="566"/>
      <c r="I127" s="578"/>
      <c r="J127" s="566"/>
      <c r="K127" s="566"/>
      <c r="L127" s="566"/>
    </row>
    <row r="128" spans="5:12" s="629" customFormat="1" x14ac:dyDescent="0.2">
      <c r="E128" s="623"/>
      <c r="F128" s="630"/>
      <c r="G128" s="566"/>
      <c r="H128" s="566"/>
      <c r="I128" s="578"/>
      <c r="J128" s="566"/>
      <c r="K128" s="566"/>
      <c r="L128" s="566"/>
    </row>
    <row r="129" spans="5:12" s="629" customFormat="1" x14ac:dyDescent="0.2">
      <c r="E129" s="623"/>
      <c r="F129" s="630"/>
      <c r="G129" s="566"/>
      <c r="H129" s="566"/>
      <c r="I129" s="578"/>
      <c r="J129" s="566"/>
      <c r="K129" s="566"/>
      <c r="L129" s="566"/>
    </row>
    <row r="130" spans="5:12" s="629" customFormat="1" x14ac:dyDescent="0.2">
      <c r="E130" s="623"/>
      <c r="F130" s="630"/>
      <c r="G130" s="566"/>
      <c r="H130" s="566"/>
      <c r="I130" s="578"/>
      <c r="J130" s="566"/>
      <c r="K130" s="566"/>
      <c r="L130" s="566"/>
    </row>
    <row r="131" spans="5:12" s="629" customFormat="1" x14ac:dyDescent="0.2">
      <c r="E131" s="623"/>
      <c r="F131" s="630"/>
      <c r="G131" s="566"/>
      <c r="H131" s="566"/>
      <c r="I131" s="578"/>
      <c r="J131" s="566"/>
      <c r="K131" s="566"/>
      <c r="L131" s="566"/>
    </row>
    <row r="132" spans="5:12" s="629" customFormat="1" x14ac:dyDescent="0.2">
      <c r="E132" s="623"/>
      <c r="F132" s="630"/>
      <c r="G132" s="566"/>
      <c r="H132" s="566"/>
      <c r="I132" s="578"/>
      <c r="J132" s="566"/>
      <c r="K132" s="566"/>
      <c r="L132" s="566"/>
    </row>
    <row r="133" spans="5:12" s="629" customFormat="1" x14ac:dyDescent="0.2">
      <c r="E133" s="623"/>
      <c r="F133" s="630"/>
      <c r="G133" s="566"/>
      <c r="H133" s="566"/>
      <c r="I133" s="578"/>
      <c r="J133" s="566"/>
      <c r="K133" s="566"/>
      <c r="L133" s="566"/>
    </row>
    <row r="134" spans="5:12" s="629" customFormat="1" x14ac:dyDescent="0.2">
      <c r="E134" s="623"/>
      <c r="F134" s="630"/>
      <c r="G134" s="566"/>
      <c r="H134" s="566"/>
      <c r="I134" s="578"/>
      <c r="J134" s="566"/>
      <c r="K134" s="566"/>
      <c r="L134" s="566"/>
    </row>
    <row r="135" spans="5:12" s="629" customFormat="1" x14ac:dyDescent="0.2">
      <c r="E135" s="623"/>
      <c r="F135" s="630"/>
      <c r="G135" s="566"/>
      <c r="H135" s="566"/>
      <c r="I135" s="578"/>
      <c r="J135" s="566"/>
      <c r="K135" s="566"/>
      <c r="L135" s="566"/>
    </row>
    <row r="136" spans="5:12" s="629" customFormat="1" x14ac:dyDescent="0.2">
      <c r="E136" s="623"/>
      <c r="F136" s="630"/>
      <c r="G136" s="566"/>
      <c r="H136" s="566"/>
      <c r="I136" s="578"/>
      <c r="J136" s="566"/>
      <c r="K136" s="566"/>
      <c r="L136" s="566"/>
    </row>
    <row r="137" spans="5:12" s="629" customFormat="1" x14ac:dyDescent="0.2">
      <c r="E137" s="623"/>
      <c r="F137" s="630"/>
      <c r="G137" s="566"/>
      <c r="H137" s="566"/>
      <c r="I137" s="578"/>
      <c r="J137" s="566"/>
      <c r="K137" s="566"/>
      <c r="L137" s="566"/>
    </row>
    <row r="138" spans="5:12" s="629" customFormat="1" x14ac:dyDescent="0.2">
      <c r="E138" s="623"/>
      <c r="F138" s="630"/>
      <c r="G138" s="566"/>
      <c r="H138" s="566"/>
      <c r="I138" s="578"/>
      <c r="J138" s="566"/>
      <c r="K138" s="566"/>
      <c r="L138" s="566"/>
    </row>
    <row r="139" spans="5:12" s="629" customFormat="1" x14ac:dyDescent="0.2">
      <c r="E139" s="623"/>
      <c r="F139" s="630"/>
      <c r="G139" s="566"/>
      <c r="H139" s="566"/>
      <c r="I139" s="578"/>
      <c r="J139" s="566"/>
      <c r="K139" s="566"/>
      <c r="L139" s="566"/>
    </row>
    <row r="140" spans="5:12" s="629" customFormat="1" x14ac:dyDescent="0.2">
      <c r="E140" s="623"/>
      <c r="F140" s="630"/>
      <c r="G140" s="566"/>
      <c r="H140" s="566"/>
      <c r="I140" s="578"/>
      <c r="J140" s="566"/>
      <c r="K140" s="566"/>
      <c r="L140" s="566"/>
    </row>
    <row r="141" spans="5:12" s="629" customFormat="1" x14ac:dyDescent="0.2">
      <c r="E141" s="623"/>
      <c r="F141" s="630"/>
      <c r="G141" s="566"/>
      <c r="H141" s="566"/>
      <c r="I141" s="578"/>
      <c r="J141" s="566"/>
      <c r="K141" s="566"/>
      <c r="L141" s="566"/>
    </row>
    <row r="142" spans="5:12" s="629" customFormat="1" x14ac:dyDescent="0.2">
      <c r="E142" s="623"/>
      <c r="F142" s="630"/>
      <c r="G142" s="566"/>
      <c r="H142" s="566"/>
      <c r="I142" s="578"/>
      <c r="J142" s="566"/>
      <c r="K142" s="566"/>
      <c r="L142" s="566"/>
    </row>
    <row r="143" spans="5:12" s="629" customFormat="1" x14ac:dyDescent="0.2">
      <c r="E143" s="623"/>
      <c r="F143" s="630"/>
      <c r="G143" s="566"/>
      <c r="H143" s="566"/>
      <c r="I143" s="578"/>
      <c r="J143" s="566"/>
      <c r="K143" s="566"/>
      <c r="L143" s="566"/>
    </row>
    <row r="144" spans="5:12" s="629" customFormat="1" x14ac:dyDescent="0.2">
      <c r="E144" s="623"/>
      <c r="F144" s="630"/>
      <c r="G144" s="566"/>
      <c r="H144" s="566"/>
      <c r="I144" s="578"/>
      <c r="J144" s="566"/>
      <c r="K144" s="566"/>
      <c r="L144" s="566"/>
    </row>
    <row r="145" spans="1:17" s="629" customFormat="1" x14ac:dyDescent="0.2">
      <c r="E145" s="623"/>
      <c r="F145" s="630"/>
      <c r="G145" s="566"/>
      <c r="H145" s="566"/>
      <c r="I145" s="578"/>
      <c r="J145" s="566"/>
      <c r="K145" s="566"/>
      <c r="L145" s="566"/>
    </row>
    <row r="146" spans="1:17" s="629" customFormat="1" x14ac:dyDescent="0.2">
      <c r="E146" s="623"/>
      <c r="F146" s="630"/>
      <c r="G146" s="566"/>
      <c r="H146" s="566"/>
      <c r="I146" s="578"/>
      <c r="J146" s="566"/>
      <c r="K146" s="566"/>
      <c r="L146" s="566"/>
    </row>
    <row r="147" spans="1:17" x14ac:dyDescent="0.2">
      <c r="A147" s="629"/>
      <c r="B147" s="629"/>
      <c r="C147" s="629"/>
      <c r="D147" s="629"/>
      <c r="E147" s="623"/>
      <c r="F147" s="630"/>
      <c r="G147" s="566"/>
      <c r="H147" s="566"/>
      <c r="I147" s="578"/>
      <c r="J147" s="566"/>
      <c r="K147" s="566"/>
      <c r="L147" s="566"/>
      <c r="M147" s="629"/>
      <c r="N147" s="629"/>
      <c r="O147" s="629"/>
      <c r="P147" s="629"/>
      <c r="Q147" s="629"/>
    </row>
    <row r="148" spans="1:17" x14ac:dyDescent="0.2">
      <c r="A148" s="629"/>
      <c r="B148" s="629"/>
      <c r="C148" s="629"/>
      <c r="D148" s="629"/>
      <c r="E148" s="623"/>
      <c r="F148" s="630"/>
      <c r="G148" s="566"/>
      <c r="H148" s="566"/>
      <c r="I148" s="578"/>
      <c r="J148" s="566"/>
      <c r="K148" s="566"/>
      <c r="L148" s="566"/>
      <c r="M148" s="629"/>
      <c r="N148" s="629"/>
      <c r="O148" s="629"/>
      <c r="P148" s="629"/>
      <c r="Q148" s="629"/>
    </row>
    <row r="149" spans="1:17" x14ac:dyDescent="0.2">
      <c r="A149" s="629"/>
      <c r="B149" s="629"/>
      <c r="C149" s="629"/>
      <c r="D149" s="629"/>
      <c r="E149" s="623"/>
      <c r="F149" s="630"/>
      <c r="G149" s="566"/>
      <c r="H149" s="566"/>
      <c r="I149" s="578"/>
      <c r="J149" s="566"/>
      <c r="K149" s="566"/>
      <c r="L149" s="566"/>
      <c r="M149" s="629"/>
      <c r="N149" s="629"/>
      <c r="O149" s="629"/>
      <c r="P149" s="629"/>
      <c r="Q149" s="629"/>
    </row>
    <row r="150" spans="1:17" x14ac:dyDescent="0.2">
      <c r="A150" s="629"/>
      <c r="B150" s="629"/>
      <c r="C150" s="629"/>
      <c r="D150" s="629"/>
      <c r="E150" s="623"/>
      <c r="F150" s="630"/>
      <c r="G150" s="566"/>
      <c r="H150" s="566"/>
      <c r="I150" s="578"/>
      <c r="J150" s="566"/>
      <c r="K150" s="566"/>
      <c r="L150" s="566"/>
      <c r="M150" s="629"/>
      <c r="N150" s="629"/>
      <c r="O150" s="629"/>
      <c r="P150" s="629"/>
      <c r="Q150" s="629"/>
    </row>
    <row r="151" spans="1:17" x14ac:dyDescent="0.2">
      <c r="A151" s="629"/>
      <c r="B151" s="629"/>
      <c r="C151" s="629"/>
      <c r="D151" s="629"/>
      <c r="E151" s="623"/>
      <c r="F151" s="630"/>
      <c r="G151" s="566"/>
      <c r="H151" s="566"/>
      <c r="I151" s="578"/>
      <c r="J151" s="566"/>
      <c r="K151" s="566"/>
      <c r="L151" s="566"/>
      <c r="M151" s="629"/>
      <c r="N151" s="629"/>
      <c r="O151" s="629"/>
      <c r="P151" s="629"/>
      <c r="Q151" s="629"/>
    </row>
    <row r="152" spans="1:17" x14ac:dyDescent="0.2">
      <c r="A152" s="629"/>
      <c r="B152" s="629"/>
      <c r="C152" s="629"/>
      <c r="D152" s="629"/>
      <c r="E152" s="623"/>
      <c r="F152" s="630"/>
      <c r="G152" s="566"/>
      <c r="H152" s="566"/>
      <c r="I152" s="578"/>
      <c r="J152" s="566"/>
      <c r="K152" s="566"/>
      <c r="L152" s="566"/>
      <c r="M152" s="629"/>
    </row>
    <row r="153" spans="1:17" x14ac:dyDescent="0.2">
      <c r="A153" s="629"/>
      <c r="B153" s="629"/>
      <c r="C153" s="629"/>
      <c r="D153" s="629"/>
      <c r="E153" s="623"/>
      <c r="F153" s="630"/>
      <c r="G153" s="566"/>
      <c r="H153" s="566"/>
      <c r="I153" s="578"/>
      <c r="J153" s="566"/>
      <c r="K153" s="566"/>
      <c r="L153" s="566"/>
      <c r="M153" s="629"/>
    </row>
    <row r="154" spans="1:17" x14ac:dyDescent="0.2">
      <c r="A154" s="629"/>
      <c r="B154" s="629"/>
      <c r="C154" s="629"/>
      <c r="D154" s="629"/>
      <c r="E154" s="623"/>
      <c r="F154" s="630"/>
      <c r="G154" s="566"/>
      <c r="H154" s="566"/>
      <c r="I154" s="578"/>
      <c r="J154" s="566"/>
      <c r="K154" s="566"/>
      <c r="L154" s="566"/>
      <c r="M154" s="629"/>
    </row>
    <row r="155" spans="1:17" x14ac:dyDescent="0.2">
      <c r="A155" s="629"/>
      <c r="B155" s="629"/>
      <c r="C155" s="629"/>
      <c r="D155" s="629"/>
      <c r="E155" s="623"/>
      <c r="F155" s="630"/>
      <c r="G155" s="566"/>
      <c r="H155" s="566"/>
      <c r="I155" s="578"/>
      <c r="J155" s="566"/>
      <c r="K155" s="566"/>
      <c r="L155" s="566"/>
      <c r="M155" s="629"/>
    </row>
    <row r="156" spans="1:17" x14ac:dyDescent="0.2">
      <c r="J156" s="566"/>
      <c r="K156" s="566"/>
      <c r="L156" s="566"/>
      <c r="M156" s="629"/>
    </row>
    <row r="157" spans="1:17" x14ac:dyDescent="0.2">
      <c r="J157" s="566"/>
      <c r="K157" s="566"/>
      <c r="L157" s="566"/>
      <c r="M157" s="629"/>
    </row>
    <row r="158" spans="1:17" x14ac:dyDescent="0.2">
      <c r="J158" s="566"/>
      <c r="K158" s="566"/>
      <c r="L158" s="566"/>
      <c r="M158" s="629"/>
    </row>
    <row r="159" spans="1:17" x14ac:dyDescent="0.2">
      <c r="J159" s="566"/>
      <c r="K159" s="566"/>
      <c r="L159" s="566"/>
      <c r="M159" s="629"/>
    </row>
    <row r="160" spans="1:17" x14ac:dyDescent="0.2">
      <c r="J160" s="566"/>
      <c r="K160" s="566"/>
      <c r="L160" s="566"/>
      <c r="M160" s="629"/>
    </row>
    <row r="161" spans="10:13" x14ac:dyDescent="0.2">
      <c r="J161" s="566"/>
      <c r="K161" s="566"/>
      <c r="L161" s="566"/>
      <c r="M161" s="629"/>
    </row>
    <row r="162" spans="10:13" x14ac:dyDescent="0.2">
      <c r="K162" s="566"/>
      <c r="L162" s="566"/>
      <c r="M162" s="629"/>
    </row>
    <row r="163" spans="10:13" x14ac:dyDescent="0.2">
      <c r="K163" s="566"/>
      <c r="L163" s="566"/>
      <c r="M163" s="629"/>
    </row>
    <row r="164" spans="10:13" x14ac:dyDescent="0.2">
      <c r="K164" s="566"/>
      <c r="L164" s="566"/>
      <c r="M164" s="629"/>
    </row>
    <row r="165" spans="10:13" x14ac:dyDescent="0.2">
      <c r="L165" s="566"/>
      <c r="M165" s="629"/>
    </row>
    <row r="166" spans="10:13" x14ac:dyDescent="0.2">
      <c r="L166" s="566"/>
      <c r="M166" s="629"/>
    </row>
    <row r="167" spans="10:13" x14ac:dyDescent="0.2">
      <c r="L167" s="566"/>
    </row>
    <row r="168" spans="10:13" x14ac:dyDescent="0.2">
      <c r="L168" s="566"/>
    </row>
    <row r="169" spans="10:13" x14ac:dyDescent="0.2">
      <c r="L169" s="566"/>
    </row>
  </sheetData>
  <mergeCells count="1">
    <mergeCell ref="L7:M7"/>
  </mergeCells>
  <dataValidations count="1">
    <dataValidation type="list" allowBlank="1" showInputMessage="1" showErrorMessage="1" sqref="B5" xr:uid="{C237A235-E173-4C5D-834A-83A526C3A7A4}">
      <formula1>$AB$5:$AB$8</formula1>
    </dataValidation>
  </dataValidations>
  <pageMargins left="0.7" right="0.7" top="0.75" bottom="0.75" header="0.3" footer="0.3"/>
  <pageSetup orientation="portrait" verticalDpi="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6D1E6-72DA-42EF-B789-13D398962224}">
  <dimension ref="A1:Z169"/>
  <sheetViews>
    <sheetView workbookViewId="0">
      <selection activeCell="O39" sqref="O39"/>
    </sheetView>
  </sheetViews>
  <sheetFormatPr defaultColWidth="7.88671875" defaultRowHeight="10.199999999999999" x14ac:dyDescent="0.2"/>
  <cols>
    <col min="1" max="1" width="15.6640625" style="566" bestFit="1" customWidth="1"/>
    <col min="2" max="2" width="9.5546875" style="566" bestFit="1" customWidth="1"/>
    <col min="3" max="3" width="5.109375" style="633" customWidth="1"/>
    <col min="4" max="6" width="7.6640625" style="633" customWidth="1"/>
    <col min="7" max="7" width="12" style="629" bestFit="1" customWidth="1"/>
    <col min="8" max="8" width="9.33203125" style="632" customWidth="1"/>
    <col min="9" max="10" width="8.44140625" style="629" bestFit="1" customWidth="1"/>
    <col min="11" max="11" width="8.44140625" style="623" bestFit="1" customWidth="1"/>
    <col min="12" max="12" width="13.6640625" style="630" bestFit="1" customWidth="1"/>
    <col min="13" max="13" width="6.33203125" style="566" bestFit="1" customWidth="1"/>
    <col min="14" max="14" width="5.6640625" style="566" bestFit="1" customWidth="1"/>
    <col min="15" max="15" width="5.88671875" style="578" bestFit="1" customWidth="1"/>
    <col min="16" max="16" width="5.88671875" style="459" bestFit="1" customWidth="1"/>
    <col min="17" max="17" width="14" style="626" bestFit="1" customWidth="1"/>
    <col min="18" max="18" width="6" style="626" bestFit="1" customWidth="1"/>
    <col min="19" max="19" width="8.6640625" style="626" bestFit="1" customWidth="1"/>
    <col min="20" max="21" width="17.33203125" style="566" bestFit="1" customWidth="1"/>
    <col min="22" max="22" width="9.33203125" style="566" bestFit="1" customWidth="1"/>
    <col min="23" max="27" width="5.33203125" style="566" customWidth="1"/>
    <col min="28" max="28" width="17" style="566" customWidth="1"/>
    <col min="29" max="16384" width="7.88671875" style="566"/>
  </cols>
  <sheetData>
    <row r="1" spans="1:24" s="402" customFormat="1" ht="13.2" x14ac:dyDescent="0.25">
      <c r="A1" s="394" t="s">
        <v>108</v>
      </c>
      <c r="B1" s="395" t="s">
        <v>163</v>
      </c>
      <c r="C1" s="396"/>
      <c r="D1" s="395"/>
      <c r="E1" s="397"/>
      <c r="F1" s="397"/>
      <c r="G1" s="398"/>
      <c r="H1" s="399" t="s">
        <v>109</v>
      </c>
      <c r="I1" s="400">
        <f>C29</f>
        <v>302</v>
      </c>
      <c r="J1" s="401"/>
      <c r="K1" s="395"/>
      <c r="L1" s="395"/>
      <c r="N1" s="403"/>
      <c r="P1" s="404"/>
      <c r="Q1" s="404"/>
      <c r="R1" s="404"/>
      <c r="S1" s="404"/>
    </row>
    <row r="2" spans="1:24" s="402" customFormat="1" ht="13.2" x14ac:dyDescent="0.25">
      <c r="A2" s="405" t="s">
        <v>110</v>
      </c>
      <c r="B2" s="395" t="s">
        <v>201</v>
      </c>
      <c r="C2" s="406"/>
      <c r="D2" s="395"/>
      <c r="E2" s="407"/>
      <c r="F2" s="407"/>
      <c r="G2" s="408"/>
      <c r="H2" s="409" t="s">
        <v>111</v>
      </c>
      <c r="I2" s="410">
        <f>V12</f>
        <v>302</v>
      </c>
      <c r="J2" s="411"/>
      <c r="K2" s="395"/>
      <c r="L2" s="395"/>
      <c r="N2" s="412"/>
      <c r="P2" s="404"/>
      <c r="Q2" s="404"/>
      <c r="R2" s="404"/>
      <c r="S2" s="404"/>
    </row>
    <row r="3" spans="1:24" s="416" customFormat="1" ht="11.25" customHeight="1" x14ac:dyDescent="0.25">
      <c r="A3" s="413" t="s">
        <v>112</v>
      </c>
      <c r="B3" s="665">
        <v>45406</v>
      </c>
      <c r="C3" s="406"/>
      <c r="D3" s="407"/>
      <c r="E3" s="407"/>
      <c r="F3" s="407"/>
      <c r="G3" s="408"/>
      <c r="H3" s="413" t="s">
        <v>113</v>
      </c>
      <c r="I3" s="419">
        <f>V53/100</f>
        <v>2.8963157894736842</v>
      </c>
      <c r="J3" s="411"/>
      <c r="K3" s="395"/>
      <c r="L3" s="395"/>
      <c r="N3" s="417"/>
      <c r="P3" s="418"/>
      <c r="Q3" s="418"/>
      <c r="R3" s="418"/>
      <c r="S3" s="418"/>
    </row>
    <row r="4" spans="1:24" s="402" customFormat="1" ht="13.2" x14ac:dyDescent="0.25">
      <c r="A4" s="413" t="s">
        <v>114</v>
      </c>
      <c r="B4" s="414" t="s">
        <v>202</v>
      </c>
      <c r="C4" s="406"/>
      <c r="D4" s="407"/>
      <c r="E4" s="407"/>
      <c r="F4" s="407"/>
      <c r="G4" s="408"/>
      <c r="H4" s="413" t="s">
        <v>115</v>
      </c>
      <c r="I4" s="419">
        <f>S29</f>
        <v>0.42462765384672868</v>
      </c>
      <c r="J4" s="411"/>
      <c r="K4" s="395"/>
      <c r="L4" s="395"/>
      <c r="M4" s="403"/>
      <c r="N4" s="403"/>
      <c r="P4" s="404"/>
      <c r="Q4" s="404"/>
      <c r="R4" s="404"/>
      <c r="S4" s="404"/>
    </row>
    <row r="5" spans="1:24" s="423" customFormat="1" ht="13.2" x14ac:dyDescent="0.25">
      <c r="A5" s="405" t="s">
        <v>116</v>
      </c>
      <c r="B5" s="420" t="s">
        <v>117</v>
      </c>
      <c r="C5" s="406"/>
      <c r="D5" s="407"/>
      <c r="E5" s="407"/>
      <c r="F5" s="407"/>
      <c r="G5" s="408"/>
      <c r="H5" s="413"/>
      <c r="I5" s="421"/>
      <c r="J5" s="411"/>
      <c r="K5" s="395"/>
      <c r="L5" s="395"/>
      <c r="M5" s="422"/>
      <c r="N5" s="422"/>
      <c r="P5" s="424"/>
      <c r="Q5" s="424"/>
      <c r="R5" s="424"/>
      <c r="S5" s="424"/>
    </row>
    <row r="6" spans="1:24" s="422" customFormat="1" ht="13.8" thickBot="1" x14ac:dyDescent="0.25">
      <c r="A6" s="425"/>
      <c r="B6" s="426"/>
      <c r="C6" s="427"/>
      <c r="D6" s="428"/>
      <c r="E6" s="428"/>
      <c r="F6" s="428"/>
      <c r="G6" s="429"/>
      <c r="H6" s="430"/>
      <c r="I6" s="431"/>
      <c r="J6" s="429"/>
      <c r="K6" s="426"/>
      <c r="L6" s="426"/>
      <c r="M6" s="432"/>
      <c r="P6" s="433"/>
      <c r="Q6" s="433"/>
      <c r="R6" s="433"/>
      <c r="S6" s="433"/>
    </row>
    <row r="7" spans="1:24" s="423" customFormat="1" ht="13.2" customHeight="1" x14ac:dyDescent="0.2">
      <c r="A7" s="888" t="s">
        <v>118</v>
      </c>
      <c r="B7" s="889"/>
      <c r="C7" s="889"/>
      <c r="D7" s="889"/>
      <c r="E7" s="889"/>
      <c r="F7" s="889"/>
      <c r="G7" s="889"/>
      <c r="H7" s="889"/>
      <c r="I7" s="889"/>
      <c r="J7" s="889"/>
      <c r="K7" s="889"/>
      <c r="L7" s="889"/>
      <c r="M7" s="890" t="s">
        <v>119</v>
      </c>
      <c r="N7" s="891"/>
      <c r="O7" s="892"/>
      <c r="P7" s="434" t="s">
        <v>120</v>
      </c>
      <c r="Q7" s="435"/>
      <c r="R7" s="434" t="s">
        <v>121</v>
      </c>
      <c r="S7" s="434"/>
      <c r="T7" s="436"/>
      <c r="U7" s="886" t="s">
        <v>122</v>
      </c>
      <c r="V7" s="887"/>
      <c r="W7" s="422"/>
      <c r="X7" s="422"/>
    </row>
    <row r="8" spans="1:24" s="453" customFormat="1" x14ac:dyDescent="0.2">
      <c r="A8" s="437"/>
      <c r="B8" s="432"/>
      <c r="C8" s="438"/>
      <c r="D8" s="439"/>
      <c r="E8" s="440"/>
      <c r="F8" s="441"/>
      <c r="G8" s="442"/>
      <c r="H8" s="443"/>
      <c r="I8" s="443"/>
      <c r="J8" s="443"/>
      <c r="K8" s="443"/>
      <c r="L8" s="444"/>
      <c r="M8" s="445"/>
      <c r="N8" s="446"/>
      <c r="O8" s="447"/>
      <c r="P8" s="448"/>
      <c r="Q8" s="449"/>
      <c r="R8" s="448"/>
      <c r="S8" s="448"/>
      <c r="T8" s="450"/>
      <c r="U8" s="451"/>
      <c r="V8" s="451"/>
      <c r="W8" s="452"/>
    </row>
    <row r="9" spans="1:24" s="464" customFormat="1" ht="13.2" customHeight="1" x14ac:dyDescent="0.2">
      <c r="A9" s="454"/>
      <c r="B9" s="422"/>
      <c r="C9" s="455"/>
      <c r="D9" s="893" t="s">
        <v>123</v>
      </c>
      <c r="E9" s="894"/>
      <c r="F9" s="895"/>
      <c r="G9" s="456"/>
      <c r="H9" s="896" t="s">
        <v>124</v>
      </c>
      <c r="I9" s="897"/>
      <c r="J9" s="897"/>
      <c r="K9" s="898"/>
      <c r="L9" s="457"/>
      <c r="M9" s="458"/>
      <c r="N9" s="446" t="s">
        <v>125</v>
      </c>
      <c r="O9" s="447"/>
      <c r="P9" s="448"/>
      <c r="Q9" s="449"/>
      <c r="R9" s="459"/>
      <c r="S9" s="459"/>
      <c r="T9" s="450"/>
      <c r="U9" s="460"/>
      <c r="V9" s="461"/>
      <c r="W9" s="462"/>
      <c r="X9" s="463"/>
    </row>
    <row r="10" spans="1:24" s="464" customFormat="1" x14ac:dyDescent="0.2">
      <c r="A10" s="465" t="s">
        <v>126</v>
      </c>
      <c r="B10" s="466" t="s">
        <v>51</v>
      </c>
      <c r="C10" s="467" t="s">
        <v>127</v>
      </c>
      <c r="D10" s="468" t="s">
        <v>128</v>
      </c>
      <c r="E10" s="469" t="s">
        <v>129</v>
      </c>
      <c r="F10" s="470" t="s">
        <v>130</v>
      </c>
      <c r="G10" s="456" t="s">
        <v>131</v>
      </c>
      <c r="H10" s="471" t="s">
        <v>132</v>
      </c>
      <c r="I10" s="471" t="s">
        <v>133</v>
      </c>
      <c r="J10" s="471" t="s">
        <v>134</v>
      </c>
      <c r="K10" s="471" t="s">
        <v>135</v>
      </c>
      <c r="L10" s="457" t="s">
        <v>136</v>
      </c>
      <c r="M10" s="472" t="s">
        <v>137</v>
      </c>
      <c r="N10" s="473" t="s">
        <v>138</v>
      </c>
      <c r="O10" s="474" t="s">
        <v>139</v>
      </c>
      <c r="P10" s="475" t="s">
        <v>140</v>
      </c>
      <c r="Q10" s="449" t="s">
        <v>141</v>
      </c>
      <c r="R10" s="475" t="s">
        <v>141</v>
      </c>
      <c r="S10" s="475" t="s">
        <v>140</v>
      </c>
      <c r="T10" s="476" t="s">
        <v>142</v>
      </c>
      <c r="U10" s="460" t="s">
        <v>143</v>
      </c>
      <c r="V10" s="460" t="s">
        <v>144</v>
      </c>
      <c r="W10" s="477"/>
    </row>
    <row r="11" spans="1:24" s="464" customFormat="1" ht="12" thickBot="1" x14ac:dyDescent="0.25">
      <c r="A11" s="478" t="s">
        <v>145</v>
      </c>
      <c r="B11" s="479" t="s">
        <v>145</v>
      </c>
      <c r="C11" s="480" t="s">
        <v>146</v>
      </c>
      <c r="D11" s="481" t="s">
        <v>147</v>
      </c>
      <c r="E11" s="482" t="s">
        <v>147</v>
      </c>
      <c r="F11" s="483" t="s">
        <v>147</v>
      </c>
      <c r="G11" s="484" t="s">
        <v>147</v>
      </c>
      <c r="H11" s="485" t="s">
        <v>147</v>
      </c>
      <c r="I11" s="485" t="s">
        <v>147</v>
      </c>
      <c r="J11" s="485" t="s">
        <v>147</v>
      </c>
      <c r="K11" s="485" t="s">
        <v>147</v>
      </c>
      <c r="L11" s="486" t="s">
        <v>147</v>
      </c>
      <c r="M11" s="487" t="s">
        <v>148</v>
      </c>
      <c r="N11" s="488" t="s">
        <v>146</v>
      </c>
      <c r="O11" s="489" t="s">
        <v>146</v>
      </c>
      <c r="P11" s="490" t="s">
        <v>149</v>
      </c>
      <c r="Q11" s="491" t="s">
        <v>150</v>
      </c>
      <c r="R11" s="492" t="s">
        <v>36</v>
      </c>
      <c r="S11" s="492" t="s">
        <v>151</v>
      </c>
      <c r="T11" s="493"/>
      <c r="U11" s="494"/>
      <c r="V11" s="495" t="s">
        <v>147</v>
      </c>
      <c r="W11" s="477"/>
    </row>
    <row r="12" spans="1:24" s="464" customFormat="1" x14ac:dyDescent="0.3">
      <c r="A12" s="496" t="s">
        <v>152</v>
      </c>
      <c r="B12" s="497"/>
      <c r="C12" s="498">
        <v>0</v>
      </c>
      <c r="D12" s="499" t="s">
        <v>153</v>
      </c>
      <c r="E12" s="500" t="s">
        <v>153</v>
      </c>
      <c r="F12" s="501" t="s">
        <v>153</v>
      </c>
      <c r="G12" s="502" t="s">
        <v>153</v>
      </c>
      <c r="H12" s="500" t="s">
        <v>153</v>
      </c>
      <c r="I12" s="500" t="s">
        <v>153</v>
      </c>
      <c r="J12" s="500" t="s">
        <v>153</v>
      </c>
      <c r="K12" s="500" t="s">
        <v>153</v>
      </c>
      <c r="L12" s="503" t="s">
        <v>153</v>
      </c>
      <c r="M12" s="504"/>
      <c r="N12" s="505"/>
      <c r="O12" s="506"/>
      <c r="P12" s="507"/>
      <c r="Q12" s="508"/>
      <c r="R12" s="509"/>
      <c r="S12" s="510"/>
      <c r="T12" s="511"/>
      <c r="U12" s="512" t="s">
        <v>197</v>
      </c>
      <c r="V12" s="513">
        <v>302</v>
      </c>
      <c r="W12" s="514"/>
    </row>
    <row r="13" spans="1:24" s="464" customFormat="1" x14ac:dyDescent="0.3">
      <c r="A13" s="515">
        <v>305</v>
      </c>
      <c r="B13" s="516">
        <v>0</v>
      </c>
      <c r="C13" s="504">
        <v>10</v>
      </c>
      <c r="D13" s="517" t="s">
        <v>153</v>
      </c>
      <c r="E13" s="518" t="s">
        <v>153</v>
      </c>
      <c r="F13" s="519" t="s">
        <v>153</v>
      </c>
      <c r="G13" s="520" t="s">
        <v>153</v>
      </c>
      <c r="H13" s="518" t="s">
        <v>153</v>
      </c>
      <c r="I13" s="518" t="s">
        <v>153</v>
      </c>
      <c r="J13" s="518" t="s">
        <v>153</v>
      </c>
      <c r="K13" s="518" t="s">
        <v>153</v>
      </c>
      <c r="L13" s="521" t="s">
        <v>153</v>
      </c>
      <c r="M13" s="504">
        <v>966</v>
      </c>
      <c r="N13" s="522">
        <f>C12</f>
        <v>0</v>
      </c>
      <c r="O13" s="523">
        <f>(C13+C14-10)/2</f>
        <v>10</v>
      </c>
      <c r="P13" s="524">
        <f t="shared" ref="P13:P18" si="0">(A13-B13)/M13</f>
        <v>0.31573498964803315</v>
      </c>
      <c r="Q13" s="525">
        <f t="shared" ref="Q13:Q18" si="1">(P13*(O13-N13))/100</f>
        <v>3.1573498964803319E-2</v>
      </c>
      <c r="R13" s="526">
        <f>SUM(Q$13:Q13)</f>
        <v>3.1573498964803319E-2</v>
      </c>
      <c r="S13" s="527">
        <f t="shared" ref="S13:S18" si="2">R13/O13*100</f>
        <v>0.3157349896480332</v>
      </c>
      <c r="T13" s="528"/>
      <c r="U13" s="529" t="s">
        <v>204</v>
      </c>
      <c r="V13" s="530">
        <v>318</v>
      </c>
      <c r="W13" s="477"/>
    </row>
    <row r="14" spans="1:24" s="464" customFormat="1" x14ac:dyDescent="0.3">
      <c r="A14" s="515">
        <v>275</v>
      </c>
      <c r="B14" s="516">
        <v>0</v>
      </c>
      <c r="C14" s="504">
        <v>20</v>
      </c>
      <c r="D14" s="517" t="s">
        <v>153</v>
      </c>
      <c r="E14" s="518" t="s">
        <v>153</v>
      </c>
      <c r="F14" s="519" t="s">
        <v>153</v>
      </c>
      <c r="G14" s="520" t="s">
        <v>153</v>
      </c>
      <c r="H14" s="518" t="s">
        <v>153</v>
      </c>
      <c r="I14" s="518" t="s">
        <v>153</v>
      </c>
      <c r="J14" s="518" t="s">
        <v>153</v>
      </c>
      <c r="K14" s="518" t="s">
        <v>153</v>
      </c>
      <c r="L14" s="521" t="s">
        <v>153</v>
      </c>
      <c r="M14" s="504">
        <v>966</v>
      </c>
      <c r="N14" s="522">
        <f>(C13+C14-10)/2</f>
        <v>10</v>
      </c>
      <c r="O14" s="523">
        <f>(C14+C15-10)/2</f>
        <v>20</v>
      </c>
      <c r="P14" s="524">
        <f t="shared" si="0"/>
        <v>0.28467908902691513</v>
      </c>
      <c r="Q14" s="525">
        <f t="shared" si="1"/>
        <v>2.8467908902691512E-2</v>
      </c>
      <c r="R14" s="526">
        <f>SUM(Q$13:Q14)</f>
        <v>6.0041407867494831E-2</v>
      </c>
      <c r="S14" s="527">
        <f t="shared" si="2"/>
        <v>0.30020703933747417</v>
      </c>
      <c r="T14" s="528"/>
      <c r="U14" s="529" t="s">
        <v>205</v>
      </c>
      <c r="V14" s="530">
        <v>317</v>
      </c>
      <c r="W14" s="477"/>
    </row>
    <row r="15" spans="1:24" s="464" customFormat="1" x14ac:dyDescent="0.3">
      <c r="A15" s="515">
        <v>340</v>
      </c>
      <c r="B15" s="516">
        <v>0</v>
      </c>
      <c r="C15" s="504">
        <v>30</v>
      </c>
      <c r="D15" s="517" t="s">
        <v>153</v>
      </c>
      <c r="E15" s="518" t="s">
        <v>153</v>
      </c>
      <c r="F15" s="519" t="s">
        <v>153</v>
      </c>
      <c r="G15" s="520" t="s">
        <v>153</v>
      </c>
      <c r="H15" s="518" t="s">
        <v>153</v>
      </c>
      <c r="I15" s="518" t="s">
        <v>153</v>
      </c>
      <c r="J15" s="518" t="s">
        <v>153</v>
      </c>
      <c r="K15" s="518" t="s">
        <v>153</v>
      </c>
      <c r="L15" s="521" t="s">
        <v>153</v>
      </c>
      <c r="M15" s="504">
        <v>966</v>
      </c>
      <c r="N15" s="522">
        <f>(C14+C15-10)/2</f>
        <v>20</v>
      </c>
      <c r="O15" s="523">
        <f>(C15+C16-10)/2</f>
        <v>30</v>
      </c>
      <c r="P15" s="524">
        <f t="shared" si="0"/>
        <v>0.35196687370600416</v>
      </c>
      <c r="Q15" s="525">
        <f t="shared" si="1"/>
        <v>3.5196687370600416E-2</v>
      </c>
      <c r="R15" s="526">
        <f>SUM(Q$13:Q15)</f>
        <v>9.5238095238095247E-2</v>
      </c>
      <c r="S15" s="527">
        <f t="shared" si="2"/>
        <v>0.3174603174603175</v>
      </c>
      <c r="T15" s="528"/>
      <c r="U15" s="529" t="s">
        <v>206</v>
      </c>
      <c r="V15" s="531">
        <v>309</v>
      </c>
      <c r="W15" s="477"/>
    </row>
    <row r="16" spans="1:24" s="464" customFormat="1" x14ac:dyDescent="0.3">
      <c r="A16" s="532">
        <v>350</v>
      </c>
      <c r="B16" s="516">
        <v>0</v>
      </c>
      <c r="C16" s="504">
        <v>40</v>
      </c>
      <c r="D16" s="517" t="s">
        <v>153</v>
      </c>
      <c r="E16" s="518" t="s">
        <v>153</v>
      </c>
      <c r="F16" s="519" t="s">
        <v>153</v>
      </c>
      <c r="G16" s="520" t="s">
        <v>153</v>
      </c>
      <c r="H16" s="518" t="s">
        <v>153</v>
      </c>
      <c r="I16" s="518" t="s">
        <v>153</v>
      </c>
      <c r="J16" s="518" t="s">
        <v>153</v>
      </c>
      <c r="K16" s="518" t="s">
        <v>153</v>
      </c>
      <c r="L16" s="521" t="s">
        <v>153</v>
      </c>
      <c r="M16" s="504">
        <v>966</v>
      </c>
      <c r="N16" s="522">
        <f>(C15+C16-10)/2</f>
        <v>30</v>
      </c>
      <c r="O16" s="523">
        <f>(C16+C17-10)/2</f>
        <v>40</v>
      </c>
      <c r="P16" s="524">
        <f t="shared" si="0"/>
        <v>0.36231884057971014</v>
      </c>
      <c r="Q16" s="525">
        <f t="shared" si="1"/>
        <v>3.6231884057971016E-2</v>
      </c>
      <c r="R16" s="526">
        <f>SUM(Q$13:Q16)</f>
        <v>0.13146997929606627</v>
      </c>
      <c r="S16" s="527">
        <f t="shared" si="2"/>
        <v>0.32867494824016569</v>
      </c>
      <c r="T16" s="528"/>
      <c r="U16" s="529" t="s">
        <v>207</v>
      </c>
      <c r="V16" s="530">
        <v>308</v>
      </c>
      <c r="W16" s="477"/>
    </row>
    <row r="17" spans="1:25" s="464" customFormat="1" x14ac:dyDescent="0.3">
      <c r="A17" s="532">
        <v>350</v>
      </c>
      <c r="B17" s="516">
        <v>0</v>
      </c>
      <c r="C17" s="504">
        <v>50</v>
      </c>
      <c r="D17" s="517" t="s">
        <v>153</v>
      </c>
      <c r="E17" s="518" t="s">
        <v>153</v>
      </c>
      <c r="F17" s="519" t="s">
        <v>153</v>
      </c>
      <c r="G17" s="520" t="s">
        <v>153</v>
      </c>
      <c r="H17" s="518" t="s">
        <v>153</v>
      </c>
      <c r="I17" s="518" t="s">
        <v>153</v>
      </c>
      <c r="J17" s="518" t="s">
        <v>153</v>
      </c>
      <c r="K17" s="518" t="s">
        <v>153</v>
      </c>
      <c r="L17" s="521" t="s">
        <v>153</v>
      </c>
      <c r="M17" s="504">
        <v>966</v>
      </c>
      <c r="N17" s="522">
        <f>(C16+C17-10)/2</f>
        <v>40</v>
      </c>
      <c r="O17" s="523">
        <f>(C17+C18-10)/2</f>
        <v>50</v>
      </c>
      <c r="P17" s="524">
        <f t="shared" si="0"/>
        <v>0.36231884057971014</v>
      </c>
      <c r="Q17" s="525">
        <f t="shared" si="1"/>
        <v>3.6231884057971016E-2</v>
      </c>
      <c r="R17" s="526">
        <f>SUM(Q$13:Q17)</f>
        <v>0.16770186335403728</v>
      </c>
      <c r="S17" s="527">
        <f t="shared" si="2"/>
        <v>0.33540372670807456</v>
      </c>
      <c r="T17" s="528" t="s">
        <v>155</v>
      </c>
      <c r="U17" s="529" t="s">
        <v>226</v>
      </c>
      <c r="V17" s="530">
        <v>277</v>
      </c>
      <c r="W17" s="462"/>
    </row>
    <row r="18" spans="1:25" s="464" customFormat="1" x14ac:dyDescent="0.3">
      <c r="A18" s="532">
        <v>385</v>
      </c>
      <c r="B18" s="516">
        <v>0</v>
      </c>
      <c r="C18" s="504">
        <v>60</v>
      </c>
      <c r="D18" s="517" t="s">
        <v>153</v>
      </c>
      <c r="E18" s="518" t="s">
        <v>153</v>
      </c>
      <c r="F18" s="519" t="s">
        <v>153</v>
      </c>
      <c r="G18" s="520" t="s">
        <v>153</v>
      </c>
      <c r="H18" s="518" t="s">
        <v>153</v>
      </c>
      <c r="I18" s="518" t="s">
        <v>153</v>
      </c>
      <c r="J18" s="518" t="s">
        <v>153</v>
      </c>
      <c r="K18" s="518" t="s">
        <v>153</v>
      </c>
      <c r="L18" s="521" t="s">
        <v>153</v>
      </c>
      <c r="M18" s="504">
        <v>966</v>
      </c>
      <c r="N18" s="522">
        <f>(C17+C18-10)/2</f>
        <v>50</v>
      </c>
      <c r="O18" s="523">
        <f>(C18+C25-G25)/2</f>
        <v>62.399999999999991</v>
      </c>
      <c r="P18" s="524">
        <f t="shared" si="0"/>
        <v>0.39855072463768115</v>
      </c>
      <c r="Q18" s="525">
        <f t="shared" si="1"/>
        <v>4.9420289855072429E-2</v>
      </c>
      <c r="R18" s="526">
        <f>SUM(Q$13:Q18)</f>
        <v>0.21712215320910971</v>
      </c>
      <c r="S18" s="527">
        <f t="shared" si="2"/>
        <v>0.34795216860434253</v>
      </c>
      <c r="T18" s="533"/>
      <c r="U18" s="529" t="s">
        <v>227</v>
      </c>
      <c r="V18" s="530">
        <v>295</v>
      </c>
      <c r="W18" s="462"/>
    </row>
    <row r="19" spans="1:25" s="464" customFormat="1" ht="10.199999999999999" customHeight="1" x14ac:dyDescent="0.3">
      <c r="A19" s="532"/>
      <c r="B19" s="516"/>
      <c r="C19" s="504"/>
      <c r="D19" s="517"/>
      <c r="E19" s="518"/>
      <c r="F19" s="519"/>
      <c r="G19" s="520"/>
      <c r="H19" s="518"/>
      <c r="I19" s="518"/>
      <c r="J19" s="518"/>
      <c r="K19" s="518"/>
      <c r="L19" s="521"/>
      <c r="M19" s="504"/>
      <c r="N19" s="522"/>
      <c r="O19" s="523"/>
      <c r="P19" s="524"/>
      <c r="Q19" s="525"/>
      <c r="R19" s="526"/>
      <c r="S19" s="527"/>
      <c r="T19" s="533"/>
      <c r="U19" s="529" t="s">
        <v>228</v>
      </c>
      <c r="V19" s="530">
        <v>282</v>
      </c>
      <c r="W19" s="534"/>
    </row>
    <row r="20" spans="1:25" s="464" customFormat="1" x14ac:dyDescent="0.3">
      <c r="A20" s="532"/>
      <c r="B20" s="516"/>
      <c r="C20" s="504"/>
      <c r="D20" s="517"/>
      <c r="E20" s="518"/>
      <c r="F20" s="519"/>
      <c r="G20" s="520"/>
      <c r="H20" s="518"/>
      <c r="I20" s="518"/>
      <c r="J20" s="518"/>
      <c r="K20" s="518"/>
      <c r="L20" s="521"/>
      <c r="M20" s="504"/>
      <c r="N20" s="522"/>
      <c r="O20" s="523"/>
      <c r="P20" s="524"/>
      <c r="Q20" s="525"/>
      <c r="R20" s="526"/>
      <c r="S20" s="527"/>
      <c r="T20" s="528"/>
      <c r="U20" s="529" t="s">
        <v>229</v>
      </c>
      <c r="V20" s="530">
        <v>295</v>
      </c>
      <c r="W20" s="535"/>
    </row>
    <row r="21" spans="1:25" s="537" customFormat="1" x14ac:dyDescent="0.3">
      <c r="A21" s="532"/>
      <c r="B21" s="516"/>
      <c r="C21" s="504"/>
      <c r="D21" s="517"/>
      <c r="E21" s="518"/>
      <c r="F21" s="519"/>
      <c r="G21" s="520"/>
      <c r="H21" s="518"/>
      <c r="I21" s="518"/>
      <c r="J21" s="518"/>
      <c r="K21" s="518"/>
      <c r="L21" s="521"/>
      <c r="M21" s="504"/>
      <c r="N21" s="522"/>
      <c r="O21" s="523"/>
      <c r="P21" s="524"/>
      <c r="Q21" s="525"/>
      <c r="R21" s="526"/>
      <c r="S21" s="527"/>
      <c r="T21" s="536"/>
      <c r="U21" s="529" t="s">
        <v>230</v>
      </c>
      <c r="V21" s="530">
        <v>267</v>
      </c>
      <c r="W21" s="535"/>
    </row>
    <row r="22" spans="1:25" s="537" customFormat="1" x14ac:dyDescent="0.3">
      <c r="A22" s="532"/>
      <c r="B22" s="516"/>
      <c r="C22" s="504"/>
      <c r="D22" s="517"/>
      <c r="E22" s="518"/>
      <c r="F22" s="519"/>
      <c r="G22" s="520"/>
      <c r="H22" s="518"/>
      <c r="I22" s="518"/>
      <c r="J22" s="518"/>
      <c r="K22" s="518"/>
      <c r="L22" s="521"/>
      <c r="M22" s="504"/>
      <c r="N22" s="522"/>
      <c r="O22" s="523"/>
      <c r="P22" s="524"/>
      <c r="Q22" s="525"/>
      <c r="R22" s="526"/>
      <c r="S22" s="527"/>
      <c r="T22" s="538"/>
      <c r="U22" s="529" t="s">
        <v>231</v>
      </c>
      <c r="V22" s="539">
        <v>292</v>
      </c>
      <c r="W22" s="535"/>
    </row>
    <row r="23" spans="1:25" s="537" customFormat="1" ht="10.8" thickBot="1" x14ac:dyDescent="0.35">
      <c r="A23" s="540"/>
      <c r="B23" s="541"/>
      <c r="C23" s="542"/>
      <c r="D23" s="543"/>
      <c r="E23" s="542"/>
      <c r="F23" s="544"/>
      <c r="G23" s="545"/>
      <c r="H23" s="542"/>
      <c r="I23" s="542"/>
      <c r="J23" s="542"/>
      <c r="K23" s="542"/>
      <c r="L23" s="546"/>
      <c r="M23" s="542"/>
      <c r="N23" s="547"/>
      <c r="O23" s="548"/>
      <c r="P23" s="549"/>
      <c r="Q23" s="550"/>
      <c r="R23" s="551"/>
      <c r="S23" s="552"/>
      <c r="T23" s="553"/>
      <c r="U23" s="529" t="s">
        <v>232</v>
      </c>
      <c r="V23" s="554">
        <v>283</v>
      </c>
      <c r="W23" s="555"/>
    </row>
    <row r="24" spans="1:25" s="537" customFormat="1" x14ac:dyDescent="0.3">
      <c r="A24" s="556" t="s">
        <v>156</v>
      </c>
      <c r="B24" s="516"/>
      <c r="C24" s="504"/>
      <c r="D24" s="557"/>
      <c r="E24" s="504"/>
      <c r="F24" s="558"/>
      <c r="G24" s="559"/>
      <c r="H24" s="504"/>
      <c r="I24" s="504"/>
      <c r="J24" s="504"/>
      <c r="K24" s="504"/>
      <c r="L24" s="560"/>
      <c r="M24" s="504"/>
      <c r="N24" s="522"/>
      <c r="O24" s="523"/>
      <c r="P24" s="524"/>
      <c r="Q24" s="525"/>
      <c r="R24" s="526"/>
      <c r="S24" s="527"/>
      <c r="T24" s="538"/>
      <c r="U24" s="529" t="s">
        <v>233</v>
      </c>
      <c r="V24" s="554">
        <v>288</v>
      </c>
      <c r="W24" s="555"/>
    </row>
    <row r="25" spans="1:25" s="537" customFormat="1" x14ac:dyDescent="0.3">
      <c r="A25" s="532">
        <v>440</v>
      </c>
      <c r="B25" s="516">
        <v>0</v>
      </c>
      <c r="C25" s="504">
        <f>C26-D26</f>
        <v>105.2</v>
      </c>
      <c r="D25" s="561">
        <v>40.4</v>
      </c>
      <c r="E25" s="562"/>
      <c r="F25" s="563"/>
      <c r="G25" s="564">
        <f>AVERAGE(D25:F25)</f>
        <v>40.4</v>
      </c>
      <c r="H25" s="562">
        <v>5.7</v>
      </c>
      <c r="I25" s="562"/>
      <c r="J25" s="562"/>
      <c r="K25" s="562"/>
      <c r="L25" s="565">
        <f>AVERAGE(H25:K25)</f>
        <v>5.7</v>
      </c>
      <c r="M25" s="504">
        <f>G25*    PI()* (L25/2)^2</f>
        <v>1030.9104876828371</v>
      </c>
      <c r="N25" s="522">
        <f>(C18+C25-G25)/2</f>
        <v>62.399999999999991</v>
      </c>
      <c r="O25" s="523">
        <f>(C25+C26-G26)/2</f>
        <v>105.19999999999999</v>
      </c>
      <c r="P25" s="524">
        <f>(A25-B25)/M25</f>
        <v>0.42680718186210498</v>
      </c>
      <c r="Q25" s="525">
        <f>(P25*(O25-N25))/100</f>
        <v>0.1826734738369809</v>
      </c>
      <c r="R25" s="526">
        <f>SUM(Q$13:Q25)</f>
        <v>0.39979562704609062</v>
      </c>
      <c r="S25" s="527">
        <f>R25/O25*100</f>
        <v>0.38003386601339417</v>
      </c>
      <c r="T25" s="538"/>
      <c r="U25" s="529" t="s">
        <v>234</v>
      </c>
      <c r="V25" s="554">
        <v>301</v>
      </c>
      <c r="W25" s="555"/>
    </row>
    <row r="26" spans="1:25" s="537" customFormat="1" x14ac:dyDescent="0.3">
      <c r="A26" s="532">
        <v>490</v>
      </c>
      <c r="B26" s="516">
        <v>0</v>
      </c>
      <c r="C26" s="504">
        <f>172-20</f>
        <v>152</v>
      </c>
      <c r="D26" s="561">
        <v>46.8</v>
      </c>
      <c r="E26" s="562"/>
      <c r="F26" s="563"/>
      <c r="G26" s="564">
        <f>AVERAGE(D26:F26)</f>
        <v>46.8</v>
      </c>
      <c r="H26" s="562">
        <v>5.7</v>
      </c>
      <c r="I26" s="562"/>
      <c r="J26" s="562"/>
      <c r="K26" s="562"/>
      <c r="L26" s="565">
        <f>AVERAGE(H26:K26)</f>
        <v>5.7</v>
      </c>
      <c r="M26" s="504">
        <f>G26*    PI()* (L26/2)^2</f>
        <v>1194.2230401870488</v>
      </c>
      <c r="N26" s="522">
        <f>(C25+C26-G26)/2</f>
        <v>105.19999999999999</v>
      </c>
      <c r="O26" s="523">
        <f>(C26+C27-G27)/2</f>
        <v>151.30000000000001</v>
      </c>
      <c r="P26" s="524">
        <f>(A26-B26)/M26</f>
        <v>0.41030861364327076</v>
      </c>
      <c r="Q26" s="525">
        <f>(P26*(O26-N26))/100</f>
        <v>0.18915227088954789</v>
      </c>
      <c r="R26" s="526">
        <f>SUM(Q$13:Q26)</f>
        <v>0.58894789793563851</v>
      </c>
      <c r="S26" s="527">
        <f>R26/O26*100</f>
        <v>0.38925835950802279</v>
      </c>
      <c r="T26" s="538"/>
      <c r="U26" s="529" t="s">
        <v>235</v>
      </c>
      <c r="V26" s="530">
        <v>282</v>
      </c>
      <c r="W26" s="555"/>
    </row>
    <row r="27" spans="1:25" s="537" customFormat="1" x14ac:dyDescent="0.3">
      <c r="A27" s="532">
        <v>495</v>
      </c>
      <c r="B27" s="516">
        <v>0</v>
      </c>
      <c r="C27" s="504">
        <f>C28-D28</f>
        <v>194</v>
      </c>
      <c r="D27" s="561">
        <v>43.4</v>
      </c>
      <c r="E27" s="562"/>
      <c r="F27" s="563"/>
      <c r="G27" s="564">
        <f>AVERAGE(D27:F27)</f>
        <v>43.4</v>
      </c>
      <c r="H27" s="562">
        <v>5.7</v>
      </c>
      <c r="I27" s="562"/>
      <c r="J27" s="562"/>
      <c r="K27" s="562"/>
      <c r="L27" s="565">
        <f>AVERAGE(H27:K27)</f>
        <v>5.7</v>
      </c>
      <c r="M27" s="504">
        <f>G27*    PI()* (L27/2)^2</f>
        <v>1107.4632466691864</v>
      </c>
      <c r="N27" s="522">
        <f>(C26+C27-G27)/2</f>
        <v>151.30000000000001</v>
      </c>
      <c r="O27" s="523">
        <f>(C27+C28-G28)/2</f>
        <v>194</v>
      </c>
      <c r="P27" s="524">
        <f>(A27-B27)/M27</f>
        <v>0.44696742893162839</v>
      </c>
      <c r="Q27" s="525">
        <f>(P27*(O27-N27))/100</f>
        <v>0.19085509215380525</v>
      </c>
      <c r="R27" s="526">
        <f>SUM(Q$13:Q27)</f>
        <v>0.77980299008944376</v>
      </c>
      <c r="S27" s="527">
        <f>R27/O27*100</f>
        <v>0.40196030416981643</v>
      </c>
      <c r="T27" s="538"/>
      <c r="U27" s="529" t="s">
        <v>237</v>
      </c>
      <c r="V27" s="530">
        <v>276</v>
      </c>
      <c r="W27" s="555"/>
    </row>
    <row r="28" spans="1:25" s="537" customFormat="1" x14ac:dyDescent="0.3">
      <c r="A28" s="532">
        <v>540</v>
      </c>
      <c r="B28" s="516">
        <v>0</v>
      </c>
      <c r="C28" s="504">
        <f>260-20</f>
        <v>240</v>
      </c>
      <c r="D28" s="561">
        <v>46</v>
      </c>
      <c r="E28" s="562"/>
      <c r="F28" s="563"/>
      <c r="G28" s="564">
        <f>AVERAGE(D28:F28)</f>
        <v>46</v>
      </c>
      <c r="H28" s="562">
        <v>5.7</v>
      </c>
      <c r="I28" s="562"/>
      <c r="J28" s="562"/>
      <c r="K28" s="562"/>
      <c r="L28" s="565">
        <f>AVERAGE(H28:K28)</f>
        <v>5.7</v>
      </c>
      <c r="M28" s="504">
        <f>G28*    PI()* (L28/2)^2</f>
        <v>1173.8089711240223</v>
      </c>
      <c r="N28" s="522">
        <f>(C27+C28-G28)/2</f>
        <v>194</v>
      </c>
      <c r="O28" s="523">
        <f>(C28+C29-G29)/2</f>
        <v>242</v>
      </c>
      <c r="P28" s="524">
        <f>(A28-B28)/M28</f>
        <v>0.46004078456045872</v>
      </c>
      <c r="Q28" s="525">
        <f>(P28*(O28-N28))/100</f>
        <v>0.22081957658902021</v>
      </c>
      <c r="R28" s="526">
        <f>SUM(Q$13:Q28)</f>
        <v>1.0006225666784641</v>
      </c>
      <c r="S28" s="527">
        <f>R28/O28*100</f>
        <v>0.41348039945391074</v>
      </c>
      <c r="T28" s="538"/>
      <c r="U28" s="529" t="s">
        <v>238</v>
      </c>
      <c r="V28" s="530">
        <v>265</v>
      </c>
      <c r="W28" s="555"/>
    </row>
    <row r="29" spans="1:25" x14ac:dyDescent="0.2">
      <c r="A29" s="532">
        <v>695</v>
      </c>
      <c r="B29" s="516">
        <v>0</v>
      </c>
      <c r="C29" s="504">
        <f>322-20</f>
        <v>302</v>
      </c>
      <c r="D29" s="561">
        <v>58</v>
      </c>
      <c r="E29" s="562"/>
      <c r="F29" s="563"/>
      <c r="G29" s="564">
        <f>AVERAGE(D29:F29)</f>
        <v>58</v>
      </c>
      <c r="H29" s="562">
        <v>5.7</v>
      </c>
      <c r="I29" s="562"/>
      <c r="J29" s="562"/>
      <c r="K29" s="562"/>
      <c r="L29" s="565">
        <f>AVERAGE(H29:K29)</f>
        <v>5.7</v>
      </c>
      <c r="M29" s="504">
        <f>G29*    PI()* (L29/2)^2</f>
        <v>1480.0200070694195</v>
      </c>
      <c r="N29" s="522">
        <f>(C28+C29-G29)/2</f>
        <v>242</v>
      </c>
      <c r="O29" s="523">
        <f>C29</f>
        <v>302</v>
      </c>
      <c r="P29" s="524">
        <f>(A29-B29)/M29</f>
        <v>0.46958824656442727</v>
      </c>
      <c r="Q29" s="525">
        <f>(P29*(O29-N29))/100</f>
        <v>0.28175294793865635</v>
      </c>
      <c r="R29" s="526">
        <f>SUM(Q$13:Q29)</f>
        <v>1.2823755146171205</v>
      </c>
      <c r="S29" s="527">
        <f>R29/O29*100</f>
        <v>0.42462765384672868</v>
      </c>
      <c r="T29" s="538" t="s">
        <v>203</v>
      </c>
      <c r="U29" s="529" t="s">
        <v>239</v>
      </c>
      <c r="V29" s="530">
        <v>271</v>
      </c>
      <c r="W29" s="555"/>
      <c r="X29" s="537"/>
      <c r="Y29" s="537"/>
    </row>
    <row r="30" spans="1:25" x14ac:dyDescent="0.2">
      <c r="A30" s="532"/>
      <c r="B30" s="516"/>
      <c r="C30" s="504"/>
      <c r="D30" s="561"/>
      <c r="E30" s="562"/>
      <c r="F30" s="563"/>
      <c r="G30" s="564"/>
      <c r="H30" s="562"/>
      <c r="I30" s="562"/>
      <c r="J30" s="562"/>
      <c r="K30" s="562"/>
      <c r="L30" s="565"/>
      <c r="M30" s="504"/>
      <c r="N30" s="522"/>
      <c r="O30" s="523"/>
      <c r="P30" s="524"/>
      <c r="Q30" s="525"/>
      <c r="R30" s="526"/>
      <c r="S30" s="527"/>
      <c r="T30" s="538"/>
      <c r="U30" s="529" t="s">
        <v>240</v>
      </c>
      <c r="V30" s="530">
        <v>275</v>
      </c>
      <c r="W30" s="555"/>
      <c r="X30" s="537"/>
      <c r="Y30" s="537"/>
    </row>
    <row r="31" spans="1:25" x14ac:dyDescent="0.2">
      <c r="A31" s="532"/>
      <c r="B31" s="516"/>
      <c r="C31" s="504"/>
      <c r="D31" s="561"/>
      <c r="E31" s="562"/>
      <c r="F31" s="563"/>
      <c r="G31" s="564"/>
      <c r="H31" s="562"/>
      <c r="I31" s="562"/>
      <c r="J31" s="562"/>
      <c r="K31" s="562"/>
      <c r="L31" s="565"/>
      <c r="M31" s="504"/>
      <c r="N31" s="522"/>
      <c r="O31" s="523"/>
      <c r="P31" s="524"/>
      <c r="Q31" s="525"/>
      <c r="R31" s="526"/>
      <c r="S31" s="527"/>
      <c r="T31" s="538"/>
      <c r="U31" s="529" t="s">
        <v>154</v>
      </c>
      <c r="V31" s="530"/>
      <c r="W31" s="555"/>
      <c r="X31" s="537"/>
      <c r="Y31" s="537"/>
    </row>
    <row r="32" spans="1:25" x14ac:dyDescent="0.2">
      <c r="A32" s="532"/>
      <c r="B32" s="516"/>
      <c r="C32" s="504"/>
      <c r="D32" s="561"/>
      <c r="E32" s="562"/>
      <c r="F32" s="563"/>
      <c r="G32" s="564"/>
      <c r="H32" s="562"/>
      <c r="I32" s="562"/>
      <c r="J32" s="562"/>
      <c r="K32" s="562"/>
      <c r="L32" s="565"/>
      <c r="M32" s="504"/>
      <c r="N32" s="522"/>
      <c r="O32" s="523"/>
      <c r="P32" s="524"/>
      <c r="Q32" s="525"/>
      <c r="R32" s="526"/>
      <c r="S32" s="527"/>
      <c r="T32" s="538"/>
      <c r="U32" s="529" t="s">
        <v>154</v>
      </c>
      <c r="V32" s="530"/>
      <c r="W32" s="555"/>
      <c r="X32" s="537"/>
      <c r="Y32" s="537"/>
    </row>
    <row r="33" spans="1:26" x14ac:dyDescent="0.2">
      <c r="A33" s="532"/>
      <c r="B33" s="516"/>
      <c r="C33" s="504"/>
      <c r="D33" s="561"/>
      <c r="E33" s="562"/>
      <c r="F33" s="563"/>
      <c r="G33" s="564"/>
      <c r="H33" s="562"/>
      <c r="I33" s="562"/>
      <c r="J33" s="562"/>
      <c r="K33" s="562"/>
      <c r="L33" s="565"/>
      <c r="M33" s="504"/>
      <c r="N33" s="522"/>
      <c r="O33" s="523"/>
      <c r="P33" s="524"/>
      <c r="Q33" s="525"/>
      <c r="R33" s="526"/>
      <c r="S33" s="527"/>
      <c r="T33" s="538"/>
      <c r="U33" s="529" t="s">
        <v>154</v>
      </c>
      <c r="V33" s="530"/>
      <c r="W33" s="555"/>
      <c r="X33" s="537"/>
      <c r="Y33" s="537"/>
    </row>
    <row r="34" spans="1:26" x14ac:dyDescent="0.2">
      <c r="A34" s="532"/>
      <c r="B34" s="516"/>
      <c r="C34" s="504"/>
      <c r="D34" s="561"/>
      <c r="E34" s="562"/>
      <c r="F34" s="563"/>
      <c r="G34" s="564"/>
      <c r="H34" s="562"/>
      <c r="I34" s="562"/>
      <c r="J34" s="562"/>
      <c r="K34" s="562"/>
      <c r="L34" s="565"/>
      <c r="M34" s="504"/>
      <c r="N34" s="522"/>
      <c r="O34" s="523"/>
      <c r="P34" s="524"/>
      <c r="Q34" s="525"/>
      <c r="R34" s="526"/>
      <c r="S34" s="527"/>
      <c r="T34" s="538"/>
      <c r="U34" s="529"/>
      <c r="V34" s="530"/>
      <c r="W34" s="567"/>
    </row>
    <row r="35" spans="1:26" x14ac:dyDescent="0.2">
      <c r="A35" s="532"/>
      <c r="B35" s="516"/>
      <c r="C35" s="504"/>
      <c r="D35" s="561"/>
      <c r="E35" s="562"/>
      <c r="F35" s="563"/>
      <c r="G35" s="564"/>
      <c r="H35" s="562"/>
      <c r="I35" s="562"/>
      <c r="J35" s="562"/>
      <c r="K35" s="562"/>
      <c r="L35" s="565"/>
      <c r="M35" s="504"/>
      <c r="N35" s="522"/>
      <c r="O35" s="523"/>
      <c r="P35" s="524"/>
      <c r="Q35" s="525"/>
      <c r="R35" s="526"/>
      <c r="S35" s="527"/>
      <c r="T35" s="538"/>
      <c r="U35" s="529"/>
      <c r="V35" s="530"/>
      <c r="W35" s="568"/>
      <c r="X35" s="569"/>
      <c r="Y35" s="570"/>
      <c r="Z35" s="569"/>
    </row>
    <row r="36" spans="1:26" x14ac:dyDescent="0.2">
      <c r="A36" s="532"/>
      <c r="B36" s="516"/>
      <c r="C36" s="504"/>
      <c r="D36" s="561"/>
      <c r="E36" s="562"/>
      <c r="F36" s="563"/>
      <c r="G36" s="564"/>
      <c r="H36" s="562"/>
      <c r="I36" s="562"/>
      <c r="J36" s="562"/>
      <c r="K36" s="562"/>
      <c r="L36" s="565"/>
      <c r="M36" s="504"/>
      <c r="N36" s="522"/>
      <c r="O36" s="523"/>
      <c r="P36" s="524"/>
      <c r="Q36" s="525"/>
      <c r="R36" s="526"/>
      <c r="S36" s="527"/>
      <c r="T36" s="538"/>
      <c r="U36" s="529"/>
      <c r="V36" s="530"/>
      <c r="W36" s="568"/>
      <c r="X36" s="569"/>
      <c r="Y36" s="571"/>
      <c r="Z36" s="569"/>
    </row>
    <row r="37" spans="1:26" x14ac:dyDescent="0.2">
      <c r="A37" s="532"/>
      <c r="B37" s="516"/>
      <c r="C37" s="504"/>
      <c r="D37" s="561"/>
      <c r="E37" s="562"/>
      <c r="F37" s="563"/>
      <c r="G37" s="564"/>
      <c r="H37" s="562"/>
      <c r="I37" s="562"/>
      <c r="J37" s="562"/>
      <c r="K37" s="562"/>
      <c r="L37" s="565"/>
      <c r="M37" s="504"/>
      <c r="N37" s="522"/>
      <c r="O37" s="523"/>
      <c r="P37" s="524"/>
      <c r="Q37" s="525"/>
      <c r="R37" s="526"/>
      <c r="S37" s="527"/>
      <c r="T37" s="538"/>
      <c r="U37" s="529"/>
      <c r="V37" s="530"/>
      <c r="W37" s="572"/>
      <c r="X37" s="569"/>
      <c r="Y37" s="569"/>
      <c r="Z37" s="569"/>
    </row>
    <row r="38" spans="1:26" x14ac:dyDescent="0.2">
      <c r="A38" s="532"/>
      <c r="B38" s="516"/>
      <c r="C38" s="504"/>
      <c r="D38" s="561"/>
      <c r="E38" s="562"/>
      <c r="F38" s="563"/>
      <c r="G38" s="564"/>
      <c r="H38" s="562"/>
      <c r="I38" s="562"/>
      <c r="J38" s="562"/>
      <c r="K38" s="562"/>
      <c r="L38" s="565"/>
      <c r="M38" s="504"/>
      <c r="N38" s="522"/>
      <c r="O38" s="523"/>
      <c r="P38" s="524"/>
      <c r="Q38" s="525"/>
      <c r="R38" s="526"/>
      <c r="S38" s="527"/>
      <c r="T38" s="538"/>
      <c r="U38" s="529"/>
      <c r="V38" s="530"/>
      <c r="W38" s="573"/>
      <c r="X38" s="574"/>
    </row>
    <row r="39" spans="1:26" x14ac:dyDescent="0.2">
      <c r="A39" s="532"/>
      <c r="B39" s="516"/>
      <c r="C39" s="504"/>
      <c r="D39" s="561"/>
      <c r="E39" s="562"/>
      <c r="F39" s="563"/>
      <c r="G39" s="564"/>
      <c r="H39" s="562"/>
      <c r="I39" s="562"/>
      <c r="J39" s="562"/>
      <c r="K39" s="562"/>
      <c r="L39" s="565"/>
      <c r="M39" s="504"/>
      <c r="N39" s="522"/>
      <c r="O39" s="523"/>
      <c r="P39" s="524"/>
      <c r="Q39" s="525"/>
      <c r="R39" s="526"/>
      <c r="S39" s="527"/>
      <c r="T39" s="538"/>
      <c r="U39" s="529"/>
      <c r="V39" s="530"/>
      <c r="W39" s="574"/>
      <c r="X39" s="574"/>
    </row>
    <row r="40" spans="1:26" x14ac:dyDescent="0.2">
      <c r="A40" s="532"/>
      <c r="B40" s="516"/>
      <c r="C40" s="504"/>
      <c r="D40" s="561"/>
      <c r="E40" s="562"/>
      <c r="F40" s="563"/>
      <c r="G40" s="564"/>
      <c r="H40" s="562"/>
      <c r="I40" s="562"/>
      <c r="J40" s="562"/>
      <c r="K40" s="562"/>
      <c r="L40" s="565"/>
      <c r="M40" s="504"/>
      <c r="N40" s="522"/>
      <c r="O40" s="523"/>
      <c r="P40" s="524"/>
      <c r="Q40" s="525"/>
      <c r="R40" s="526"/>
      <c r="S40" s="527"/>
      <c r="T40" s="538"/>
      <c r="U40" s="529"/>
      <c r="V40" s="530"/>
    </row>
    <row r="41" spans="1:26" x14ac:dyDescent="0.2">
      <c r="A41" s="532"/>
      <c r="B41" s="516"/>
      <c r="C41" s="504"/>
      <c r="D41" s="561"/>
      <c r="E41" s="562"/>
      <c r="F41" s="563"/>
      <c r="G41" s="564"/>
      <c r="H41" s="562"/>
      <c r="I41" s="562"/>
      <c r="J41" s="562"/>
      <c r="K41" s="562"/>
      <c r="L41" s="565"/>
      <c r="M41" s="504"/>
      <c r="N41" s="522"/>
      <c r="O41" s="523"/>
      <c r="P41" s="524"/>
      <c r="Q41" s="525"/>
      <c r="R41" s="526"/>
      <c r="S41" s="527"/>
      <c r="T41" s="538"/>
      <c r="U41" s="529"/>
      <c r="V41" s="530"/>
    </row>
    <row r="42" spans="1:26" x14ac:dyDescent="0.2">
      <c r="A42" s="532"/>
      <c r="B42" s="516"/>
      <c r="C42" s="504"/>
      <c r="D42" s="561"/>
      <c r="E42" s="562"/>
      <c r="F42" s="563"/>
      <c r="G42" s="564"/>
      <c r="H42" s="562"/>
      <c r="I42" s="562"/>
      <c r="J42" s="562"/>
      <c r="K42" s="562"/>
      <c r="L42" s="565"/>
      <c r="M42" s="504"/>
      <c r="N42" s="522"/>
      <c r="O42" s="523"/>
      <c r="P42" s="524"/>
      <c r="Q42" s="525"/>
      <c r="R42" s="526"/>
      <c r="S42" s="527"/>
      <c r="T42" s="538"/>
      <c r="U42" s="529"/>
      <c r="V42" s="530"/>
    </row>
    <row r="43" spans="1:26" x14ac:dyDescent="0.2">
      <c r="A43" s="532"/>
      <c r="B43" s="516"/>
      <c r="C43" s="504"/>
      <c r="D43" s="561"/>
      <c r="E43" s="562"/>
      <c r="F43" s="563"/>
      <c r="G43" s="564"/>
      <c r="H43" s="562"/>
      <c r="I43" s="562"/>
      <c r="J43" s="562"/>
      <c r="K43" s="562"/>
      <c r="L43" s="565"/>
      <c r="M43" s="504"/>
      <c r="N43" s="522"/>
      <c r="O43" s="523"/>
      <c r="P43" s="524"/>
      <c r="Q43" s="525"/>
      <c r="R43" s="526"/>
      <c r="S43" s="527"/>
      <c r="T43" s="538"/>
      <c r="U43" s="529"/>
      <c r="V43" s="530"/>
    </row>
    <row r="44" spans="1:26" x14ac:dyDescent="0.2">
      <c r="A44" s="532"/>
      <c r="B44" s="516"/>
      <c r="C44" s="504"/>
      <c r="D44" s="561"/>
      <c r="E44" s="562"/>
      <c r="F44" s="563"/>
      <c r="G44" s="564"/>
      <c r="H44" s="562"/>
      <c r="I44" s="562"/>
      <c r="J44" s="562"/>
      <c r="K44" s="562"/>
      <c r="L44" s="565"/>
      <c r="M44" s="504"/>
      <c r="N44" s="522"/>
      <c r="O44" s="523"/>
      <c r="P44" s="524"/>
      <c r="Q44" s="525"/>
      <c r="R44" s="526"/>
      <c r="S44" s="527"/>
      <c r="T44" s="538"/>
      <c r="U44" s="529"/>
      <c r="V44" s="530"/>
    </row>
    <row r="45" spans="1:26" x14ac:dyDescent="0.2">
      <c r="A45" s="532"/>
      <c r="B45" s="516"/>
      <c r="C45" s="504"/>
      <c r="D45" s="561"/>
      <c r="E45" s="562"/>
      <c r="F45" s="563"/>
      <c r="G45" s="564"/>
      <c r="H45" s="562"/>
      <c r="I45" s="562"/>
      <c r="J45" s="562"/>
      <c r="K45" s="562"/>
      <c r="L45" s="565"/>
      <c r="M45" s="504"/>
      <c r="N45" s="522"/>
      <c r="O45" s="523"/>
      <c r="P45" s="524"/>
      <c r="Q45" s="525"/>
      <c r="R45" s="526"/>
      <c r="S45" s="527"/>
      <c r="T45" s="538"/>
      <c r="U45" s="529"/>
      <c r="V45" s="530"/>
    </row>
    <row r="46" spans="1:26" x14ac:dyDescent="0.2">
      <c r="A46" s="532"/>
      <c r="B46" s="516"/>
      <c r="C46" s="504"/>
      <c r="D46" s="561"/>
      <c r="E46" s="562"/>
      <c r="F46" s="563"/>
      <c r="G46" s="564"/>
      <c r="H46" s="562"/>
      <c r="I46" s="562"/>
      <c r="J46" s="562"/>
      <c r="K46" s="562"/>
      <c r="L46" s="565"/>
      <c r="M46" s="504"/>
      <c r="N46" s="522"/>
      <c r="O46" s="523"/>
      <c r="P46" s="524"/>
      <c r="Q46" s="525"/>
      <c r="R46" s="526"/>
      <c r="S46" s="527"/>
      <c r="T46" s="538"/>
      <c r="U46" s="529"/>
      <c r="V46" s="530"/>
    </row>
    <row r="47" spans="1:26" x14ac:dyDescent="0.2">
      <c r="A47" s="532"/>
      <c r="B47" s="516"/>
      <c r="C47" s="504"/>
      <c r="D47" s="561"/>
      <c r="E47" s="562"/>
      <c r="F47" s="563"/>
      <c r="G47" s="564"/>
      <c r="H47" s="562"/>
      <c r="I47" s="562"/>
      <c r="J47" s="562"/>
      <c r="K47" s="562"/>
      <c r="L47" s="565"/>
      <c r="M47" s="504"/>
      <c r="N47" s="522"/>
      <c r="O47" s="523"/>
      <c r="P47" s="524"/>
      <c r="Q47" s="525"/>
      <c r="R47" s="526"/>
      <c r="S47" s="527"/>
      <c r="T47" s="538"/>
      <c r="U47" s="529"/>
      <c r="V47" s="530"/>
    </row>
    <row r="48" spans="1:26" x14ac:dyDescent="0.2">
      <c r="A48" s="532"/>
      <c r="B48" s="516"/>
      <c r="C48" s="504"/>
      <c r="D48" s="561"/>
      <c r="E48" s="562"/>
      <c r="F48" s="563"/>
      <c r="G48" s="564"/>
      <c r="H48" s="562"/>
      <c r="I48" s="562"/>
      <c r="J48" s="562"/>
      <c r="K48" s="562"/>
      <c r="L48" s="565"/>
      <c r="M48" s="504"/>
      <c r="N48" s="522"/>
      <c r="O48" s="523"/>
      <c r="P48" s="524"/>
      <c r="Q48" s="525"/>
      <c r="R48" s="526"/>
      <c r="S48" s="527"/>
      <c r="T48" s="538"/>
      <c r="U48" s="529"/>
      <c r="V48" s="530"/>
    </row>
    <row r="49" spans="1:26" x14ac:dyDescent="0.2">
      <c r="A49" s="532"/>
      <c r="B49" s="516"/>
      <c r="C49" s="504"/>
      <c r="D49" s="561"/>
      <c r="E49" s="562"/>
      <c r="F49" s="563"/>
      <c r="G49" s="564"/>
      <c r="H49" s="562"/>
      <c r="I49" s="562"/>
      <c r="J49" s="562"/>
      <c r="K49" s="562"/>
      <c r="L49" s="565"/>
      <c r="M49" s="504"/>
      <c r="N49" s="522"/>
      <c r="O49" s="523"/>
      <c r="P49" s="524"/>
      <c r="Q49" s="525"/>
      <c r="R49" s="526"/>
      <c r="S49" s="527"/>
      <c r="T49" s="538"/>
      <c r="U49" s="529"/>
      <c r="V49" s="530"/>
    </row>
    <row r="50" spans="1:26" x14ac:dyDescent="0.2">
      <c r="A50" s="532"/>
      <c r="B50" s="516"/>
      <c r="C50" s="504"/>
      <c r="D50" s="561"/>
      <c r="E50" s="562"/>
      <c r="F50" s="563"/>
      <c r="G50" s="564"/>
      <c r="H50" s="562"/>
      <c r="I50" s="562"/>
      <c r="J50" s="562"/>
      <c r="K50" s="562"/>
      <c r="L50" s="565"/>
      <c r="M50" s="504"/>
      <c r="N50" s="522"/>
      <c r="O50" s="523"/>
      <c r="P50" s="524"/>
      <c r="Q50" s="525"/>
      <c r="R50" s="526"/>
      <c r="S50" s="527"/>
      <c r="T50" s="538"/>
      <c r="U50" s="529"/>
      <c r="V50" s="530"/>
    </row>
    <row r="51" spans="1:26" x14ac:dyDescent="0.2">
      <c r="A51" s="532"/>
      <c r="B51" s="516"/>
      <c r="C51" s="504"/>
      <c r="D51" s="561"/>
      <c r="E51" s="562"/>
      <c r="F51" s="563"/>
      <c r="G51" s="564"/>
      <c r="H51" s="562"/>
      <c r="I51" s="562"/>
      <c r="J51" s="562"/>
      <c r="K51" s="562"/>
      <c r="L51" s="565"/>
      <c r="M51" s="504"/>
      <c r="N51" s="522"/>
      <c r="O51" s="523"/>
      <c r="P51" s="524"/>
      <c r="Q51" s="525"/>
      <c r="R51" s="526"/>
      <c r="S51" s="527"/>
      <c r="T51" s="538"/>
      <c r="U51" s="529"/>
      <c r="V51" s="530"/>
    </row>
    <row r="52" spans="1:26" ht="10.8" thickBot="1" x14ac:dyDescent="0.25">
      <c r="A52" s="532"/>
      <c r="B52" s="516"/>
      <c r="C52" s="504"/>
      <c r="D52" s="561"/>
      <c r="E52" s="562"/>
      <c r="F52" s="563"/>
      <c r="G52" s="564"/>
      <c r="H52" s="562"/>
      <c r="I52" s="562"/>
      <c r="J52" s="562"/>
      <c r="K52" s="562"/>
      <c r="L52" s="565"/>
      <c r="M52" s="504"/>
      <c r="N52" s="522"/>
      <c r="O52" s="523"/>
      <c r="P52" s="524"/>
      <c r="Q52" s="525"/>
      <c r="R52" s="526"/>
      <c r="S52" s="527"/>
      <c r="T52" s="538"/>
      <c r="U52" s="529"/>
      <c r="V52" s="575"/>
    </row>
    <row r="53" spans="1:26" x14ac:dyDescent="0.2">
      <c r="A53" s="532"/>
      <c r="B53" s="516"/>
      <c r="C53" s="504"/>
      <c r="D53" s="561"/>
      <c r="E53" s="562"/>
      <c r="F53" s="563"/>
      <c r="G53" s="564"/>
      <c r="H53" s="562"/>
      <c r="I53" s="562"/>
      <c r="J53" s="562"/>
      <c r="K53" s="562"/>
      <c r="L53" s="565"/>
      <c r="M53" s="504"/>
      <c r="N53" s="522"/>
      <c r="O53" s="523"/>
      <c r="P53" s="524"/>
      <c r="Q53" s="525"/>
      <c r="R53" s="526"/>
      <c r="S53" s="527"/>
      <c r="T53" s="538"/>
      <c r="U53" s="576" t="s">
        <v>157</v>
      </c>
      <c r="V53" s="577">
        <f>AVERAGE(V12:V52)</f>
        <v>289.63157894736844</v>
      </c>
    </row>
    <row r="54" spans="1:26" x14ac:dyDescent="0.2">
      <c r="A54" s="532"/>
      <c r="B54" s="516"/>
      <c r="C54" s="504"/>
      <c r="D54" s="561"/>
      <c r="E54" s="562"/>
      <c r="F54" s="563"/>
      <c r="G54" s="564"/>
      <c r="H54" s="562"/>
      <c r="I54" s="562"/>
      <c r="J54" s="562"/>
      <c r="K54" s="562"/>
      <c r="L54" s="565"/>
      <c r="M54" s="504"/>
      <c r="N54" s="522"/>
      <c r="O54" s="523"/>
      <c r="P54" s="524"/>
      <c r="Q54" s="525"/>
      <c r="R54" s="526"/>
      <c r="S54" s="527"/>
      <c r="T54" s="538"/>
      <c r="U54" s="403" t="s">
        <v>158</v>
      </c>
      <c r="V54" s="575">
        <f>STDEV(V12:V52)</f>
        <v>16.330647827919506</v>
      </c>
      <c r="W54" s="578"/>
      <c r="X54" s="578"/>
    </row>
    <row r="55" spans="1:26" x14ac:dyDescent="0.2">
      <c r="A55" s="579" t="s">
        <v>159</v>
      </c>
      <c r="B55" s="580"/>
      <c r="C55" s="581"/>
      <c r="D55" s="581"/>
      <c r="E55" s="581"/>
      <c r="F55" s="581"/>
      <c r="G55" s="582"/>
      <c r="H55" s="581"/>
      <c r="I55" s="581"/>
      <c r="J55" s="581"/>
      <c r="K55" s="581"/>
      <c r="L55" s="583"/>
      <c r="M55" s="581"/>
      <c r="N55" s="584"/>
      <c r="O55" s="585"/>
      <c r="P55" s="586"/>
      <c r="Q55" s="587"/>
      <c r="R55" s="588"/>
      <c r="S55" s="589"/>
      <c r="T55" s="590"/>
      <c r="U55" s="403" t="s">
        <v>160</v>
      </c>
      <c r="V55" s="575">
        <f>V54/SQRT(COUNT(V12:V51))</f>
        <v>3.7465075560238486</v>
      </c>
      <c r="W55" s="573"/>
      <c r="X55" s="578"/>
      <c r="Y55" s="578"/>
      <c r="Z55" s="578"/>
    </row>
    <row r="56" spans="1:26" x14ac:dyDescent="0.2">
      <c r="A56" s="591"/>
      <c r="B56" s="592"/>
      <c r="C56" s="593"/>
      <c r="D56" s="593"/>
      <c r="E56" s="593"/>
      <c r="F56" s="593"/>
      <c r="G56" s="594"/>
      <c r="H56" s="593"/>
      <c r="I56" s="593"/>
      <c r="J56" s="593"/>
      <c r="K56" s="593"/>
      <c r="L56" s="595"/>
      <c r="M56" s="593"/>
      <c r="N56" s="596"/>
      <c r="O56" s="597"/>
      <c r="P56" s="598"/>
      <c r="Q56" s="599"/>
      <c r="R56" s="600"/>
      <c r="S56" s="601"/>
      <c r="T56" s="602"/>
      <c r="U56" s="403" t="s">
        <v>161</v>
      </c>
      <c r="V56" s="575">
        <f>MAX(V12:V52)</f>
        <v>318</v>
      </c>
      <c r="W56" s="573"/>
    </row>
    <row r="57" spans="1:26" ht="10.8" thickBot="1" x14ac:dyDescent="0.25">
      <c r="A57" s="603"/>
      <c r="B57" s="604"/>
      <c r="C57" s="605"/>
      <c r="D57" s="605"/>
      <c r="E57" s="605"/>
      <c r="F57" s="605"/>
      <c r="G57" s="606"/>
      <c r="H57" s="605"/>
      <c r="I57" s="605"/>
      <c r="J57" s="605"/>
      <c r="K57" s="605"/>
      <c r="L57" s="607"/>
      <c r="M57" s="605"/>
      <c r="N57" s="608"/>
      <c r="O57" s="609"/>
      <c r="P57" s="610"/>
      <c r="Q57" s="611"/>
      <c r="R57" s="612"/>
      <c r="S57" s="613"/>
      <c r="T57" s="614"/>
      <c r="U57" s="615" t="s">
        <v>162</v>
      </c>
      <c r="V57" s="616">
        <f>MIN(V12:V52)</f>
        <v>265</v>
      </c>
      <c r="W57" s="578"/>
    </row>
    <row r="58" spans="1:26" x14ac:dyDescent="0.2">
      <c r="A58" s="617"/>
      <c r="B58" s="617"/>
      <c r="C58" s="618"/>
      <c r="D58" s="619"/>
      <c r="E58" s="619"/>
      <c r="F58" s="619"/>
      <c r="G58" s="620"/>
      <c r="H58" s="621"/>
      <c r="I58" s="622"/>
      <c r="J58" s="623"/>
      <c r="K58" s="624"/>
      <c r="L58" s="625"/>
      <c r="M58" s="578"/>
      <c r="O58" s="566"/>
      <c r="P58" s="626"/>
    </row>
    <row r="59" spans="1:26" x14ac:dyDescent="0.2">
      <c r="A59" s="578"/>
      <c r="B59" s="578"/>
      <c r="C59" s="627"/>
      <c r="D59" s="627"/>
      <c r="E59" s="627"/>
      <c r="F59" s="627"/>
      <c r="G59" s="622"/>
      <c r="H59" s="621"/>
      <c r="I59" s="622"/>
      <c r="J59" s="623"/>
      <c r="K59" s="628"/>
      <c r="L59" s="625"/>
      <c r="M59" s="578"/>
      <c r="O59" s="566"/>
      <c r="P59" s="626"/>
    </row>
    <row r="60" spans="1:26" x14ac:dyDescent="0.2">
      <c r="A60" s="629"/>
      <c r="B60" s="629"/>
      <c r="C60" s="629"/>
      <c r="D60" s="629"/>
      <c r="E60" s="623"/>
      <c r="F60" s="630"/>
      <c r="G60" s="578"/>
      <c r="H60" s="566"/>
      <c r="I60" s="578"/>
      <c r="J60" s="566"/>
      <c r="K60" s="566"/>
      <c r="L60" s="578"/>
      <c r="M60" s="578"/>
      <c r="O60" s="566"/>
      <c r="P60" s="626"/>
    </row>
    <row r="61" spans="1:26" x14ac:dyDescent="0.2">
      <c r="A61" s="631"/>
      <c r="B61" s="631"/>
      <c r="C61" s="629"/>
      <c r="D61" s="629"/>
      <c r="E61" s="623"/>
      <c r="F61" s="630"/>
      <c r="G61" s="566"/>
      <c r="H61" s="566"/>
      <c r="I61" s="578"/>
      <c r="J61" s="566"/>
      <c r="K61" s="566"/>
      <c r="L61" s="578"/>
      <c r="M61" s="578"/>
      <c r="O61" s="566"/>
      <c r="P61" s="626"/>
    </row>
    <row r="62" spans="1:26" x14ac:dyDescent="0.2">
      <c r="A62" s="475"/>
      <c r="B62" s="475"/>
      <c r="C62" s="629"/>
      <c r="D62" s="629"/>
      <c r="E62" s="623"/>
      <c r="F62" s="630"/>
      <c r="G62" s="566"/>
      <c r="H62" s="566"/>
      <c r="I62" s="578"/>
      <c r="J62" s="566"/>
      <c r="K62" s="566"/>
      <c r="L62" s="578"/>
      <c r="M62" s="578"/>
      <c r="O62" s="566"/>
      <c r="P62" s="626"/>
    </row>
    <row r="63" spans="1:26" x14ac:dyDescent="0.2">
      <c r="A63" s="629"/>
      <c r="B63" s="629"/>
      <c r="C63" s="629"/>
      <c r="D63" s="629"/>
      <c r="E63" s="623"/>
      <c r="F63" s="630"/>
      <c r="G63" s="566"/>
      <c r="H63" s="566"/>
      <c r="I63" s="578"/>
      <c r="J63" s="566"/>
      <c r="K63" s="566"/>
      <c r="L63" s="578"/>
      <c r="M63" s="578"/>
      <c r="O63" s="566"/>
      <c r="P63" s="626"/>
    </row>
    <row r="64" spans="1:26" x14ac:dyDescent="0.2">
      <c r="A64" s="629"/>
      <c r="B64" s="629"/>
      <c r="C64" s="629"/>
      <c r="D64" s="629"/>
      <c r="E64" s="623"/>
      <c r="F64" s="630"/>
      <c r="G64" s="566"/>
      <c r="H64" s="566"/>
      <c r="I64" s="578"/>
      <c r="J64" s="622"/>
      <c r="K64" s="566"/>
      <c r="L64" s="578"/>
      <c r="M64" s="578"/>
      <c r="O64" s="566"/>
      <c r="P64" s="626"/>
    </row>
    <row r="65" spans="1:16" x14ac:dyDescent="0.2">
      <c r="A65" s="629"/>
      <c r="B65" s="629"/>
      <c r="C65" s="629"/>
      <c r="D65" s="629"/>
      <c r="E65" s="623"/>
      <c r="F65" s="630"/>
      <c r="G65" s="566"/>
      <c r="H65" s="566"/>
      <c r="I65" s="578"/>
      <c r="J65" s="622"/>
      <c r="K65" s="566"/>
      <c r="L65" s="578"/>
      <c r="M65" s="578"/>
      <c r="O65" s="566"/>
      <c r="P65" s="626"/>
    </row>
    <row r="66" spans="1:16" x14ac:dyDescent="0.2">
      <c r="A66" s="629"/>
      <c r="B66" s="629"/>
      <c r="C66" s="629"/>
      <c r="D66" s="629"/>
      <c r="E66" s="623"/>
      <c r="F66" s="630"/>
      <c r="G66" s="566"/>
      <c r="H66" s="566"/>
      <c r="I66" s="578"/>
      <c r="J66" s="566"/>
      <c r="K66" s="566"/>
      <c r="L66" s="578"/>
      <c r="M66" s="578"/>
      <c r="O66" s="566"/>
      <c r="P66" s="626"/>
    </row>
    <row r="67" spans="1:16" x14ac:dyDescent="0.2">
      <c r="A67" s="629"/>
      <c r="B67" s="629"/>
      <c r="C67" s="629"/>
      <c r="D67" s="629"/>
      <c r="E67" s="623"/>
      <c r="F67" s="630"/>
      <c r="G67" s="566"/>
      <c r="H67" s="566"/>
      <c r="I67" s="578"/>
      <c r="J67" s="566"/>
      <c r="K67" s="566"/>
      <c r="L67" s="578"/>
      <c r="M67" s="578"/>
      <c r="O67" s="566"/>
      <c r="P67" s="626"/>
    </row>
    <row r="68" spans="1:16" x14ac:dyDescent="0.2">
      <c r="A68" s="629"/>
      <c r="B68" s="629"/>
      <c r="C68" s="629"/>
      <c r="D68" s="629"/>
      <c r="E68" s="623"/>
      <c r="F68" s="630"/>
      <c r="G68" s="566"/>
      <c r="H68" s="566"/>
      <c r="I68" s="578"/>
      <c r="J68" s="566"/>
      <c r="K68" s="566"/>
      <c r="L68" s="578"/>
      <c r="M68" s="578"/>
      <c r="O68" s="566"/>
      <c r="P68" s="626"/>
    </row>
    <row r="69" spans="1:16" x14ac:dyDescent="0.2">
      <c r="A69" s="629"/>
      <c r="B69" s="629"/>
      <c r="C69" s="629"/>
      <c r="D69" s="629"/>
      <c r="E69" s="623"/>
      <c r="F69" s="630"/>
      <c r="G69" s="566"/>
      <c r="H69" s="566"/>
      <c r="I69" s="578"/>
      <c r="J69" s="566"/>
      <c r="K69" s="566"/>
      <c r="L69" s="578"/>
      <c r="M69" s="578"/>
      <c r="O69" s="566"/>
      <c r="P69" s="626"/>
    </row>
    <row r="70" spans="1:16" x14ac:dyDescent="0.2">
      <c r="A70" s="629"/>
      <c r="B70" s="629"/>
      <c r="C70" s="629"/>
      <c r="D70" s="629"/>
      <c r="E70" s="623"/>
      <c r="F70" s="630"/>
      <c r="G70" s="566"/>
      <c r="H70" s="566"/>
      <c r="I70" s="578"/>
      <c r="J70" s="566"/>
      <c r="K70" s="566"/>
      <c r="L70" s="578"/>
      <c r="M70" s="578"/>
      <c r="O70" s="566"/>
      <c r="P70" s="626"/>
    </row>
    <row r="71" spans="1:16" x14ac:dyDescent="0.2">
      <c r="A71" s="629"/>
      <c r="B71" s="629"/>
      <c r="C71" s="629"/>
      <c r="D71" s="629"/>
      <c r="E71" s="623"/>
      <c r="F71" s="630"/>
      <c r="G71" s="566"/>
      <c r="H71" s="566"/>
      <c r="I71" s="578"/>
      <c r="J71" s="566"/>
      <c r="K71" s="566"/>
      <c r="L71" s="578"/>
      <c r="O71" s="566"/>
      <c r="P71" s="626"/>
    </row>
    <row r="72" spans="1:16" x14ac:dyDescent="0.2">
      <c r="A72" s="629"/>
      <c r="B72" s="629"/>
      <c r="C72" s="629"/>
      <c r="D72" s="629"/>
      <c r="E72" s="623"/>
      <c r="F72" s="630"/>
      <c r="G72" s="566"/>
      <c r="H72" s="566"/>
      <c r="I72" s="578"/>
      <c r="J72" s="566"/>
      <c r="K72" s="566"/>
      <c r="L72" s="578"/>
      <c r="O72" s="566"/>
      <c r="P72" s="626"/>
    </row>
    <row r="73" spans="1:16" x14ac:dyDescent="0.2">
      <c r="A73" s="629"/>
      <c r="B73" s="629"/>
      <c r="C73" s="629"/>
      <c r="D73" s="629"/>
      <c r="E73" s="623"/>
      <c r="F73" s="630"/>
      <c r="G73" s="566"/>
      <c r="H73" s="566"/>
      <c r="I73" s="578"/>
      <c r="J73" s="566"/>
      <c r="K73" s="566"/>
      <c r="L73" s="566"/>
      <c r="O73" s="566"/>
      <c r="P73" s="626"/>
    </row>
    <row r="74" spans="1:16" x14ac:dyDescent="0.2">
      <c r="A74" s="629"/>
      <c r="B74" s="629"/>
      <c r="C74" s="629"/>
      <c r="D74" s="629"/>
      <c r="E74" s="623"/>
      <c r="F74" s="630"/>
      <c r="G74" s="566"/>
      <c r="H74" s="566"/>
      <c r="I74" s="578"/>
      <c r="J74" s="566"/>
      <c r="K74" s="566"/>
      <c r="L74" s="566"/>
      <c r="O74" s="566"/>
      <c r="P74" s="626"/>
    </row>
    <row r="75" spans="1:16" x14ac:dyDescent="0.2">
      <c r="A75" s="629"/>
      <c r="B75" s="629"/>
      <c r="C75" s="629"/>
      <c r="D75" s="629"/>
      <c r="E75" s="623"/>
      <c r="F75" s="630"/>
      <c r="G75" s="566"/>
      <c r="H75" s="566"/>
      <c r="I75" s="578"/>
      <c r="J75" s="566"/>
      <c r="K75" s="566"/>
      <c r="L75" s="566"/>
      <c r="O75" s="566"/>
      <c r="P75" s="626"/>
    </row>
    <row r="76" spans="1:16" x14ac:dyDescent="0.2">
      <c r="A76" s="629"/>
      <c r="B76" s="629"/>
      <c r="C76" s="629"/>
      <c r="D76" s="629"/>
      <c r="E76" s="623"/>
      <c r="F76" s="630"/>
      <c r="G76" s="566"/>
      <c r="H76" s="566"/>
      <c r="I76" s="578"/>
      <c r="J76" s="566"/>
      <c r="K76" s="566"/>
      <c r="L76" s="566"/>
      <c r="O76" s="566"/>
      <c r="P76" s="626"/>
    </row>
    <row r="77" spans="1:16" x14ac:dyDescent="0.2">
      <c r="A77" s="629"/>
      <c r="B77" s="629"/>
      <c r="C77" s="629"/>
      <c r="D77" s="629"/>
      <c r="E77" s="623"/>
      <c r="F77" s="630"/>
      <c r="G77" s="566"/>
      <c r="H77" s="566"/>
      <c r="I77" s="578"/>
      <c r="J77" s="566"/>
      <c r="K77" s="566"/>
      <c r="L77" s="566"/>
      <c r="O77" s="566"/>
      <c r="P77" s="626"/>
    </row>
    <row r="78" spans="1:16" x14ac:dyDescent="0.2">
      <c r="A78" s="629"/>
      <c r="B78" s="629"/>
      <c r="C78" s="629"/>
      <c r="D78" s="629"/>
      <c r="E78" s="623"/>
      <c r="F78" s="630"/>
      <c r="G78" s="566"/>
      <c r="H78" s="566"/>
      <c r="I78" s="578"/>
      <c r="J78" s="566"/>
      <c r="K78" s="566"/>
      <c r="L78" s="566"/>
      <c r="O78" s="566"/>
      <c r="P78" s="626"/>
    </row>
    <row r="79" spans="1:16" x14ac:dyDescent="0.2">
      <c r="A79" s="629"/>
      <c r="B79" s="629"/>
      <c r="C79" s="629"/>
      <c r="D79" s="629"/>
      <c r="E79" s="623"/>
      <c r="F79" s="630"/>
      <c r="G79" s="566"/>
      <c r="H79" s="566"/>
      <c r="I79" s="578"/>
      <c r="J79" s="566"/>
      <c r="K79" s="566"/>
      <c r="L79" s="566"/>
      <c r="O79" s="566"/>
      <c r="P79" s="626"/>
    </row>
    <row r="80" spans="1:16" x14ac:dyDescent="0.2">
      <c r="A80" s="629"/>
      <c r="B80" s="629"/>
      <c r="C80" s="629"/>
      <c r="D80" s="629"/>
      <c r="E80" s="623"/>
      <c r="F80" s="630"/>
      <c r="G80" s="566"/>
      <c r="H80" s="566"/>
      <c r="I80" s="578"/>
      <c r="J80" s="566"/>
      <c r="K80" s="566"/>
      <c r="L80" s="566"/>
      <c r="O80" s="566"/>
      <c r="P80" s="626"/>
    </row>
    <row r="81" spans="1:19" x14ac:dyDescent="0.2">
      <c r="A81" s="629"/>
      <c r="B81" s="629"/>
      <c r="C81" s="629"/>
      <c r="D81" s="629"/>
      <c r="E81" s="623"/>
      <c r="F81" s="630"/>
      <c r="G81" s="566"/>
      <c r="H81" s="566"/>
      <c r="I81" s="578"/>
      <c r="J81" s="566"/>
      <c r="K81" s="566"/>
      <c r="L81" s="566"/>
      <c r="O81" s="566"/>
      <c r="P81" s="626"/>
    </row>
    <row r="82" spans="1:19" x14ac:dyDescent="0.2">
      <c r="A82" s="629"/>
      <c r="B82" s="629"/>
      <c r="C82" s="629"/>
      <c r="D82" s="629"/>
      <c r="E82" s="623"/>
      <c r="F82" s="630"/>
      <c r="G82" s="566"/>
      <c r="H82" s="566"/>
      <c r="I82" s="578"/>
      <c r="J82" s="566"/>
      <c r="K82" s="566"/>
      <c r="L82" s="566"/>
      <c r="O82" s="566"/>
      <c r="P82" s="626"/>
    </row>
    <row r="83" spans="1:19" x14ac:dyDescent="0.2">
      <c r="A83" s="629"/>
      <c r="B83" s="629"/>
      <c r="C83" s="629"/>
      <c r="D83" s="629"/>
      <c r="E83" s="623"/>
      <c r="F83" s="630"/>
      <c r="G83" s="566"/>
      <c r="H83" s="566"/>
      <c r="I83" s="578"/>
      <c r="J83" s="566"/>
      <c r="K83" s="566"/>
      <c r="L83" s="566"/>
      <c r="O83" s="566"/>
      <c r="P83" s="626"/>
    </row>
    <row r="84" spans="1:19" x14ac:dyDescent="0.2">
      <c r="A84" s="629"/>
      <c r="B84" s="629"/>
      <c r="C84" s="629"/>
      <c r="D84" s="629"/>
      <c r="E84" s="623"/>
      <c r="F84" s="630"/>
      <c r="G84" s="626"/>
      <c r="H84" s="566"/>
      <c r="I84" s="578"/>
      <c r="J84" s="566"/>
      <c r="K84" s="566"/>
      <c r="L84" s="566"/>
      <c r="O84" s="566"/>
      <c r="P84" s="626"/>
    </row>
    <row r="85" spans="1:19" x14ac:dyDescent="0.2">
      <c r="A85" s="629"/>
      <c r="B85" s="629"/>
      <c r="C85" s="629"/>
      <c r="D85" s="629"/>
      <c r="E85" s="623"/>
      <c r="F85" s="630"/>
      <c r="G85" s="626"/>
      <c r="H85" s="566"/>
      <c r="I85" s="578"/>
      <c r="J85" s="566"/>
      <c r="K85" s="566"/>
      <c r="L85" s="566"/>
      <c r="O85" s="566"/>
      <c r="P85" s="626"/>
    </row>
    <row r="86" spans="1:19" x14ac:dyDescent="0.2">
      <c r="A86" s="629"/>
      <c r="B86" s="629"/>
      <c r="C86" s="629"/>
      <c r="D86" s="629"/>
      <c r="E86" s="623"/>
      <c r="F86" s="630"/>
      <c r="G86" s="626"/>
      <c r="H86" s="566"/>
      <c r="I86" s="578"/>
      <c r="J86" s="566"/>
      <c r="K86" s="566"/>
      <c r="L86" s="566"/>
      <c r="O86" s="566"/>
      <c r="P86" s="626"/>
    </row>
    <row r="87" spans="1:19" x14ac:dyDescent="0.2">
      <c r="A87" s="629"/>
      <c r="B87" s="629"/>
      <c r="C87" s="629"/>
      <c r="D87" s="629"/>
      <c r="E87" s="623"/>
      <c r="F87" s="630"/>
      <c r="G87" s="626"/>
      <c r="H87" s="566"/>
      <c r="I87" s="578"/>
      <c r="J87" s="566"/>
      <c r="K87" s="566"/>
      <c r="L87" s="566"/>
      <c r="O87" s="566"/>
      <c r="P87" s="626"/>
    </row>
    <row r="88" spans="1:19" x14ac:dyDescent="0.2">
      <c r="A88" s="629"/>
      <c r="B88" s="629"/>
      <c r="C88" s="629"/>
      <c r="D88" s="629"/>
      <c r="E88" s="623"/>
      <c r="F88" s="630"/>
      <c r="G88" s="566"/>
      <c r="H88" s="566"/>
      <c r="I88" s="578"/>
      <c r="J88" s="566"/>
      <c r="K88" s="566"/>
      <c r="L88" s="566"/>
      <c r="O88" s="566"/>
      <c r="P88" s="626"/>
    </row>
    <row r="89" spans="1:19" x14ac:dyDescent="0.2">
      <c r="A89" s="629"/>
      <c r="B89" s="629"/>
      <c r="C89" s="629"/>
      <c r="D89" s="629"/>
      <c r="E89" s="623"/>
      <c r="F89" s="630"/>
      <c r="G89" s="566"/>
      <c r="H89" s="566"/>
      <c r="I89" s="578"/>
      <c r="J89" s="566"/>
      <c r="K89" s="566"/>
      <c r="L89" s="566"/>
      <c r="O89" s="566"/>
      <c r="P89" s="626"/>
    </row>
    <row r="90" spans="1:19" s="629" customFormat="1" x14ac:dyDescent="0.2">
      <c r="E90" s="623"/>
      <c r="F90" s="630"/>
      <c r="G90" s="566"/>
      <c r="H90" s="566"/>
      <c r="I90" s="578"/>
      <c r="J90" s="566"/>
      <c r="K90" s="566"/>
      <c r="L90" s="566"/>
      <c r="M90" s="566"/>
      <c r="N90" s="566"/>
      <c r="O90" s="566"/>
      <c r="P90" s="626"/>
      <c r="Q90" s="626"/>
      <c r="R90" s="632"/>
      <c r="S90" s="632"/>
    </row>
    <row r="91" spans="1:19" s="629" customFormat="1" x14ac:dyDescent="0.2">
      <c r="E91" s="623"/>
      <c r="F91" s="630"/>
      <c r="G91" s="566"/>
      <c r="H91" s="566"/>
      <c r="I91" s="578"/>
      <c r="J91" s="566"/>
      <c r="K91" s="566"/>
      <c r="L91" s="566"/>
      <c r="M91" s="566"/>
      <c r="N91" s="566"/>
      <c r="O91" s="566"/>
      <c r="P91" s="626"/>
      <c r="Q91" s="626"/>
      <c r="R91" s="632"/>
      <c r="S91" s="632"/>
    </row>
    <row r="92" spans="1:19" s="629" customFormat="1" x14ac:dyDescent="0.2">
      <c r="E92" s="623"/>
      <c r="F92" s="630"/>
      <c r="G92" s="566"/>
      <c r="H92" s="566"/>
      <c r="I92" s="578"/>
      <c r="J92" s="566"/>
      <c r="K92" s="566"/>
      <c r="L92" s="566"/>
      <c r="M92" s="566"/>
      <c r="N92" s="566"/>
      <c r="O92" s="566"/>
      <c r="P92" s="626"/>
      <c r="Q92" s="626"/>
      <c r="R92" s="632"/>
      <c r="S92" s="632"/>
    </row>
    <row r="93" spans="1:19" s="629" customFormat="1" x14ac:dyDescent="0.2">
      <c r="E93" s="623"/>
      <c r="F93" s="630"/>
      <c r="G93" s="566"/>
      <c r="H93" s="566"/>
      <c r="I93" s="578"/>
      <c r="J93" s="566"/>
      <c r="K93" s="566"/>
      <c r="L93" s="566"/>
      <c r="M93" s="566"/>
      <c r="N93" s="566"/>
      <c r="O93" s="566"/>
      <c r="P93" s="626"/>
      <c r="Q93" s="626"/>
      <c r="R93" s="632"/>
      <c r="S93" s="632"/>
    </row>
    <row r="94" spans="1:19" s="629" customFormat="1" x14ac:dyDescent="0.2">
      <c r="E94" s="623"/>
      <c r="F94" s="630"/>
      <c r="G94" s="566"/>
      <c r="H94" s="566"/>
      <c r="I94" s="578"/>
      <c r="J94" s="566"/>
      <c r="K94" s="566"/>
      <c r="L94" s="566"/>
      <c r="M94" s="566"/>
      <c r="N94" s="566"/>
      <c r="O94" s="566"/>
      <c r="P94" s="626"/>
      <c r="Q94" s="626"/>
      <c r="R94" s="632"/>
      <c r="S94" s="632"/>
    </row>
    <row r="95" spans="1:19" s="629" customFormat="1" x14ac:dyDescent="0.2">
      <c r="E95" s="623"/>
      <c r="F95" s="630"/>
      <c r="G95" s="566"/>
      <c r="H95" s="566"/>
      <c r="I95" s="578"/>
      <c r="J95" s="566"/>
      <c r="K95" s="566"/>
      <c r="L95" s="566"/>
      <c r="M95" s="566"/>
      <c r="P95" s="632"/>
      <c r="Q95" s="632"/>
      <c r="R95" s="632"/>
      <c r="S95" s="632"/>
    </row>
    <row r="96" spans="1:19" s="629" customFormat="1" x14ac:dyDescent="0.2">
      <c r="E96" s="623"/>
      <c r="F96" s="630"/>
      <c r="G96" s="566"/>
      <c r="H96" s="566"/>
      <c r="I96" s="578"/>
      <c r="J96" s="566"/>
      <c r="K96" s="566"/>
      <c r="L96" s="566"/>
      <c r="M96" s="566"/>
      <c r="P96" s="632"/>
      <c r="Q96" s="632"/>
      <c r="R96" s="632"/>
      <c r="S96" s="632"/>
    </row>
    <row r="97" spans="5:19" s="629" customFormat="1" x14ac:dyDescent="0.2">
      <c r="E97" s="623"/>
      <c r="F97" s="630"/>
      <c r="G97" s="566"/>
      <c r="H97" s="566"/>
      <c r="I97" s="578"/>
      <c r="J97" s="566"/>
      <c r="K97" s="566"/>
      <c r="L97" s="566"/>
      <c r="M97" s="566"/>
      <c r="P97" s="632"/>
      <c r="Q97" s="632"/>
      <c r="R97" s="632"/>
      <c r="S97" s="632"/>
    </row>
    <row r="98" spans="5:19" s="629" customFormat="1" x14ac:dyDescent="0.2">
      <c r="E98" s="623"/>
      <c r="F98" s="630"/>
      <c r="G98" s="566"/>
      <c r="H98" s="566"/>
      <c r="I98" s="578"/>
      <c r="J98" s="566"/>
      <c r="K98" s="566"/>
      <c r="L98" s="566"/>
      <c r="M98" s="566"/>
      <c r="P98" s="632"/>
      <c r="Q98" s="632"/>
      <c r="R98" s="632"/>
      <c r="S98" s="632"/>
    </row>
    <row r="99" spans="5:19" s="629" customFormat="1" x14ac:dyDescent="0.2">
      <c r="E99" s="623"/>
      <c r="F99" s="630"/>
      <c r="G99" s="566"/>
      <c r="H99" s="566"/>
      <c r="I99" s="578"/>
      <c r="J99" s="566"/>
      <c r="K99" s="566"/>
      <c r="L99" s="566"/>
      <c r="M99" s="566"/>
      <c r="P99" s="632"/>
      <c r="Q99" s="632"/>
      <c r="R99" s="632"/>
      <c r="S99" s="632"/>
    </row>
    <row r="100" spans="5:19" s="629" customFormat="1" x14ac:dyDescent="0.2">
      <c r="E100" s="623"/>
      <c r="F100" s="630"/>
      <c r="G100" s="566"/>
      <c r="H100" s="566"/>
      <c r="I100" s="578"/>
      <c r="J100" s="566"/>
      <c r="K100" s="566"/>
      <c r="L100" s="566"/>
      <c r="M100" s="566"/>
      <c r="P100" s="632"/>
      <c r="Q100" s="632"/>
      <c r="R100" s="632"/>
      <c r="S100" s="632"/>
    </row>
    <row r="101" spans="5:19" s="629" customFormat="1" x14ac:dyDescent="0.2">
      <c r="E101" s="623"/>
      <c r="F101" s="630"/>
      <c r="G101" s="566"/>
      <c r="H101" s="566"/>
      <c r="I101" s="578"/>
      <c r="J101" s="566"/>
      <c r="K101" s="566"/>
      <c r="L101" s="566"/>
      <c r="M101" s="566"/>
      <c r="P101" s="632"/>
      <c r="Q101" s="632"/>
      <c r="R101" s="632"/>
      <c r="S101" s="632"/>
    </row>
    <row r="102" spans="5:19" s="629" customFormat="1" x14ac:dyDescent="0.2">
      <c r="E102" s="623"/>
      <c r="F102" s="630"/>
      <c r="G102" s="566"/>
      <c r="H102" s="566"/>
      <c r="I102" s="578"/>
      <c r="J102" s="566"/>
      <c r="K102" s="566"/>
      <c r="L102" s="566"/>
      <c r="M102" s="566"/>
      <c r="P102" s="632"/>
      <c r="Q102" s="632"/>
      <c r="R102" s="632"/>
      <c r="S102" s="632"/>
    </row>
    <row r="103" spans="5:19" s="629" customFormat="1" x14ac:dyDescent="0.2">
      <c r="E103" s="623"/>
      <c r="F103" s="630"/>
      <c r="G103" s="566"/>
      <c r="H103" s="566"/>
      <c r="I103" s="578"/>
      <c r="J103" s="566"/>
      <c r="K103" s="566"/>
      <c r="L103" s="566"/>
      <c r="M103" s="566"/>
      <c r="P103" s="632"/>
      <c r="Q103" s="632"/>
      <c r="R103" s="632"/>
      <c r="S103" s="632"/>
    </row>
    <row r="104" spans="5:19" s="629" customFormat="1" x14ac:dyDescent="0.2">
      <c r="E104" s="623"/>
      <c r="F104" s="630"/>
      <c r="G104" s="566"/>
      <c r="H104" s="566"/>
      <c r="I104" s="578"/>
      <c r="J104" s="566"/>
      <c r="K104" s="566"/>
      <c r="L104" s="566"/>
      <c r="M104" s="566"/>
      <c r="P104" s="632"/>
      <c r="Q104" s="632"/>
      <c r="R104" s="632"/>
      <c r="S104" s="632"/>
    </row>
    <row r="105" spans="5:19" s="629" customFormat="1" x14ac:dyDescent="0.2">
      <c r="E105" s="623"/>
      <c r="F105" s="630"/>
      <c r="G105" s="566"/>
      <c r="H105" s="566"/>
      <c r="I105" s="578"/>
      <c r="J105" s="566"/>
      <c r="K105" s="566"/>
      <c r="L105" s="566"/>
      <c r="M105" s="566"/>
      <c r="P105" s="632"/>
      <c r="Q105" s="632"/>
      <c r="R105" s="632"/>
      <c r="S105" s="632"/>
    </row>
    <row r="106" spans="5:19" s="629" customFormat="1" x14ac:dyDescent="0.2">
      <c r="E106" s="623"/>
      <c r="F106" s="630"/>
      <c r="G106" s="566"/>
      <c r="H106" s="566"/>
      <c r="I106" s="578"/>
      <c r="J106" s="566"/>
      <c r="K106" s="566"/>
      <c r="L106" s="566"/>
      <c r="M106" s="566"/>
      <c r="P106" s="632"/>
      <c r="Q106" s="632"/>
      <c r="R106" s="632"/>
      <c r="S106" s="632"/>
    </row>
    <row r="107" spans="5:19" s="629" customFormat="1" x14ac:dyDescent="0.2">
      <c r="E107" s="623"/>
      <c r="F107" s="630"/>
      <c r="G107" s="566"/>
      <c r="H107" s="566"/>
      <c r="I107" s="578"/>
      <c r="J107" s="566"/>
      <c r="K107" s="566"/>
      <c r="L107" s="566"/>
      <c r="M107" s="566"/>
      <c r="P107" s="632"/>
      <c r="Q107" s="632"/>
      <c r="R107" s="632"/>
      <c r="S107" s="632"/>
    </row>
    <row r="108" spans="5:19" s="629" customFormat="1" x14ac:dyDescent="0.2">
      <c r="E108" s="623"/>
      <c r="F108" s="630"/>
      <c r="G108" s="566"/>
      <c r="H108" s="566"/>
      <c r="I108" s="578"/>
      <c r="J108" s="566"/>
      <c r="K108" s="566"/>
      <c r="L108" s="566"/>
      <c r="M108" s="566"/>
      <c r="P108" s="632"/>
      <c r="Q108" s="632"/>
      <c r="R108" s="632"/>
      <c r="S108" s="632"/>
    </row>
    <row r="109" spans="5:19" s="629" customFormat="1" x14ac:dyDescent="0.2">
      <c r="E109" s="623"/>
      <c r="F109" s="630"/>
      <c r="G109" s="566"/>
      <c r="H109" s="566"/>
      <c r="I109" s="578"/>
      <c r="J109" s="566"/>
      <c r="K109" s="566"/>
      <c r="L109" s="566"/>
      <c r="M109" s="566"/>
      <c r="P109" s="632"/>
      <c r="Q109" s="632"/>
      <c r="R109" s="632"/>
      <c r="S109" s="632"/>
    </row>
    <row r="110" spans="5:19" s="629" customFormat="1" x14ac:dyDescent="0.2">
      <c r="E110" s="623"/>
      <c r="F110" s="630"/>
      <c r="G110" s="566"/>
      <c r="H110" s="566"/>
      <c r="I110" s="578"/>
      <c r="J110" s="566"/>
      <c r="K110" s="566"/>
      <c r="L110" s="566"/>
      <c r="P110" s="632"/>
      <c r="Q110" s="632"/>
      <c r="R110" s="632"/>
      <c r="S110" s="632"/>
    </row>
    <row r="111" spans="5:19" s="629" customFormat="1" x14ac:dyDescent="0.2">
      <c r="E111" s="623"/>
      <c r="F111" s="630"/>
      <c r="G111" s="566"/>
      <c r="H111" s="566"/>
      <c r="I111" s="578"/>
      <c r="J111" s="566"/>
      <c r="K111" s="566"/>
      <c r="L111" s="566"/>
      <c r="P111" s="632"/>
      <c r="Q111" s="632"/>
      <c r="R111" s="632"/>
      <c r="S111" s="632"/>
    </row>
    <row r="112" spans="5:19" s="629" customFormat="1" x14ac:dyDescent="0.2">
      <c r="E112" s="623"/>
      <c r="F112" s="630"/>
      <c r="G112" s="566"/>
      <c r="H112" s="566"/>
      <c r="I112" s="578"/>
      <c r="J112" s="566"/>
      <c r="K112" s="566"/>
      <c r="L112" s="566"/>
      <c r="P112" s="632"/>
      <c r="Q112" s="632"/>
      <c r="R112" s="632"/>
      <c r="S112" s="632"/>
    </row>
    <row r="113" spans="5:19" s="629" customFormat="1" x14ac:dyDescent="0.2">
      <c r="E113" s="623"/>
      <c r="F113" s="630"/>
      <c r="G113" s="566"/>
      <c r="H113" s="566"/>
      <c r="I113" s="578"/>
      <c r="J113" s="566"/>
      <c r="K113" s="566"/>
      <c r="L113" s="566"/>
      <c r="P113" s="632"/>
      <c r="Q113" s="632"/>
      <c r="R113" s="632"/>
      <c r="S113" s="632"/>
    </row>
    <row r="114" spans="5:19" s="629" customFormat="1" x14ac:dyDescent="0.2">
      <c r="E114" s="623"/>
      <c r="F114" s="630"/>
      <c r="G114" s="566"/>
      <c r="H114" s="566"/>
      <c r="I114" s="578"/>
      <c r="J114" s="566"/>
      <c r="K114" s="566"/>
      <c r="L114" s="566"/>
      <c r="P114" s="632"/>
      <c r="Q114" s="632"/>
      <c r="R114" s="632"/>
      <c r="S114" s="632"/>
    </row>
    <row r="115" spans="5:19" s="629" customFormat="1" x14ac:dyDescent="0.2">
      <c r="E115" s="623"/>
      <c r="F115" s="630"/>
      <c r="G115" s="566"/>
      <c r="H115" s="566"/>
      <c r="I115" s="578"/>
      <c r="J115" s="566"/>
      <c r="K115" s="566"/>
      <c r="L115" s="566"/>
      <c r="P115" s="632"/>
      <c r="Q115" s="632"/>
      <c r="R115" s="632"/>
      <c r="S115" s="632"/>
    </row>
    <row r="116" spans="5:19" s="629" customFormat="1" x14ac:dyDescent="0.2">
      <c r="E116" s="623"/>
      <c r="F116" s="630"/>
      <c r="G116" s="566"/>
      <c r="H116" s="566"/>
      <c r="I116" s="578"/>
      <c r="J116" s="566"/>
      <c r="K116" s="566"/>
      <c r="L116" s="566"/>
      <c r="P116" s="632"/>
      <c r="Q116" s="632"/>
      <c r="R116" s="632"/>
      <c r="S116" s="632"/>
    </row>
    <row r="117" spans="5:19" s="629" customFormat="1" x14ac:dyDescent="0.2">
      <c r="E117" s="623"/>
      <c r="F117" s="630"/>
      <c r="G117" s="566"/>
      <c r="H117" s="566"/>
      <c r="I117" s="578"/>
      <c r="J117" s="566"/>
      <c r="K117" s="566"/>
      <c r="L117" s="566"/>
      <c r="P117" s="632"/>
      <c r="Q117" s="632"/>
      <c r="R117" s="632"/>
      <c r="S117" s="632"/>
    </row>
    <row r="118" spans="5:19" s="629" customFormat="1" x14ac:dyDescent="0.2">
      <c r="E118" s="623"/>
      <c r="F118" s="630"/>
      <c r="G118" s="566"/>
      <c r="H118" s="566"/>
      <c r="I118" s="578"/>
      <c r="J118" s="566"/>
      <c r="K118" s="566"/>
      <c r="L118" s="566"/>
      <c r="P118" s="632"/>
      <c r="Q118" s="632"/>
      <c r="R118" s="632"/>
      <c r="S118" s="632"/>
    </row>
    <row r="119" spans="5:19" s="629" customFormat="1" x14ac:dyDescent="0.2">
      <c r="E119" s="623"/>
      <c r="F119" s="630"/>
      <c r="G119" s="566"/>
      <c r="H119" s="566"/>
      <c r="I119" s="578"/>
      <c r="J119" s="566"/>
      <c r="K119" s="566"/>
      <c r="L119" s="566"/>
      <c r="P119" s="632"/>
      <c r="Q119" s="632"/>
      <c r="R119" s="632"/>
      <c r="S119" s="632"/>
    </row>
    <row r="120" spans="5:19" s="629" customFormat="1" x14ac:dyDescent="0.2">
      <c r="E120" s="623"/>
      <c r="F120" s="630"/>
      <c r="G120" s="566"/>
      <c r="H120" s="566"/>
      <c r="I120" s="578"/>
      <c r="J120" s="566"/>
      <c r="K120" s="566"/>
      <c r="L120" s="566"/>
      <c r="P120" s="632"/>
      <c r="Q120" s="632"/>
      <c r="R120" s="632"/>
      <c r="S120" s="632"/>
    </row>
    <row r="121" spans="5:19" s="629" customFormat="1" x14ac:dyDescent="0.2">
      <c r="E121" s="623"/>
      <c r="F121" s="630"/>
      <c r="G121" s="566"/>
      <c r="H121" s="566"/>
      <c r="I121" s="578"/>
      <c r="J121" s="566"/>
      <c r="K121" s="566"/>
      <c r="L121" s="566"/>
      <c r="P121" s="632"/>
      <c r="Q121" s="632"/>
      <c r="R121" s="632"/>
      <c r="S121" s="632"/>
    </row>
    <row r="122" spans="5:19" s="629" customFormat="1" x14ac:dyDescent="0.2">
      <c r="E122" s="623"/>
      <c r="F122" s="630"/>
      <c r="G122" s="566"/>
      <c r="H122" s="566"/>
      <c r="I122" s="578"/>
      <c r="J122" s="566"/>
      <c r="K122" s="566"/>
      <c r="L122" s="566"/>
      <c r="P122" s="632"/>
      <c r="Q122" s="632"/>
      <c r="R122" s="632"/>
      <c r="S122" s="632"/>
    </row>
    <row r="123" spans="5:19" s="629" customFormat="1" x14ac:dyDescent="0.2">
      <c r="E123" s="623"/>
      <c r="F123" s="630"/>
      <c r="G123" s="566"/>
      <c r="H123" s="566"/>
      <c r="I123" s="578"/>
      <c r="J123" s="566"/>
      <c r="K123" s="566"/>
      <c r="L123" s="566"/>
      <c r="P123" s="632"/>
      <c r="Q123" s="632"/>
      <c r="R123" s="632"/>
      <c r="S123" s="632"/>
    </row>
    <row r="124" spans="5:19" s="629" customFormat="1" x14ac:dyDescent="0.2">
      <c r="E124" s="623"/>
      <c r="F124" s="630"/>
      <c r="G124" s="566"/>
      <c r="H124" s="566"/>
      <c r="I124" s="578"/>
      <c r="J124" s="566"/>
      <c r="K124" s="566"/>
      <c r="L124" s="566"/>
      <c r="P124" s="632"/>
      <c r="Q124" s="632"/>
      <c r="R124" s="632"/>
      <c r="S124" s="632"/>
    </row>
    <row r="125" spans="5:19" s="629" customFormat="1" x14ac:dyDescent="0.2">
      <c r="E125" s="623"/>
      <c r="F125" s="630"/>
      <c r="G125" s="566"/>
      <c r="H125" s="566"/>
      <c r="I125" s="578"/>
      <c r="J125" s="566"/>
      <c r="K125" s="566"/>
      <c r="L125" s="566"/>
      <c r="P125" s="632"/>
      <c r="Q125" s="632"/>
      <c r="R125" s="632"/>
      <c r="S125" s="632"/>
    </row>
    <row r="126" spans="5:19" s="629" customFormat="1" x14ac:dyDescent="0.2">
      <c r="E126" s="623"/>
      <c r="F126" s="630"/>
      <c r="G126" s="566"/>
      <c r="H126" s="566"/>
      <c r="I126" s="578"/>
      <c r="J126" s="566"/>
      <c r="K126" s="566"/>
      <c r="L126" s="566"/>
      <c r="P126" s="632"/>
      <c r="Q126" s="632"/>
      <c r="R126" s="632"/>
      <c r="S126" s="632"/>
    </row>
    <row r="127" spans="5:19" s="629" customFormat="1" x14ac:dyDescent="0.2">
      <c r="E127" s="623"/>
      <c r="F127" s="630"/>
      <c r="G127" s="566"/>
      <c r="H127" s="566"/>
      <c r="I127" s="578"/>
      <c r="J127" s="566"/>
      <c r="K127" s="566"/>
      <c r="L127" s="566"/>
      <c r="P127" s="632"/>
      <c r="Q127" s="632"/>
      <c r="R127" s="632"/>
      <c r="S127" s="632"/>
    </row>
    <row r="128" spans="5:19" s="629" customFormat="1" x14ac:dyDescent="0.2">
      <c r="E128" s="623"/>
      <c r="F128" s="630"/>
      <c r="G128" s="566"/>
      <c r="H128" s="566"/>
      <c r="I128" s="578"/>
      <c r="J128" s="566"/>
      <c r="K128" s="566"/>
      <c r="L128" s="566"/>
      <c r="P128" s="632"/>
      <c r="Q128" s="632"/>
      <c r="R128" s="632"/>
      <c r="S128" s="632"/>
    </row>
    <row r="129" spans="5:19" s="629" customFormat="1" x14ac:dyDescent="0.2">
      <c r="E129" s="623"/>
      <c r="F129" s="630"/>
      <c r="G129" s="566"/>
      <c r="H129" s="566"/>
      <c r="I129" s="578"/>
      <c r="J129" s="566"/>
      <c r="K129" s="566"/>
      <c r="L129" s="566"/>
      <c r="P129" s="632"/>
      <c r="Q129" s="632"/>
      <c r="R129" s="632"/>
      <c r="S129" s="632"/>
    </row>
    <row r="130" spans="5:19" s="629" customFormat="1" x14ac:dyDescent="0.2">
      <c r="E130" s="623"/>
      <c r="F130" s="630"/>
      <c r="G130" s="566"/>
      <c r="H130" s="566"/>
      <c r="I130" s="578"/>
      <c r="J130" s="566"/>
      <c r="K130" s="566"/>
      <c r="L130" s="566"/>
      <c r="P130" s="632"/>
      <c r="Q130" s="632"/>
      <c r="R130" s="632"/>
      <c r="S130" s="632"/>
    </row>
    <row r="131" spans="5:19" s="629" customFormat="1" x14ac:dyDescent="0.2">
      <c r="E131" s="623"/>
      <c r="F131" s="630"/>
      <c r="G131" s="566"/>
      <c r="H131" s="566"/>
      <c r="I131" s="578"/>
      <c r="J131" s="566"/>
      <c r="K131" s="566"/>
      <c r="L131" s="566"/>
      <c r="P131" s="632"/>
      <c r="Q131" s="632"/>
      <c r="R131" s="632"/>
      <c r="S131" s="632"/>
    </row>
    <row r="132" spans="5:19" s="629" customFormat="1" x14ac:dyDescent="0.2">
      <c r="E132" s="623"/>
      <c r="F132" s="630"/>
      <c r="G132" s="566"/>
      <c r="H132" s="566"/>
      <c r="I132" s="578"/>
      <c r="J132" s="566"/>
      <c r="K132" s="566"/>
      <c r="L132" s="566"/>
      <c r="P132" s="632"/>
      <c r="Q132" s="632"/>
      <c r="R132" s="632"/>
      <c r="S132" s="632"/>
    </row>
    <row r="133" spans="5:19" s="629" customFormat="1" x14ac:dyDescent="0.2">
      <c r="E133" s="623"/>
      <c r="F133" s="630"/>
      <c r="G133" s="566"/>
      <c r="H133" s="566"/>
      <c r="I133" s="578"/>
      <c r="J133" s="566"/>
      <c r="K133" s="566"/>
      <c r="L133" s="566"/>
      <c r="P133" s="632"/>
      <c r="Q133" s="632"/>
      <c r="R133" s="632"/>
      <c r="S133" s="632"/>
    </row>
    <row r="134" spans="5:19" s="629" customFormat="1" x14ac:dyDescent="0.2">
      <c r="E134" s="623"/>
      <c r="F134" s="630"/>
      <c r="G134" s="566"/>
      <c r="H134" s="566"/>
      <c r="I134" s="578"/>
      <c r="J134" s="566"/>
      <c r="K134" s="566"/>
      <c r="L134" s="566"/>
      <c r="P134" s="632"/>
      <c r="Q134" s="632"/>
      <c r="R134" s="632"/>
      <c r="S134" s="632"/>
    </row>
    <row r="135" spans="5:19" s="629" customFormat="1" x14ac:dyDescent="0.2">
      <c r="E135" s="623"/>
      <c r="F135" s="630"/>
      <c r="G135" s="566"/>
      <c r="H135" s="566"/>
      <c r="I135" s="578"/>
      <c r="J135" s="566"/>
      <c r="K135" s="566"/>
      <c r="L135" s="566"/>
      <c r="P135" s="632"/>
      <c r="Q135" s="632"/>
      <c r="R135" s="632"/>
      <c r="S135" s="632"/>
    </row>
    <row r="136" spans="5:19" s="629" customFormat="1" x14ac:dyDescent="0.2">
      <c r="E136" s="623"/>
      <c r="F136" s="630"/>
      <c r="G136" s="566"/>
      <c r="H136" s="566"/>
      <c r="I136" s="578"/>
      <c r="J136" s="566"/>
      <c r="K136" s="566"/>
      <c r="L136" s="566"/>
      <c r="P136" s="632"/>
      <c r="Q136" s="632"/>
      <c r="R136" s="632"/>
      <c r="S136" s="632"/>
    </row>
    <row r="137" spans="5:19" s="629" customFormat="1" x14ac:dyDescent="0.2">
      <c r="E137" s="623"/>
      <c r="F137" s="630"/>
      <c r="G137" s="566"/>
      <c r="H137" s="566"/>
      <c r="I137" s="578"/>
      <c r="J137" s="566"/>
      <c r="K137" s="566"/>
      <c r="L137" s="566"/>
      <c r="P137" s="632"/>
      <c r="Q137" s="632"/>
      <c r="R137" s="632"/>
      <c r="S137" s="632"/>
    </row>
    <row r="138" spans="5:19" s="629" customFormat="1" x14ac:dyDescent="0.2">
      <c r="E138" s="623"/>
      <c r="F138" s="630"/>
      <c r="G138" s="566"/>
      <c r="H138" s="566"/>
      <c r="I138" s="578"/>
      <c r="J138" s="566"/>
      <c r="K138" s="566"/>
      <c r="L138" s="566"/>
      <c r="P138" s="632"/>
      <c r="Q138" s="632"/>
      <c r="R138" s="632"/>
      <c r="S138" s="632"/>
    </row>
    <row r="139" spans="5:19" s="629" customFormat="1" x14ac:dyDescent="0.2">
      <c r="E139" s="623"/>
      <c r="F139" s="630"/>
      <c r="G139" s="566"/>
      <c r="H139" s="566"/>
      <c r="I139" s="578"/>
      <c r="J139" s="566"/>
      <c r="K139" s="566"/>
      <c r="L139" s="566"/>
      <c r="P139" s="632"/>
      <c r="Q139" s="632"/>
      <c r="R139" s="632"/>
      <c r="S139" s="632"/>
    </row>
    <row r="140" spans="5:19" s="629" customFormat="1" x14ac:dyDescent="0.2">
      <c r="E140" s="623"/>
      <c r="F140" s="630"/>
      <c r="G140" s="566"/>
      <c r="H140" s="566"/>
      <c r="I140" s="578"/>
      <c r="J140" s="566"/>
      <c r="K140" s="566"/>
      <c r="L140" s="566"/>
      <c r="P140" s="632"/>
      <c r="Q140" s="632"/>
      <c r="R140" s="632"/>
      <c r="S140" s="632"/>
    </row>
    <row r="141" spans="5:19" s="629" customFormat="1" x14ac:dyDescent="0.2">
      <c r="E141" s="623"/>
      <c r="F141" s="630"/>
      <c r="G141" s="566"/>
      <c r="H141" s="566"/>
      <c r="I141" s="578"/>
      <c r="J141" s="566"/>
      <c r="K141" s="566"/>
      <c r="L141" s="566"/>
      <c r="P141" s="632"/>
      <c r="Q141" s="632"/>
      <c r="R141" s="632"/>
      <c r="S141" s="632"/>
    </row>
    <row r="142" spans="5:19" s="629" customFormat="1" x14ac:dyDescent="0.2">
      <c r="E142" s="623"/>
      <c r="F142" s="630"/>
      <c r="G142" s="566"/>
      <c r="H142" s="566"/>
      <c r="I142" s="578"/>
      <c r="J142" s="566"/>
      <c r="K142" s="566"/>
      <c r="L142" s="566"/>
      <c r="P142" s="632"/>
      <c r="Q142" s="632"/>
      <c r="R142" s="632"/>
      <c r="S142" s="632"/>
    </row>
    <row r="143" spans="5:19" s="629" customFormat="1" x14ac:dyDescent="0.2">
      <c r="E143" s="623"/>
      <c r="F143" s="630"/>
      <c r="G143" s="566"/>
      <c r="H143" s="566"/>
      <c r="I143" s="578"/>
      <c r="J143" s="566"/>
      <c r="K143" s="566"/>
      <c r="L143" s="566"/>
      <c r="P143" s="632"/>
      <c r="Q143" s="632"/>
      <c r="R143" s="632"/>
      <c r="S143" s="632"/>
    </row>
    <row r="144" spans="5:19" s="629" customFormat="1" x14ac:dyDescent="0.2">
      <c r="E144" s="623"/>
      <c r="F144" s="630"/>
      <c r="G144" s="566"/>
      <c r="H144" s="566"/>
      <c r="I144" s="578"/>
      <c r="J144" s="566"/>
      <c r="K144" s="566"/>
      <c r="L144" s="566"/>
      <c r="P144" s="632"/>
      <c r="Q144" s="632"/>
      <c r="R144" s="632"/>
      <c r="S144" s="632"/>
    </row>
    <row r="145" spans="1:19" s="629" customFormat="1" x14ac:dyDescent="0.2">
      <c r="E145" s="623"/>
      <c r="F145" s="630"/>
      <c r="G145" s="566"/>
      <c r="H145" s="566"/>
      <c r="I145" s="578"/>
      <c r="J145" s="566"/>
      <c r="K145" s="566"/>
      <c r="L145" s="566"/>
      <c r="P145" s="632"/>
      <c r="Q145" s="632"/>
      <c r="R145" s="632"/>
      <c r="S145" s="632"/>
    </row>
    <row r="146" spans="1:19" s="629" customFormat="1" x14ac:dyDescent="0.2">
      <c r="E146" s="623"/>
      <c r="F146" s="630"/>
      <c r="G146" s="566"/>
      <c r="H146" s="566"/>
      <c r="I146" s="578"/>
      <c r="J146" s="566"/>
      <c r="K146" s="566"/>
      <c r="L146" s="566"/>
      <c r="P146" s="632"/>
      <c r="Q146" s="632"/>
      <c r="R146" s="632"/>
      <c r="S146" s="632"/>
    </row>
    <row r="147" spans="1:19" x14ac:dyDescent="0.2">
      <c r="A147" s="629"/>
      <c r="B147" s="629"/>
      <c r="C147" s="629"/>
      <c r="D147" s="629"/>
      <c r="E147" s="623"/>
      <c r="F147" s="630"/>
      <c r="G147" s="566"/>
      <c r="H147" s="566"/>
      <c r="I147" s="578"/>
      <c r="J147" s="566"/>
      <c r="K147" s="566"/>
      <c r="L147" s="566"/>
      <c r="M147" s="629"/>
      <c r="N147" s="629"/>
      <c r="O147" s="629"/>
      <c r="P147" s="632"/>
      <c r="Q147" s="632"/>
    </row>
    <row r="148" spans="1:19" x14ac:dyDescent="0.2">
      <c r="A148" s="629"/>
      <c r="B148" s="629"/>
      <c r="C148" s="629"/>
      <c r="D148" s="629"/>
      <c r="E148" s="623"/>
      <c r="F148" s="630"/>
      <c r="G148" s="566"/>
      <c r="H148" s="566"/>
      <c r="I148" s="578"/>
      <c r="J148" s="566"/>
      <c r="K148" s="566"/>
      <c r="L148" s="566"/>
      <c r="M148" s="629"/>
      <c r="N148" s="629"/>
      <c r="O148" s="629"/>
      <c r="P148" s="632"/>
      <c r="Q148" s="632"/>
    </row>
    <row r="149" spans="1:19" x14ac:dyDescent="0.2">
      <c r="A149" s="629"/>
      <c r="B149" s="629"/>
      <c r="C149" s="629"/>
      <c r="D149" s="629"/>
      <c r="E149" s="623"/>
      <c r="F149" s="630"/>
      <c r="G149" s="566"/>
      <c r="H149" s="566"/>
      <c r="I149" s="578"/>
      <c r="J149" s="566"/>
      <c r="K149" s="566"/>
      <c r="L149" s="566"/>
      <c r="M149" s="629"/>
      <c r="N149" s="629"/>
      <c r="O149" s="629"/>
      <c r="P149" s="632"/>
      <c r="Q149" s="632"/>
    </row>
    <row r="150" spans="1:19" x14ac:dyDescent="0.2">
      <c r="A150" s="629"/>
      <c r="B150" s="629"/>
      <c r="C150" s="629"/>
      <c r="D150" s="629"/>
      <c r="E150" s="623"/>
      <c r="F150" s="630"/>
      <c r="G150" s="566"/>
      <c r="H150" s="566"/>
      <c r="I150" s="578"/>
      <c r="J150" s="566"/>
      <c r="K150" s="566"/>
      <c r="L150" s="566"/>
      <c r="M150" s="629"/>
      <c r="N150" s="629"/>
      <c r="O150" s="629"/>
      <c r="P150" s="632"/>
      <c r="Q150" s="632"/>
    </row>
    <row r="151" spans="1:19" x14ac:dyDescent="0.2">
      <c r="A151" s="629"/>
      <c r="B151" s="629"/>
      <c r="C151" s="629"/>
      <c r="D151" s="629"/>
      <c r="E151" s="623"/>
      <c r="F151" s="630"/>
      <c r="G151" s="566"/>
      <c r="H151" s="566"/>
      <c r="I151" s="578"/>
      <c r="J151" s="566"/>
      <c r="K151" s="566"/>
      <c r="L151" s="566"/>
      <c r="M151" s="629"/>
      <c r="N151" s="629"/>
      <c r="O151" s="629"/>
      <c r="P151" s="632"/>
      <c r="Q151" s="632"/>
    </row>
    <row r="152" spans="1:19" x14ac:dyDescent="0.2">
      <c r="A152" s="629"/>
      <c r="B152" s="629"/>
      <c r="C152" s="629"/>
      <c r="D152" s="629"/>
      <c r="E152" s="623"/>
      <c r="F152" s="630"/>
      <c r="G152" s="566"/>
      <c r="H152" s="566"/>
      <c r="I152" s="578"/>
      <c r="J152" s="566"/>
      <c r="K152" s="566"/>
      <c r="L152" s="566"/>
      <c r="M152" s="629"/>
    </row>
    <row r="153" spans="1:19" x14ac:dyDescent="0.2">
      <c r="A153" s="629"/>
      <c r="B153" s="629"/>
      <c r="C153" s="629"/>
      <c r="D153" s="629"/>
      <c r="E153" s="623"/>
      <c r="F153" s="630"/>
      <c r="G153" s="566"/>
      <c r="H153" s="566"/>
      <c r="I153" s="578"/>
      <c r="J153" s="566"/>
      <c r="K153" s="566"/>
      <c r="L153" s="566"/>
      <c r="M153" s="629"/>
    </row>
    <row r="154" spans="1:19" x14ac:dyDescent="0.2">
      <c r="A154" s="629"/>
      <c r="B154" s="629"/>
      <c r="C154" s="629"/>
      <c r="D154" s="629"/>
      <c r="E154" s="623"/>
      <c r="F154" s="630"/>
      <c r="G154" s="566"/>
      <c r="H154" s="566"/>
      <c r="I154" s="578"/>
      <c r="J154" s="566"/>
      <c r="K154" s="566"/>
      <c r="L154" s="566"/>
      <c r="M154" s="629"/>
    </row>
    <row r="155" spans="1:19" x14ac:dyDescent="0.2">
      <c r="A155" s="629"/>
      <c r="B155" s="629"/>
      <c r="C155" s="629"/>
      <c r="D155" s="629"/>
      <c r="E155" s="623"/>
      <c r="F155" s="630"/>
      <c r="G155" s="566"/>
      <c r="H155" s="566"/>
      <c r="I155" s="578"/>
      <c r="J155" s="566"/>
      <c r="K155" s="566"/>
      <c r="L155" s="566"/>
      <c r="M155" s="629"/>
    </row>
    <row r="156" spans="1:19" x14ac:dyDescent="0.2">
      <c r="J156" s="566"/>
      <c r="K156" s="566"/>
      <c r="L156" s="566"/>
      <c r="M156" s="629"/>
    </row>
    <row r="157" spans="1:19" x14ac:dyDescent="0.2">
      <c r="J157" s="566"/>
      <c r="K157" s="566"/>
      <c r="L157" s="566"/>
      <c r="M157" s="629"/>
    </row>
    <row r="158" spans="1:19" x14ac:dyDescent="0.2">
      <c r="J158" s="566"/>
      <c r="K158" s="566"/>
      <c r="L158" s="566"/>
      <c r="M158" s="629"/>
    </row>
    <row r="159" spans="1:19" x14ac:dyDescent="0.2">
      <c r="J159" s="566"/>
      <c r="K159" s="566"/>
      <c r="L159" s="566"/>
      <c r="M159" s="629"/>
    </row>
    <row r="160" spans="1:19" x14ac:dyDescent="0.2">
      <c r="J160" s="566"/>
      <c r="K160" s="566"/>
      <c r="L160" s="566"/>
      <c r="M160" s="629"/>
    </row>
    <row r="161" spans="10:13" x14ac:dyDescent="0.2">
      <c r="J161" s="566"/>
      <c r="K161" s="566"/>
      <c r="L161" s="566"/>
      <c r="M161" s="629"/>
    </row>
    <row r="162" spans="10:13" x14ac:dyDescent="0.2">
      <c r="K162" s="566"/>
      <c r="L162" s="566"/>
      <c r="M162" s="629"/>
    </row>
    <row r="163" spans="10:13" x14ac:dyDescent="0.2">
      <c r="K163" s="566"/>
      <c r="L163" s="566"/>
      <c r="M163" s="629"/>
    </row>
    <row r="164" spans="10:13" x14ac:dyDescent="0.2">
      <c r="K164" s="566"/>
      <c r="L164" s="566"/>
      <c r="M164" s="629"/>
    </row>
    <row r="165" spans="10:13" x14ac:dyDescent="0.2">
      <c r="L165" s="566"/>
      <c r="M165" s="629"/>
    </row>
    <row r="166" spans="10:13" x14ac:dyDescent="0.2">
      <c r="L166" s="566"/>
      <c r="M166" s="629"/>
    </row>
    <row r="167" spans="10:13" x14ac:dyDescent="0.2">
      <c r="L167" s="566"/>
    </row>
    <row r="168" spans="10:13" x14ac:dyDescent="0.2">
      <c r="L168" s="566"/>
    </row>
    <row r="169" spans="10:13" x14ac:dyDescent="0.2">
      <c r="L169" s="566"/>
    </row>
  </sheetData>
  <mergeCells count="5">
    <mergeCell ref="A7:L7"/>
    <mergeCell ref="M7:O7"/>
    <mergeCell ref="U7:V7"/>
    <mergeCell ref="D9:F9"/>
    <mergeCell ref="H9:K9"/>
  </mergeCells>
  <conditionalFormatting sqref="Z9:Z57 P58:P74">
    <cfRule type="aboveAverage" dxfId="11" priority="1" aboveAverage="0" stdDev="1"/>
    <cfRule type="aboveAverage" dxfId="10" priority="2" stdDev="1"/>
  </conditionalFormatting>
  <dataValidations disablePrompts="1" count="1">
    <dataValidation type="list" allowBlank="1" showInputMessage="1" showErrorMessage="1" sqref="B5" xr:uid="{48E792E2-96E1-4E0A-B9AB-D32FDEC0E0FF}">
      <formula1>$AB$5:$AB$8</formula1>
    </dataValidation>
  </dataValidation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FCB8-3F0E-41DC-815F-9BD390C0D83C}">
  <dimension ref="A1:Z169"/>
  <sheetViews>
    <sheetView topLeftCell="R1" workbookViewId="0">
      <selection activeCell="N25" sqref="N25"/>
    </sheetView>
  </sheetViews>
  <sheetFormatPr defaultColWidth="7.88671875" defaultRowHeight="10.199999999999999" x14ac:dyDescent="0.2"/>
  <cols>
    <col min="1" max="1" width="15.6640625" style="566" bestFit="1" customWidth="1"/>
    <col min="2" max="2" width="9.5546875" style="566" bestFit="1" customWidth="1"/>
    <col min="3" max="3" width="5.109375" style="633" customWidth="1"/>
    <col min="4" max="6" width="7.6640625" style="633" customWidth="1"/>
    <col min="7" max="7" width="12" style="629" bestFit="1" customWidth="1"/>
    <col min="8" max="8" width="9.33203125" style="632" customWidth="1"/>
    <col min="9" max="10" width="8.44140625" style="629" bestFit="1" customWidth="1"/>
    <col min="11" max="11" width="8.44140625" style="623" bestFit="1" customWidth="1"/>
    <col min="12" max="12" width="13.6640625" style="630" bestFit="1" customWidth="1"/>
    <col min="13" max="13" width="6.33203125" style="566" bestFit="1" customWidth="1"/>
    <col min="14" max="14" width="5.6640625" style="566" bestFit="1" customWidth="1"/>
    <col min="15" max="15" width="5.88671875" style="578" bestFit="1" customWidth="1"/>
    <col min="16" max="16" width="5.88671875" style="459" bestFit="1" customWidth="1"/>
    <col min="17" max="17" width="14" style="626" bestFit="1" customWidth="1"/>
    <col min="18" max="18" width="6" style="626" bestFit="1" customWidth="1"/>
    <col min="19" max="19" width="8.6640625" style="626" bestFit="1" customWidth="1"/>
    <col min="20" max="21" width="17.33203125" style="566" bestFit="1" customWidth="1"/>
    <col min="22" max="22" width="9.33203125" style="566" bestFit="1" customWidth="1"/>
    <col min="23" max="27" width="5.33203125" style="566" customWidth="1"/>
    <col min="28" max="28" width="17" style="566" customWidth="1"/>
    <col min="29" max="16384" width="7.88671875" style="566"/>
  </cols>
  <sheetData>
    <row r="1" spans="1:24" s="402" customFormat="1" ht="13.2" x14ac:dyDescent="0.25">
      <c r="A1" s="394" t="s">
        <v>108</v>
      </c>
      <c r="B1" s="395" t="s">
        <v>163</v>
      </c>
      <c r="C1" s="396"/>
      <c r="D1" s="395"/>
      <c r="E1" s="397"/>
      <c r="F1" s="397"/>
      <c r="G1" s="398"/>
      <c r="H1" s="399" t="s">
        <v>109</v>
      </c>
      <c r="I1" s="400">
        <f>C32</f>
        <v>456</v>
      </c>
      <c r="J1" s="401"/>
      <c r="K1" s="395"/>
      <c r="L1" s="395"/>
      <c r="N1" s="403"/>
      <c r="P1" s="404"/>
      <c r="Q1" s="404"/>
      <c r="R1" s="404"/>
      <c r="S1" s="404"/>
    </row>
    <row r="2" spans="1:24" s="402" customFormat="1" ht="13.2" x14ac:dyDescent="0.25">
      <c r="A2" s="405" t="s">
        <v>110</v>
      </c>
      <c r="B2" s="395" t="s">
        <v>214</v>
      </c>
      <c r="C2" s="406"/>
      <c r="D2" s="395"/>
      <c r="E2" s="407"/>
      <c r="F2" s="407"/>
      <c r="G2" s="408"/>
      <c r="H2" s="409" t="s">
        <v>111</v>
      </c>
      <c r="I2" s="410">
        <f>V12</f>
        <v>439</v>
      </c>
      <c r="J2" s="411"/>
      <c r="K2" s="395"/>
      <c r="L2" s="395"/>
      <c r="N2" s="412"/>
      <c r="P2" s="404"/>
      <c r="Q2" s="404"/>
      <c r="R2" s="404"/>
      <c r="S2" s="404"/>
    </row>
    <row r="3" spans="1:24" s="416" customFormat="1" ht="11.25" customHeight="1" x14ac:dyDescent="0.25">
      <c r="A3" s="413" t="s">
        <v>112</v>
      </c>
      <c r="B3" s="665">
        <v>45407</v>
      </c>
      <c r="C3" s="406"/>
      <c r="D3" s="407"/>
      <c r="E3" s="407"/>
      <c r="F3" s="407"/>
      <c r="G3" s="408"/>
      <c r="H3" s="413" t="s">
        <v>113</v>
      </c>
      <c r="I3" s="415">
        <f>V53/100</f>
        <v>4.3899999999999997</v>
      </c>
      <c r="J3" s="411"/>
      <c r="K3" s="395"/>
      <c r="L3" s="395"/>
      <c r="N3" s="417"/>
      <c r="P3" s="418"/>
      <c r="Q3" s="418"/>
      <c r="R3" s="418"/>
      <c r="S3" s="418"/>
    </row>
    <row r="4" spans="1:24" s="402" customFormat="1" ht="13.2" x14ac:dyDescent="0.25">
      <c r="A4" s="413" t="s">
        <v>114</v>
      </c>
      <c r="B4" s="414" t="s">
        <v>202</v>
      </c>
      <c r="C4" s="406"/>
      <c r="D4" s="407"/>
      <c r="E4" s="407"/>
      <c r="F4" s="407"/>
      <c r="G4" s="408"/>
      <c r="H4" s="413" t="s">
        <v>115</v>
      </c>
      <c r="I4" s="419">
        <f>S31</f>
        <v>0.43148866414679971</v>
      </c>
      <c r="J4" s="411"/>
      <c r="K4" s="395"/>
      <c r="L4" s="395"/>
      <c r="M4" s="403"/>
      <c r="N4" s="403"/>
      <c r="P4" s="404"/>
      <c r="Q4" s="404"/>
      <c r="R4" s="404"/>
      <c r="S4" s="404"/>
    </row>
    <row r="5" spans="1:24" s="423" customFormat="1" ht="13.2" x14ac:dyDescent="0.25">
      <c r="A5" s="405" t="s">
        <v>116</v>
      </c>
      <c r="B5" s="420" t="s">
        <v>117</v>
      </c>
      <c r="C5" s="406"/>
      <c r="D5" s="407"/>
      <c r="E5" s="407"/>
      <c r="F5" s="407"/>
      <c r="G5" s="408"/>
      <c r="H5" s="413"/>
      <c r="I5" s="421"/>
      <c r="J5" s="411"/>
      <c r="K5" s="395"/>
      <c r="L5" s="395"/>
      <c r="M5" s="422"/>
      <c r="N5" s="422"/>
      <c r="P5" s="424"/>
      <c r="Q5" s="424"/>
      <c r="R5" s="424"/>
      <c r="S5" s="424"/>
    </row>
    <row r="6" spans="1:24" s="422" customFormat="1" ht="13.8" thickBot="1" x14ac:dyDescent="0.25">
      <c r="A6" s="425"/>
      <c r="B6" s="426"/>
      <c r="C6" s="427"/>
      <c r="D6" s="428"/>
      <c r="E6" s="428"/>
      <c r="F6" s="428"/>
      <c r="G6" s="429"/>
      <c r="H6" s="430"/>
      <c r="I6" s="431"/>
      <c r="J6" s="429"/>
      <c r="K6" s="426"/>
      <c r="L6" s="426"/>
      <c r="M6" s="432"/>
      <c r="P6" s="433"/>
      <c r="Q6" s="433"/>
      <c r="R6" s="433"/>
      <c r="S6" s="433"/>
    </row>
    <row r="7" spans="1:24" s="423" customFormat="1" ht="13.2" customHeight="1" x14ac:dyDescent="0.2">
      <c r="A7" s="888" t="s">
        <v>118</v>
      </c>
      <c r="B7" s="889"/>
      <c r="C7" s="889"/>
      <c r="D7" s="889"/>
      <c r="E7" s="889"/>
      <c r="F7" s="889"/>
      <c r="G7" s="889"/>
      <c r="H7" s="889"/>
      <c r="I7" s="889"/>
      <c r="J7" s="889"/>
      <c r="K7" s="889"/>
      <c r="L7" s="889"/>
      <c r="M7" s="890" t="s">
        <v>119</v>
      </c>
      <c r="N7" s="891"/>
      <c r="O7" s="892"/>
      <c r="P7" s="434" t="s">
        <v>120</v>
      </c>
      <c r="Q7" s="435"/>
      <c r="R7" s="434" t="s">
        <v>121</v>
      </c>
      <c r="S7" s="434"/>
      <c r="T7" s="436"/>
      <c r="U7" s="886" t="s">
        <v>122</v>
      </c>
      <c r="V7" s="887"/>
      <c r="W7" s="422"/>
      <c r="X7" s="422"/>
    </row>
    <row r="8" spans="1:24" s="453" customFormat="1" x14ac:dyDescent="0.2">
      <c r="A8" s="437"/>
      <c r="B8" s="432"/>
      <c r="C8" s="438"/>
      <c r="D8" s="439"/>
      <c r="E8" s="440"/>
      <c r="F8" s="441"/>
      <c r="G8" s="442"/>
      <c r="H8" s="443"/>
      <c r="I8" s="443"/>
      <c r="J8" s="443"/>
      <c r="K8" s="443"/>
      <c r="L8" s="444"/>
      <c r="M8" s="445"/>
      <c r="N8" s="446"/>
      <c r="O8" s="447"/>
      <c r="P8" s="448"/>
      <c r="Q8" s="449"/>
      <c r="R8" s="448"/>
      <c r="S8" s="448"/>
      <c r="T8" s="450"/>
      <c r="U8" s="451"/>
      <c r="V8" s="451"/>
      <c r="W8" s="452"/>
    </row>
    <row r="9" spans="1:24" s="464" customFormat="1" ht="13.2" customHeight="1" x14ac:dyDescent="0.2">
      <c r="A9" s="454"/>
      <c r="B9" s="422"/>
      <c r="C9" s="455"/>
      <c r="D9" s="893" t="s">
        <v>123</v>
      </c>
      <c r="E9" s="894"/>
      <c r="F9" s="895"/>
      <c r="G9" s="456"/>
      <c r="H9" s="896" t="s">
        <v>124</v>
      </c>
      <c r="I9" s="897"/>
      <c r="J9" s="897"/>
      <c r="K9" s="898"/>
      <c r="L9" s="666"/>
      <c r="M9" s="458"/>
      <c r="N9" s="446" t="s">
        <v>125</v>
      </c>
      <c r="O9" s="447"/>
      <c r="P9" s="448"/>
      <c r="Q9" s="449"/>
      <c r="R9" s="459"/>
      <c r="S9" s="459"/>
      <c r="T9" s="450"/>
      <c r="U9" s="460"/>
      <c r="V9" s="461"/>
      <c r="W9" s="462"/>
      <c r="X9" s="463"/>
    </row>
    <row r="10" spans="1:24" s="464" customFormat="1" x14ac:dyDescent="0.2">
      <c r="A10" s="465" t="s">
        <v>126</v>
      </c>
      <c r="B10" s="466" t="s">
        <v>51</v>
      </c>
      <c r="C10" s="467" t="s">
        <v>127</v>
      </c>
      <c r="D10" s="468" t="s">
        <v>128</v>
      </c>
      <c r="E10" s="469" t="s">
        <v>129</v>
      </c>
      <c r="F10" s="470" t="s">
        <v>130</v>
      </c>
      <c r="G10" s="456" t="s">
        <v>131</v>
      </c>
      <c r="H10" s="667" t="s">
        <v>132</v>
      </c>
      <c r="I10" s="667" t="s">
        <v>133</v>
      </c>
      <c r="J10" s="667" t="s">
        <v>134</v>
      </c>
      <c r="K10" s="667" t="s">
        <v>135</v>
      </c>
      <c r="L10" s="666" t="s">
        <v>136</v>
      </c>
      <c r="M10" s="472" t="s">
        <v>137</v>
      </c>
      <c r="N10" s="473" t="s">
        <v>138</v>
      </c>
      <c r="O10" s="474" t="s">
        <v>139</v>
      </c>
      <c r="P10" s="475" t="s">
        <v>140</v>
      </c>
      <c r="Q10" s="449" t="s">
        <v>141</v>
      </c>
      <c r="R10" s="475" t="s">
        <v>141</v>
      </c>
      <c r="S10" s="475" t="s">
        <v>140</v>
      </c>
      <c r="T10" s="476" t="s">
        <v>142</v>
      </c>
      <c r="U10" s="460" t="s">
        <v>143</v>
      </c>
      <c r="V10" s="460" t="s">
        <v>144</v>
      </c>
      <c r="W10" s="477"/>
    </row>
    <row r="11" spans="1:24" s="464" customFormat="1" ht="12" thickBot="1" x14ac:dyDescent="0.25">
      <c r="A11" s="478" t="s">
        <v>145</v>
      </c>
      <c r="B11" s="479" t="s">
        <v>145</v>
      </c>
      <c r="C11" s="480" t="s">
        <v>146</v>
      </c>
      <c r="D11" s="481" t="s">
        <v>147</v>
      </c>
      <c r="E11" s="482" t="s">
        <v>147</v>
      </c>
      <c r="F11" s="483" t="s">
        <v>147</v>
      </c>
      <c r="G11" s="484" t="s">
        <v>147</v>
      </c>
      <c r="H11" s="485" t="s">
        <v>147</v>
      </c>
      <c r="I11" s="485" t="s">
        <v>147</v>
      </c>
      <c r="J11" s="485" t="s">
        <v>147</v>
      </c>
      <c r="K11" s="485" t="s">
        <v>147</v>
      </c>
      <c r="L11" s="486" t="s">
        <v>147</v>
      </c>
      <c r="M11" s="487" t="s">
        <v>148</v>
      </c>
      <c r="N11" s="488" t="s">
        <v>146</v>
      </c>
      <c r="O11" s="489" t="s">
        <v>146</v>
      </c>
      <c r="P11" s="490" t="s">
        <v>149</v>
      </c>
      <c r="Q11" s="491" t="s">
        <v>150</v>
      </c>
      <c r="R11" s="492" t="s">
        <v>36</v>
      </c>
      <c r="S11" s="492" t="s">
        <v>151</v>
      </c>
      <c r="T11" s="493"/>
      <c r="U11" s="494"/>
      <c r="V11" s="495" t="s">
        <v>147</v>
      </c>
      <c r="W11" s="477"/>
    </row>
    <row r="12" spans="1:24" s="464" customFormat="1" x14ac:dyDescent="0.3">
      <c r="A12" s="496" t="s">
        <v>152</v>
      </c>
      <c r="B12" s="497"/>
      <c r="C12" s="498">
        <v>0</v>
      </c>
      <c r="D12" s="499" t="s">
        <v>153</v>
      </c>
      <c r="E12" s="500" t="s">
        <v>153</v>
      </c>
      <c r="F12" s="501" t="s">
        <v>153</v>
      </c>
      <c r="G12" s="502" t="s">
        <v>153</v>
      </c>
      <c r="H12" s="500" t="s">
        <v>153</v>
      </c>
      <c r="I12" s="500" t="s">
        <v>153</v>
      </c>
      <c r="J12" s="500" t="s">
        <v>153</v>
      </c>
      <c r="K12" s="500" t="s">
        <v>153</v>
      </c>
      <c r="L12" s="503" t="s">
        <v>153</v>
      </c>
      <c r="M12" s="504"/>
      <c r="N12" s="505"/>
      <c r="O12" s="506"/>
      <c r="P12" s="507"/>
      <c r="Q12" s="508"/>
      <c r="R12" s="509"/>
      <c r="S12" s="510"/>
      <c r="T12" s="511"/>
      <c r="U12" s="512" t="s">
        <v>172</v>
      </c>
      <c r="V12" s="513">
        <v>439</v>
      </c>
      <c r="W12" s="514"/>
    </row>
    <row r="13" spans="1:24" s="464" customFormat="1" x14ac:dyDescent="0.3">
      <c r="A13" s="515">
        <v>310</v>
      </c>
      <c r="B13" s="516">
        <v>0</v>
      </c>
      <c r="C13" s="504">
        <v>10</v>
      </c>
      <c r="D13" s="517" t="s">
        <v>153</v>
      </c>
      <c r="E13" s="518" t="s">
        <v>153</v>
      </c>
      <c r="F13" s="519" t="s">
        <v>153</v>
      </c>
      <c r="G13" s="520" t="s">
        <v>153</v>
      </c>
      <c r="H13" s="518" t="s">
        <v>153</v>
      </c>
      <c r="I13" s="518" t="s">
        <v>153</v>
      </c>
      <c r="J13" s="518" t="s">
        <v>153</v>
      </c>
      <c r="K13" s="518" t="s">
        <v>153</v>
      </c>
      <c r="L13" s="521" t="s">
        <v>153</v>
      </c>
      <c r="M13" s="504">
        <v>966</v>
      </c>
      <c r="N13" s="522">
        <f>C12</f>
        <v>0</v>
      </c>
      <c r="O13" s="523">
        <f>(C13+C14-10)/2</f>
        <v>10</v>
      </c>
      <c r="P13" s="524">
        <f>(A13-B13)/M13</f>
        <v>0.32091097308488614</v>
      </c>
      <c r="Q13" s="525">
        <f>(P13*(O13-N13))/100</f>
        <v>3.2091097308488609E-2</v>
      </c>
      <c r="R13" s="526">
        <f>SUM(Q$13:Q13)</f>
        <v>3.2091097308488609E-2</v>
      </c>
      <c r="S13" s="527">
        <f>R13/O13*100</f>
        <v>0.32091097308488609</v>
      </c>
      <c r="T13" s="528"/>
      <c r="U13" s="529" t="s">
        <v>154</v>
      </c>
      <c r="V13" s="530"/>
      <c r="W13" s="477"/>
    </row>
    <row r="14" spans="1:24" s="464" customFormat="1" x14ac:dyDescent="0.3">
      <c r="A14" s="515">
        <v>315</v>
      </c>
      <c r="B14" s="516">
        <v>0</v>
      </c>
      <c r="C14" s="504">
        <v>20</v>
      </c>
      <c r="D14" s="517" t="s">
        <v>153</v>
      </c>
      <c r="E14" s="518" t="s">
        <v>153</v>
      </c>
      <c r="F14" s="519" t="s">
        <v>153</v>
      </c>
      <c r="G14" s="520" t="s">
        <v>153</v>
      </c>
      <c r="H14" s="518" t="s">
        <v>153</v>
      </c>
      <c r="I14" s="518" t="s">
        <v>153</v>
      </c>
      <c r="J14" s="518" t="s">
        <v>153</v>
      </c>
      <c r="K14" s="518" t="s">
        <v>153</v>
      </c>
      <c r="L14" s="521" t="s">
        <v>153</v>
      </c>
      <c r="M14" s="504">
        <v>966</v>
      </c>
      <c r="N14" s="522">
        <f>(C13+C14-10)/2</f>
        <v>10</v>
      </c>
      <c r="O14" s="523">
        <f>(C14+C15-10)/2</f>
        <v>20</v>
      </c>
      <c r="P14" s="524">
        <f>(A14-B14)/M14</f>
        <v>0.32608695652173914</v>
      </c>
      <c r="Q14" s="525">
        <f>(P14*(O14-N14))/100</f>
        <v>3.2608695652173919E-2</v>
      </c>
      <c r="R14" s="526">
        <f>SUM(Q$13:Q14)</f>
        <v>6.4699792960662528E-2</v>
      </c>
      <c r="S14" s="527">
        <f>R14/O14*100</f>
        <v>0.32349896480331264</v>
      </c>
      <c r="T14" s="528"/>
      <c r="U14" s="529" t="s">
        <v>154</v>
      </c>
      <c r="V14" s="530"/>
      <c r="W14" s="477"/>
    </row>
    <row r="15" spans="1:24" s="464" customFormat="1" x14ac:dyDescent="0.3">
      <c r="A15" s="515">
        <v>260</v>
      </c>
      <c r="B15" s="516">
        <v>0</v>
      </c>
      <c r="C15" s="504">
        <v>30</v>
      </c>
      <c r="D15" s="517" t="s">
        <v>153</v>
      </c>
      <c r="E15" s="518" t="s">
        <v>153</v>
      </c>
      <c r="F15" s="519" t="s">
        <v>153</v>
      </c>
      <c r="G15" s="520" t="s">
        <v>153</v>
      </c>
      <c r="H15" s="518" t="s">
        <v>153</v>
      </c>
      <c r="I15" s="518" t="s">
        <v>153</v>
      </c>
      <c r="J15" s="518" t="s">
        <v>153</v>
      </c>
      <c r="K15" s="518" t="s">
        <v>153</v>
      </c>
      <c r="L15" s="521" t="s">
        <v>153</v>
      </c>
      <c r="M15" s="504">
        <v>966</v>
      </c>
      <c r="N15" s="522">
        <f>(C14+C15-10)/2</f>
        <v>20</v>
      </c>
      <c r="O15" s="523">
        <f>(C15+C16-10)/2</f>
        <v>30</v>
      </c>
      <c r="P15" s="524">
        <f>(A15-B15)/M15</f>
        <v>0.2691511387163561</v>
      </c>
      <c r="Q15" s="525">
        <f>(P15*(O15-N15))/100</f>
        <v>2.6915113871635608E-2</v>
      </c>
      <c r="R15" s="526">
        <f>SUM(Q$13:Q15)</f>
        <v>9.1614906832298143E-2</v>
      </c>
      <c r="S15" s="527">
        <f>R15/O15*100</f>
        <v>0.30538302277432711</v>
      </c>
      <c r="T15" s="528"/>
      <c r="U15" s="529" t="s">
        <v>154</v>
      </c>
      <c r="V15" s="531"/>
      <c r="W15" s="477"/>
    </row>
    <row r="16" spans="1:24" s="464" customFormat="1" x14ac:dyDescent="0.3">
      <c r="A16" s="532">
        <v>330</v>
      </c>
      <c r="B16" s="516">
        <v>0</v>
      </c>
      <c r="C16" s="504">
        <v>40</v>
      </c>
      <c r="D16" s="517" t="s">
        <v>153</v>
      </c>
      <c r="E16" s="518" t="s">
        <v>153</v>
      </c>
      <c r="F16" s="519" t="s">
        <v>153</v>
      </c>
      <c r="G16" s="520" t="s">
        <v>153</v>
      </c>
      <c r="H16" s="518" t="s">
        <v>153</v>
      </c>
      <c r="I16" s="518" t="s">
        <v>153</v>
      </c>
      <c r="J16" s="518" t="s">
        <v>153</v>
      </c>
      <c r="K16" s="518" t="s">
        <v>153</v>
      </c>
      <c r="L16" s="521" t="s">
        <v>153</v>
      </c>
      <c r="M16" s="504">
        <v>966</v>
      </c>
      <c r="N16" s="522">
        <f>(C15+C16-10)/2</f>
        <v>30</v>
      </c>
      <c r="O16" s="523">
        <f>(C16+C17-10)/2</f>
        <v>40</v>
      </c>
      <c r="P16" s="524">
        <f>(A16-B16)/M16</f>
        <v>0.34161490683229812</v>
      </c>
      <c r="Q16" s="525">
        <f>(P16*(O16-N16))/100</f>
        <v>3.4161490683229809E-2</v>
      </c>
      <c r="R16" s="526">
        <f>SUM(Q$13:Q16)</f>
        <v>0.12577639751552794</v>
      </c>
      <c r="S16" s="527">
        <f>R16/O16*100</f>
        <v>0.31444099378881984</v>
      </c>
      <c r="T16" s="528"/>
      <c r="U16" s="529" t="s">
        <v>154</v>
      </c>
      <c r="V16" s="530"/>
      <c r="W16" s="477"/>
    </row>
    <row r="17" spans="1:25" s="464" customFormat="1" x14ac:dyDescent="0.3">
      <c r="A17" s="532">
        <v>335</v>
      </c>
      <c r="B17" s="516">
        <v>0</v>
      </c>
      <c r="C17" s="504">
        <v>50</v>
      </c>
      <c r="D17" s="517" t="s">
        <v>153</v>
      </c>
      <c r="E17" s="518" t="s">
        <v>153</v>
      </c>
      <c r="F17" s="519" t="s">
        <v>153</v>
      </c>
      <c r="G17" s="520" t="s">
        <v>153</v>
      </c>
      <c r="H17" s="518" t="s">
        <v>153</v>
      </c>
      <c r="I17" s="518" t="s">
        <v>153</v>
      </c>
      <c r="J17" s="518" t="s">
        <v>153</v>
      </c>
      <c r="K17" s="518" t="s">
        <v>153</v>
      </c>
      <c r="L17" s="521" t="s">
        <v>153</v>
      </c>
      <c r="M17" s="504">
        <v>966</v>
      </c>
      <c r="N17" s="522">
        <f>(C16+C17-10)/2</f>
        <v>40</v>
      </c>
      <c r="O17" s="523">
        <f>(C17+C25-G25)/2</f>
        <v>51.75</v>
      </c>
      <c r="P17" s="524">
        <f>(A17-B17)/M17</f>
        <v>0.34679089026915116</v>
      </c>
      <c r="Q17" s="525">
        <f>(P17*(O17-N17))/100</f>
        <v>4.0747929606625259E-2</v>
      </c>
      <c r="R17" s="526">
        <f>SUM(Q$13:Q17)</f>
        <v>0.1665243271221532</v>
      </c>
      <c r="S17" s="527">
        <f>R17/O17*100</f>
        <v>0.32178613936647965</v>
      </c>
      <c r="T17" s="528" t="s">
        <v>155</v>
      </c>
      <c r="U17" s="529" t="s">
        <v>154</v>
      </c>
      <c r="V17" s="530"/>
      <c r="W17" s="462"/>
    </row>
    <row r="18" spans="1:25" s="464" customFormat="1" x14ac:dyDescent="0.3">
      <c r="A18" s="532"/>
      <c r="B18" s="516"/>
      <c r="C18" s="504"/>
      <c r="D18" s="517"/>
      <c r="E18" s="518"/>
      <c r="F18" s="519"/>
      <c r="G18" s="520"/>
      <c r="H18" s="518"/>
      <c r="I18" s="518"/>
      <c r="J18" s="518"/>
      <c r="K18" s="518"/>
      <c r="L18" s="521"/>
      <c r="M18" s="504"/>
      <c r="N18" s="522"/>
      <c r="O18" s="523"/>
      <c r="P18" s="524"/>
      <c r="Q18" s="525"/>
      <c r="R18" s="526"/>
      <c r="S18" s="527"/>
      <c r="T18" s="533"/>
      <c r="U18" s="529" t="s">
        <v>154</v>
      </c>
      <c r="V18" s="530"/>
      <c r="W18" s="462"/>
    </row>
    <row r="19" spans="1:25" s="464" customFormat="1" ht="10.199999999999999" customHeight="1" x14ac:dyDescent="0.3">
      <c r="A19" s="532"/>
      <c r="B19" s="516"/>
      <c r="C19" s="504"/>
      <c r="D19" s="517"/>
      <c r="E19" s="518"/>
      <c r="F19" s="519"/>
      <c r="G19" s="520"/>
      <c r="H19" s="518"/>
      <c r="I19" s="518"/>
      <c r="J19" s="518"/>
      <c r="K19" s="518"/>
      <c r="L19" s="521"/>
      <c r="M19" s="504"/>
      <c r="N19" s="522"/>
      <c r="O19" s="523"/>
      <c r="P19" s="524"/>
      <c r="Q19" s="525"/>
      <c r="R19" s="526"/>
      <c r="S19" s="527"/>
      <c r="T19" s="533"/>
      <c r="U19" s="529" t="s">
        <v>154</v>
      </c>
      <c r="V19" s="530"/>
      <c r="W19" s="534"/>
    </row>
    <row r="20" spans="1:25" s="464" customFormat="1" x14ac:dyDescent="0.3">
      <c r="A20" s="532"/>
      <c r="B20" s="516"/>
      <c r="C20" s="504"/>
      <c r="D20" s="517"/>
      <c r="E20" s="518"/>
      <c r="F20" s="519"/>
      <c r="G20" s="520"/>
      <c r="H20" s="518"/>
      <c r="I20" s="518"/>
      <c r="J20" s="518"/>
      <c r="K20" s="518"/>
      <c r="L20" s="521"/>
      <c r="M20" s="504"/>
      <c r="N20" s="522"/>
      <c r="O20" s="523"/>
      <c r="P20" s="524"/>
      <c r="Q20" s="525"/>
      <c r="R20" s="526"/>
      <c r="S20" s="527"/>
      <c r="T20" s="528"/>
      <c r="U20" s="529" t="s">
        <v>154</v>
      </c>
      <c r="V20" s="530"/>
      <c r="W20" s="535"/>
    </row>
    <row r="21" spans="1:25" s="537" customFormat="1" x14ac:dyDescent="0.3">
      <c r="A21" s="532"/>
      <c r="B21" s="516"/>
      <c r="C21" s="504"/>
      <c r="D21" s="517"/>
      <c r="E21" s="518"/>
      <c r="F21" s="519"/>
      <c r="G21" s="520"/>
      <c r="H21" s="518"/>
      <c r="I21" s="518"/>
      <c r="J21" s="518"/>
      <c r="K21" s="518"/>
      <c r="L21" s="521"/>
      <c r="M21" s="504"/>
      <c r="N21" s="522"/>
      <c r="O21" s="523"/>
      <c r="P21" s="524"/>
      <c r="Q21" s="525"/>
      <c r="R21" s="526"/>
      <c r="S21" s="527"/>
      <c r="T21" s="536"/>
      <c r="U21" s="529" t="s">
        <v>154</v>
      </c>
      <c r="V21" s="530"/>
      <c r="W21" s="535"/>
    </row>
    <row r="22" spans="1:25" s="537" customFormat="1" x14ac:dyDescent="0.3">
      <c r="A22" s="532"/>
      <c r="B22" s="516"/>
      <c r="C22" s="504"/>
      <c r="D22" s="517"/>
      <c r="E22" s="518"/>
      <c r="F22" s="519"/>
      <c r="G22" s="520"/>
      <c r="H22" s="518"/>
      <c r="I22" s="518"/>
      <c r="J22" s="518"/>
      <c r="K22" s="518"/>
      <c r="L22" s="521"/>
      <c r="M22" s="504"/>
      <c r="N22" s="522"/>
      <c r="O22" s="523"/>
      <c r="P22" s="524"/>
      <c r="Q22" s="525"/>
      <c r="R22" s="526"/>
      <c r="S22" s="527"/>
      <c r="T22" s="538"/>
      <c r="U22" s="529" t="s">
        <v>154</v>
      </c>
      <c r="V22" s="539"/>
      <c r="W22" s="535"/>
    </row>
    <row r="23" spans="1:25" s="537" customFormat="1" ht="10.8" thickBot="1" x14ac:dyDescent="0.35">
      <c r="A23" s="540"/>
      <c r="B23" s="541"/>
      <c r="C23" s="542"/>
      <c r="D23" s="543"/>
      <c r="E23" s="542"/>
      <c r="F23" s="544"/>
      <c r="G23" s="545"/>
      <c r="H23" s="542"/>
      <c r="I23" s="542"/>
      <c r="J23" s="542"/>
      <c r="K23" s="542"/>
      <c r="L23" s="546"/>
      <c r="M23" s="542"/>
      <c r="N23" s="547"/>
      <c r="O23" s="548"/>
      <c r="P23" s="549"/>
      <c r="Q23" s="550"/>
      <c r="R23" s="551"/>
      <c r="S23" s="552"/>
      <c r="T23" s="553"/>
      <c r="U23" s="529" t="s">
        <v>154</v>
      </c>
      <c r="V23" s="554"/>
      <c r="W23" s="555"/>
    </row>
    <row r="24" spans="1:25" s="537" customFormat="1" x14ac:dyDescent="0.3">
      <c r="A24" s="556" t="s">
        <v>156</v>
      </c>
      <c r="B24" s="516"/>
      <c r="C24" s="504"/>
      <c r="D24" s="557"/>
      <c r="E24" s="504"/>
      <c r="F24" s="558"/>
      <c r="G24" s="559"/>
      <c r="H24" s="504"/>
      <c r="I24" s="504"/>
      <c r="J24" s="504"/>
      <c r="K24" s="504"/>
      <c r="L24" s="560"/>
      <c r="M24" s="504"/>
      <c r="N24" s="522"/>
      <c r="O24" s="523"/>
      <c r="P24" s="524"/>
      <c r="Q24" s="525"/>
      <c r="R24" s="526"/>
      <c r="S24" s="527"/>
      <c r="T24" s="538"/>
      <c r="U24" s="529" t="s">
        <v>154</v>
      </c>
      <c r="V24" s="554"/>
      <c r="W24" s="555"/>
    </row>
    <row r="25" spans="1:25" s="537" customFormat="1" x14ac:dyDescent="0.3">
      <c r="A25" s="532">
        <v>735</v>
      </c>
      <c r="B25" s="516">
        <v>0</v>
      </c>
      <c r="C25" s="504">
        <f>147-20</f>
        <v>127</v>
      </c>
      <c r="D25" s="561">
        <v>73.5</v>
      </c>
      <c r="E25" s="562"/>
      <c r="F25" s="563"/>
      <c r="G25" s="564">
        <f t="shared" ref="G25:G32" si="0">AVERAGE(D25:F25)</f>
        <v>73.5</v>
      </c>
      <c r="H25" s="562">
        <v>5.7</v>
      </c>
      <c r="I25" s="562"/>
      <c r="J25" s="562"/>
      <c r="K25" s="562"/>
      <c r="L25" s="565">
        <f t="shared" ref="L25:L32" si="1">AVERAGE(H25:K25)</f>
        <v>5.7</v>
      </c>
      <c r="M25" s="504">
        <f>G25*    PI()* (L25/2)^2</f>
        <v>1875.5425951655577</v>
      </c>
      <c r="N25" s="522">
        <f>(C17+C25-G25)/2</f>
        <v>51.75</v>
      </c>
      <c r="O25" s="523">
        <f t="shared" ref="O25:O31" si="2">(C25+C26-G26)/2</f>
        <v>126.5</v>
      </c>
      <c r="P25" s="524">
        <f>(A25-B25)/M25</f>
        <v>0.39188659425520544</v>
      </c>
      <c r="Q25" s="525">
        <f t="shared" ref="Q25:Q32" si="3">(P25*(O25-N25))/100</f>
        <v>0.29293522920576609</v>
      </c>
      <c r="R25" s="526">
        <f>SUM(Q$13:Q25)</f>
        <v>0.45945955632791929</v>
      </c>
      <c r="S25" s="527">
        <f t="shared" ref="S25:S32" si="4">R25/O25*100</f>
        <v>0.36320913543709032</v>
      </c>
      <c r="T25" s="538"/>
      <c r="U25" s="529" t="s">
        <v>154</v>
      </c>
      <c r="V25" s="554"/>
      <c r="W25" s="555"/>
    </row>
    <row r="26" spans="1:25" s="537" customFormat="1" x14ac:dyDescent="0.3">
      <c r="A26" s="532">
        <v>1015</v>
      </c>
      <c r="B26" s="516">
        <v>0</v>
      </c>
      <c r="C26" s="504">
        <f>239-20</f>
        <v>219</v>
      </c>
      <c r="D26" s="561">
        <v>93</v>
      </c>
      <c r="E26" s="562"/>
      <c r="F26" s="563"/>
      <c r="G26" s="564">
        <f t="shared" si="0"/>
        <v>93</v>
      </c>
      <c r="H26" s="562">
        <v>5.7</v>
      </c>
      <c r="I26" s="562"/>
      <c r="J26" s="562"/>
      <c r="K26" s="562"/>
      <c r="L26" s="565">
        <f t="shared" si="1"/>
        <v>5.7</v>
      </c>
      <c r="M26" s="504">
        <f t="shared" ref="M26:M32" si="5">G26*    PI()* (L26/2)^2</f>
        <v>2373.1355285768277</v>
      </c>
      <c r="N26" s="522">
        <f>(C25+C26-G26)/2</f>
        <v>126.5</v>
      </c>
      <c r="O26" s="523">
        <f t="shared" si="2"/>
        <v>217.5</v>
      </c>
      <c r="P26" s="524">
        <f>(A26-B26)/M26</f>
        <v>0.42770418620326195</v>
      </c>
      <c r="Q26" s="525">
        <f t="shared" si="3"/>
        <v>0.38921080944496839</v>
      </c>
      <c r="R26" s="526">
        <f>SUM(Q$13:Q26)</f>
        <v>0.84867036577288768</v>
      </c>
      <c r="S26" s="527">
        <f t="shared" si="4"/>
        <v>0.39019327161971845</v>
      </c>
      <c r="T26" s="538"/>
      <c r="U26" s="529" t="s">
        <v>154</v>
      </c>
      <c r="V26" s="530"/>
      <c r="W26" s="555"/>
    </row>
    <row r="27" spans="1:25" s="537" customFormat="1" x14ac:dyDescent="0.3">
      <c r="A27" s="532">
        <v>490</v>
      </c>
      <c r="B27" s="516">
        <v>0</v>
      </c>
      <c r="C27" s="504">
        <f>C28-D28</f>
        <v>258</v>
      </c>
      <c r="D27" s="561">
        <v>42</v>
      </c>
      <c r="E27" s="562"/>
      <c r="F27" s="563"/>
      <c r="G27" s="564">
        <f t="shared" si="0"/>
        <v>42</v>
      </c>
      <c r="H27" s="562">
        <v>5.7</v>
      </c>
      <c r="I27" s="562"/>
      <c r="J27" s="562"/>
      <c r="K27" s="562"/>
      <c r="L27" s="565">
        <f t="shared" si="1"/>
        <v>5.7</v>
      </c>
      <c r="M27" s="504">
        <f t="shared" si="5"/>
        <v>1071.73862580889</v>
      </c>
      <c r="N27" s="522">
        <f t="shared" ref="N27:N32" si="6">(C26+C27-G27)/2</f>
        <v>217.5</v>
      </c>
      <c r="O27" s="523">
        <f t="shared" si="2"/>
        <v>258</v>
      </c>
      <c r="P27" s="524">
        <f t="shared" ref="P27:P32" si="7">(A27-B27)/M27</f>
        <v>0.45720102663107309</v>
      </c>
      <c r="Q27" s="525">
        <f t="shared" si="3"/>
        <v>0.1851664157855846</v>
      </c>
      <c r="R27" s="526">
        <f>SUM(Q$13:Q27)</f>
        <v>1.0338367815584724</v>
      </c>
      <c r="S27" s="527">
        <f t="shared" si="4"/>
        <v>0.40071193083661721</v>
      </c>
      <c r="T27" s="538"/>
      <c r="U27" s="529" t="s">
        <v>154</v>
      </c>
      <c r="V27" s="530"/>
      <c r="W27" s="555"/>
    </row>
    <row r="28" spans="1:25" s="537" customFormat="1" x14ac:dyDescent="0.3">
      <c r="A28" s="532">
        <v>450</v>
      </c>
      <c r="B28" s="516">
        <v>0</v>
      </c>
      <c r="C28" s="504">
        <f>318-20</f>
        <v>298</v>
      </c>
      <c r="D28" s="561">
        <v>40</v>
      </c>
      <c r="E28" s="562"/>
      <c r="F28" s="563"/>
      <c r="G28" s="564">
        <f t="shared" si="0"/>
        <v>40</v>
      </c>
      <c r="H28" s="562">
        <v>5.7</v>
      </c>
      <c r="I28" s="562"/>
      <c r="J28" s="562"/>
      <c r="K28" s="562"/>
      <c r="L28" s="565">
        <f t="shared" si="1"/>
        <v>5.7</v>
      </c>
      <c r="M28" s="504">
        <f t="shared" si="5"/>
        <v>1020.7034531513239</v>
      </c>
      <c r="N28" s="522">
        <f t="shared" si="6"/>
        <v>258</v>
      </c>
      <c r="O28" s="523">
        <f t="shared" si="2"/>
        <v>296.75</v>
      </c>
      <c r="P28" s="524">
        <f t="shared" si="7"/>
        <v>0.44087241853710618</v>
      </c>
      <c r="Q28" s="525">
        <f t="shared" si="3"/>
        <v>0.17083806218312866</v>
      </c>
      <c r="R28" s="526">
        <f>SUM(Q$13:Q28)</f>
        <v>1.2046748437416011</v>
      </c>
      <c r="S28" s="527">
        <f t="shared" si="4"/>
        <v>0.40595613942429687</v>
      </c>
      <c r="T28" s="538"/>
      <c r="U28" s="529" t="s">
        <v>154</v>
      </c>
      <c r="V28" s="530"/>
      <c r="W28" s="555"/>
    </row>
    <row r="29" spans="1:25" x14ac:dyDescent="0.2">
      <c r="A29" s="532">
        <v>545</v>
      </c>
      <c r="B29" s="516">
        <v>0</v>
      </c>
      <c r="C29" s="504">
        <f>C30-D30</f>
        <v>338</v>
      </c>
      <c r="D29" s="561">
        <v>42.5</v>
      </c>
      <c r="E29" s="562"/>
      <c r="F29" s="563"/>
      <c r="G29" s="564">
        <f t="shared" si="0"/>
        <v>42.5</v>
      </c>
      <c r="H29" s="562">
        <v>5.7</v>
      </c>
      <c r="I29" s="562"/>
      <c r="J29" s="562"/>
      <c r="K29" s="562"/>
      <c r="L29" s="565">
        <f t="shared" si="1"/>
        <v>5.7</v>
      </c>
      <c r="M29" s="504">
        <f t="shared" si="5"/>
        <v>1084.4974189732816</v>
      </c>
      <c r="N29" s="522">
        <f t="shared" si="6"/>
        <v>296.75</v>
      </c>
      <c r="O29" s="523">
        <f t="shared" si="2"/>
        <v>338</v>
      </c>
      <c r="P29" s="524">
        <f t="shared" si="7"/>
        <v>0.50253692675079298</v>
      </c>
      <c r="Q29" s="525">
        <f t="shared" si="3"/>
        <v>0.2072964822847021</v>
      </c>
      <c r="R29" s="526">
        <f>SUM(Q$13:Q29)</f>
        <v>1.4119713260263032</v>
      </c>
      <c r="S29" s="527">
        <f t="shared" si="4"/>
        <v>0.41774299586577018</v>
      </c>
      <c r="T29" s="538"/>
      <c r="U29" s="529" t="s">
        <v>154</v>
      </c>
      <c r="V29" s="530"/>
      <c r="W29" s="555"/>
      <c r="X29" s="537"/>
      <c r="Y29" s="537"/>
    </row>
    <row r="30" spans="1:25" x14ac:dyDescent="0.2">
      <c r="A30" s="532">
        <v>490</v>
      </c>
      <c r="B30" s="516">
        <v>0</v>
      </c>
      <c r="C30" s="504">
        <f>397-20</f>
        <v>377</v>
      </c>
      <c r="D30" s="561">
        <v>39</v>
      </c>
      <c r="E30" s="562"/>
      <c r="F30" s="563"/>
      <c r="G30" s="564">
        <f t="shared" si="0"/>
        <v>39</v>
      </c>
      <c r="H30" s="562">
        <v>5.7</v>
      </c>
      <c r="I30" s="562"/>
      <c r="J30" s="562"/>
      <c r="K30" s="562"/>
      <c r="L30" s="565">
        <f t="shared" si="1"/>
        <v>5.7</v>
      </c>
      <c r="M30" s="504">
        <f t="shared" si="5"/>
        <v>995.18586682254067</v>
      </c>
      <c r="N30" s="522">
        <f t="shared" si="6"/>
        <v>338</v>
      </c>
      <c r="O30" s="523">
        <f t="shared" si="2"/>
        <v>378.25</v>
      </c>
      <c r="P30" s="524">
        <f t="shared" si="7"/>
        <v>0.4923703363719249</v>
      </c>
      <c r="Q30" s="525">
        <f t="shared" si="3"/>
        <v>0.19817906038969976</v>
      </c>
      <c r="R30" s="526">
        <f>SUM(Q$13:Q30)</f>
        <v>1.6101503864160029</v>
      </c>
      <c r="S30" s="527">
        <f t="shared" si="4"/>
        <v>0.4256841735402519</v>
      </c>
      <c r="T30" s="538"/>
      <c r="U30" s="529" t="s">
        <v>154</v>
      </c>
      <c r="V30" s="530"/>
      <c r="W30" s="555"/>
      <c r="X30" s="537"/>
      <c r="Y30" s="537"/>
    </row>
    <row r="31" spans="1:25" x14ac:dyDescent="0.2">
      <c r="A31" s="532">
        <v>710</v>
      </c>
      <c r="B31" s="516">
        <v>0</v>
      </c>
      <c r="C31" s="504">
        <f>C32-D32</f>
        <v>439</v>
      </c>
      <c r="D31" s="561">
        <v>59.5</v>
      </c>
      <c r="E31" s="562"/>
      <c r="F31" s="563"/>
      <c r="G31" s="564">
        <f t="shared" si="0"/>
        <v>59.5</v>
      </c>
      <c r="H31" s="562">
        <v>5.7</v>
      </c>
      <c r="I31" s="562"/>
      <c r="J31" s="562"/>
      <c r="K31" s="562"/>
      <c r="L31" s="565">
        <f t="shared" si="1"/>
        <v>5.7</v>
      </c>
      <c r="M31" s="504">
        <f t="shared" si="5"/>
        <v>1518.2963865625941</v>
      </c>
      <c r="N31" s="522">
        <f t="shared" si="6"/>
        <v>378.25</v>
      </c>
      <c r="O31" s="523">
        <f t="shared" si="2"/>
        <v>439</v>
      </c>
      <c r="P31" s="524">
        <f t="shared" si="7"/>
        <v>0.46762938138016125</v>
      </c>
      <c r="Q31" s="525">
        <f t="shared" si="3"/>
        <v>0.28408484918844795</v>
      </c>
      <c r="R31" s="526">
        <f>SUM(Q$13:Q31)</f>
        <v>1.894235235604451</v>
      </c>
      <c r="S31" s="527">
        <f t="shared" si="4"/>
        <v>0.43148866414679971</v>
      </c>
      <c r="T31" s="538" t="s">
        <v>215</v>
      </c>
      <c r="U31" s="529" t="s">
        <v>154</v>
      </c>
      <c r="V31" s="530"/>
      <c r="W31" s="555"/>
      <c r="X31" s="537"/>
      <c r="Y31" s="537"/>
    </row>
    <row r="32" spans="1:25" x14ac:dyDescent="0.2">
      <c r="A32" s="532">
        <v>220</v>
      </c>
      <c r="B32" s="516">
        <v>0</v>
      </c>
      <c r="C32" s="504">
        <f>476-20</f>
        <v>456</v>
      </c>
      <c r="D32" s="561">
        <v>17</v>
      </c>
      <c r="E32" s="562"/>
      <c r="F32" s="563"/>
      <c r="G32" s="564">
        <f t="shared" si="0"/>
        <v>17</v>
      </c>
      <c r="H32" s="562">
        <v>5.7</v>
      </c>
      <c r="I32" s="562"/>
      <c r="J32" s="562"/>
      <c r="K32" s="562"/>
      <c r="L32" s="565">
        <f t="shared" si="1"/>
        <v>5.7</v>
      </c>
      <c r="M32" s="504">
        <f t="shared" si="5"/>
        <v>433.79896758931267</v>
      </c>
      <c r="N32" s="522">
        <f t="shared" si="6"/>
        <v>439</v>
      </c>
      <c r="O32" s="523">
        <f>C32</f>
        <v>456</v>
      </c>
      <c r="P32" s="524">
        <f t="shared" si="7"/>
        <v>0.50714735727144233</v>
      </c>
      <c r="Q32" s="525">
        <f t="shared" si="3"/>
        <v>8.6215050736145202E-2</v>
      </c>
      <c r="R32" s="526">
        <f>SUM(Q$13:Q32)</f>
        <v>1.9804502863405962</v>
      </c>
      <c r="S32" s="527">
        <f t="shared" si="4"/>
        <v>0.43430927332030617</v>
      </c>
      <c r="T32" s="538" t="s">
        <v>72</v>
      </c>
      <c r="U32" s="529" t="s">
        <v>154</v>
      </c>
      <c r="V32" s="530"/>
      <c r="W32" s="555"/>
      <c r="X32" s="537"/>
      <c r="Y32" s="537"/>
    </row>
    <row r="33" spans="1:26" x14ac:dyDescent="0.2">
      <c r="A33" s="532"/>
      <c r="B33" s="516"/>
      <c r="C33" s="504"/>
      <c r="D33" s="561"/>
      <c r="E33" s="562"/>
      <c r="F33" s="563"/>
      <c r="G33" s="564"/>
      <c r="H33" s="562"/>
      <c r="I33" s="562"/>
      <c r="J33" s="562"/>
      <c r="K33" s="562"/>
      <c r="L33" s="565"/>
      <c r="M33" s="504"/>
      <c r="N33" s="522"/>
      <c r="O33" s="523"/>
      <c r="P33" s="524"/>
      <c r="Q33" s="525"/>
      <c r="R33" s="526"/>
      <c r="S33" s="527"/>
      <c r="T33" s="538"/>
      <c r="U33" s="529" t="s">
        <v>154</v>
      </c>
      <c r="V33" s="530"/>
      <c r="W33" s="555"/>
      <c r="X33" s="537"/>
      <c r="Y33" s="537"/>
    </row>
    <row r="34" spans="1:26" x14ac:dyDescent="0.2">
      <c r="A34" s="532"/>
      <c r="B34" s="516"/>
      <c r="C34" s="504"/>
      <c r="D34" s="561"/>
      <c r="E34" s="562"/>
      <c r="F34" s="563"/>
      <c r="G34" s="564"/>
      <c r="H34" s="562"/>
      <c r="I34" s="562"/>
      <c r="J34" s="562"/>
      <c r="K34" s="562"/>
      <c r="L34" s="565"/>
      <c r="M34" s="504"/>
      <c r="N34" s="522"/>
      <c r="O34" s="523"/>
      <c r="P34" s="524"/>
      <c r="Q34" s="525"/>
      <c r="R34" s="526"/>
      <c r="S34" s="527"/>
      <c r="T34" s="538"/>
      <c r="U34" s="529"/>
      <c r="V34" s="530"/>
      <c r="W34" s="567"/>
    </row>
    <row r="35" spans="1:26" x14ac:dyDescent="0.2">
      <c r="A35" s="532"/>
      <c r="B35" s="516"/>
      <c r="C35" s="504"/>
      <c r="D35" s="561"/>
      <c r="E35" s="562"/>
      <c r="F35" s="563"/>
      <c r="G35" s="564"/>
      <c r="H35" s="562"/>
      <c r="I35" s="562"/>
      <c r="J35" s="562"/>
      <c r="K35" s="562"/>
      <c r="L35" s="565"/>
      <c r="M35" s="504"/>
      <c r="N35" s="522"/>
      <c r="O35" s="523"/>
      <c r="P35" s="524"/>
      <c r="Q35" s="525"/>
      <c r="R35" s="526"/>
      <c r="S35" s="527"/>
      <c r="T35" s="538"/>
      <c r="U35" s="529"/>
      <c r="V35" s="530"/>
      <c r="W35" s="568"/>
      <c r="X35" s="569"/>
      <c r="Y35" s="570"/>
      <c r="Z35" s="569"/>
    </row>
    <row r="36" spans="1:26" x14ac:dyDescent="0.2">
      <c r="A36" s="532"/>
      <c r="B36" s="516"/>
      <c r="C36" s="504"/>
      <c r="D36" s="561"/>
      <c r="E36" s="562"/>
      <c r="F36" s="563"/>
      <c r="G36" s="564"/>
      <c r="H36" s="562"/>
      <c r="I36" s="562"/>
      <c r="J36" s="562"/>
      <c r="K36" s="562"/>
      <c r="L36" s="565"/>
      <c r="M36" s="504"/>
      <c r="N36" s="522"/>
      <c r="O36" s="523"/>
      <c r="P36" s="524"/>
      <c r="Q36" s="525"/>
      <c r="R36" s="526"/>
      <c r="S36" s="527"/>
      <c r="T36" s="538"/>
      <c r="U36" s="529"/>
      <c r="V36" s="530"/>
      <c r="W36" s="568"/>
      <c r="X36" s="569"/>
      <c r="Y36" s="571"/>
      <c r="Z36" s="569"/>
    </row>
    <row r="37" spans="1:26" x14ac:dyDescent="0.2">
      <c r="A37" s="532"/>
      <c r="B37" s="516"/>
      <c r="C37" s="504"/>
      <c r="D37" s="561"/>
      <c r="E37" s="562"/>
      <c r="F37" s="563"/>
      <c r="G37" s="564"/>
      <c r="H37" s="562"/>
      <c r="I37" s="562"/>
      <c r="J37" s="562"/>
      <c r="K37" s="562"/>
      <c r="L37" s="565"/>
      <c r="M37" s="504"/>
      <c r="N37" s="522"/>
      <c r="O37" s="523"/>
      <c r="P37" s="524"/>
      <c r="Q37" s="525"/>
      <c r="R37" s="526"/>
      <c r="S37" s="527"/>
      <c r="T37" s="538"/>
      <c r="U37" s="529"/>
      <c r="V37" s="530"/>
      <c r="W37" s="572"/>
      <c r="X37" s="569"/>
      <c r="Y37" s="569"/>
      <c r="Z37" s="569"/>
    </row>
    <row r="38" spans="1:26" x14ac:dyDescent="0.2">
      <c r="A38" s="532"/>
      <c r="B38" s="516"/>
      <c r="C38" s="504"/>
      <c r="D38" s="561"/>
      <c r="E38" s="562"/>
      <c r="F38" s="563"/>
      <c r="G38" s="564"/>
      <c r="H38" s="562"/>
      <c r="I38" s="562"/>
      <c r="J38" s="562"/>
      <c r="K38" s="562"/>
      <c r="L38" s="565"/>
      <c r="M38" s="504"/>
      <c r="N38" s="522"/>
      <c r="O38" s="523"/>
      <c r="P38" s="524"/>
      <c r="Q38" s="525"/>
      <c r="R38" s="526"/>
      <c r="S38" s="527"/>
      <c r="T38" s="538"/>
      <c r="U38" s="529"/>
      <c r="V38" s="530"/>
      <c r="W38" s="573"/>
      <c r="X38" s="574"/>
    </row>
    <row r="39" spans="1:26" x14ac:dyDescent="0.2">
      <c r="A39" s="532"/>
      <c r="B39" s="516"/>
      <c r="C39" s="504"/>
      <c r="D39" s="561"/>
      <c r="E39" s="562"/>
      <c r="F39" s="563"/>
      <c r="G39" s="564"/>
      <c r="H39" s="562"/>
      <c r="I39" s="562"/>
      <c r="J39" s="562"/>
      <c r="K39" s="562"/>
      <c r="L39" s="565"/>
      <c r="M39" s="504"/>
      <c r="N39" s="522"/>
      <c r="O39" s="523"/>
      <c r="P39" s="524"/>
      <c r="Q39" s="525"/>
      <c r="R39" s="526"/>
      <c r="S39" s="527"/>
      <c r="T39" s="538"/>
      <c r="U39" s="529"/>
      <c r="V39" s="530"/>
      <c r="W39" s="574"/>
      <c r="X39" s="574"/>
    </row>
    <row r="40" spans="1:26" x14ac:dyDescent="0.2">
      <c r="A40" s="532"/>
      <c r="B40" s="516"/>
      <c r="C40" s="504"/>
      <c r="D40" s="561"/>
      <c r="E40" s="562"/>
      <c r="F40" s="563"/>
      <c r="G40" s="564"/>
      <c r="H40" s="562"/>
      <c r="I40" s="562"/>
      <c r="J40" s="562"/>
      <c r="K40" s="562"/>
      <c r="L40" s="565"/>
      <c r="M40" s="504"/>
      <c r="N40" s="522"/>
      <c r="O40" s="523"/>
      <c r="P40" s="524"/>
      <c r="Q40" s="525"/>
      <c r="R40" s="526"/>
      <c r="S40" s="527"/>
      <c r="T40" s="538"/>
      <c r="U40" s="529"/>
      <c r="V40" s="530"/>
    </row>
    <row r="41" spans="1:26" x14ac:dyDescent="0.2">
      <c r="A41" s="532"/>
      <c r="B41" s="516"/>
      <c r="C41" s="504"/>
      <c r="D41" s="561"/>
      <c r="E41" s="562"/>
      <c r="F41" s="563"/>
      <c r="G41" s="564"/>
      <c r="H41" s="562"/>
      <c r="I41" s="562"/>
      <c r="J41" s="562"/>
      <c r="K41" s="562"/>
      <c r="L41" s="565"/>
      <c r="M41" s="504"/>
      <c r="N41" s="522"/>
      <c r="O41" s="523"/>
      <c r="P41" s="524"/>
      <c r="Q41" s="525"/>
      <c r="R41" s="526"/>
      <c r="S41" s="527"/>
      <c r="T41" s="538"/>
      <c r="U41" s="529"/>
      <c r="V41" s="530"/>
    </row>
    <row r="42" spans="1:26" x14ac:dyDescent="0.2">
      <c r="A42" s="532"/>
      <c r="B42" s="516"/>
      <c r="C42" s="504"/>
      <c r="D42" s="561"/>
      <c r="E42" s="562"/>
      <c r="F42" s="563"/>
      <c r="G42" s="564"/>
      <c r="H42" s="562"/>
      <c r="I42" s="562"/>
      <c r="J42" s="562"/>
      <c r="K42" s="562"/>
      <c r="L42" s="565"/>
      <c r="M42" s="504"/>
      <c r="N42" s="522"/>
      <c r="O42" s="523"/>
      <c r="P42" s="524"/>
      <c r="Q42" s="525"/>
      <c r="R42" s="526"/>
      <c r="S42" s="527"/>
      <c r="T42" s="538"/>
      <c r="U42" s="529"/>
      <c r="V42" s="530"/>
    </row>
    <row r="43" spans="1:26" x14ac:dyDescent="0.2">
      <c r="A43" s="532"/>
      <c r="B43" s="516"/>
      <c r="C43" s="504"/>
      <c r="D43" s="561"/>
      <c r="E43" s="562"/>
      <c r="F43" s="563"/>
      <c r="G43" s="564"/>
      <c r="H43" s="562"/>
      <c r="I43" s="562"/>
      <c r="J43" s="562"/>
      <c r="K43" s="562"/>
      <c r="L43" s="565"/>
      <c r="M43" s="504"/>
      <c r="N43" s="522"/>
      <c r="O43" s="523"/>
      <c r="P43" s="524"/>
      <c r="Q43" s="525"/>
      <c r="R43" s="526"/>
      <c r="S43" s="527"/>
      <c r="T43" s="538"/>
      <c r="U43" s="529"/>
      <c r="V43" s="530"/>
    </row>
    <row r="44" spans="1:26" x14ac:dyDescent="0.2">
      <c r="A44" s="532"/>
      <c r="B44" s="516"/>
      <c r="C44" s="504"/>
      <c r="D44" s="561"/>
      <c r="E44" s="562"/>
      <c r="F44" s="563"/>
      <c r="G44" s="564"/>
      <c r="H44" s="562"/>
      <c r="I44" s="562"/>
      <c r="J44" s="562"/>
      <c r="K44" s="562"/>
      <c r="L44" s="565"/>
      <c r="M44" s="504"/>
      <c r="N44" s="522"/>
      <c r="O44" s="523"/>
      <c r="P44" s="524"/>
      <c r="Q44" s="525"/>
      <c r="R44" s="526"/>
      <c r="S44" s="527"/>
      <c r="T44" s="538"/>
      <c r="U44" s="529"/>
      <c r="V44" s="530"/>
    </row>
    <row r="45" spans="1:26" x14ac:dyDescent="0.2">
      <c r="A45" s="532"/>
      <c r="B45" s="516"/>
      <c r="C45" s="504"/>
      <c r="D45" s="561"/>
      <c r="E45" s="562"/>
      <c r="F45" s="563"/>
      <c r="G45" s="564"/>
      <c r="H45" s="562"/>
      <c r="I45" s="562"/>
      <c r="J45" s="562"/>
      <c r="K45" s="562"/>
      <c r="L45" s="565"/>
      <c r="M45" s="504"/>
      <c r="N45" s="522"/>
      <c r="O45" s="523"/>
      <c r="P45" s="524"/>
      <c r="Q45" s="525"/>
      <c r="R45" s="526"/>
      <c r="S45" s="527"/>
      <c r="T45" s="538"/>
      <c r="U45" s="529"/>
      <c r="V45" s="530"/>
    </row>
    <row r="46" spans="1:26" x14ac:dyDescent="0.2">
      <c r="A46" s="532"/>
      <c r="B46" s="516"/>
      <c r="C46" s="504"/>
      <c r="D46" s="561"/>
      <c r="E46" s="562"/>
      <c r="F46" s="563"/>
      <c r="G46" s="564"/>
      <c r="H46" s="562"/>
      <c r="I46" s="562"/>
      <c r="J46" s="562"/>
      <c r="K46" s="562"/>
      <c r="L46" s="565"/>
      <c r="M46" s="504"/>
      <c r="N46" s="522"/>
      <c r="O46" s="523"/>
      <c r="P46" s="524"/>
      <c r="Q46" s="525"/>
      <c r="R46" s="526"/>
      <c r="S46" s="527"/>
      <c r="T46" s="538"/>
      <c r="U46" s="529"/>
      <c r="V46" s="530"/>
    </row>
    <row r="47" spans="1:26" x14ac:dyDescent="0.2">
      <c r="A47" s="532"/>
      <c r="B47" s="516"/>
      <c r="C47" s="504"/>
      <c r="D47" s="561"/>
      <c r="E47" s="562"/>
      <c r="F47" s="563"/>
      <c r="G47" s="564"/>
      <c r="H47" s="562"/>
      <c r="I47" s="562"/>
      <c r="J47" s="562"/>
      <c r="K47" s="562"/>
      <c r="L47" s="565"/>
      <c r="M47" s="504"/>
      <c r="N47" s="522"/>
      <c r="O47" s="523"/>
      <c r="P47" s="524"/>
      <c r="Q47" s="525"/>
      <c r="R47" s="526"/>
      <c r="S47" s="527"/>
      <c r="T47" s="538"/>
      <c r="U47" s="529"/>
      <c r="V47" s="530"/>
    </row>
    <row r="48" spans="1:26" x14ac:dyDescent="0.2">
      <c r="A48" s="532"/>
      <c r="B48" s="516"/>
      <c r="C48" s="504"/>
      <c r="D48" s="561"/>
      <c r="E48" s="562"/>
      <c r="F48" s="563"/>
      <c r="G48" s="564"/>
      <c r="H48" s="562"/>
      <c r="I48" s="562"/>
      <c r="J48" s="562"/>
      <c r="K48" s="562"/>
      <c r="L48" s="565"/>
      <c r="M48" s="504"/>
      <c r="N48" s="522"/>
      <c r="O48" s="523"/>
      <c r="P48" s="524"/>
      <c r="Q48" s="525"/>
      <c r="R48" s="526"/>
      <c r="S48" s="527"/>
      <c r="T48" s="538"/>
      <c r="U48" s="529"/>
      <c r="V48" s="530"/>
    </row>
    <row r="49" spans="1:26" x14ac:dyDescent="0.2">
      <c r="A49" s="532"/>
      <c r="B49" s="516"/>
      <c r="C49" s="504"/>
      <c r="D49" s="561"/>
      <c r="E49" s="562"/>
      <c r="F49" s="563"/>
      <c r="G49" s="564"/>
      <c r="H49" s="562"/>
      <c r="I49" s="562"/>
      <c r="J49" s="562"/>
      <c r="K49" s="562"/>
      <c r="L49" s="565"/>
      <c r="M49" s="504"/>
      <c r="N49" s="522"/>
      <c r="O49" s="523"/>
      <c r="P49" s="524"/>
      <c r="Q49" s="525"/>
      <c r="R49" s="526"/>
      <c r="S49" s="527"/>
      <c r="T49" s="538"/>
      <c r="U49" s="529"/>
      <c r="V49" s="530"/>
    </row>
    <row r="50" spans="1:26" x14ac:dyDescent="0.2">
      <c r="A50" s="532"/>
      <c r="B50" s="516"/>
      <c r="C50" s="504"/>
      <c r="D50" s="561"/>
      <c r="E50" s="562"/>
      <c r="F50" s="563"/>
      <c r="G50" s="564"/>
      <c r="H50" s="562"/>
      <c r="I50" s="562"/>
      <c r="J50" s="562"/>
      <c r="K50" s="562"/>
      <c r="L50" s="565"/>
      <c r="M50" s="504"/>
      <c r="N50" s="522"/>
      <c r="O50" s="523"/>
      <c r="P50" s="524"/>
      <c r="Q50" s="525"/>
      <c r="R50" s="526"/>
      <c r="S50" s="527"/>
      <c r="T50" s="538"/>
      <c r="U50" s="529"/>
      <c r="V50" s="530"/>
    </row>
    <row r="51" spans="1:26" x14ac:dyDescent="0.2">
      <c r="A51" s="532"/>
      <c r="B51" s="516"/>
      <c r="C51" s="504"/>
      <c r="D51" s="561"/>
      <c r="E51" s="562"/>
      <c r="F51" s="563"/>
      <c r="G51" s="564"/>
      <c r="H51" s="562"/>
      <c r="I51" s="562"/>
      <c r="J51" s="562"/>
      <c r="K51" s="562"/>
      <c r="L51" s="565"/>
      <c r="M51" s="504"/>
      <c r="N51" s="522"/>
      <c r="O51" s="523"/>
      <c r="P51" s="524"/>
      <c r="Q51" s="525"/>
      <c r="R51" s="526"/>
      <c r="S51" s="527"/>
      <c r="T51" s="538"/>
      <c r="U51" s="529"/>
      <c r="V51" s="530"/>
    </row>
    <row r="52" spans="1:26" ht="10.8" thickBot="1" x14ac:dyDescent="0.25">
      <c r="A52" s="532"/>
      <c r="B52" s="516"/>
      <c r="C52" s="504"/>
      <c r="D52" s="561"/>
      <c r="E52" s="562"/>
      <c r="F52" s="563"/>
      <c r="G52" s="564"/>
      <c r="H52" s="562"/>
      <c r="I52" s="562"/>
      <c r="J52" s="562"/>
      <c r="K52" s="562"/>
      <c r="L52" s="565"/>
      <c r="M52" s="504"/>
      <c r="N52" s="522"/>
      <c r="O52" s="523"/>
      <c r="P52" s="524"/>
      <c r="Q52" s="525"/>
      <c r="R52" s="526"/>
      <c r="S52" s="527"/>
      <c r="T52" s="538"/>
      <c r="U52" s="529"/>
      <c r="V52" s="575"/>
    </row>
    <row r="53" spans="1:26" x14ac:dyDescent="0.2">
      <c r="A53" s="532"/>
      <c r="B53" s="516"/>
      <c r="C53" s="504"/>
      <c r="D53" s="561"/>
      <c r="E53" s="562"/>
      <c r="F53" s="563"/>
      <c r="G53" s="564"/>
      <c r="H53" s="562"/>
      <c r="I53" s="562"/>
      <c r="J53" s="562"/>
      <c r="K53" s="562"/>
      <c r="L53" s="565"/>
      <c r="M53" s="504"/>
      <c r="N53" s="522"/>
      <c r="O53" s="523"/>
      <c r="P53" s="524"/>
      <c r="Q53" s="525"/>
      <c r="R53" s="526"/>
      <c r="S53" s="527"/>
      <c r="T53" s="538"/>
      <c r="U53" s="576" t="s">
        <v>157</v>
      </c>
      <c r="V53" s="577">
        <f>AVERAGE(V12:V52)</f>
        <v>439</v>
      </c>
    </row>
    <row r="54" spans="1:26" x14ac:dyDescent="0.2">
      <c r="A54" s="532"/>
      <c r="B54" s="516"/>
      <c r="C54" s="504"/>
      <c r="D54" s="561"/>
      <c r="E54" s="562"/>
      <c r="F54" s="563"/>
      <c r="G54" s="564"/>
      <c r="H54" s="562"/>
      <c r="I54" s="562"/>
      <c r="J54" s="562"/>
      <c r="K54" s="562"/>
      <c r="L54" s="565"/>
      <c r="M54" s="504"/>
      <c r="N54" s="522"/>
      <c r="O54" s="523"/>
      <c r="P54" s="524"/>
      <c r="Q54" s="525"/>
      <c r="R54" s="526"/>
      <c r="S54" s="527"/>
      <c r="T54" s="538"/>
      <c r="U54" s="403" t="s">
        <v>158</v>
      </c>
      <c r="V54" s="575" t="e">
        <f>STDEV(V12:V52)</f>
        <v>#DIV/0!</v>
      </c>
      <c r="W54" s="578"/>
      <c r="X54" s="578"/>
    </row>
    <row r="55" spans="1:26" x14ac:dyDescent="0.2">
      <c r="A55" s="579" t="s">
        <v>159</v>
      </c>
      <c r="B55" s="580"/>
      <c r="C55" s="581"/>
      <c r="D55" s="581"/>
      <c r="E55" s="581"/>
      <c r="F55" s="581"/>
      <c r="G55" s="582"/>
      <c r="H55" s="581"/>
      <c r="I55" s="581"/>
      <c r="J55" s="581"/>
      <c r="K55" s="581"/>
      <c r="L55" s="583"/>
      <c r="M55" s="581"/>
      <c r="N55" s="584"/>
      <c r="O55" s="585"/>
      <c r="P55" s="586"/>
      <c r="Q55" s="587"/>
      <c r="R55" s="588"/>
      <c r="S55" s="589"/>
      <c r="T55" s="590"/>
      <c r="U55" s="403" t="s">
        <v>160</v>
      </c>
      <c r="V55" s="575" t="e">
        <f>V54/SQRT(COUNT(V12:V51))</f>
        <v>#DIV/0!</v>
      </c>
      <c r="W55" s="573"/>
      <c r="X55" s="578"/>
      <c r="Y55" s="578"/>
      <c r="Z55" s="578"/>
    </row>
    <row r="56" spans="1:26" x14ac:dyDescent="0.2">
      <c r="A56" s="591"/>
      <c r="B56" s="592"/>
      <c r="C56" s="593"/>
      <c r="D56" s="593"/>
      <c r="E56" s="593"/>
      <c r="F56" s="593"/>
      <c r="G56" s="594"/>
      <c r="H56" s="593"/>
      <c r="I56" s="593"/>
      <c r="J56" s="593"/>
      <c r="K56" s="593"/>
      <c r="L56" s="595"/>
      <c r="M56" s="593"/>
      <c r="N56" s="596"/>
      <c r="O56" s="597"/>
      <c r="P56" s="598"/>
      <c r="Q56" s="599"/>
      <c r="R56" s="600"/>
      <c r="S56" s="601"/>
      <c r="T56" s="602"/>
      <c r="U56" s="403" t="s">
        <v>161</v>
      </c>
      <c r="V56" s="575">
        <f>MAX(V12:V52)</f>
        <v>439</v>
      </c>
      <c r="W56" s="573"/>
    </row>
    <row r="57" spans="1:26" ht="10.8" thickBot="1" x14ac:dyDescent="0.25">
      <c r="A57" s="603"/>
      <c r="B57" s="604"/>
      <c r="C57" s="605"/>
      <c r="D57" s="605"/>
      <c r="E57" s="605"/>
      <c r="F57" s="605"/>
      <c r="G57" s="606"/>
      <c r="H57" s="605"/>
      <c r="I57" s="605"/>
      <c r="J57" s="605"/>
      <c r="K57" s="605"/>
      <c r="L57" s="607"/>
      <c r="M57" s="605"/>
      <c r="N57" s="608"/>
      <c r="O57" s="609"/>
      <c r="P57" s="610"/>
      <c r="Q57" s="611"/>
      <c r="R57" s="612"/>
      <c r="S57" s="613"/>
      <c r="T57" s="614"/>
      <c r="U57" s="615" t="s">
        <v>162</v>
      </c>
      <c r="V57" s="616">
        <f>MIN(V12:V52)</f>
        <v>439</v>
      </c>
      <c r="W57" s="578"/>
    </row>
    <row r="58" spans="1:26" x14ac:dyDescent="0.2">
      <c r="A58" s="617"/>
      <c r="B58" s="617"/>
      <c r="C58" s="618"/>
      <c r="D58" s="619"/>
      <c r="E58" s="619"/>
      <c r="F58" s="619"/>
      <c r="G58" s="620"/>
      <c r="H58" s="621"/>
      <c r="I58" s="622"/>
      <c r="J58" s="623"/>
      <c r="K58" s="624"/>
      <c r="L58" s="625"/>
      <c r="M58" s="578"/>
      <c r="O58" s="566"/>
      <c r="P58" s="626"/>
    </row>
    <row r="59" spans="1:26" x14ac:dyDescent="0.2">
      <c r="A59" s="578"/>
      <c r="B59" s="578"/>
      <c r="C59" s="627"/>
      <c r="D59" s="627"/>
      <c r="E59" s="627"/>
      <c r="F59" s="627"/>
      <c r="G59" s="622"/>
      <c r="H59" s="621"/>
      <c r="I59" s="622"/>
      <c r="J59" s="623"/>
      <c r="K59" s="628"/>
      <c r="L59" s="625"/>
      <c r="M59" s="578"/>
      <c r="O59" s="566"/>
      <c r="P59" s="626"/>
    </row>
    <row r="60" spans="1:26" x14ac:dyDescent="0.2">
      <c r="A60" s="629"/>
      <c r="B60" s="629"/>
      <c r="C60" s="629"/>
      <c r="D60" s="629"/>
      <c r="E60" s="623"/>
      <c r="F60" s="630"/>
      <c r="G60" s="578"/>
      <c r="H60" s="566"/>
      <c r="I60" s="578"/>
      <c r="J60" s="566"/>
      <c r="K60" s="566"/>
      <c r="L60" s="578"/>
      <c r="M60" s="578"/>
      <c r="O60" s="566"/>
      <c r="P60" s="626"/>
    </row>
    <row r="61" spans="1:26" x14ac:dyDescent="0.2">
      <c r="A61" s="631"/>
      <c r="B61" s="631"/>
      <c r="C61" s="629"/>
      <c r="D61" s="629"/>
      <c r="E61" s="623"/>
      <c r="F61" s="630"/>
      <c r="G61" s="566"/>
      <c r="H61" s="566"/>
      <c r="I61" s="578"/>
      <c r="J61" s="566"/>
      <c r="K61" s="566"/>
      <c r="L61" s="578"/>
      <c r="M61" s="578"/>
      <c r="O61" s="566"/>
      <c r="P61" s="626"/>
    </row>
    <row r="62" spans="1:26" x14ac:dyDescent="0.2">
      <c r="A62" s="475"/>
      <c r="B62" s="475"/>
      <c r="C62" s="629"/>
      <c r="D62" s="629"/>
      <c r="E62" s="623"/>
      <c r="F62" s="630"/>
      <c r="G62" s="566"/>
      <c r="H62" s="566"/>
      <c r="I62" s="578"/>
      <c r="J62" s="566"/>
      <c r="K62" s="566"/>
      <c r="L62" s="578"/>
      <c r="M62" s="578"/>
      <c r="O62" s="566"/>
      <c r="P62" s="626"/>
    </row>
    <row r="63" spans="1:26" x14ac:dyDescent="0.2">
      <c r="A63" s="629"/>
      <c r="B63" s="629"/>
      <c r="C63" s="629"/>
      <c r="D63" s="629"/>
      <c r="E63" s="623"/>
      <c r="F63" s="630"/>
      <c r="G63" s="566"/>
      <c r="H63" s="566"/>
      <c r="I63" s="578"/>
      <c r="J63" s="566"/>
      <c r="K63" s="566"/>
      <c r="L63" s="578"/>
      <c r="M63" s="578"/>
      <c r="O63" s="566"/>
      <c r="P63" s="626"/>
    </row>
    <row r="64" spans="1:26" x14ac:dyDescent="0.2">
      <c r="A64" s="629"/>
      <c r="B64" s="629"/>
      <c r="C64" s="629"/>
      <c r="D64" s="629"/>
      <c r="E64" s="623"/>
      <c r="F64" s="630"/>
      <c r="G64" s="566"/>
      <c r="H64" s="566"/>
      <c r="I64" s="578"/>
      <c r="J64" s="622"/>
      <c r="K64" s="566"/>
      <c r="L64" s="578"/>
      <c r="M64" s="578"/>
      <c r="O64" s="566"/>
      <c r="P64" s="626"/>
    </row>
    <row r="65" spans="1:16" x14ac:dyDescent="0.2">
      <c r="A65" s="629"/>
      <c r="B65" s="629"/>
      <c r="C65" s="629"/>
      <c r="D65" s="629"/>
      <c r="E65" s="623"/>
      <c r="F65" s="630"/>
      <c r="G65" s="566"/>
      <c r="H65" s="566"/>
      <c r="I65" s="578"/>
      <c r="J65" s="622"/>
      <c r="K65" s="566"/>
      <c r="L65" s="578"/>
      <c r="M65" s="578"/>
      <c r="O65" s="566"/>
      <c r="P65" s="626"/>
    </row>
    <row r="66" spans="1:16" x14ac:dyDescent="0.2">
      <c r="A66" s="629"/>
      <c r="B66" s="629"/>
      <c r="C66" s="629"/>
      <c r="D66" s="629"/>
      <c r="E66" s="623"/>
      <c r="F66" s="630"/>
      <c r="G66" s="566"/>
      <c r="H66" s="566"/>
      <c r="I66" s="578"/>
      <c r="J66" s="566"/>
      <c r="K66" s="566"/>
      <c r="L66" s="578"/>
      <c r="M66" s="578"/>
      <c r="O66" s="566"/>
      <c r="P66" s="626"/>
    </row>
    <row r="67" spans="1:16" x14ac:dyDescent="0.2">
      <c r="A67" s="629"/>
      <c r="B67" s="629"/>
      <c r="C67" s="629"/>
      <c r="D67" s="629"/>
      <c r="E67" s="623"/>
      <c r="F67" s="630"/>
      <c r="G67" s="566"/>
      <c r="H67" s="566"/>
      <c r="I67" s="578"/>
      <c r="J67" s="566"/>
      <c r="K67" s="566"/>
      <c r="L67" s="578"/>
      <c r="M67" s="578"/>
      <c r="O67" s="566"/>
      <c r="P67" s="626"/>
    </row>
    <row r="68" spans="1:16" x14ac:dyDescent="0.2">
      <c r="A68" s="629"/>
      <c r="B68" s="629"/>
      <c r="C68" s="629"/>
      <c r="D68" s="629"/>
      <c r="E68" s="623"/>
      <c r="F68" s="630"/>
      <c r="G68" s="566"/>
      <c r="H68" s="566"/>
      <c r="I68" s="578"/>
      <c r="J68" s="566"/>
      <c r="K68" s="566"/>
      <c r="L68" s="578"/>
      <c r="M68" s="578"/>
      <c r="O68" s="566"/>
      <c r="P68" s="626"/>
    </row>
    <row r="69" spans="1:16" x14ac:dyDescent="0.2">
      <c r="A69" s="629"/>
      <c r="B69" s="629"/>
      <c r="C69" s="629"/>
      <c r="D69" s="629"/>
      <c r="E69" s="623"/>
      <c r="F69" s="630"/>
      <c r="G69" s="566"/>
      <c r="H69" s="566"/>
      <c r="I69" s="578"/>
      <c r="J69" s="566"/>
      <c r="K69" s="566"/>
      <c r="L69" s="578"/>
      <c r="M69" s="578"/>
      <c r="O69" s="566"/>
      <c r="P69" s="626"/>
    </row>
    <row r="70" spans="1:16" x14ac:dyDescent="0.2">
      <c r="A70" s="629"/>
      <c r="B70" s="629"/>
      <c r="C70" s="629"/>
      <c r="D70" s="629"/>
      <c r="E70" s="623"/>
      <c r="F70" s="630"/>
      <c r="G70" s="566"/>
      <c r="H70" s="566"/>
      <c r="I70" s="578"/>
      <c r="J70" s="566"/>
      <c r="K70" s="566"/>
      <c r="L70" s="578"/>
      <c r="M70" s="578"/>
      <c r="O70" s="566"/>
      <c r="P70" s="626"/>
    </row>
    <row r="71" spans="1:16" x14ac:dyDescent="0.2">
      <c r="A71" s="629"/>
      <c r="B71" s="629"/>
      <c r="C71" s="629"/>
      <c r="D71" s="629"/>
      <c r="E71" s="623"/>
      <c r="F71" s="630"/>
      <c r="G71" s="566"/>
      <c r="H71" s="566"/>
      <c r="I71" s="578"/>
      <c r="J71" s="566"/>
      <c r="K71" s="566"/>
      <c r="L71" s="578"/>
      <c r="O71" s="566"/>
      <c r="P71" s="626"/>
    </row>
    <row r="72" spans="1:16" x14ac:dyDescent="0.2">
      <c r="A72" s="629"/>
      <c r="B72" s="629"/>
      <c r="C72" s="629"/>
      <c r="D72" s="629"/>
      <c r="E72" s="623"/>
      <c r="F72" s="630"/>
      <c r="G72" s="566"/>
      <c r="H72" s="566"/>
      <c r="I72" s="578"/>
      <c r="J72" s="566"/>
      <c r="K72" s="566"/>
      <c r="L72" s="578"/>
      <c r="O72" s="566"/>
      <c r="P72" s="626"/>
    </row>
    <row r="73" spans="1:16" x14ac:dyDescent="0.2">
      <c r="A73" s="629"/>
      <c r="B73" s="629"/>
      <c r="C73" s="629"/>
      <c r="D73" s="629"/>
      <c r="E73" s="623"/>
      <c r="F73" s="630"/>
      <c r="G73" s="566"/>
      <c r="H73" s="566"/>
      <c r="I73" s="578"/>
      <c r="J73" s="566"/>
      <c r="K73" s="566"/>
      <c r="L73" s="566"/>
      <c r="O73" s="566"/>
      <c r="P73" s="626"/>
    </row>
    <row r="74" spans="1:16" x14ac:dyDescent="0.2">
      <c r="A74" s="629"/>
      <c r="B74" s="629"/>
      <c r="C74" s="629"/>
      <c r="D74" s="629"/>
      <c r="E74" s="623"/>
      <c r="F74" s="630"/>
      <c r="G74" s="566"/>
      <c r="H74" s="566"/>
      <c r="I74" s="578"/>
      <c r="J74" s="566"/>
      <c r="K74" s="566"/>
      <c r="L74" s="566"/>
      <c r="O74" s="566"/>
      <c r="P74" s="626"/>
    </row>
    <row r="75" spans="1:16" x14ac:dyDescent="0.2">
      <c r="A75" s="629"/>
      <c r="B75" s="629"/>
      <c r="C75" s="629"/>
      <c r="D75" s="629"/>
      <c r="E75" s="623"/>
      <c r="F75" s="630"/>
      <c r="G75" s="566"/>
      <c r="H75" s="566"/>
      <c r="I75" s="578"/>
      <c r="J75" s="566"/>
      <c r="K75" s="566"/>
      <c r="L75" s="566"/>
      <c r="O75" s="566"/>
      <c r="P75" s="626"/>
    </row>
    <row r="76" spans="1:16" x14ac:dyDescent="0.2">
      <c r="A76" s="629"/>
      <c r="B76" s="629"/>
      <c r="C76" s="629"/>
      <c r="D76" s="629"/>
      <c r="E76" s="623"/>
      <c r="F76" s="630"/>
      <c r="G76" s="566"/>
      <c r="H76" s="566"/>
      <c r="I76" s="578"/>
      <c r="J76" s="566"/>
      <c r="K76" s="566"/>
      <c r="L76" s="566"/>
      <c r="O76" s="566"/>
      <c r="P76" s="626"/>
    </row>
    <row r="77" spans="1:16" x14ac:dyDescent="0.2">
      <c r="A77" s="629"/>
      <c r="B77" s="629"/>
      <c r="C77" s="629"/>
      <c r="D77" s="629"/>
      <c r="E77" s="623"/>
      <c r="F77" s="630"/>
      <c r="G77" s="566"/>
      <c r="H77" s="566"/>
      <c r="I77" s="578"/>
      <c r="J77" s="566"/>
      <c r="K77" s="566"/>
      <c r="L77" s="566"/>
      <c r="O77" s="566"/>
      <c r="P77" s="626"/>
    </row>
    <row r="78" spans="1:16" x14ac:dyDescent="0.2">
      <c r="A78" s="629"/>
      <c r="B78" s="629"/>
      <c r="C78" s="629"/>
      <c r="D78" s="629"/>
      <c r="E78" s="623"/>
      <c r="F78" s="630"/>
      <c r="G78" s="566"/>
      <c r="H78" s="566"/>
      <c r="I78" s="578"/>
      <c r="J78" s="566"/>
      <c r="K78" s="566"/>
      <c r="L78" s="566"/>
      <c r="O78" s="566"/>
      <c r="P78" s="626"/>
    </row>
    <row r="79" spans="1:16" x14ac:dyDescent="0.2">
      <c r="A79" s="629"/>
      <c r="B79" s="629"/>
      <c r="C79" s="629"/>
      <c r="D79" s="629"/>
      <c r="E79" s="623"/>
      <c r="F79" s="630"/>
      <c r="G79" s="566"/>
      <c r="H79" s="566"/>
      <c r="I79" s="578"/>
      <c r="J79" s="566"/>
      <c r="K79" s="566"/>
      <c r="L79" s="566"/>
      <c r="O79" s="566"/>
      <c r="P79" s="626"/>
    </row>
    <row r="80" spans="1:16" x14ac:dyDescent="0.2">
      <c r="A80" s="629"/>
      <c r="B80" s="629"/>
      <c r="C80" s="629"/>
      <c r="D80" s="629"/>
      <c r="E80" s="623"/>
      <c r="F80" s="630"/>
      <c r="G80" s="566"/>
      <c r="H80" s="566"/>
      <c r="I80" s="578"/>
      <c r="J80" s="566"/>
      <c r="K80" s="566"/>
      <c r="L80" s="566"/>
      <c r="O80" s="566"/>
      <c r="P80" s="626"/>
    </row>
    <row r="81" spans="1:19" x14ac:dyDescent="0.2">
      <c r="A81" s="629"/>
      <c r="B81" s="629"/>
      <c r="C81" s="629"/>
      <c r="D81" s="629"/>
      <c r="E81" s="623"/>
      <c r="F81" s="630"/>
      <c r="G81" s="566"/>
      <c r="H81" s="566"/>
      <c r="I81" s="578"/>
      <c r="J81" s="566"/>
      <c r="K81" s="566"/>
      <c r="L81" s="566"/>
      <c r="O81" s="566"/>
      <c r="P81" s="626"/>
    </row>
    <row r="82" spans="1:19" x14ac:dyDescent="0.2">
      <c r="A82" s="629"/>
      <c r="B82" s="629"/>
      <c r="C82" s="629"/>
      <c r="D82" s="629"/>
      <c r="E82" s="623"/>
      <c r="F82" s="630"/>
      <c r="G82" s="566"/>
      <c r="H82" s="566"/>
      <c r="I82" s="578"/>
      <c r="J82" s="566"/>
      <c r="K82" s="566"/>
      <c r="L82" s="566"/>
      <c r="O82" s="566"/>
      <c r="P82" s="626"/>
    </row>
    <row r="83" spans="1:19" x14ac:dyDescent="0.2">
      <c r="A83" s="629"/>
      <c r="B83" s="629"/>
      <c r="C83" s="629"/>
      <c r="D83" s="629"/>
      <c r="E83" s="623"/>
      <c r="F83" s="630"/>
      <c r="G83" s="566"/>
      <c r="H83" s="566"/>
      <c r="I83" s="578"/>
      <c r="J83" s="566"/>
      <c r="K83" s="566"/>
      <c r="L83" s="566"/>
      <c r="O83" s="566"/>
      <c r="P83" s="626"/>
    </row>
    <row r="84" spans="1:19" x14ac:dyDescent="0.2">
      <c r="A84" s="629"/>
      <c r="B84" s="629"/>
      <c r="C84" s="629"/>
      <c r="D84" s="629"/>
      <c r="E84" s="623"/>
      <c r="F84" s="630"/>
      <c r="G84" s="626"/>
      <c r="H84" s="566"/>
      <c r="I84" s="578"/>
      <c r="J84" s="566"/>
      <c r="K84" s="566"/>
      <c r="L84" s="566"/>
      <c r="O84" s="566"/>
      <c r="P84" s="626"/>
    </row>
    <row r="85" spans="1:19" x14ac:dyDescent="0.2">
      <c r="A85" s="629"/>
      <c r="B85" s="629"/>
      <c r="C85" s="629"/>
      <c r="D85" s="629"/>
      <c r="E85" s="623"/>
      <c r="F85" s="630"/>
      <c r="G85" s="626"/>
      <c r="H85" s="566"/>
      <c r="I85" s="578"/>
      <c r="J85" s="566"/>
      <c r="K85" s="566"/>
      <c r="L85" s="566"/>
      <c r="O85" s="566"/>
      <c r="P85" s="626"/>
    </row>
    <row r="86" spans="1:19" x14ac:dyDescent="0.2">
      <c r="A86" s="629"/>
      <c r="B86" s="629"/>
      <c r="C86" s="629"/>
      <c r="D86" s="629"/>
      <c r="E86" s="623"/>
      <c r="F86" s="630"/>
      <c r="G86" s="626"/>
      <c r="H86" s="566"/>
      <c r="I86" s="578"/>
      <c r="J86" s="566"/>
      <c r="K86" s="566"/>
      <c r="L86" s="566"/>
      <c r="O86" s="566"/>
      <c r="P86" s="626"/>
    </row>
    <row r="87" spans="1:19" x14ac:dyDescent="0.2">
      <c r="A87" s="629"/>
      <c r="B87" s="629"/>
      <c r="C87" s="629"/>
      <c r="D87" s="629"/>
      <c r="E87" s="623"/>
      <c r="F87" s="630"/>
      <c r="G87" s="626"/>
      <c r="H87" s="566"/>
      <c r="I87" s="578"/>
      <c r="J87" s="566"/>
      <c r="K87" s="566"/>
      <c r="L87" s="566"/>
      <c r="O87" s="566"/>
      <c r="P87" s="626"/>
    </row>
    <row r="88" spans="1:19" x14ac:dyDescent="0.2">
      <c r="A88" s="629"/>
      <c r="B88" s="629"/>
      <c r="C88" s="629"/>
      <c r="D88" s="629"/>
      <c r="E88" s="623"/>
      <c r="F88" s="630"/>
      <c r="G88" s="566"/>
      <c r="H88" s="566"/>
      <c r="I88" s="578"/>
      <c r="J88" s="566"/>
      <c r="K88" s="566"/>
      <c r="L88" s="566"/>
      <c r="O88" s="566"/>
      <c r="P88" s="626"/>
    </row>
    <row r="89" spans="1:19" x14ac:dyDescent="0.2">
      <c r="A89" s="629"/>
      <c r="B89" s="629"/>
      <c r="C89" s="629"/>
      <c r="D89" s="629"/>
      <c r="E89" s="623"/>
      <c r="F89" s="630"/>
      <c r="G89" s="566"/>
      <c r="H89" s="566"/>
      <c r="I89" s="578"/>
      <c r="J89" s="566"/>
      <c r="K89" s="566"/>
      <c r="L89" s="566"/>
      <c r="O89" s="566"/>
      <c r="P89" s="626"/>
    </row>
    <row r="90" spans="1:19" s="629" customFormat="1" x14ac:dyDescent="0.2">
      <c r="E90" s="623"/>
      <c r="F90" s="630"/>
      <c r="G90" s="566"/>
      <c r="H90" s="566"/>
      <c r="I90" s="578"/>
      <c r="J90" s="566"/>
      <c r="K90" s="566"/>
      <c r="L90" s="566"/>
      <c r="M90" s="566"/>
      <c r="N90" s="566"/>
      <c r="O90" s="566"/>
      <c r="P90" s="626"/>
      <c r="Q90" s="626"/>
      <c r="R90" s="632"/>
      <c r="S90" s="632"/>
    </row>
    <row r="91" spans="1:19" s="629" customFormat="1" x14ac:dyDescent="0.2">
      <c r="E91" s="623"/>
      <c r="F91" s="630"/>
      <c r="G91" s="566"/>
      <c r="H91" s="566"/>
      <c r="I91" s="578"/>
      <c r="J91" s="566"/>
      <c r="K91" s="566"/>
      <c r="L91" s="566"/>
      <c r="M91" s="566"/>
      <c r="N91" s="566"/>
      <c r="O91" s="566"/>
      <c r="P91" s="626"/>
      <c r="Q91" s="626"/>
      <c r="R91" s="632"/>
      <c r="S91" s="632"/>
    </row>
    <row r="92" spans="1:19" s="629" customFormat="1" x14ac:dyDescent="0.2">
      <c r="E92" s="623"/>
      <c r="F92" s="630"/>
      <c r="G92" s="566"/>
      <c r="H92" s="566"/>
      <c r="I92" s="578"/>
      <c r="J92" s="566"/>
      <c r="K92" s="566"/>
      <c r="L92" s="566"/>
      <c r="M92" s="566"/>
      <c r="N92" s="566"/>
      <c r="O92" s="566"/>
      <c r="P92" s="626"/>
      <c r="Q92" s="626"/>
      <c r="R92" s="632"/>
      <c r="S92" s="632"/>
    </row>
    <row r="93" spans="1:19" s="629" customFormat="1" x14ac:dyDescent="0.2">
      <c r="E93" s="623"/>
      <c r="F93" s="630"/>
      <c r="G93" s="566"/>
      <c r="H93" s="566"/>
      <c r="I93" s="578"/>
      <c r="J93" s="566"/>
      <c r="K93" s="566"/>
      <c r="L93" s="566"/>
      <c r="M93" s="566"/>
      <c r="N93" s="566"/>
      <c r="O93" s="566"/>
      <c r="P93" s="626"/>
      <c r="Q93" s="626"/>
      <c r="R93" s="632"/>
      <c r="S93" s="632"/>
    </row>
    <row r="94" spans="1:19" s="629" customFormat="1" x14ac:dyDescent="0.2">
      <c r="E94" s="623"/>
      <c r="F94" s="630"/>
      <c r="G94" s="566"/>
      <c r="H94" s="566"/>
      <c r="I94" s="578"/>
      <c r="J94" s="566"/>
      <c r="K94" s="566"/>
      <c r="L94" s="566"/>
      <c r="M94" s="566"/>
      <c r="N94" s="566"/>
      <c r="O94" s="566"/>
      <c r="P94" s="626"/>
      <c r="Q94" s="626"/>
      <c r="R94" s="632"/>
      <c r="S94" s="632"/>
    </row>
    <row r="95" spans="1:19" s="629" customFormat="1" x14ac:dyDescent="0.2">
      <c r="E95" s="623"/>
      <c r="F95" s="630"/>
      <c r="G95" s="566"/>
      <c r="H95" s="566"/>
      <c r="I95" s="578"/>
      <c r="J95" s="566"/>
      <c r="K95" s="566"/>
      <c r="L95" s="566"/>
      <c r="M95" s="566"/>
      <c r="P95" s="632"/>
      <c r="Q95" s="632"/>
      <c r="R95" s="632"/>
      <c r="S95" s="632"/>
    </row>
    <row r="96" spans="1:19" s="629" customFormat="1" x14ac:dyDescent="0.2">
      <c r="E96" s="623"/>
      <c r="F96" s="630"/>
      <c r="G96" s="566"/>
      <c r="H96" s="566"/>
      <c r="I96" s="578"/>
      <c r="J96" s="566"/>
      <c r="K96" s="566"/>
      <c r="L96" s="566"/>
      <c r="M96" s="566"/>
      <c r="P96" s="632"/>
      <c r="Q96" s="632"/>
      <c r="R96" s="632"/>
      <c r="S96" s="632"/>
    </row>
    <row r="97" spans="5:19" s="629" customFormat="1" x14ac:dyDescent="0.2">
      <c r="E97" s="623"/>
      <c r="F97" s="630"/>
      <c r="G97" s="566"/>
      <c r="H97" s="566"/>
      <c r="I97" s="578"/>
      <c r="J97" s="566"/>
      <c r="K97" s="566"/>
      <c r="L97" s="566"/>
      <c r="M97" s="566"/>
      <c r="P97" s="632"/>
      <c r="Q97" s="632"/>
      <c r="R97" s="632"/>
      <c r="S97" s="632"/>
    </row>
    <row r="98" spans="5:19" s="629" customFormat="1" x14ac:dyDescent="0.2">
      <c r="E98" s="623"/>
      <c r="F98" s="630"/>
      <c r="G98" s="566"/>
      <c r="H98" s="566"/>
      <c r="I98" s="578"/>
      <c r="J98" s="566"/>
      <c r="K98" s="566"/>
      <c r="L98" s="566"/>
      <c r="M98" s="566"/>
      <c r="P98" s="632"/>
      <c r="Q98" s="632"/>
      <c r="R98" s="632"/>
      <c r="S98" s="632"/>
    </row>
    <row r="99" spans="5:19" s="629" customFormat="1" x14ac:dyDescent="0.2">
      <c r="E99" s="623"/>
      <c r="F99" s="630"/>
      <c r="G99" s="566"/>
      <c r="H99" s="566"/>
      <c r="I99" s="578"/>
      <c r="J99" s="566"/>
      <c r="K99" s="566"/>
      <c r="L99" s="566"/>
      <c r="M99" s="566"/>
      <c r="P99" s="632"/>
      <c r="Q99" s="632"/>
      <c r="R99" s="632"/>
      <c r="S99" s="632"/>
    </row>
    <row r="100" spans="5:19" s="629" customFormat="1" x14ac:dyDescent="0.2">
      <c r="E100" s="623"/>
      <c r="F100" s="630"/>
      <c r="G100" s="566"/>
      <c r="H100" s="566"/>
      <c r="I100" s="578"/>
      <c r="J100" s="566"/>
      <c r="K100" s="566"/>
      <c r="L100" s="566"/>
      <c r="M100" s="566"/>
      <c r="P100" s="632"/>
      <c r="Q100" s="632"/>
      <c r="R100" s="632"/>
      <c r="S100" s="632"/>
    </row>
    <row r="101" spans="5:19" s="629" customFormat="1" x14ac:dyDescent="0.2">
      <c r="E101" s="623"/>
      <c r="F101" s="630"/>
      <c r="G101" s="566"/>
      <c r="H101" s="566"/>
      <c r="I101" s="578"/>
      <c r="J101" s="566"/>
      <c r="K101" s="566"/>
      <c r="L101" s="566"/>
      <c r="M101" s="566"/>
      <c r="P101" s="632"/>
      <c r="Q101" s="632"/>
      <c r="R101" s="632"/>
      <c r="S101" s="632"/>
    </row>
    <row r="102" spans="5:19" s="629" customFormat="1" x14ac:dyDescent="0.2">
      <c r="E102" s="623"/>
      <c r="F102" s="630"/>
      <c r="G102" s="566"/>
      <c r="H102" s="566"/>
      <c r="I102" s="578"/>
      <c r="J102" s="566"/>
      <c r="K102" s="566"/>
      <c r="L102" s="566"/>
      <c r="M102" s="566"/>
      <c r="P102" s="632"/>
      <c r="Q102" s="632"/>
      <c r="R102" s="632"/>
      <c r="S102" s="632"/>
    </row>
    <row r="103" spans="5:19" s="629" customFormat="1" x14ac:dyDescent="0.2">
      <c r="E103" s="623"/>
      <c r="F103" s="630"/>
      <c r="G103" s="566"/>
      <c r="H103" s="566"/>
      <c r="I103" s="578"/>
      <c r="J103" s="566"/>
      <c r="K103" s="566"/>
      <c r="L103" s="566"/>
      <c r="M103" s="566"/>
      <c r="P103" s="632"/>
      <c r="Q103" s="632"/>
      <c r="R103" s="632"/>
      <c r="S103" s="632"/>
    </row>
    <row r="104" spans="5:19" s="629" customFormat="1" x14ac:dyDescent="0.2">
      <c r="E104" s="623"/>
      <c r="F104" s="630"/>
      <c r="G104" s="566"/>
      <c r="H104" s="566"/>
      <c r="I104" s="578"/>
      <c r="J104" s="566"/>
      <c r="K104" s="566"/>
      <c r="L104" s="566"/>
      <c r="M104" s="566"/>
      <c r="P104" s="632"/>
      <c r="Q104" s="632"/>
      <c r="R104" s="632"/>
      <c r="S104" s="632"/>
    </row>
    <row r="105" spans="5:19" s="629" customFormat="1" x14ac:dyDescent="0.2">
      <c r="E105" s="623"/>
      <c r="F105" s="630"/>
      <c r="G105" s="566"/>
      <c r="H105" s="566"/>
      <c r="I105" s="578"/>
      <c r="J105" s="566"/>
      <c r="K105" s="566"/>
      <c r="L105" s="566"/>
      <c r="M105" s="566"/>
      <c r="P105" s="632"/>
      <c r="Q105" s="632"/>
      <c r="R105" s="632"/>
      <c r="S105" s="632"/>
    </row>
    <row r="106" spans="5:19" s="629" customFormat="1" x14ac:dyDescent="0.2">
      <c r="E106" s="623"/>
      <c r="F106" s="630"/>
      <c r="G106" s="566"/>
      <c r="H106" s="566"/>
      <c r="I106" s="578"/>
      <c r="J106" s="566"/>
      <c r="K106" s="566"/>
      <c r="L106" s="566"/>
      <c r="M106" s="566"/>
      <c r="P106" s="632"/>
      <c r="Q106" s="632"/>
      <c r="R106" s="632"/>
      <c r="S106" s="632"/>
    </row>
    <row r="107" spans="5:19" s="629" customFormat="1" x14ac:dyDescent="0.2">
      <c r="E107" s="623"/>
      <c r="F107" s="630"/>
      <c r="G107" s="566"/>
      <c r="H107" s="566"/>
      <c r="I107" s="578"/>
      <c r="J107" s="566"/>
      <c r="K107" s="566"/>
      <c r="L107" s="566"/>
      <c r="M107" s="566"/>
      <c r="P107" s="632"/>
      <c r="Q107" s="632"/>
      <c r="R107" s="632"/>
      <c r="S107" s="632"/>
    </row>
    <row r="108" spans="5:19" s="629" customFormat="1" x14ac:dyDescent="0.2">
      <c r="E108" s="623"/>
      <c r="F108" s="630"/>
      <c r="G108" s="566"/>
      <c r="H108" s="566"/>
      <c r="I108" s="578"/>
      <c r="J108" s="566"/>
      <c r="K108" s="566"/>
      <c r="L108" s="566"/>
      <c r="M108" s="566"/>
      <c r="P108" s="632"/>
      <c r="Q108" s="632"/>
      <c r="R108" s="632"/>
      <c r="S108" s="632"/>
    </row>
    <row r="109" spans="5:19" s="629" customFormat="1" x14ac:dyDescent="0.2">
      <c r="E109" s="623"/>
      <c r="F109" s="630"/>
      <c r="G109" s="566"/>
      <c r="H109" s="566"/>
      <c r="I109" s="578"/>
      <c r="J109" s="566"/>
      <c r="K109" s="566"/>
      <c r="L109" s="566"/>
      <c r="M109" s="566"/>
      <c r="P109" s="632"/>
      <c r="Q109" s="632"/>
      <c r="R109" s="632"/>
      <c r="S109" s="632"/>
    </row>
    <row r="110" spans="5:19" s="629" customFormat="1" x14ac:dyDescent="0.2">
      <c r="E110" s="623"/>
      <c r="F110" s="630"/>
      <c r="G110" s="566"/>
      <c r="H110" s="566"/>
      <c r="I110" s="578"/>
      <c r="J110" s="566"/>
      <c r="K110" s="566"/>
      <c r="L110" s="566"/>
      <c r="P110" s="632"/>
      <c r="Q110" s="632"/>
      <c r="R110" s="632"/>
      <c r="S110" s="632"/>
    </row>
    <row r="111" spans="5:19" s="629" customFormat="1" x14ac:dyDescent="0.2">
      <c r="E111" s="623"/>
      <c r="F111" s="630"/>
      <c r="G111" s="566"/>
      <c r="H111" s="566"/>
      <c r="I111" s="578"/>
      <c r="J111" s="566"/>
      <c r="K111" s="566"/>
      <c r="L111" s="566"/>
      <c r="P111" s="632"/>
      <c r="Q111" s="632"/>
      <c r="R111" s="632"/>
      <c r="S111" s="632"/>
    </row>
    <row r="112" spans="5:19" s="629" customFormat="1" x14ac:dyDescent="0.2">
      <c r="E112" s="623"/>
      <c r="F112" s="630"/>
      <c r="G112" s="566"/>
      <c r="H112" s="566"/>
      <c r="I112" s="578"/>
      <c r="J112" s="566"/>
      <c r="K112" s="566"/>
      <c r="L112" s="566"/>
      <c r="P112" s="632"/>
      <c r="Q112" s="632"/>
      <c r="R112" s="632"/>
      <c r="S112" s="632"/>
    </row>
    <row r="113" spans="5:19" s="629" customFormat="1" x14ac:dyDescent="0.2">
      <c r="E113" s="623"/>
      <c r="F113" s="630"/>
      <c r="G113" s="566"/>
      <c r="H113" s="566"/>
      <c r="I113" s="578"/>
      <c r="J113" s="566"/>
      <c r="K113" s="566"/>
      <c r="L113" s="566"/>
      <c r="P113" s="632"/>
      <c r="Q113" s="632"/>
      <c r="R113" s="632"/>
      <c r="S113" s="632"/>
    </row>
    <row r="114" spans="5:19" s="629" customFormat="1" x14ac:dyDescent="0.2">
      <c r="E114" s="623"/>
      <c r="F114" s="630"/>
      <c r="G114" s="566"/>
      <c r="H114" s="566"/>
      <c r="I114" s="578"/>
      <c r="J114" s="566"/>
      <c r="K114" s="566"/>
      <c r="L114" s="566"/>
      <c r="P114" s="632"/>
      <c r="Q114" s="632"/>
      <c r="R114" s="632"/>
      <c r="S114" s="632"/>
    </row>
    <row r="115" spans="5:19" s="629" customFormat="1" x14ac:dyDescent="0.2">
      <c r="E115" s="623"/>
      <c r="F115" s="630"/>
      <c r="G115" s="566"/>
      <c r="H115" s="566"/>
      <c r="I115" s="578"/>
      <c r="J115" s="566"/>
      <c r="K115" s="566"/>
      <c r="L115" s="566"/>
      <c r="P115" s="632"/>
      <c r="Q115" s="632"/>
      <c r="R115" s="632"/>
      <c r="S115" s="632"/>
    </row>
    <row r="116" spans="5:19" s="629" customFormat="1" x14ac:dyDescent="0.2">
      <c r="E116" s="623"/>
      <c r="F116" s="630"/>
      <c r="G116" s="566"/>
      <c r="H116" s="566"/>
      <c r="I116" s="578"/>
      <c r="J116" s="566"/>
      <c r="K116" s="566"/>
      <c r="L116" s="566"/>
      <c r="P116" s="632"/>
      <c r="Q116" s="632"/>
      <c r="R116" s="632"/>
      <c r="S116" s="632"/>
    </row>
    <row r="117" spans="5:19" s="629" customFormat="1" x14ac:dyDescent="0.2">
      <c r="E117" s="623"/>
      <c r="F117" s="630"/>
      <c r="G117" s="566"/>
      <c r="H117" s="566"/>
      <c r="I117" s="578"/>
      <c r="J117" s="566"/>
      <c r="K117" s="566"/>
      <c r="L117" s="566"/>
      <c r="P117" s="632"/>
      <c r="Q117" s="632"/>
      <c r="R117" s="632"/>
      <c r="S117" s="632"/>
    </row>
    <row r="118" spans="5:19" s="629" customFormat="1" x14ac:dyDescent="0.2">
      <c r="E118" s="623"/>
      <c r="F118" s="630"/>
      <c r="G118" s="566"/>
      <c r="H118" s="566"/>
      <c r="I118" s="578"/>
      <c r="J118" s="566"/>
      <c r="K118" s="566"/>
      <c r="L118" s="566"/>
      <c r="P118" s="632"/>
      <c r="Q118" s="632"/>
      <c r="R118" s="632"/>
      <c r="S118" s="632"/>
    </row>
    <row r="119" spans="5:19" s="629" customFormat="1" x14ac:dyDescent="0.2">
      <c r="E119" s="623"/>
      <c r="F119" s="630"/>
      <c r="G119" s="566"/>
      <c r="H119" s="566"/>
      <c r="I119" s="578"/>
      <c r="J119" s="566"/>
      <c r="K119" s="566"/>
      <c r="L119" s="566"/>
      <c r="P119" s="632"/>
      <c r="Q119" s="632"/>
      <c r="R119" s="632"/>
      <c r="S119" s="632"/>
    </row>
    <row r="120" spans="5:19" s="629" customFormat="1" x14ac:dyDescent="0.2">
      <c r="E120" s="623"/>
      <c r="F120" s="630"/>
      <c r="G120" s="566"/>
      <c r="H120" s="566"/>
      <c r="I120" s="578"/>
      <c r="J120" s="566"/>
      <c r="K120" s="566"/>
      <c r="L120" s="566"/>
      <c r="P120" s="632"/>
      <c r="Q120" s="632"/>
      <c r="R120" s="632"/>
      <c r="S120" s="632"/>
    </row>
    <row r="121" spans="5:19" s="629" customFormat="1" x14ac:dyDescent="0.2">
      <c r="E121" s="623"/>
      <c r="F121" s="630"/>
      <c r="G121" s="566"/>
      <c r="H121" s="566"/>
      <c r="I121" s="578"/>
      <c r="J121" s="566"/>
      <c r="K121" s="566"/>
      <c r="L121" s="566"/>
      <c r="P121" s="632"/>
      <c r="Q121" s="632"/>
      <c r="R121" s="632"/>
      <c r="S121" s="632"/>
    </row>
    <row r="122" spans="5:19" s="629" customFormat="1" x14ac:dyDescent="0.2">
      <c r="E122" s="623"/>
      <c r="F122" s="630"/>
      <c r="G122" s="566"/>
      <c r="H122" s="566"/>
      <c r="I122" s="578"/>
      <c r="J122" s="566"/>
      <c r="K122" s="566"/>
      <c r="L122" s="566"/>
      <c r="P122" s="632"/>
      <c r="Q122" s="632"/>
      <c r="R122" s="632"/>
      <c r="S122" s="632"/>
    </row>
    <row r="123" spans="5:19" s="629" customFormat="1" x14ac:dyDescent="0.2">
      <c r="E123" s="623"/>
      <c r="F123" s="630"/>
      <c r="G123" s="566"/>
      <c r="H123" s="566"/>
      <c r="I123" s="578"/>
      <c r="J123" s="566"/>
      <c r="K123" s="566"/>
      <c r="L123" s="566"/>
      <c r="P123" s="632"/>
      <c r="Q123" s="632"/>
      <c r="R123" s="632"/>
      <c r="S123" s="632"/>
    </row>
    <row r="124" spans="5:19" s="629" customFormat="1" x14ac:dyDescent="0.2">
      <c r="E124" s="623"/>
      <c r="F124" s="630"/>
      <c r="G124" s="566"/>
      <c r="H124" s="566"/>
      <c r="I124" s="578"/>
      <c r="J124" s="566"/>
      <c r="K124" s="566"/>
      <c r="L124" s="566"/>
      <c r="P124" s="632"/>
      <c r="Q124" s="632"/>
      <c r="R124" s="632"/>
      <c r="S124" s="632"/>
    </row>
    <row r="125" spans="5:19" s="629" customFormat="1" x14ac:dyDescent="0.2">
      <c r="E125" s="623"/>
      <c r="F125" s="630"/>
      <c r="G125" s="566"/>
      <c r="H125" s="566"/>
      <c r="I125" s="578"/>
      <c r="J125" s="566"/>
      <c r="K125" s="566"/>
      <c r="L125" s="566"/>
      <c r="P125" s="632"/>
      <c r="Q125" s="632"/>
      <c r="R125" s="632"/>
      <c r="S125" s="632"/>
    </row>
    <row r="126" spans="5:19" s="629" customFormat="1" x14ac:dyDescent="0.2">
      <c r="E126" s="623"/>
      <c r="F126" s="630"/>
      <c r="G126" s="566"/>
      <c r="H126" s="566"/>
      <c r="I126" s="578"/>
      <c r="J126" s="566"/>
      <c r="K126" s="566"/>
      <c r="L126" s="566"/>
      <c r="P126" s="632"/>
      <c r="Q126" s="632"/>
      <c r="R126" s="632"/>
      <c r="S126" s="632"/>
    </row>
    <row r="127" spans="5:19" s="629" customFormat="1" x14ac:dyDescent="0.2">
      <c r="E127" s="623"/>
      <c r="F127" s="630"/>
      <c r="G127" s="566"/>
      <c r="H127" s="566"/>
      <c r="I127" s="578"/>
      <c r="J127" s="566"/>
      <c r="K127" s="566"/>
      <c r="L127" s="566"/>
      <c r="P127" s="632"/>
      <c r="Q127" s="632"/>
      <c r="R127" s="632"/>
      <c r="S127" s="632"/>
    </row>
    <row r="128" spans="5:19" s="629" customFormat="1" x14ac:dyDescent="0.2">
      <c r="E128" s="623"/>
      <c r="F128" s="630"/>
      <c r="G128" s="566"/>
      <c r="H128" s="566"/>
      <c r="I128" s="578"/>
      <c r="J128" s="566"/>
      <c r="K128" s="566"/>
      <c r="L128" s="566"/>
      <c r="P128" s="632"/>
      <c r="Q128" s="632"/>
      <c r="R128" s="632"/>
      <c r="S128" s="632"/>
    </row>
    <row r="129" spans="5:19" s="629" customFormat="1" x14ac:dyDescent="0.2">
      <c r="E129" s="623"/>
      <c r="F129" s="630"/>
      <c r="G129" s="566"/>
      <c r="H129" s="566"/>
      <c r="I129" s="578"/>
      <c r="J129" s="566"/>
      <c r="K129" s="566"/>
      <c r="L129" s="566"/>
      <c r="P129" s="632"/>
      <c r="Q129" s="632"/>
      <c r="R129" s="632"/>
      <c r="S129" s="632"/>
    </row>
    <row r="130" spans="5:19" s="629" customFormat="1" x14ac:dyDescent="0.2">
      <c r="E130" s="623"/>
      <c r="F130" s="630"/>
      <c r="G130" s="566"/>
      <c r="H130" s="566"/>
      <c r="I130" s="578"/>
      <c r="J130" s="566"/>
      <c r="K130" s="566"/>
      <c r="L130" s="566"/>
      <c r="P130" s="632"/>
      <c r="Q130" s="632"/>
      <c r="R130" s="632"/>
      <c r="S130" s="632"/>
    </row>
    <row r="131" spans="5:19" s="629" customFormat="1" x14ac:dyDescent="0.2">
      <c r="E131" s="623"/>
      <c r="F131" s="630"/>
      <c r="G131" s="566"/>
      <c r="H131" s="566"/>
      <c r="I131" s="578"/>
      <c r="J131" s="566"/>
      <c r="K131" s="566"/>
      <c r="L131" s="566"/>
      <c r="P131" s="632"/>
      <c r="Q131" s="632"/>
      <c r="R131" s="632"/>
      <c r="S131" s="632"/>
    </row>
    <row r="132" spans="5:19" s="629" customFormat="1" x14ac:dyDescent="0.2">
      <c r="E132" s="623"/>
      <c r="F132" s="630"/>
      <c r="G132" s="566"/>
      <c r="H132" s="566"/>
      <c r="I132" s="578"/>
      <c r="J132" s="566"/>
      <c r="K132" s="566"/>
      <c r="L132" s="566"/>
      <c r="P132" s="632"/>
      <c r="Q132" s="632"/>
      <c r="R132" s="632"/>
      <c r="S132" s="632"/>
    </row>
    <row r="133" spans="5:19" s="629" customFormat="1" x14ac:dyDescent="0.2">
      <c r="E133" s="623"/>
      <c r="F133" s="630"/>
      <c r="G133" s="566"/>
      <c r="H133" s="566"/>
      <c r="I133" s="578"/>
      <c r="J133" s="566"/>
      <c r="K133" s="566"/>
      <c r="L133" s="566"/>
      <c r="P133" s="632"/>
      <c r="Q133" s="632"/>
      <c r="R133" s="632"/>
      <c r="S133" s="632"/>
    </row>
    <row r="134" spans="5:19" s="629" customFormat="1" x14ac:dyDescent="0.2">
      <c r="E134" s="623"/>
      <c r="F134" s="630"/>
      <c r="G134" s="566"/>
      <c r="H134" s="566"/>
      <c r="I134" s="578"/>
      <c r="J134" s="566"/>
      <c r="K134" s="566"/>
      <c r="L134" s="566"/>
      <c r="P134" s="632"/>
      <c r="Q134" s="632"/>
      <c r="R134" s="632"/>
      <c r="S134" s="632"/>
    </row>
    <row r="135" spans="5:19" s="629" customFormat="1" x14ac:dyDescent="0.2">
      <c r="E135" s="623"/>
      <c r="F135" s="630"/>
      <c r="G135" s="566"/>
      <c r="H135" s="566"/>
      <c r="I135" s="578"/>
      <c r="J135" s="566"/>
      <c r="K135" s="566"/>
      <c r="L135" s="566"/>
      <c r="P135" s="632"/>
      <c r="Q135" s="632"/>
      <c r="R135" s="632"/>
      <c r="S135" s="632"/>
    </row>
    <row r="136" spans="5:19" s="629" customFormat="1" x14ac:dyDescent="0.2">
      <c r="E136" s="623"/>
      <c r="F136" s="630"/>
      <c r="G136" s="566"/>
      <c r="H136" s="566"/>
      <c r="I136" s="578"/>
      <c r="J136" s="566"/>
      <c r="K136" s="566"/>
      <c r="L136" s="566"/>
      <c r="P136" s="632"/>
      <c r="Q136" s="632"/>
      <c r="R136" s="632"/>
      <c r="S136" s="632"/>
    </row>
    <row r="137" spans="5:19" s="629" customFormat="1" x14ac:dyDescent="0.2">
      <c r="E137" s="623"/>
      <c r="F137" s="630"/>
      <c r="G137" s="566"/>
      <c r="H137" s="566"/>
      <c r="I137" s="578"/>
      <c r="J137" s="566"/>
      <c r="K137" s="566"/>
      <c r="L137" s="566"/>
      <c r="P137" s="632"/>
      <c r="Q137" s="632"/>
      <c r="R137" s="632"/>
      <c r="S137" s="632"/>
    </row>
    <row r="138" spans="5:19" s="629" customFormat="1" x14ac:dyDescent="0.2">
      <c r="E138" s="623"/>
      <c r="F138" s="630"/>
      <c r="G138" s="566"/>
      <c r="H138" s="566"/>
      <c r="I138" s="578"/>
      <c r="J138" s="566"/>
      <c r="K138" s="566"/>
      <c r="L138" s="566"/>
      <c r="P138" s="632"/>
      <c r="Q138" s="632"/>
      <c r="R138" s="632"/>
      <c r="S138" s="632"/>
    </row>
    <row r="139" spans="5:19" s="629" customFormat="1" x14ac:dyDescent="0.2">
      <c r="E139" s="623"/>
      <c r="F139" s="630"/>
      <c r="G139" s="566"/>
      <c r="H139" s="566"/>
      <c r="I139" s="578"/>
      <c r="J139" s="566"/>
      <c r="K139" s="566"/>
      <c r="L139" s="566"/>
      <c r="P139" s="632"/>
      <c r="Q139" s="632"/>
      <c r="R139" s="632"/>
      <c r="S139" s="632"/>
    </row>
    <row r="140" spans="5:19" s="629" customFormat="1" x14ac:dyDescent="0.2">
      <c r="E140" s="623"/>
      <c r="F140" s="630"/>
      <c r="G140" s="566"/>
      <c r="H140" s="566"/>
      <c r="I140" s="578"/>
      <c r="J140" s="566"/>
      <c r="K140" s="566"/>
      <c r="L140" s="566"/>
      <c r="P140" s="632"/>
      <c r="Q140" s="632"/>
      <c r="R140" s="632"/>
      <c r="S140" s="632"/>
    </row>
    <row r="141" spans="5:19" s="629" customFormat="1" x14ac:dyDescent="0.2">
      <c r="E141" s="623"/>
      <c r="F141" s="630"/>
      <c r="G141" s="566"/>
      <c r="H141" s="566"/>
      <c r="I141" s="578"/>
      <c r="J141" s="566"/>
      <c r="K141" s="566"/>
      <c r="L141" s="566"/>
      <c r="P141" s="632"/>
      <c r="Q141" s="632"/>
      <c r="R141" s="632"/>
      <c r="S141" s="632"/>
    </row>
    <row r="142" spans="5:19" s="629" customFormat="1" x14ac:dyDescent="0.2">
      <c r="E142" s="623"/>
      <c r="F142" s="630"/>
      <c r="G142" s="566"/>
      <c r="H142" s="566"/>
      <c r="I142" s="578"/>
      <c r="J142" s="566"/>
      <c r="K142" s="566"/>
      <c r="L142" s="566"/>
      <c r="P142" s="632"/>
      <c r="Q142" s="632"/>
      <c r="R142" s="632"/>
      <c r="S142" s="632"/>
    </row>
    <row r="143" spans="5:19" s="629" customFormat="1" x14ac:dyDescent="0.2">
      <c r="E143" s="623"/>
      <c r="F143" s="630"/>
      <c r="G143" s="566"/>
      <c r="H143" s="566"/>
      <c r="I143" s="578"/>
      <c r="J143" s="566"/>
      <c r="K143" s="566"/>
      <c r="L143" s="566"/>
      <c r="P143" s="632"/>
      <c r="Q143" s="632"/>
      <c r="R143" s="632"/>
      <c r="S143" s="632"/>
    </row>
    <row r="144" spans="5:19" s="629" customFormat="1" x14ac:dyDescent="0.2">
      <c r="E144" s="623"/>
      <c r="F144" s="630"/>
      <c r="G144" s="566"/>
      <c r="H144" s="566"/>
      <c r="I144" s="578"/>
      <c r="J144" s="566"/>
      <c r="K144" s="566"/>
      <c r="L144" s="566"/>
      <c r="P144" s="632"/>
      <c r="Q144" s="632"/>
      <c r="R144" s="632"/>
      <c r="S144" s="632"/>
    </row>
    <row r="145" spans="1:19" s="629" customFormat="1" x14ac:dyDescent="0.2">
      <c r="E145" s="623"/>
      <c r="F145" s="630"/>
      <c r="G145" s="566"/>
      <c r="H145" s="566"/>
      <c r="I145" s="578"/>
      <c r="J145" s="566"/>
      <c r="K145" s="566"/>
      <c r="L145" s="566"/>
      <c r="P145" s="632"/>
      <c r="Q145" s="632"/>
      <c r="R145" s="632"/>
      <c r="S145" s="632"/>
    </row>
    <row r="146" spans="1:19" s="629" customFormat="1" x14ac:dyDescent="0.2">
      <c r="E146" s="623"/>
      <c r="F146" s="630"/>
      <c r="G146" s="566"/>
      <c r="H146" s="566"/>
      <c r="I146" s="578"/>
      <c r="J146" s="566"/>
      <c r="K146" s="566"/>
      <c r="L146" s="566"/>
      <c r="P146" s="632"/>
      <c r="Q146" s="632"/>
      <c r="R146" s="632"/>
      <c r="S146" s="632"/>
    </row>
    <row r="147" spans="1:19" x14ac:dyDescent="0.2">
      <c r="A147" s="629"/>
      <c r="B147" s="629"/>
      <c r="C147" s="629"/>
      <c r="D147" s="629"/>
      <c r="E147" s="623"/>
      <c r="F147" s="630"/>
      <c r="G147" s="566"/>
      <c r="H147" s="566"/>
      <c r="I147" s="578"/>
      <c r="J147" s="566"/>
      <c r="K147" s="566"/>
      <c r="L147" s="566"/>
      <c r="M147" s="629"/>
      <c r="N147" s="629"/>
      <c r="O147" s="629"/>
      <c r="P147" s="632"/>
      <c r="Q147" s="632"/>
    </row>
    <row r="148" spans="1:19" x14ac:dyDescent="0.2">
      <c r="A148" s="629"/>
      <c r="B148" s="629"/>
      <c r="C148" s="629"/>
      <c r="D148" s="629"/>
      <c r="E148" s="623"/>
      <c r="F148" s="630"/>
      <c r="G148" s="566"/>
      <c r="H148" s="566"/>
      <c r="I148" s="578"/>
      <c r="J148" s="566"/>
      <c r="K148" s="566"/>
      <c r="L148" s="566"/>
      <c r="M148" s="629"/>
      <c r="N148" s="629"/>
      <c r="O148" s="629"/>
      <c r="P148" s="632"/>
      <c r="Q148" s="632"/>
    </row>
    <row r="149" spans="1:19" x14ac:dyDescent="0.2">
      <c r="A149" s="629"/>
      <c r="B149" s="629"/>
      <c r="C149" s="629"/>
      <c r="D149" s="629"/>
      <c r="E149" s="623"/>
      <c r="F149" s="630"/>
      <c r="G149" s="566"/>
      <c r="H149" s="566"/>
      <c r="I149" s="578"/>
      <c r="J149" s="566"/>
      <c r="K149" s="566"/>
      <c r="L149" s="566"/>
      <c r="M149" s="629"/>
      <c r="N149" s="629"/>
      <c r="O149" s="629"/>
      <c r="P149" s="632"/>
      <c r="Q149" s="632"/>
    </row>
    <row r="150" spans="1:19" x14ac:dyDescent="0.2">
      <c r="A150" s="629"/>
      <c r="B150" s="629"/>
      <c r="C150" s="629"/>
      <c r="D150" s="629"/>
      <c r="E150" s="623"/>
      <c r="F150" s="630"/>
      <c r="G150" s="566"/>
      <c r="H150" s="566"/>
      <c r="I150" s="578"/>
      <c r="J150" s="566"/>
      <c r="K150" s="566"/>
      <c r="L150" s="566"/>
      <c r="M150" s="629"/>
      <c r="N150" s="629"/>
      <c r="O150" s="629"/>
      <c r="P150" s="632"/>
      <c r="Q150" s="632"/>
    </row>
    <row r="151" spans="1:19" x14ac:dyDescent="0.2">
      <c r="A151" s="629"/>
      <c r="B151" s="629"/>
      <c r="C151" s="629"/>
      <c r="D151" s="629"/>
      <c r="E151" s="623"/>
      <c r="F151" s="630"/>
      <c r="G151" s="566"/>
      <c r="H151" s="566"/>
      <c r="I151" s="578"/>
      <c r="J151" s="566"/>
      <c r="K151" s="566"/>
      <c r="L151" s="566"/>
      <c r="M151" s="629"/>
      <c r="N151" s="629"/>
      <c r="O151" s="629"/>
      <c r="P151" s="632"/>
      <c r="Q151" s="632"/>
    </row>
    <row r="152" spans="1:19" x14ac:dyDescent="0.2">
      <c r="A152" s="629"/>
      <c r="B152" s="629"/>
      <c r="C152" s="629"/>
      <c r="D152" s="629"/>
      <c r="E152" s="623"/>
      <c r="F152" s="630"/>
      <c r="G152" s="566"/>
      <c r="H152" s="566"/>
      <c r="I152" s="578"/>
      <c r="J152" s="566"/>
      <c r="K152" s="566"/>
      <c r="L152" s="566"/>
      <c r="M152" s="629"/>
    </row>
    <row r="153" spans="1:19" x14ac:dyDescent="0.2">
      <c r="A153" s="629"/>
      <c r="B153" s="629"/>
      <c r="C153" s="629"/>
      <c r="D153" s="629"/>
      <c r="E153" s="623"/>
      <c r="F153" s="630"/>
      <c r="G153" s="566"/>
      <c r="H153" s="566"/>
      <c r="I153" s="578"/>
      <c r="J153" s="566"/>
      <c r="K153" s="566"/>
      <c r="L153" s="566"/>
      <c r="M153" s="629"/>
    </row>
    <row r="154" spans="1:19" x14ac:dyDescent="0.2">
      <c r="A154" s="629"/>
      <c r="B154" s="629"/>
      <c r="C154" s="629"/>
      <c r="D154" s="629"/>
      <c r="E154" s="623"/>
      <c r="F154" s="630"/>
      <c r="G154" s="566"/>
      <c r="H154" s="566"/>
      <c r="I154" s="578"/>
      <c r="J154" s="566"/>
      <c r="K154" s="566"/>
      <c r="L154" s="566"/>
      <c r="M154" s="629"/>
    </row>
    <row r="155" spans="1:19" x14ac:dyDescent="0.2">
      <c r="A155" s="629"/>
      <c r="B155" s="629"/>
      <c r="C155" s="629"/>
      <c r="D155" s="629"/>
      <c r="E155" s="623"/>
      <c r="F155" s="630"/>
      <c r="G155" s="566"/>
      <c r="H155" s="566"/>
      <c r="I155" s="578"/>
      <c r="J155" s="566"/>
      <c r="K155" s="566"/>
      <c r="L155" s="566"/>
      <c r="M155" s="629"/>
    </row>
    <row r="156" spans="1:19" x14ac:dyDescent="0.2">
      <c r="J156" s="566"/>
      <c r="K156" s="566"/>
      <c r="L156" s="566"/>
      <c r="M156" s="629"/>
    </row>
    <row r="157" spans="1:19" x14ac:dyDescent="0.2">
      <c r="J157" s="566"/>
      <c r="K157" s="566"/>
      <c r="L157" s="566"/>
      <c r="M157" s="629"/>
    </row>
    <row r="158" spans="1:19" x14ac:dyDescent="0.2">
      <c r="J158" s="566"/>
      <c r="K158" s="566"/>
      <c r="L158" s="566"/>
      <c r="M158" s="629"/>
    </row>
    <row r="159" spans="1:19" x14ac:dyDescent="0.2">
      <c r="J159" s="566"/>
      <c r="K159" s="566"/>
      <c r="L159" s="566"/>
      <c r="M159" s="629"/>
    </row>
    <row r="160" spans="1:19" x14ac:dyDescent="0.2">
      <c r="J160" s="566"/>
      <c r="K160" s="566"/>
      <c r="L160" s="566"/>
      <c r="M160" s="629"/>
    </row>
    <row r="161" spans="10:13" x14ac:dyDescent="0.2">
      <c r="J161" s="566"/>
      <c r="K161" s="566"/>
      <c r="L161" s="566"/>
      <c r="M161" s="629"/>
    </row>
    <row r="162" spans="10:13" x14ac:dyDescent="0.2">
      <c r="K162" s="566"/>
      <c r="L162" s="566"/>
      <c r="M162" s="629"/>
    </row>
    <row r="163" spans="10:13" x14ac:dyDescent="0.2">
      <c r="K163" s="566"/>
      <c r="L163" s="566"/>
      <c r="M163" s="629"/>
    </row>
    <row r="164" spans="10:13" x14ac:dyDescent="0.2">
      <c r="K164" s="566"/>
      <c r="L164" s="566"/>
      <c r="M164" s="629"/>
    </row>
    <row r="165" spans="10:13" x14ac:dyDescent="0.2">
      <c r="L165" s="566"/>
      <c r="M165" s="629"/>
    </row>
    <row r="166" spans="10:13" x14ac:dyDescent="0.2">
      <c r="L166" s="566"/>
      <c r="M166" s="629"/>
    </row>
    <row r="167" spans="10:13" x14ac:dyDescent="0.2">
      <c r="L167" s="566"/>
    </row>
    <row r="168" spans="10:13" x14ac:dyDescent="0.2">
      <c r="L168" s="566"/>
    </row>
    <row r="169" spans="10:13" x14ac:dyDescent="0.2">
      <c r="L169" s="566"/>
    </row>
  </sheetData>
  <mergeCells count="5">
    <mergeCell ref="A7:L7"/>
    <mergeCell ref="M7:O7"/>
    <mergeCell ref="U7:V7"/>
    <mergeCell ref="D9:F9"/>
    <mergeCell ref="H9:K9"/>
  </mergeCells>
  <conditionalFormatting sqref="Z9:Z57 P58:P74">
    <cfRule type="aboveAverage" dxfId="9" priority="1" aboveAverage="0" stdDev="1"/>
    <cfRule type="aboveAverage" dxfId="8" priority="2" stdDev="1"/>
  </conditionalFormatting>
  <dataValidations disablePrompts="1" count="1">
    <dataValidation type="list" allowBlank="1" showInputMessage="1" showErrorMessage="1" sqref="B5" xr:uid="{457EF172-41C1-445D-AE17-20FEA8D07E84}">
      <formula1>$AB$5:$AB$8</formula1>
    </dataValidation>
  </dataValidation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D768D-1152-44E8-9A16-D8C5A7262621}">
  <dimension ref="A1:Z169"/>
  <sheetViews>
    <sheetView workbookViewId="0">
      <selection sqref="A1:XFD1048576"/>
    </sheetView>
  </sheetViews>
  <sheetFormatPr defaultColWidth="7.88671875" defaultRowHeight="10.199999999999999" x14ac:dyDescent="0.2"/>
  <cols>
    <col min="1" max="1" width="15.6640625" style="566" bestFit="1" customWidth="1"/>
    <col min="2" max="2" width="9.5546875" style="566" bestFit="1" customWidth="1"/>
    <col min="3" max="3" width="5.109375" style="633" customWidth="1"/>
    <col min="4" max="6" width="7.6640625" style="633" customWidth="1"/>
    <col min="7" max="7" width="12" style="629" bestFit="1" customWidth="1"/>
    <col min="8" max="8" width="9.33203125" style="632" customWidth="1"/>
    <col min="9" max="10" width="8.44140625" style="629" bestFit="1" customWidth="1"/>
    <col min="11" max="11" width="8.44140625" style="623" bestFit="1" customWidth="1"/>
    <col min="12" max="12" width="13.6640625" style="630" bestFit="1" customWidth="1"/>
    <col min="13" max="13" width="6.33203125" style="566" bestFit="1" customWidth="1"/>
    <col min="14" max="14" width="5.6640625" style="566" bestFit="1" customWidth="1"/>
    <col min="15" max="15" width="5.88671875" style="578" bestFit="1" customWidth="1"/>
    <col min="16" max="16" width="5.88671875" style="459" bestFit="1" customWidth="1"/>
    <col min="17" max="17" width="14" style="626" bestFit="1" customWidth="1"/>
    <col min="18" max="18" width="6" style="626" bestFit="1" customWidth="1"/>
    <col min="19" max="19" width="8.6640625" style="626" bestFit="1" customWidth="1"/>
    <col min="20" max="21" width="17.33203125" style="566" bestFit="1" customWidth="1"/>
    <col min="22" max="22" width="9.33203125" style="566" bestFit="1" customWidth="1"/>
    <col min="23" max="27" width="5.33203125" style="566" customWidth="1"/>
    <col min="28" max="28" width="17" style="566" customWidth="1"/>
    <col min="29" max="16384" width="7.88671875" style="566"/>
  </cols>
  <sheetData>
    <row r="1" spans="1:24" s="402" customFormat="1" ht="13.2" x14ac:dyDescent="0.25">
      <c r="A1" s="394" t="s">
        <v>108</v>
      </c>
      <c r="B1" s="395" t="s">
        <v>163</v>
      </c>
      <c r="C1" s="396"/>
      <c r="D1" s="395"/>
      <c r="E1" s="397"/>
      <c r="F1" s="397"/>
      <c r="G1" s="398"/>
      <c r="H1" s="399" t="s">
        <v>109</v>
      </c>
      <c r="I1" s="400">
        <f>C38</f>
        <v>593</v>
      </c>
      <c r="J1" s="401"/>
      <c r="K1" s="395"/>
      <c r="L1" s="395"/>
      <c r="N1" s="403"/>
      <c r="P1" s="404"/>
      <c r="Q1" s="404"/>
      <c r="R1" s="404"/>
      <c r="S1" s="404"/>
    </row>
    <row r="2" spans="1:24" s="402" customFormat="1" ht="13.2" x14ac:dyDescent="0.25">
      <c r="A2" s="405" t="s">
        <v>110</v>
      </c>
      <c r="B2" s="395" t="s">
        <v>164</v>
      </c>
      <c r="C2" s="406"/>
      <c r="D2" s="395"/>
      <c r="E2" s="407"/>
      <c r="F2" s="407"/>
      <c r="G2" s="408"/>
      <c r="H2" s="409" t="s">
        <v>111</v>
      </c>
      <c r="I2" s="410">
        <f>V12</f>
        <v>473</v>
      </c>
      <c r="J2" s="411"/>
      <c r="K2" s="395"/>
      <c r="L2" s="395"/>
      <c r="N2" s="412"/>
      <c r="P2" s="404"/>
      <c r="Q2" s="404"/>
      <c r="R2" s="404"/>
      <c r="S2" s="404"/>
    </row>
    <row r="3" spans="1:24" s="416" customFormat="1" ht="11.25" customHeight="1" x14ac:dyDescent="0.25">
      <c r="A3" s="413" t="s">
        <v>112</v>
      </c>
      <c r="B3" s="414">
        <v>20240425</v>
      </c>
      <c r="C3" s="406"/>
      <c r="D3" s="407"/>
      <c r="E3" s="407"/>
      <c r="F3" s="407"/>
      <c r="G3" s="408"/>
      <c r="H3" s="413" t="s">
        <v>113</v>
      </c>
      <c r="I3" s="415">
        <f>V53/100</f>
        <v>4.7300000000000004</v>
      </c>
      <c r="J3" s="411"/>
      <c r="K3" s="395"/>
      <c r="L3" s="395"/>
      <c r="N3" s="417"/>
      <c r="P3" s="418"/>
      <c r="Q3" s="418"/>
      <c r="R3" s="418"/>
      <c r="S3" s="418"/>
    </row>
    <row r="4" spans="1:24" s="402" customFormat="1" ht="13.2" x14ac:dyDescent="0.25">
      <c r="A4" s="413" t="s">
        <v>114</v>
      </c>
      <c r="B4" s="414" t="s">
        <v>165</v>
      </c>
      <c r="C4" s="406"/>
      <c r="D4" s="407"/>
      <c r="E4" s="407"/>
      <c r="F4" s="407"/>
      <c r="G4" s="408"/>
      <c r="H4" s="413" t="s">
        <v>115</v>
      </c>
      <c r="I4" s="419">
        <f>S36</f>
        <v>0.44432014427020783</v>
      </c>
      <c r="J4" s="411"/>
      <c r="K4" s="395"/>
      <c r="L4" s="395"/>
      <c r="M4" s="403"/>
      <c r="N4" s="403"/>
      <c r="P4" s="404"/>
      <c r="Q4" s="404"/>
      <c r="R4" s="404"/>
      <c r="S4" s="404"/>
    </row>
    <row r="5" spans="1:24" s="423" customFormat="1" ht="13.2" x14ac:dyDescent="0.25">
      <c r="A5" s="405" t="s">
        <v>116</v>
      </c>
      <c r="B5" s="420" t="s">
        <v>117</v>
      </c>
      <c r="C5" s="406"/>
      <c r="D5" s="407"/>
      <c r="E5" s="407"/>
      <c r="F5" s="407"/>
      <c r="G5" s="408"/>
      <c r="H5" s="413"/>
      <c r="I5" s="421"/>
      <c r="J5" s="411"/>
      <c r="K5" s="395"/>
      <c r="L5" s="395"/>
      <c r="M5" s="422"/>
      <c r="N5" s="422"/>
      <c r="P5" s="424"/>
      <c r="Q5" s="424"/>
      <c r="R5" s="424"/>
      <c r="S5" s="424"/>
    </row>
    <row r="6" spans="1:24" s="422" customFormat="1" ht="13.8" thickBot="1" x14ac:dyDescent="0.25">
      <c r="A6" s="425"/>
      <c r="B6" s="426"/>
      <c r="C6" s="427"/>
      <c r="D6" s="428"/>
      <c r="E6" s="428"/>
      <c r="F6" s="428"/>
      <c r="G6" s="429"/>
      <c r="H6" s="430"/>
      <c r="I6" s="431"/>
      <c r="J6" s="429"/>
      <c r="K6" s="426"/>
      <c r="L6" s="426"/>
      <c r="M6" s="432"/>
      <c r="P6" s="433"/>
      <c r="Q6" s="433"/>
      <c r="R6" s="433"/>
      <c r="S6" s="433"/>
    </row>
    <row r="7" spans="1:24" s="423" customFormat="1" ht="13.2" customHeight="1" x14ac:dyDescent="0.2">
      <c r="A7" s="888" t="s">
        <v>118</v>
      </c>
      <c r="B7" s="889"/>
      <c r="C7" s="889"/>
      <c r="D7" s="889"/>
      <c r="E7" s="889"/>
      <c r="F7" s="889"/>
      <c r="G7" s="889"/>
      <c r="H7" s="889"/>
      <c r="I7" s="889"/>
      <c r="J7" s="889"/>
      <c r="K7" s="889"/>
      <c r="L7" s="889"/>
      <c r="M7" s="890" t="s">
        <v>119</v>
      </c>
      <c r="N7" s="891"/>
      <c r="O7" s="892"/>
      <c r="P7" s="434" t="s">
        <v>120</v>
      </c>
      <c r="Q7" s="435"/>
      <c r="R7" s="434" t="s">
        <v>121</v>
      </c>
      <c r="S7" s="434"/>
      <c r="T7" s="436"/>
      <c r="U7" s="886" t="s">
        <v>122</v>
      </c>
      <c r="V7" s="887"/>
      <c r="W7" s="422"/>
      <c r="X7" s="422"/>
    </row>
    <row r="8" spans="1:24" s="453" customFormat="1" x14ac:dyDescent="0.2">
      <c r="A8" s="437"/>
      <c r="B8" s="432"/>
      <c r="C8" s="438"/>
      <c r="D8" s="439"/>
      <c r="E8" s="440"/>
      <c r="F8" s="441"/>
      <c r="G8" s="442"/>
      <c r="H8" s="443"/>
      <c r="I8" s="443"/>
      <c r="J8" s="443"/>
      <c r="K8" s="443"/>
      <c r="L8" s="444"/>
      <c r="M8" s="445"/>
      <c r="N8" s="446"/>
      <c r="O8" s="447"/>
      <c r="P8" s="448"/>
      <c r="Q8" s="449"/>
      <c r="R8" s="448"/>
      <c r="S8" s="448"/>
      <c r="T8" s="450"/>
      <c r="U8" s="451"/>
      <c r="V8" s="451"/>
      <c r="W8" s="452"/>
    </row>
    <row r="9" spans="1:24" s="464" customFormat="1" ht="13.2" customHeight="1" x14ac:dyDescent="0.2">
      <c r="A9" s="454"/>
      <c r="B9" s="422"/>
      <c r="C9" s="455"/>
      <c r="D9" s="893" t="s">
        <v>123</v>
      </c>
      <c r="E9" s="894"/>
      <c r="F9" s="895"/>
      <c r="G9" s="456"/>
      <c r="H9" s="896" t="s">
        <v>124</v>
      </c>
      <c r="I9" s="897"/>
      <c r="J9" s="897"/>
      <c r="K9" s="898"/>
      <c r="L9" s="457"/>
      <c r="M9" s="458"/>
      <c r="N9" s="446" t="s">
        <v>125</v>
      </c>
      <c r="O9" s="447"/>
      <c r="P9" s="448"/>
      <c r="Q9" s="449"/>
      <c r="R9" s="459"/>
      <c r="S9" s="459"/>
      <c r="T9" s="450"/>
      <c r="U9" s="460"/>
      <c r="V9" s="461"/>
      <c r="W9" s="462"/>
      <c r="X9" s="463"/>
    </row>
    <row r="10" spans="1:24" s="464" customFormat="1" x14ac:dyDescent="0.2">
      <c r="A10" s="465" t="s">
        <v>126</v>
      </c>
      <c r="B10" s="466" t="s">
        <v>51</v>
      </c>
      <c r="C10" s="467" t="s">
        <v>127</v>
      </c>
      <c r="D10" s="468" t="s">
        <v>128</v>
      </c>
      <c r="E10" s="469" t="s">
        <v>129</v>
      </c>
      <c r="F10" s="470" t="s">
        <v>130</v>
      </c>
      <c r="G10" s="456" t="s">
        <v>131</v>
      </c>
      <c r="H10" s="471" t="s">
        <v>132</v>
      </c>
      <c r="I10" s="471" t="s">
        <v>133</v>
      </c>
      <c r="J10" s="471" t="s">
        <v>134</v>
      </c>
      <c r="K10" s="471" t="s">
        <v>135</v>
      </c>
      <c r="L10" s="457" t="s">
        <v>136</v>
      </c>
      <c r="M10" s="472" t="s">
        <v>137</v>
      </c>
      <c r="N10" s="473" t="s">
        <v>138</v>
      </c>
      <c r="O10" s="474" t="s">
        <v>139</v>
      </c>
      <c r="P10" s="475" t="s">
        <v>140</v>
      </c>
      <c r="Q10" s="449" t="s">
        <v>141</v>
      </c>
      <c r="R10" s="475" t="s">
        <v>141</v>
      </c>
      <c r="S10" s="475" t="s">
        <v>140</v>
      </c>
      <c r="T10" s="476" t="s">
        <v>142</v>
      </c>
      <c r="U10" s="460" t="s">
        <v>143</v>
      </c>
      <c r="V10" s="460" t="s">
        <v>144</v>
      </c>
      <c r="W10" s="477"/>
    </row>
    <row r="11" spans="1:24" s="464" customFormat="1" ht="12" thickBot="1" x14ac:dyDescent="0.25">
      <c r="A11" s="478" t="s">
        <v>145</v>
      </c>
      <c r="B11" s="479" t="s">
        <v>145</v>
      </c>
      <c r="C11" s="480" t="s">
        <v>146</v>
      </c>
      <c r="D11" s="481" t="s">
        <v>147</v>
      </c>
      <c r="E11" s="482" t="s">
        <v>147</v>
      </c>
      <c r="F11" s="483" t="s">
        <v>147</v>
      </c>
      <c r="G11" s="484" t="s">
        <v>147</v>
      </c>
      <c r="H11" s="485" t="s">
        <v>147</v>
      </c>
      <c r="I11" s="485" t="s">
        <v>147</v>
      </c>
      <c r="J11" s="485" t="s">
        <v>147</v>
      </c>
      <c r="K11" s="485" t="s">
        <v>147</v>
      </c>
      <c r="L11" s="486" t="s">
        <v>147</v>
      </c>
      <c r="M11" s="487" t="s">
        <v>148</v>
      </c>
      <c r="N11" s="488" t="s">
        <v>146</v>
      </c>
      <c r="O11" s="489" t="s">
        <v>146</v>
      </c>
      <c r="P11" s="490" t="s">
        <v>149</v>
      </c>
      <c r="Q11" s="491" t="s">
        <v>150</v>
      </c>
      <c r="R11" s="492" t="s">
        <v>36</v>
      </c>
      <c r="S11" s="492" t="s">
        <v>151</v>
      </c>
      <c r="T11" s="493"/>
      <c r="U11" s="494"/>
      <c r="V11" s="495" t="s">
        <v>147</v>
      </c>
      <c r="W11" s="477"/>
    </row>
    <row r="12" spans="1:24" s="464" customFormat="1" x14ac:dyDescent="0.3">
      <c r="A12" s="496" t="s">
        <v>152</v>
      </c>
      <c r="B12" s="497"/>
      <c r="C12" s="498">
        <v>0</v>
      </c>
      <c r="D12" s="499" t="s">
        <v>153</v>
      </c>
      <c r="E12" s="500" t="s">
        <v>153</v>
      </c>
      <c r="F12" s="501" t="s">
        <v>153</v>
      </c>
      <c r="G12" s="502" t="s">
        <v>153</v>
      </c>
      <c r="H12" s="500" t="s">
        <v>153</v>
      </c>
      <c r="I12" s="500" t="s">
        <v>153</v>
      </c>
      <c r="J12" s="500" t="s">
        <v>153</v>
      </c>
      <c r="K12" s="500" t="s">
        <v>153</v>
      </c>
      <c r="L12" s="503" t="s">
        <v>153</v>
      </c>
      <c r="M12" s="504"/>
      <c r="N12" s="505"/>
      <c r="O12" s="506"/>
      <c r="P12" s="507"/>
      <c r="Q12" s="508"/>
      <c r="R12" s="509"/>
      <c r="S12" s="510"/>
      <c r="T12" s="511"/>
      <c r="U12" s="512" t="s">
        <v>172</v>
      </c>
      <c r="V12" s="513">
        <v>473</v>
      </c>
      <c r="W12" s="514"/>
    </row>
    <row r="13" spans="1:24" s="464" customFormat="1" x14ac:dyDescent="0.3">
      <c r="A13" s="515">
        <v>260</v>
      </c>
      <c r="B13" s="516">
        <v>0</v>
      </c>
      <c r="C13" s="504">
        <v>10</v>
      </c>
      <c r="D13" s="517" t="s">
        <v>153</v>
      </c>
      <c r="E13" s="518" t="s">
        <v>153</v>
      </c>
      <c r="F13" s="519" t="s">
        <v>153</v>
      </c>
      <c r="G13" s="520" t="s">
        <v>153</v>
      </c>
      <c r="H13" s="518" t="s">
        <v>153</v>
      </c>
      <c r="I13" s="518" t="s">
        <v>153</v>
      </c>
      <c r="J13" s="518" t="s">
        <v>153</v>
      </c>
      <c r="K13" s="518" t="s">
        <v>153</v>
      </c>
      <c r="L13" s="521" t="s">
        <v>153</v>
      </c>
      <c r="M13" s="504">
        <v>966</v>
      </c>
      <c r="N13" s="522">
        <f>C12</f>
        <v>0</v>
      </c>
      <c r="O13" s="523">
        <f t="shared" ref="O13:O19" si="0">(C13+C14-10)/2</f>
        <v>10</v>
      </c>
      <c r="P13" s="524">
        <f>(A13-B13)/M13</f>
        <v>0.2691511387163561</v>
      </c>
      <c r="Q13" s="525">
        <f>(P13*(O13-N13))/100</f>
        <v>2.6915113871635608E-2</v>
      </c>
      <c r="R13" s="526">
        <f>SUM(Q$13:Q13)</f>
        <v>2.6915113871635608E-2</v>
      </c>
      <c r="S13" s="527">
        <f>R13/O13*100</f>
        <v>0.2691511387163561</v>
      </c>
      <c r="T13" s="528"/>
      <c r="U13" s="529" t="s">
        <v>154</v>
      </c>
      <c r="V13" s="530"/>
      <c r="W13" s="477"/>
    </row>
    <row r="14" spans="1:24" s="464" customFormat="1" x14ac:dyDescent="0.3">
      <c r="A14" s="515">
        <v>335</v>
      </c>
      <c r="B14" s="516">
        <v>0</v>
      </c>
      <c r="C14" s="504">
        <v>20</v>
      </c>
      <c r="D14" s="517" t="s">
        <v>153</v>
      </c>
      <c r="E14" s="518" t="s">
        <v>153</v>
      </c>
      <c r="F14" s="519" t="s">
        <v>153</v>
      </c>
      <c r="G14" s="520" t="s">
        <v>153</v>
      </c>
      <c r="H14" s="518" t="s">
        <v>153</v>
      </c>
      <c r="I14" s="518" t="s">
        <v>153</v>
      </c>
      <c r="J14" s="518" t="s">
        <v>153</v>
      </c>
      <c r="K14" s="518" t="s">
        <v>153</v>
      </c>
      <c r="L14" s="521" t="s">
        <v>153</v>
      </c>
      <c r="M14" s="504">
        <v>966</v>
      </c>
      <c r="N14" s="522">
        <f t="shared" ref="N14:N20" si="1">(C13+C14-10)/2</f>
        <v>10</v>
      </c>
      <c r="O14" s="523">
        <f t="shared" si="0"/>
        <v>20</v>
      </c>
      <c r="P14" s="524">
        <f t="shared" ref="P14:P20" si="2">(A14-B14)/M14</f>
        <v>0.34679089026915116</v>
      </c>
      <c r="Q14" s="525">
        <f t="shared" ref="Q14:Q19" si="3">(P14*(O14-N14))/100</f>
        <v>3.4679089026915119E-2</v>
      </c>
      <c r="R14" s="526">
        <f>SUM(Q$13:Q14)</f>
        <v>6.1594202898550728E-2</v>
      </c>
      <c r="S14" s="527">
        <f t="shared" ref="S14:S20" si="4">R14/O14*100</f>
        <v>0.30797101449275366</v>
      </c>
      <c r="T14" s="528"/>
      <c r="U14" s="529" t="s">
        <v>154</v>
      </c>
      <c r="V14" s="530"/>
      <c r="W14" s="477"/>
    </row>
    <row r="15" spans="1:24" s="464" customFormat="1" x14ac:dyDescent="0.3">
      <c r="A15" s="515">
        <v>290</v>
      </c>
      <c r="B15" s="516">
        <v>0</v>
      </c>
      <c r="C15" s="504">
        <v>30</v>
      </c>
      <c r="D15" s="517" t="s">
        <v>153</v>
      </c>
      <c r="E15" s="518" t="s">
        <v>153</v>
      </c>
      <c r="F15" s="519" t="s">
        <v>153</v>
      </c>
      <c r="G15" s="520" t="s">
        <v>153</v>
      </c>
      <c r="H15" s="518" t="s">
        <v>153</v>
      </c>
      <c r="I15" s="518" t="s">
        <v>153</v>
      </c>
      <c r="J15" s="518" t="s">
        <v>153</v>
      </c>
      <c r="K15" s="518" t="s">
        <v>153</v>
      </c>
      <c r="L15" s="521" t="s">
        <v>153</v>
      </c>
      <c r="M15" s="504">
        <v>966</v>
      </c>
      <c r="N15" s="522">
        <f t="shared" si="1"/>
        <v>20</v>
      </c>
      <c r="O15" s="523">
        <f t="shared" si="0"/>
        <v>30</v>
      </c>
      <c r="P15" s="524">
        <f t="shared" si="2"/>
        <v>0.30020703933747411</v>
      </c>
      <c r="Q15" s="525">
        <f t="shared" si="3"/>
        <v>3.0020703933747409E-2</v>
      </c>
      <c r="R15" s="526">
        <f>SUM(Q$13:Q15)</f>
        <v>9.1614906832298143E-2</v>
      </c>
      <c r="S15" s="527">
        <f t="shared" si="4"/>
        <v>0.30538302277432711</v>
      </c>
      <c r="T15" s="528"/>
      <c r="U15" s="529" t="s">
        <v>154</v>
      </c>
      <c r="V15" s="531"/>
      <c r="W15" s="477"/>
    </row>
    <row r="16" spans="1:24" s="464" customFormat="1" x14ac:dyDescent="0.3">
      <c r="A16" s="532">
        <v>325</v>
      </c>
      <c r="B16" s="516">
        <v>0</v>
      </c>
      <c r="C16" s="504">
        <v>40</v>
      </c>
      <c r="D16" s="517" t="s">
        <v>153</v>
      </c>
      <c r="E16" s="518" t="s">
        <v>153</v>
      </c>
      <c r="F16" s="519" t="s">
        <v>153</v>
      </c>
      <c r="G16" s="520" t="s">
        <v>153</v>
      </c>
      <c r="H16" s="518" t="s">
        <v>153</v>
      </c>
      <c r="I16" s="518" t="s">
        <v>153</v>
      </c>
      <c r="J16" s="518" t="s">
        <v>153</v>
      </c>
      <c r="K16" s="518" t="s">
        <v>153</v>
      </c>
      <c r="L16" s="521" t="s">
        <v>153</v>
      </c>
      <c r="M16" s="504">
        <v>966</v>
      </c>
      <c r="N16" s="522">
        <f t="shared" si="1"/>
        <v>30</v>
      </c>
      <c r="O16" s="523">
        <f t="shared" si="0"/>
        <v>40</v>
      </c>
      <c r="P16" s="524">
        <f t="shared" si="2"/>
        <v>0.33643892339544512</v>
      </c>
      <c r="Q16" s="525">
        <f>(P16*(O16-N16))/100</f>
        <v>3.3643892339544512E-2</v>
      </c>
      <c r="R16" s="526">
        <f>SUM(Q$13:Q16)</f>
        <v>0.12525879917184266</v>
      </c>
      <c r="S16" s="527">
        <f t="shared" si="4"/>
        <v>0.31314699792960665</v>
      </c>
      <c r="T16" s="528"/>
      <c r="U16" s="529" t="s">
        <v>154</v>
      </c>
      <c r="V16" s="530"/>
      <c r="W16" s="477"/>
    </row>
    <row r="17" spans="1:25" s="464" customFormat="1" x14ac:dyDescent="0.3">
      <c r="A17" s="532">
        <v>340</v>
      </c>
      <c r="B17" s="516">
        <v>0</v>
      </c>
      <c r="C17" s="504">
        <v>50</v>
      </c>
      <c r="D17" s="517" t="s">
        <v>153</v>
      </c>
      <c r="E17" s="518" t="s">
        <v>153</v>
      </c>
      <c r="F17" s="519" t="s">
        <v>153</v>
      </c>
      <c r="G17" s="520" t="s">
        <v>153</v>
      </c>
      <c r="H17" s="518" t="s">
        <v>153</v>
      </c>
      <c r="I17" s="518" t="s">
        <v>153</v>
      </c>
      <c r="J17" s="518" t="s">
        <v>153</v>
      </c>
      <c r="K17" s="518" t="s">
        <v>153</v>
      </c>
      <c r="L17" s="521" t="s">
        <v>153</v>
      </c>
      <c r="M17" s="504">
        <v>966</v>
      </c>
      <c r="N17" s="522">
        <f t="shared" si="1"/>
        <v>40</v>
      </c>
      <c r="O17" s="523">
        <f t="shared" si="0"/>
        <v>50</v>
      </c>
      <c r="P17" s="524">
        <f t="shared" si="2"/>
        <v>0.35196687370600416</v>
      </c>
      <c r="Q17" s="525">
        <f>(P17*(O17-N17))/100</f>
        <v>3.5196687370600416E-2</v>
      </c>
      <c r="R17" s="526">
        <f>SUM(Q$13:Q17)</f>
        <v>0.16045548654244307</v>
      </c>
      <c r="S17" s="527">
        <f t="shared" si="4"/>
        <v>0.32091097308488614</v>
      </c>
      <c r="T17" s="528" t="s">
        <v>155</v>
      </c>
      <c r="U17" s="529" t="s">
        <v>154</v>
      </c>
      <c r="V17" s="530"/>
      <c r="W17" s="462"/>
    </row>
    <row r="18" spans="1:25" s="464" customFormat="1" x14ac:dyDescent="0.3">
      <c r="A18" s="532">
        <v>365</v>
      </c>
      <c r="B18" s="516">
        <v>0</v>
      </c>
      <c r="C18" s="504">
        <v>60</v>
      </c>
      <c r="D18" s="517" t="s">
        <v>153</v>
      </c>
      <c r="E18" s="518" t="s">
        <v>153</v>
      </c>
      <c r="F18" s="519" t="s">
        <v>153</v>
      </c>
      <c r="G18" s="520" t="s">
        <v>153</v>
      </c>
      <c r="H18" s="518" t="s">
        <v>153</v>
      </c>
      <c r="I18" s="518" t="s">
        <v>153</v>
      </c>
      <c r="J18" s="518" t="s">
        <v>153</v>
      </c>
      <c r="K18" s="518" t="s">
        <v>153</v>
      </c>
      <c r="L18" s="521" t="s">
        <v>153</v>
      </c>
      <c r="M18" s="504">
        <v>966</v>
      </c>
      <c r="N18" s="522">
        <f t="shared" si="1"/>
        <v>50</v>
      </c>
      <c r="O18" s="523">
        <f t="shared" si="0"/>
        <v>60</v>
      </c>
      <c r="P18" s="524">
        <f t="shared" si="2"/>
        <v>0.37784679089026912</v>
      </c>
      <c r="Q18" s="525">
        <f t="shared" si="3"/>
        <v>3.7784679089026912E-2</v>
      </c>
      <c r="R18" s="526">
        <f>SUM(Q$13:Q18)</f>
        <v>0.19824016563146998</v>
      </c>
      <c r="S18" s="527">
        <f t="shared" si="4"/>
        <v>0.33040027605244998</v>
      </c>
      <c r="T18" s="533"/>
      <c r="U18" s="529" t="s">
        <v>154</v>
      </c>
      <c r="V18" s="530"/>
      <c r="W18" s="462"/>
    </row>
    <row r="19" spans="1:25" s="464" customFormat="1" ht="10.199999999999999" customHeight="1" x14ac:dyDescent="0.3">
      <c r="A19" s="532">
        <v>390</v>
      </c>
      <c r="B19" s="516">
        <v>0</v>
      </c>
      <c r="C19" s="504">
        <v>70</v>
      </c>
      <c r="D19" s="517" t="s">
        <v>153</v>
      </c>
      <c r="E19" s="518" t="s">
        <v>153</v>
      </c>
      <c r="F19" s="519" t="s">
        <v>153</v>
      </c>
      <c r="G19" s="520" t="s">
        <v>153</v>
      </c>
      <c r="H19" s="518" t="s">
        <v>153</v>
      </c>
      <c r="I19" s="518" t="s">
        <v>153</v>
      </c>
      <c r="J19" s="518" t="s">
        <v>153</v>
      </c>
      <c r="K19" s="518" t="s">
        <v>153</v>
      </c>
      <c r="L19" s="521" t="s">
        <v>153</v>
      </c>
      <c r="M19" s="504">
        <v>966</v>
      </c>
      <c r="N19" s="522">
        <f t="shared" si="1"/>
        <v>60</v>
      </c>
      <c r="O19" s="523">
        <f t="shared" si="0"/>
        <v>70</v>
      </c>
      <c r="P19" s="524">
        <f t="shared" si="2"/>
        <v>0.40372670807453415</v>
      </c>
      <c r="Q19" s="525">
        <f t="shared" si="3"/>
        <v>4.0372670807453409E-2</v>
      </c>
      <c r="R19" s="526">
        <f>SUM(Q$13:Q19)</f>
        <v>0.23861283643892339</v>
      </c>
      <c r="S19" s="527">
        <f t="shared" si="4"/>
        <v>0.34087548062703343</v>
      </c>
      <c r="T19" s="533"/>
      <c r="U19" s="529" t="s">
        <v>154</v>
      </c>
      <c r="V19" s="530"/>
      <c r="W19" s="534"/>
    </row>
    <row r="20" spans="1:25" s="464" customFormat="1" x14ac:dyDescent="0.3">
      <c r="A20" s="532">
        <v>430</v>
      </c>
      <c r="B20" s="516">
        <v>0</v>
      </c>
      <c r="C20" s="504">
        <v>80</v>
      </c>
      <c r="D20" s="517" t="s">
        <v>153</v>
      </c>
      <c r="E20" s="518" t="s">
        <v>153</v>
      </c>
      <c r="F20" s="519" t="s">
        <v>153</v>
      </c>
      <c r="G20" s="520" t="s">
        <v>153</v>
      </c>
      <c r="H20" s="518" t="s">
        <v>153</v>
      </c>
      <c r="I20" s="518" t="s">
        <v>153</v>
      </c>
      <c r="J20" s="518" t="s">
        <v>153</v>
      </c>
      <c r="K20" s="518" t="s">
        <v>153</v>
      </c>
      <c r="L20" s="521" t="s">
        <v>153</v>
      </c>
      <c r="M20" s="504">
        <v>966</v>
      </c>
      <c r="N20" s="522">
        <f t="shared" si="1"/>
        <v>70</v>
      </c>
      <c r="O20" s="523">
        <f>(C20+C25-G25)/2</f>
        <v>80</v>
      </c>
      <c r="P20" s="524">
        <f t="shared" si="2"/>
        <v>0.4451345755693582</v>
      </c>
      <c r="Q20" s="525">
        <f>(P20*(O20-N20))/100</f>
        <v>4.4513457556935823E-2</v>
      </c>
      <c r="R20" s="526">
        <f>SUM(Q$13:Q20)</f>
        <v>0.2831262939958592</v>
      </c>
      <c r="S20" s="527">
        <f t="shared" si="4"/>
        <v>0.353907867494824</v>
      </c>
      <c r="T20" s="528"/>
      <c r="U20" s="529" t="s">
        <v>154</v>
      </c>
      <c r="V20" s="530"/>
      <c r="W20" s="535"/>
    </row>
    <row r="21" spans="1:25" s="537" customFormat="1" x14ac:dyDescent="0.3">
      <c r="A21" s="532"/>
      <c r="B21" s="516"/>
      <c r="C21" s="504"/>
      <c r="D21" s="517"/>
      <c r="E21" s="518"/>
      <c r="F21" s="519"/>
      <c r="G21" s="520"/>
      <c r="H21" s="518"/>
      <c r="I21" s="518"/>
      <c r="J21" s="518"/>
      <c r="K21" s="518"/>
      <c r="L21" s="521"/>
      <c r="M21" s="504"/>
      <c r="N21" s="522"/>
      <c r="O21" s="523"/>
      <c r="P21" s="524"/>
      <c r="Q21" s="525"/>
      <c r="R21" s="526"/>
      <c r="S21" s="527"/>
      <c r="T21" s="536"/>
      <c r="U21" s="529" t="s">
        <v>154</v>
      </c>
      <c r="V21" s="530"/>
      <c r="W21" s="535"/>
    </row>
    <row r="22" spans="1:25" s="537" customFormat="1" x14ac:dyDescent="0.3">
      <c r="A22" s="532"/>
      <c r="B22" s="516"/>
      <c r="C22" s="504"/>
      <c r="D22" s="517"/>
      <c r="E22" s="518"/>
      <c r="F22" s="519"/>
      <c r="G22" s="520"/>
      <c r="H22" s="518"/>
      <c r="I22" s="518"/>
      <c r="J22" s="518"/>
      <c r="K22" s="518"/>
      <c r="L22" s="521"/>
      <c r="M22" s="504"/>
      <c r="N22" s="522"/>
      <c r="O22" s="523"/>
      <c r="P22" s="524"/>
      <c r="Q22" s="525"/>
      <c r="R22" s="526"/>
      <c r="S22" s="527"/>
      <c r="T22" s="538"/>
      <c r="U22" s="529" t="s">
        <v>154</v>
      </c>
      <c r="V22" s="539"/>
      <c r="W22" s="535"/>
    </row>
    <row r="23" spans="1:25" s="537" customFormat="1" ht="10.8" thickBot="1" x14ac:dyDescent="0.35">
      <c r="A23" s="540"/>
      <c r="B23" s="541"/>
      <c r="C23" s="542"/>
      <c r="D23" s="543"/>
      <c r="E23" s="542"/>
      <c r="F23" s="544"/>
      <c r="G23" s="545"/>
      <c r="H23" s="542"/>
      <c r="I23" s="542"/>
      <c r="J23" s="542"/>
      <c r="K23" s="542"/>
      <c r="L23" s="546"/>
      <c r="M23" s="542"/>
      <c r="N23" s="547"/>
      <c r="O23" s="548"/>
      <c r="P23" s="549"/>
      <c r="Q23" s="550"/>
      <c r="R23" s="551"/>
      <c r="S23" s="552"/>
      <c r="T23" s="553"/>
      <c r="U23" s="529" t="s">
        <v>154</v>
      </c>
      <c r="V23" s="554"/>
      <c r="W23" s="555"/>
    </row>
    <row r="24" spans="1:25" s="537" customFormat="1" x14ac:dyDescent="0.3">
      <c r="A24" s="556" t="s">
        <v>156</v>
      </c>
      <c r="B24" s="516"/>
      <c r="C24" s="504"/>
      <c r="D24" s="557"/>
      <c r="E24" s="504"/>
      <c r="F24" s="558"/>
      <c r="G24" s="559"/>
      <c r="H24" s="504"/>
      <c r="I24" s="504"/>
      <c r="J24" s="504"/>
      <c r="K24" s="504"/>
      <c r="L24" s="560"/>
      <c r="M24" s="504"/>
      <c r="N24" s="522"/>
      <c r="O24" s="523"/>
      <c r="P24" s="524"/>
      <c r="Q24" s="525"/>
      <c r="R24" s="526"/>
      <c r="S24" s="527"/>
      <c r="T24" s="538"/>
      <c r="U24" s="529" t="s">
        <v>154</v>
      </c>
      <c r="V24" s="554"/>
      <c r="W24" s="555"/>
    </row>
    <row r="25" spans="1:25" s="537" customFormat="1" x14ac:dyDescent="0.3">
      <c r="A25" s="532">
        <v>360</v>
      </c>
      <c r="B25" s="516">
        <v>0</v>
      </c>
      <c r="C25" s="504">
        <f>C26-D26</f>
        <v>116</v>
      </c>
      <c r="D25" s="561">
        <v>36</v>
      </c>
      <c r="E25" s="562"/>
      <c r="F25" s="563"/>
      <c r="G25" s="564">
        <f t="shared" ref="G25:G38" si="5">AVERAGE(D25:F25)</f>
        <v>36</v>
      </c>
      <c r="H25" s="562">
        <v>5.7</v>
      </c>
      <c r="I25" s="562"/>
      <c r="J25" s="562"/>
      <c r="K25" s="562"/>
      <c r="L25" s="565">
        <f t="shared" ref="L25:L38" si="6">AVERAGE(H25:K25)</f>
        <v>5.7</v>
      </c>
      <c r="M25" s="504">
        <f>G25*    PI()* (L25/2)^2</f>
        <v>918.63310783619147</v>
      </c>
      <c r="N25" s="522">
        <f>(C20+C25-G25)/2</f>
        <v>80</v>
      </c>
      <c r="O25" s="523">
        <f>(C25+C26-G26)/2</f>
        <v>116</v>
      </c>
      <c r="P25" s="524">
        <f>(A25-B25)/M25</f>
        <v>0.3918865942552055</v>
      </c>
      <c r="Q25" s="525">
        <f t="shared" ref="Q25:Q38" si="7">(P25*(O25-N25))/100</f>
        <v>0.14107917393187397</v>
      </c>
      <c r="R25" s="526">
        <f>SUM(Q$13:Q25)</f>
        <v>0.42420546792773317</v>
      </c>
      <c r="S25" s="527">
        <f t="shared" ref="S25:S37" si="8">R25/O25*100</f>
        <v>0.36569436890321827</v>
      </c>
      <c r="T25" s="538"/>
      <c r="U25" s="529" t="s">
        <v>154</v>
      </c>
      <c r="V25" s="554"/>
      <c r="W25" s="555"/>
    </row>
    <row r="26" spans="1:25" s="537" customFormat="1" x14ac:dyDescent="0.3">
      <c r="A26" s="532">
        <v>265</v>
      </c>
      <c r="B26" s="516">
        <v>0</v>
      </c>
      <c r="C26" s="504">
        <v>140</v>
      </c>
      <c r="D26" s="561">
        <v>24</v>
      </c>
      <c r="E26" s="562"/>
      <c r="F26" s="563"/>
      <c r="G26" s="564">
        <f t="shared" si="5"/>
        <v>24</v>
      </c>
      <c r="H26" s="562">
        <v>5.7</v>
      </c>
      <c r="I26" s="562"/>
      <c r="J26" s="562"/>
      <c r="K26" s="562"/>
      <c r="L26" s="565">
        <f t="shared" si="6"/>
        <v>5.7</v>
      </c>
      <c r="M26" s="504">
        <f t="shared" ref="M26:M38" si="9">G26*    PI()* (L26/2)^2</f>
        <v>612.42207189079431</v>
      </c>
      <c r="N26" s="522">
        <f>(C25+C26-G26)/2</f>
        <v>116</v>
      </c>
      <c r="O26" s="523">
        <f>(C26+C27-G27)/2</f>
        <v>139.75</v>
      </c>
      <c r="P26" s="524">
        <f>(A26-B26)/M26</f>
        <v>0.43270811449012275</v>
      </c>
      <c r="Q26" s="525">
        <f t="shared" si="7"/>
        <v>0.10276817719140416</v>
      </c>
      <c r="R26" s="526">
        <f>SUM(Q$13:Q26)</f>
        <v>0.52697364511913736</v>
      </c>
      <c r="S26" s="527">
        <f t="shared" si="8"/>
        <v>0.37708310920868504</v>
      </c>
      <c r="T26" s="538"/>
      <c r="U26" s="529" t="s">
        <v>154</v>
      </c>
      <c r="V26" s="530"/>
      <c r="W26" s="555"/>
    </row>
    <row r="27" spans="1:25" s="537" customFormat="1" x14ac:dyDescent="0.3">
      <c r="A27" s="532">
        <v>355</v>
      </c>
      <c r="B27" s="516">
        <v>0</v>
      </c>
      <c r="C27" s="504">
        <f>C28-D28</f>
        <v>172</v>
      </c>
      <c r="D27" s="561">
        <v>32.5</v>
      </c>
      <c r="E27" s="562"/>
      <c r="F27" s="563"/>
      <c r="G27" s="564">
        <f t="shared" si="5"/>
        <v>32.5</v>
      </c>
      <c r="H27" s="562">
        <v>5.7</v>
      </c>
      <c r="I27" s="562"/>
      <c r="J27" s="562"/>
      <c r="K27" s="562"/>
      <c r="L27" s="565">
        <f t="shared" si="6"/>
        <v>5.7</v>
      </c>
      <c r="M27" s="504">
        <f t="shared" si="9"/>
        <v>829.32155568545056</v>
      </c>
      <c r="N27" s="522">
        <f t="shared" ref="N27:N38" si="10">(C26+C27-G27)/2</f>
        <v>139.75</v>
      </c>
      <c r="O27" s="523">
        <f t="shared" ref="O27:O37" si="11">(C27+C28-G28)/2</f>
        <v>172</v>
      </c>
      <c r="P27" s="524">
        <f t="shared" ref="P27:P38" si="12">(A27-B27)/M27</f>
        <v>0.4280607414172245</v>
      </c>
      <c r="Q27" s="525">
        <f t="shared" si="7"/>
        <v>0.13804958910705489</v>
      </c>
      <c r="R27" s="526">
        <f>SUM(Q$13:Q27)</f>
        <v>0.66502323422619225</v>
      </c>
      <c r="S27" s="527">
        <f t="shared" si="8"/>
        <v>0.38664141524778617</v>
      </c>
      <c r="T27" s="538" t="s">
        <v>166</v>
      </c>
      <c r="U27" s="529" t="s">
        <v>154</v>
      </c>
      <c r="V27" s="530"/>
      <c r="W27" s="555"/>
    </row>
    <row r="28" spans="1:25" s="537" customFormat="1" x14ac:dyDescent="0.3">
      <c r="A28" s="532">
        <v>320</v>
      </c>
      <c r="B28" s="516">
        <v>0</v>
      </c>
      <c r="C28" s="504">
        <v>199</v>
      </c>
      <c r="D28" s="561">
        <v>27</v>
      </c>
      <c r="E28" s="562"/>
      <c r="F28" s="563"/>
      <c r="G28" s="564">
        <f t="shared" si="5"/>
        <v>27</v>
      </c>
      <c r="H28" s="562">
        <v>5.7</v>
      </c>
      <c r="I28" s="562"/>
      <c r="J28" s="562"/>
      <c r="K28" s="562"/>
      <c r="L28" s="565">
        <f t="shared" si="6"/>
        <v>5.7</v>
      </c>
      <c r="M28" s="504">
        <f t="shared" si="9"/>
        <v>688.97483087714352</v>
      </c>
      <c r="N28" s="522">
        <f t="shared" si="10"/>
        <v>172</v>
      </c>
      <c r="O28" s="523">
        <f t="shared" si="11"/>
        <v>199</v>
      </c>
      <c r="P28" s="524">
        <f t="shared" si="12"/>
        <v>0.46445818578394732</v>
      </c>
      <c r="Q28" s="525">
        <f t="shared" si="7"/>
        <v>0.12540371016166577</v>
      </c>
      <c r="R28" s="526">
        <f>SUM(Q$13:Q28)</f>
        <v>0.79042694438785799</v>
      </c>
      <c r="S28" s="527">
        <f t="shared" si="8"/>
        <v>0.39719946954163715</v>
      </c>
      <c r="T28" s="538"/>
      <c r="U28" s="529" t="s">
        <v>154</v>
      </c>
      <c r="V28" s="530"/>
      <c r="W28" s="555"/>
    </row>
    <row r="29" spans="1:25" x14ac:dyDescent="0.2">
      <c r="A29" s="532">
        <v>465</v>
      </c>
      <c r="B29" s="516">
        <v>0</v>
      </c>
      <c r="C29" s="504">
        <v>239</v>
      </c>
      <c r="D29" s="561">
        <v>40</v>
      </c>
      <c r="E29" s="562"/>
      <c r="F29" s="563"/>
      <c r="G29" s="564">
        <f t="shared" si="5"/>
        <v>40</v>
      </c>
      <c r="H29" s="562">
        <v>5.7</v>
      </c>
      <c r="I29" s="562"/>
      <c r="J29" s="562"/>
      <c r="K29" s="562"/>
      <c r="L29" s="565">
        <f t="shared" si="6"/>
        <v>5.7</v>
      </c>
      <c r="M29" s="504">
        <f t="shared" si="9"/>
        <v>1020.7034531513239</v>
      </c>
      <c r="N29" s="522">
        <f t="shared" si="10"/>
        <v>199</v>
      </c>
      <c r="O29" s="523">
        <f t="shared" si="11"/>
        <v>238.5</v>
      </c>
      <c r="P29" s="524">
        <f t="shared" si="12"/>
        <v>0.45556816582167636</v>
      </c>
      <c r="Q29" s="525">
        <f t="shared" si="7"/>
        <v>0.17994942549956217</v>
      </c>
      <c r="R29" s="526">
        <f>SUM(Q$13:Q29)</f>
        <v>0.97037636988742015</v>
      </c>
      <c r="S29" s="527">
        <f t="shared" si="8"/>
        <v>0.40686640246851996</v>
      </c>
      <c r="T29" s="538"/>
      <c r="U29" s="529" t="s">
        <v>154</v>
      </c>
      <c r="V29" s="530"/>
      <c r="W29" s="555"/>
      <c r="X29" s="537"/>
      <c r="Y29" s="537"/>
    </row>
    <row r="30" spans="1:25" x14ac:dyDescent="0.2">
      <c r="A30" s="532">
        <v>620</v>
      </c>
      <c r="B30" s="516">
        <v>0</v>
      </c>
      <c r="C30" s="504">
        <f>C31-D31</f>
        <v>290.5</v>
      </c>
      <c r="D30" s="561">
        <v>52.5</v>
      </c>
      <c r="E30" s="562"/>
      <c r="F30" s="563"/>
      <c r="G30" s="564">
        <f t="shared" si="5"/>
        <v>52.5</v>
      </c>
      <c r="H30" s="562">
        <v>5.7</v>
      </c>
      <c r="I30" s="562"/>
      <c r="J30" s="562"/>
      <c r="K30" s="562"/>
      <c r="L30" s="565">
        <f t="shared" si="6"/>
        <v>5.7</v>
      </c>
      <c r="M30" s="504">
        <f t="shared" si="9"/>
        <v>1339.6732822611127</v>
      </c>
      <c r="N30" s="522">
        <f t="shared" si="10"/>
        <v>238.5</v>
      </c>
      <c r="O30" s="523">
        <f t="shared" si="11"/>
        <v>290.5</v>
      </c>
      <c r="P30" s="524">
        <f t="shared" si="12"/>
        <v>0.46279940654900453</v>
      </c>
      <c r="Q30" s="525">
        <f t="shared" si="7"/>
        <v>0.24065569140548235</v>
      </c>
      <c r="R30" s="526">
        <f>SUM(Q$13:Q30)</f>
        <v>1.2110320612929024</v>
      </c>
      <c r="S30" s="527">
        <f t="shared" si="8"/>
        <v>0.41687850646915747</v>
      </c>
      <c r="T30" s="538" t="s">
        <v>167</v>
      </c>
      <c r="U30" s="529" t="s">
        <v>154</v>
      </c>
      <c r="V30" s="530"/>
      <c r="W30" s="555"/>
      <c r="X30" s="537"/>
      <c r="Y30" s="537"/>
    </row>
    <row r="31" spans="1:25" x14ac:dyDescent="0.2">
      <c r="A31" s="532">
        <v>500</v>
      </c>
      <c r="B31" s="516">
        <v>0</v>
      </c>
      <c r="C31" s="504">
        <v>331</v>
      </c>
      <c r="D31" s="561">
        <v>40.5</v>
      </c>
      <c r="E31" s="562"/>
      <c r="F31" s="563"/>
      <c r="G31" s="564">
        <f t="shared" si="5"/>
        <v>40.5</v>
      </c>
      <c r="H31" s="562">
        <v>5.7</v>
      </c>
      <c r="I31" s="562"/>
      <c r="J31" s="562"/>
      <c r="K31" s="562"/>
      <c r="L31" s="565">
        <f t="shared" si="6"/>
        <v>5.7</v>
      </c>
      <c r="M31" s="504">
        <f t="shared" si="9"/>
        <v>1033.4622463157154</v>
      </c>
      <c r="N31" s="522">
        <f t="shared" si="10"/>
        <v>290.5</v>
      </c>
      <c r="O31" s="523">
        <f t="shared" si="11"/>
        <v>335.75</v>
      </c>
      <c r="P31" s="524">
        <f t="shared" si="12"/>
        <v>0.4838106101916117</v>
      </c>
      <c r="Q31" s="525">
        <f t="shared" si="7"/>
        <v>0.2189243011117043</v>
      </c>
      <c r="R31" s="526">
        <f>SUM(Q$13:Q31)</f>
        <v>1.4299563624046068</v>
      </c>
      <c r="S31" s="527">
        <f t="shared" si="8"/>
        <v>0.42589913995669593</v>
      </c>
      <c r="T31" s="538" t="s">
        <v>168</v>
      </c>
      <c r="U31" s="529" t="s">
        <v>154</v>
      </c>
      <c r="V31" s="530"/>
      <c r="W31" s="555"/>
      <c r="X31" s="537"/>
      <c r="Y31" s="537"/>
    </row>
    <row r="32" spans="1:25" x14ac:dyDescent="0.2">
      <c r="A32" s="532">
        <v>625</v>
      </c>
      <c r="B32" s="516">
        <v>0</v>
      </c>
      <c r="C32" s="504">
        <f>C33-D33</f>
        <v>389</v>
      </c>
      <c r="D32" s="561">
        <v>48.5</v>
      </c>
      <c r="E32" s="562"/>
      <c r="F32" s="563"/>
      <c r="G32" s="564">
        <f t="shared" si="5"/>
        <v>48.5</v>
      </c>
      <c r="H32" s="562">
        <v>5.7</v>
      </c>
      <c r="I32" s="562"/>
      <c r="J32" s="562"/>
      <c r="K32" s="562"/>
      <c r="L32" s="565">
        <f t="shared" si="6"/>
        <v>5.7</v>
      </c>
      <c r="M32" s="504">
        <f t="shared" si="9"/>
        <v>1237.6029369459802</v>
      </c>
      <c r="N32" s="522">
        <f t="shared" si="10"/>
        <v>335.75</v>
      </c>
      <c r="O32" s="523">
        <f t="shared" si="11"/>
        <v>389</v>
      </c>
      <c r="P32" s="524">
        <f t="shared" si="12"/>
        <v>0.50500849775155343</v>
      </c>
      <c r="Q32" s="525">
        <f t="shared" si="7"/>
        <v>0.26891702505270221</v>
      </c>
      <c r="R32" s="526">
        <f>SUM(Q$13:Q32)</f>
        <v>1.698873387457309</v>
      </c>
      <c r="S32" s="527">
        <f t="shared" si="8"/>
        <v>0.43672837723838276</v>
      </c>
      <c r="T32" s="538"/>
      <c r="U32" s="529" t="s">
        <v>154</v>
      </c>
      <c r="V32" s="530"/>
      <c r="W32" s="555"/>
      <c r="X32" s="537"/>
      <c r="Y32" s="537"/>
    </row>
    <row r="33" spans="1:26" x14ac:dyDescent="0.2">
      <c r="A33" s="532">
        <v>500</v>
      </c>
      <c r="B33" s="516">
        <v>0</v>
      </c>
      <c r="C33" s="504">
        <v>428</v>
      </c>
      <c r="D33" s="561">
        <v>39</v>
      </c>
      <c r="E33" s="562"/>
      <c r="F33" s="563"/>
      <c r="G33" s="564">
        <f t="shared" si="5"/>
        <v>39</v>
      </c>
      <c r="H33" s="562">
        <v>5.7</v>
      </c>
      <c r="I33" s="562"/>
      <c r="J33" s="562"/>
      <c r="K33" s="562"/>
      <c r="L33" s="565">
        <f t="shared" si="6"/>
        <v>5.7</v>
      </c>
      <c r="M33" s="504">
        <f t="shared" si="9"/>
        <v>995.18586682254067</v>
      </c>
      <c r="N33" s="522">
        <f t="shared" si="10"/>
        <v>389</v>
      </c>
      <c r="O33" s="523">
        <f t="shared" si="11"/>
        <v>421.25</v>
      </c>
      <c r="P33" s="524">
        <f t="shared" si="12"/>
        <v>0.50241871058359688</v>
      </c>
      <c r="Q33" s="525">
        <f t="shared" si="7"/>
        <v>0.16203003416320999</v>
      </c>
      <c r="R33" s="526">
        <f>SUM(Q$13:Q33)</f>
        <v>1.8609034216205189</v>
      </c>
      <c r="S33" s="527">
        <f t="shared" si="8"/>
        <v>0.44175748881199262</v>
      </c>
      <c r="T33" s="538"/>
      <c r="U33" s="529" t="s">
        <v>154</v>
      </c>
      <c r="V33" s="530"/>
      <c r="W33" s="555"/>
      <c r="X33" s="537"/>
      <c r="Y33" s="537"/>
    </row>
    <row r="34" spans="1:26" x14ac:dyDescent="0.2">
      <c r="A34" s="532">
        <v>355</v>
      </c>
      <c r="B34" s="516">
        <v>0</v>
      </c>
      <c r="C34" s="504">
        <f>C35-D35</f>
        <v>446</v>
      </c>
      <c r="D34" s="561">
        <v>31.5</v>
      </c>
      <c r="E34" s="562"/>
      <c r="F34" s="563"/>
      <c r="G34" s="564">
        <f t="shared" si="5"/>
        <v>31.5</v>
      </c>
      <c r="H34" s="562">
        <v>5.7</v>
      </c>
      <c r="I34" s="562"/>
      <c r="J34" s="562"/>
      <c r="K34" s="562"/>
      <c r="L34" s="565">
        <f t="shared" si="6"/>
        <v>5.7</v>
      </c>
      <c r="M34" s="504">
        <f t="shared" si="9"/>
        <v>803.80396935666761</v>
      </c>
      <c r="N34" s="522">
        <f t="shared" si="10"/>
        <v>421.25</v>
      </c>
      <c r="O34" s="523">
        <f t="shared" si="11"/>
        <v>446</v>
      </c>
      <c r="P34" s="524">
        <f t="shared" si="12"/>
        <v>0.44164997130348549</v>
      </c>
      <c r="Q34" s="525">
        <f t="shared" si="7"/>
        <v>0.10930836789761265</v>
      </c>
      <c r="R34" s="526">
        <f>SUM(Q$13:Q34)</f>
        <v>1.9702117895181315</v>
      </c>
      <c r="S34" s="527">
        <f t="shared" si="8"/>
        <v>0.44175152231348241</v>
      </c>
      <c r="T34" s="538"/>
      <c r="U34" s="529"/>
      <c r="V34" s="530"/>
      <c r="W34" s="567"/>
    </row>
    <row r="35" spans="1:26" x14ac:dyDescent="0.2">
      <c r="A35" s="532">
        <v>305</v>
      </c>
      <c r="B35" s="516">
        <v>0</v>
      </c>
      <c r="C35" s="504">
        <f>C36-D36</f>
        <v>473</v>
      </c>
      <c r="D35" s="561">
        <v>27</v>
      </c>
      <c r="E35" s="562"/>
      <c r="F35" s="563"/>
      <c r="G35" s="564">
        <f t="shared" si="5"/>
        <v>27</v>
      </c>
      <c r="H35" s="562">
        <v>5.7</v>
      </c>
      <c r="I35" s="562"/>
      <c r="J35" s="562"/>
      <c r="K35" s="562"/>
      <c r="L35" s="565">
        <f t="shared" si="6"/>
        <v>5.7</v>
      </c>
      <c r="M35" s="504">
        <f t="shared" si="9"/>
        <v>688.97483087714352</v>
      </c>
      <c r="N35" s="522">
        <f t="shared" si="10"/>
        <v>446</v>
      </c>
      <c r="O35" s="523">
        <f t="shared" si="11"/>
        <v>473</v>
      </c>
      <c r="P35" s="524">
        <f t="shared" si="12"/>
        <v>0.44268670832532475</v>
      </c>
      <c r="Q35" s="525">
        <f t="shared" si="7"/>
        <v>0.11952541124783768</v>
      </c>
      <c r="R35" s="526">
        <f>SUM(Q$13:Q35)</f>
        <v>2.0897372007659691</v>
      </c>
      <c r="S35" s="527">
        <f t="shared" si="8"/>
        <v>0.4418049050245178</v>
      </c>
      <c r="T35" s="538" t="s">
        <v>169</v>
      </c>
      <c r="U35" s="529"/>
      <c r="V35" s="530"/>
      <c r="W35" s="568"/>
      <c r="X35" s="569"/>
      <c r="Y35" s="570"/>
      <c r="Z35" s="569"/>
    </row>
    <row r="36" spans="1:26" x14ac:dyDescent="0.2">
      <c r="A36" s="532">
        <v>255</v>
      </c>
      <c r="B36" s="516">
        <v>0</v>
      </c>
      <c r="C36" s="504">
        <v>493</v>
      </c>
      <c r="D36" s="561">
        <v>20</v>
      </c>
      <c r="E36" s="562"/>
      <c r="F36" s="563"/>
      <c r="G36" s="564">
        <f t="shared" si="5"/>
        <v>20</v>
      </c>
      <c r="H36" s="562">
        <v>5.7</v>
      </c>
      <c r="I36" s="562"/>
      <c r="J36" s="562"/>
      <c r="K36" s="562"/>
      <c r="L36" s="565">
        <f t="shared" si="6"/>
        <v>5.7</v>
      </c>
      <c r="M36" s="504">
        <f t="shared" si="9"/>
        <v>510.35172657566193</v>
      </c>
      <c r="N36" s="522">
        <f t="shared" si="10"/>
        <v>473</v>
      </c>
      <c r="O36" s="523">
        <f t="shared" si="11"/>
        <v>494.5</v>
      </c>
      <c r="P36" s="524">
        <f t="shared" si="12"/>
        <v>0.49965540767538702</v>
      </c>
      <c r="Q36" s="525">
        <f t="shared" si="7"/>
        <v>0.10742591265020821</v>
      </c>
      <c r="R36" s="526">
        <f>SUM(Q$13:Q36)</f>
        <v>2.1971631134161775</v>
      </c>
      <c r="S36" s="527">
        <f t="shared" si="8"/>
        <v>0.44432014427020783</v>
      </c>
      <c r="T36" s="538" t="s">
        <v>171</v>
      </c>
      <c r="U36" s="529"/>
      <c r="V36" s="530"/>
      <c r="W36" s="568"/>
      <c r="X36" s="569"/>
      <c r="Y36" s="571"/>
      <c r="Z36" s="569"/>
    </row>
    <row r="37" spans="1:26" x14ac:dyDescent="0.2">
      <c r="A37" s="532">
        <v>920</v>
      </c>
      <c r="B37" s="516">
        <v>0</v>
      </c>
      <c r="C37" s="504">
        <v>556</v>
      </c>
      <c r="D37" s="561">
        <v>60</v>
      </c>
      <c r="E37" s="562"/>
      <c r="F37" s="563"/>
      <c r="G37" s="564">
        <f t="shared" si="5"/>
        <v>60</v>
      </c>
      <c r="H37" s="562">
        <v>5.7</v>
      </c>
      <c r="I37" s="562"/>
      <c r="J37" s="562"/>
      <c r="K37" s="562"/>
      <c r="L37" s="565">
        <f t="shared" si="6"/>
        <v>5.7</v>
      </c>
      <c r="M37" s="504">
        <f t="shared" si="9"/>
        <v>1531.0551797269857</v>
      </c>
      <c r="N37" s="522">
        <f t="shared" si="10"/>
        <v>494.5</v>
      </c>
      <c r="O37" s="523">
        <f t="shared" si="11"/>
        <v>557.5</v>
      </c>
      <c r="P37" s="524">
        <f t="shared" si="12"/>
        <v>0.60089277785798179</v>
      </c>
      <c r="Q37" s="525">
        <f t="shared" si="7"/>
        <v>0.37856245005052858</v>
      </c>
      <c r="R37" s="526">
        <f>SUM(Q$13:Q37)</f>
        <v>2.575725563466706</v>
      </c>
      <c r="S37" s="527">
        <f t="shared" si="8"/>
        <v>0.46201355398505939</v>
      </c>
      <c r="T37" s="538" t="s">
        <v>170</v>
      </c>
      <c r="U37" s="529"/>
      <c r="V37" s="530"/>
      <c r="W37" s="572"/>
      <c r="X37" s="569"/>
      <c r="Y37" s="569"/>
      <c r="Z37" s="569"/>
    </row>
    <row r="38" spans="1:26" x14ac:dyDescent="0.2">
      <c r="A38" s="532">
        <v>550</v>
      </c>
      <c r="B38" s="516">
        <v>0</v>
      </c>
      <c r="C38" s="504">
        <v>593</v>
      </c>
      <c r="D38" s="561">
        <v>34</v>
      </c>
      <c r="E38" s="562"/>
      <c r="F38" s="563"/>
      <c r="G38" s="564">
        <f t="shared" si="5"/>
        <v>34</v>
      </c>
      <c r="H38" s="562">
        <v>5.7</v>
      </c>
      <c r="I38" s="562"/>
      <c r="J38" s="562"/>
      <c r="K38" s="562"/>
      <c r="L38" s="565">
        <f t="shared" si="6"/>
        <v>5.7</v>
      </c>
      <c r="M38" s="504">
        <f t="shared" si="9"/>
        <v>867.59793517862533</v>
      </c>
      <c r="N38" s="522">
        <f t="shared" si="10"/>
        <v>557.5</v>
      </c>
      <c r="O38" s="523">
        <f>C38</f>
        <v>593</v>
      </c>
      <c r="P38" s="524">
        <f t="shared" si="12"/>
        <v>0.63393419658930295</v>
      </c>
      <c r="Q38" s="525">
        <f t="shared" si="7"/>
        <v>0.22504663978920256</v>
      </c>
      <c r="R38" s="526">
        <f>SUM(Q$13:Q38)</f>
        <v>2.8007722032559084</v>
      </c>
      <c r="S38" s="527">
        <f>R38/O38*100</f>
        <v>0.47230559919998455</v>
      </c>
      <c r="T38" s="538"/>
      <c r="U38" s="529"/>
      <c r="V38" s="530"/>
      <c r="W38" s="573"/>
      <c r="X38" s="574"/>
    </row>
    <row r="39" spans="1:26" x14ac:dyDescent="0.2">
      <c r="A39" s="532"/>
      <c r="B39" s="516"/>
      <c r="C39" s="504"/>
      <c r="D39" s="561"/>
      <c r="E39" s="562"/>
      <c r="F39" s="563"/>
      <c r="G39" s="564"/>
      <c r="H39" s="562"/>
      <c r="I39" s="562"/>
      <c r="J39" s="562"/>
      <c r="K39" s="562"/>
      <c r="L39" s="565"/>
      <c r="M39" s="504"/>
      <c r="N39" s="522"/>
      <c r="O39" s="523"/>
      <c r="P39" s="524"/>
      <c r="Q39" s="525"/>
      <c r="R39" s="526"/>
      <c r="S39" s="527"/>
      <c r="T39" s="538"/>
      <c r="U39" s="529"/>
      <c r="V39" s="530"/>
      <c r="W39" s="574"/>
      <c r="X39" s="574"/>
    </row>
    <row r="40" spans="1:26" x14ac:dyDescent="0.2">
      <c r="A40" s="532"/>
      <c r="B40" s="516"/>
      <c r="C40" s="504"/>
      <c r="D40" s="561"/>
      <c r="E40" s="562"/>
      <c r="F40" s="563"/>
      <c r="G40" s="564"/>
      <c r="H40" s="562"/>
      <c r="I40" s="562"/>
      <c r="J40" s="562"/>
      <c r="K40" s="562"/>
      <c r="L40" s="565"/>
      <c r="M40" s="504"/>
      <c r="N40" s="522"/>
      <c r="O40" s="523"/>
      <c r="P40" s="524"/>
      <c r="Q40" s="525"/>
      <c r="R40" s="526"/>
      <c r="S40" s="527"/>
      <c r="T40" s="538"/>
      <c r="U40" s="529"/>
      <c r="V40" s="530"/>
    </row>
    <row r="41" spans="1:26" x14ac:dyDescent="0.2">
      <c r="A41" s="532"/>
      <c r="B41" s="516"/>
      <c r="C41" s="504"/>
      <c r="D41" s="561"/>
      <c r="E41" s="562"/>
      <c r="F41" s="563"/>
      <c r="G41" s="564"/>
      <c r="H41" s="562"/>
      <c r="I41" s="562"/>
      <c r="J41" s="562"/>
      <c r="K41" s="562"/>
      <c r="L41" s="565"/>
      <c r="M41" s="504"/>
      <c r="N41" s="522"/>
      <c r="O41" s="523"/>
      <c r="P41" s="524"/>
      <c r="Q41" s="525"/>
      <c r="R41" s="526"/>
      <c r="S41" s="527"/>
      <c r="T41" s="538"/>
      <c r="U41" s="529"/>
      <c r="V41" s="530"/>
    </row>
    <row r="42" spans="1:26" x14ac:dyDescent="0.2">
      <c r="A42" s="532"/>
      <c r="B42" s="516"/>
      <c r="C42" s="504"/>
      <c r="D42" s="561"/>
      <c r="E42" s="562"/>
      <c r="F42" s="563"/>
      <c r="G42" s="564"/>
      <c r="H42" s="562"/>
      <c r="I42" s="562"/>
      <c r="J42" s="562"/>
      <c r="K42" s="562"/>
      <c r="L42" s="565"/>
      <c r="M42" s="504"/>
      <c r="N42" s="522"/>
      <c r="O42" s="523"/>
      <c r="P42" s="524"/>
      <c r="Q42" s="525"/>
      <c r="R42" s="526"/>
      <c r="S42" s="527"/>
      <c r="T42" s="538"/>
      <c r="U42" s="529"/>
      <c r="V42" s="530"/>
    </row>
    <row r="43" spans="1:26" x14ac:dyDescent="0.2">
      <c r="A43" s="532"/>
      <c r="B43" s="516"/>
      <c r="C43" s="504"/>
      <c r="D43" s="561"/>
      <c r="E43" s="562"/>
      <c r="F43" s="563"/>
      <c r="G43" s="564"/>
      <c r="H43" s="562"/>
      <c r="I43" s="562"/>
      <c r="J43" s="562"/>
      <c r="K43" s="562"/>
      <c r="L43" s="565"/>
      <c r="M43" s="504"/>
      <c r="N43" s="522"/>
      <c r="O43" s="523"/>
      <c r="P43" s="524"/>
      <c r="Q43" s="525"/>
      <c r="R43" s="526"/>
      <c r="S43" s="527"/>
      <c r="T43" s="538"/>
      <c r="U43" s="529"/>
      <c r="V43" s="530"/>
    </row>
    <row r="44" spans="1:26" x14ac:dyDescent="0.2">
      <c r="A44" s="532"/>
      <c r="B44" s="516"/>
      <c r="C44" s="504"/>
      <c r="D44" s="561"/>
      <c r="E44" s="562"/>
      <c r="F44" s="563"/>
      <c r="G44" s="564"/>
      <c r="H44" s="562"/>
      <c r="I44" s="562"/>
      <c r="J44" s="562"/>
      <c r="K44" s="562"/>
      <c r="L44" s="565"/>
      <c r="M44" s="504"/>
      <c r="N44" s="522"/>
      <c r="O44" s="523"/>
      <c r="P44" s="524"/>
      <c r="Q44" s="525"/>
      <c r="R44" s="526"/>
      <c r="S44" s="527"/>
      <c r="T44" s="538"/>
      <c r="U44" s="529"/>
      <c r="V44" s="530"/>
    </row>
    <row r="45" spans="1:26" x14ac:dyDescent="0.2">
      <c r="A45" s="532"/>
      <c r="B45" s="516"/>
      <c r="C45" s="504"/>
      <c r="D45" s="561"/>
      <c r="E45" s="562"/>
      <c r="F45" s="563"/>
      <c r="G45" s="564"/>
      <c r="H45" s="562"/>
      <c r="I45" s="562"/>
      <c r="J45" s="562"/>
      <c r="K45" s="562"/>
      <c r="L45" s="565"/>
      <c r="M45" s="504"/>
      <c r="N45" s="522"/>
      <c r="O45" s="523"/>
      <c r="P45" s="524"/>
      <c r="Q45" s="525"/>
      <c r="R45" s="526"/>
      <c r="S45" s="527"/>
      <c r="T45" s="538"/>
      <c r="U45" s="529"/>
      <c r="V45" s="530"/>
    </row>
    <row r="46" spans="1:26" x14ac:dyDescent="0.2">
      <c r="A46" s="532"/>
      <c r="B46" s="516"/>
      <c r="C46" s="504"/>
      <c r="D46" s="561"/>
      <c r="E46" s="562"/>
      <c r="F46" s="563"/>
      <c r="G46" s="564"/>
      <c r="H46" s="562"/>
      <c r="I46" s="562"/>
      <c r="J46" s="562"/>
      <c r="K46" s="562"/>
      <c r="L46" s="565"/>
      <c r="M46" s="504"/>
      <c r="N46" s="522"/>
      <c r="O46" s="523"/>
      <c r="P46" s="524"/>
      <c r="Q46" s="525"/>
      <c r="R46" s="526"/>
      <c r="S46" s="527"/>
      <c r="T46" s="538"/>
      <c r="U46" s="529"/>
      <c r="V46" s="530"/>
    </row>
    <row r="47" spans="1:26" x14ac:dyDescent="0.2">
      <c r="A47" s="532"/>
      <c r="B47" s="516"/>
      <c r="C47" s="504"/>
      <c r="D47" s="561"/>
      <c r="E47" s="562"/>
      <c r="F47" s="563"/>
      <c r="G47" s="564"/>
      <c r="H47" s="562"/>
      <c r="I47" s="562"/>
      <c r="J47" s="562"/>
      <c r="K47" s="562"/>
      <c r="L47" s="565"/>
      <c r="M47" s="504"/>
      <c r="N47" s="522"/>
      <c r="O47" s="523"/>
      <c r="P47" s="524"/>
      <c r="Q47" s="525"/>
      <c r="R47" s="526"/>
      <c r="S47" s="527"/>
      <c r="T47" s="538"/>
      <c r="U47" s="529"/>
      <c r="V47" s="530"/>
    </row>
    <row r="48" spans="1:26" x14ac:dyDescent="0.2">
      <c r="A48" s="532"/>
      <c r="B48" s="516"/>
      <c r="C48" s="504"/>
      <c r="D48" s="561"/>
      <c r="E48" s="562"/>
      <c r="F48" s="563"/>
      <c r="G48" s="564"/>
      <c r="H48" s="562"/>
      <c r="I48" s="562"/>
      <c r="J48" s="562"/>
      <c r="K48" s="562"/>
      <c r="L48" s="565"/>
      <c r="M48" s="504"/>
      <c r="N48" s="522"/>
      <c r="O48" s="523"/>
      <c r="P48" s="524"/>
      <c r="Q48" s="525"/>
      <c r="R48" s="526"/>
      <c r="S48" s="527"/>
      <c r="T48" s="538"/>
      <c r="U48" s="529"/>
      <c r="V48" s="530"/>
    </row>
    <row r="49" spans="1:26" x14ac:dyDescent="0.2">
      <c r="A49" s="532"/>
      <c r="B49" s="516"/>
      <c r="C49" s="504"/>
      <c r="D49" s="561"/>
      <c r="E49" s="562"/>
      <c r="F49" s="563"/>
      <c r="G49" s="564"/>
      <c r="H49" s="562"/>
      <c r="I49" s="562"/>
      <c r="J49" s="562"/>
      <c r="K49" s="562"/>
      <c r="L49" s="565"/>
      <c r="M49" s="504"/>
      <c r="N49" s="522"/>
      <c r="O49" s="523"/>
      <c r="P49" s="524"/>
      <c r="Q49" s="525"/>
      <c r="R49" s="526"/>
      <c r="S49" s="527"/>
      <c r="T49" s="538"/>
      <c r="U49" s="529"/>
      <c r="V49" s="530"/>
    </row>
    <row r="50" spans="1:26" x14ac:dyDescent="0.2">
      <c r="A50" s="532"/>
      <c r="B50" s="516"/>
      <c r="C50" s="504"/>
      <c r="D50" s="561"/>
      <c r="E50" s="562"/>
      <c r="F50" s="563"/>
      <c r="G50" s="564"/>
      <c r="H50" s="562"/>
      <c r="I50" s="562"/>
      <c r="J50" s="562"/>
      <c r="K50" s="562"/>
      <c r="L50" s="565"/>
      <c r="M50" s="504"/>
      <c r="N50" s="522"/>
      <c r="O50" s="523"/>
      <c r="P50" s="524"/>
      <c r="Q50" s="525"/>
      <c r="R50" s="526"/>
      <c r="S50" s="527"/>
      <c r="T50" s="538"/>
      <c r="U50" s="529"/>
      <c r="V50" s="530"/>
    </row>
    <row r="51" spans="1:26" x14ac:dyDescent="0.2">
      <c r="A51" s="532"/>
      <c r="B51" s="516"/>
      <c r="C51" s="504"/>
      <c r="D51" s="561"/>
      <c r="E51" s="562"/>
      <c r="F51" s="563"/>
      <c r="G51" s="564"/>
      <c r="H51" s="562"/>
      <c r="I51" s="562"/>
      <c r="J51" s="562"/>
      <c r="K51" s="562"/>
      <c r="L51" s="565"/>
      <c r="M51" s="504"/>
      <c r="N51" s="522"/>
      <c r="O51" s="523"/>
      <c r="P51" s="524"/>
      <c r="Q51" s="525"/>
      <c r="R51" s="526"/>
      <c r="S51" s="527"/>
      <c r="T51" s="538"/>
      <c r="U51" s="529"/>
      <c r="V51" s="530"/>
    </row>
    <row r="52" spans="1:26" ht="10.8" thickBot="1" x14ac:dyDescent="0.25">
      <c r="A52" s="532"/>
      <c r="B52" s="516"/>
      <c r="C52" s="504"/>
      <c r="D52" s="561"/>
      <c r="E52" s="562"/>
      <c r="F52" s="563"/>
      <c r="G52" s="564"/>
      <c r="H52" s="562"/>
      <c r="I52" s="562"/>
      <c r="J52" s="562"/>
      <c r="K52" s="562"/>
      <c r="L52" s="565"/>
      <c r="M52" s="504"/>
      <c r="N52" s="522"/>
      <c r="O52" s="523"/>
      <c r="P52" s="524"/>
      <c r="Q52" s="525"/>
      <c r="R52" s="526"/>
      <c r="S52" s="527"/>
      <c r="T52" s="538"/>
      <c r="U52" s="529"/>
      <c r="V52" s="575"/>
    </row>
    <row r="53" spans="1:26" x14ac:dyDescent="0.2">
      <c r="A53" s="532"/>
      <c r="B53" s="516"/>
      <c r="C53" s="504"/>
      <c r="D53" s="561"/>
      <c r="E53" s="562"/>
      <c r="F53" s="563"/>
      <c r="G53" s="564"/>
      <c r="H53" s="562"/>
      <c r="I53" s="562"/>
      <c r="J53" s="562"/>
      <c r="K53" s="562"/>
      <c r="L53" s="565"/>
      <c r="M53" s="504"/>
      <c r="N53" s="522"/>
      <c r="O53" s="523"/>
      <c r="P53" s="524"/>
      <c r="Q53" s="525"/>
      <c r="R53" s="526"/>
      <c r="S53" s="527"/>
      <c r="T53" s="538"/>
      <c r="U53" s="576" t="s">
        <v>157</v>
      </c>
      <c r="V53" s="577">
        <f>AVERAGE(V12:V52)</f>
        <v>473</v>
      </c>
    </row>
    <row r="54" spans="1:26" x14ac:dyDescent="0.2">
      <c r="A54" s="532"/>
      <c r="B54" s="516"/>
      <c r="C54" s="504"/>
      <c r="D54" s="561"/>
      <c r="E54" s="562"/>
      <c r="F54" s="563"/>
      <c r="G54" s="564"/>
      <c r="H54" s="562"/>
      <c r="I54" s="562"/>
      <c r="J54" s="562"/>
      <c r="K54" s="562"/>
      <c r="L54" s="565"/>
      <c r="M54" s="504"/>
      <c r="N54" s="522"/>
      <c r="O54" s="523"/>
      <c r="P54" s="524"/>
      <c r="Q54" s="525"/>
      <c r="R54" s="526"/>
      <c r="S54" s="527"/>
      <c r="T54" s="538"/>
      <c r="U54" s="403" t="s">
        <v>158</v>
      </c>
      <c r="V54" s="575" t="e">
        <f>STDEV(V12:V52)</f>
        <v>#DIV/0!</v>
      </c>
      <c r="W54" s="578"/>
      <c r="X54" s="578"/>
    </row>
    <row r="55" spans="1:26" x14ac:dyDescent="0.2">
      <c r="A55" s="579" t="s">
        <v>159</v>
      </c>
      <c r="B55" s="580"/>
      <c r="C55" s="581"/>
      <c r="D55" s="581"/>
      <c r="E55" s="581"/>
      <c r="F55" s="581"/>
      <c r="G55" s="582"/>
      <c r="H55" s="581"/>
      <c r="I55" s="581"/>
      <c r="J55" s="581"/>
      <c r="K55" s="581"/>
      <c r="L55" s="583"/>
      <c r="M55" s="581"/>
      <c r="N55" s="584"/>
      <c r="O55" s="585"/>
      <c r="P55" s="586"/>
      <c r="Q55" s="587"/>
      <c r="R55" s="588"/>
      <c r="S55" s="589"/>
      <c r="T55" s="590"/>
      <c r="U55" s="403" t="s">
        <v>160</v>
      </c>
      <c r="V55" s="575" t="e">
        <f>V54/SQRT(COUNT(V12:V51))</f>
        <v>#DIV/0!</v>
      </c>
      <c r="W55" s="573"/>
      <c r="X55" s="578"/>
      <c r="Y55" s="578"/>
      <c r="Z55" s="578"/>
    </row>
    <row r="56" spans="1:26" x14ac:dyDescent="0.2">
      <c r="A56" s="591"/>
      <c r="B56" s="592"/>
      <c r="C56" s="593"/>
      <c r="D56" s="593"/>
      <c r="E56" s="593"/>
      <c r="F56" s="593"/>
      <c r="G56" s="594"/>
      <c r="H56" s="593"/>
      <c r="I56" s="593"/>
      <c r="J56" s="593"/>
      <c r="K56" s="593"/>
      <c r="L56" s="595"/>
      <c r="M56" s="593"/>
      <c r="N56" s="596"/>
      <c r="O56" s="597"/>
      <c r="P56" s="598"/>
      <c r="Q56" s="599"/>
      <c r="R56" s="600"/>
      <c r="S56" s="601"/>
      <c r="T56" s="602"/>
      <c r="U56" s="403" t="s">
        <v>161</v>
      </c>
      <c r="V56" s="575">
        <f>MAX(V12:V52)</f>
        <v>473</v>
      </c>
      <c r="W56" s="573"/>
    </row>
    <row r="57" spans="1:26" ht="10.8" thickBot="1" x14ac:dyDescent="0.25">
      <c r="A57" s="603"/>
      <c r="B57" s="604"/>
      <c r="C57" s="605"/>
      <c r="D57" s="605"/>
      <c r="E57" s="605"/>
      <c r="F57" s="605"/>
      <c r="G57" s="606"/>
      <c r="H57" s="605"/>
      <c r="I57" s="605"/>
      <c r="J57" s="605"/>
      <c r="K57" s="605"/>
      <c r="L57" s="607"/>
      <c r="M57" s="605"/>
      <c r="N57" s="608"/>
      <c r="O57" s="609"/>
      <c r="P57" s="610"/>
      <c r="Q57" s="611"/>
      <c r="R57" s="612"/>
      <c r="S57" s="613"/>
      <c r="T57" s="614"/>
      <c r="U57" s="615" t="s">
        <v>162</v>
      </c>
      <c r="V57" s="616">
        <f>MIN(V12:V52)</f>
        <v>473</v>
      </c>
      <c r="W57" s="578"/>
    </row>
    <row r="58" spans="1:26" x14ac:dyDescent="0.2">
      <c r="A58" s="617"/>
      <c r="B58" s="617"/>
      <c r="C58" s="618"/>
      <c r="D58" s="619"/>
      <c r="E58" s="619"/>
      <c r="F58" s="619"/>
      <c r="G58" s="620"/>
      <c r="H58" s="621"/>
      <c r="I58" s="622"/>
      <c r="J58" s="623"/>
      <c r="K58" s="624"/>
      <c r="L58" s="625"/>
      <c r="M58" s="578"/>
      <c r="O58" s="566"/>
      <c r="P58" s="626"/>
    </row>
    <row r="59" spans="1:26" x14ac:dyDescent="0.2">
      <c r="A59" s="578"/>
      <c r="B59" s="578"/>
      <c r="C59" s="627"/>
      <c r="D59" s="627"/>
      <c r="E59" s="627"/>
      <c r="F59" s="627"/>
      <c r="G59" s="622"/>
      <c r="H59" s="621"/>
      <c r="I59" s="622"/>
      <c r="J59" s="623"/>
      <c r="K59" s="628"/>
      <c r="L59" s="625"/>
      <c r="M59" s="578"/>
      <c r="O59" s="566"/>
      <c r="P59" s="626"/>
    </row>
    <row r="60" spans="1:26" x14ac:dyDescent="0.2">
      <c r="A60" s="629"/>
      <c r="B60" s="629"/>
      <c r="C60" s="629"/>
      <c r="D60" s="629"/>
      <c r="E60" s="623"/>
      <c r="F60" s="630"/>
      <c r="G60" s="578"/>
      <c r="H60" s="566"/>
      <c r="I60" s="578"/>
      <c r="J60" s="566"/>
      <c r="K60" s="566"/>
      <c r="L60" s="578"/>
      <c r="M60" s="578"/>
      <c r="O60" s="566"/>
      <c r="P60" s="626"/>
    </row>
    <row r="61" spans="1:26" x14ac:dyDescent="0.2">
      <c r="A61" s="631"/>
      <c r="B61" s="631"/>
      <c r="C61" s="629"/>
      <c r="D61" s="629"/>
      <c r="E61" s="623"/>
      <c r="F61" s="630"/>
      <c r="G61" s="566"/>
      <c r="H61" s="566"/>
      <c r="I61" s="578"/>
      <c r="J61" s="566"/>
      <c r="K61" s="566"/>
      <c r="L61" s="578"/>
      <c r="M61" s="578"/>
      <c r="O61" s="566"/>
      <c r="P61" s="626"/>
    </row>
    <row r="62" spans="1:26" x14ac:dyDescent="0.2">
      <c r="A62" s="475"/>
      <c r="B62" s="475"/>
      <c r="C62" s="629"/>
      <c r="D62" s="629"/>
      <c r="E62" s="623"/>
      <c r="F62" s="630"/>
      <c r="G62" s="566"/>
      <c r="H62" s="566"/>
      <c r="I62" s="578"/>
      <c r="J62" s="566"/>
      <c r="K62" s="566"/>
      <c r="L62" s="578"/>
      <c r="M62" s="578"/>
      <c r="O62" s="566"/>
      <c r="P62" s="626"/>
    </row>
    <row r="63" spans="1:26" x14ac:dyDescent="0.2">
      <c r="A63" s="629"/>
      <c r="B63" s="629"/>
      <c r="C63" s="629"/>
      <c r="D63" s="629"/>
      <c r="E63" s="623"/>
      <c r="F63" s="630"/>
      <c r="G63" s="566"/>
      <c r="H63" s="566"/>
      <c r="I63" s="578"/>
      <c r="J63" s="566"/>
      <c r="K63" s="566"/>
      <c r="L63" s="578"/>
      <c r="M63" s="578"/>
      <c r="O63" s="566"/>
      <c r="P63" s="626"/>
    </row>
    <row r="64" spans="1:26" x14ac:dyDescent="0.2">
      <c r="A64" s="629"/>
      <c r="B64" s="629"/>
      <c r="C64" s="629"/>
      <c r="D64" s="629"/>
      <c r="E64" s="623"/>
      <c r="F64" s="630"/>
      <c r="G64" s="566"/>
      <c r="H64" s="566"/>
      <c r="I64" s="578"/>
      <c r="J64" s="622"/>
      <c r="K64" s="566"/>
      <c r="L64" s="578"/>
      <c r="M64" s="578"/>
      <c r="O64" s="566"/>
      <c r="P64" s="626"/>
    </row>
    <row r="65" spans="1:16" x14ac:dyDescent="0.2">
      <c r="A65" s="629"/>
      <c r="B65" s="629"/>
      <c r="C65" s="629"/>
      <c r="D65" s="629"/>
      <c r="E65" s="623"/>
      <c r="F65" s="630"/>
      <c r="G65" s="566"/>
      <c r="H65" s="566"/>
      <c r="I65" s="578"/>
      <c r="J65" s="622"/>
      <c r="K65" s="566"/>
      <c r="L65" s="578"/>
      <c r="M65" s="578"/>
      <c r="O65" s="566"/>
      <c r="P65" s="626"/>
    </row>
    <row r="66" spans="1:16" x14ac:dyDescent="0.2">
      <c r="A66" s="629"/>
      <c r="B66" s="629"/>
      <c r="C66" s="629"/>
      <c r="D66" s="629"/>
      <c r="E66" s="623"/>
      <c r="F66" s="630"/>
      <c r="G66" s="566"/>
      <c r="H66" s="566"/>
      <c r="I66" s="578"/>
      <c r="J66" s="566"/>
      <c r="K66" s="566"/>
      <c r="L66" s="578"/>
      <c r="M66" s="578"/>
      <c r="O66" s="566"/>
      <c r="P66" s="626"/>
    </row>
    <row r="67" spans="1:16" x14ac:dyDescent="0.2">
      <c r="A67" s="629"/>
      <c r="B67" s="629"/>
      <c r="C67" s="629"/>
      <c r="D67" s="629"/>
      <c r="E67" s="623"/>
      <c r="F67" s="630"/>
      <c r="G67" s="566"/>
      <c r="H67" s="566"/>
      <c r="I67" s="578"/>
      <c r="J67" s="566"/>
      <c r="K67" s="566"/>
      <c r="L67" s="578"/>
      <c r="M67" s="578"/>
      <c r="O67" s="566"/>
      <c r="P67" s="626"/>
    </row>
    <row r="68" spans="1:16" x14ac:dyDescent="0.2">
      <c r="A68" s="629"/>
      <c r="B68" s="629"/>
      <c r="C68" s="629"/>
      <c r="D68" s="629"/>
      <c r="E68" s="623"/>
      <c r="F68" s="630"/>
      <c r="G68" s="566"/>
      <c r="H68" s="566"/>
      <c r="I68" s="578"/>
      <c r="J68" s="566"/>
      <c r="K68" s="566"/>
      <c r="L68" s="578"/>
      <c r="M68" s="578"/>
      <c r="O68" s="566"/>
      <c r="P68" s="626"/>
    </row>
    <row r="69" spans="1:16" x14ac:dyDescent="0.2">
      <c r="A69" s="629"/>
      <c r="B69" s="629"/>
      <c r="C69" s="629"/>
      <c r="D69" s="629"/>
      <c r="E69" s="623"/>
      <c r="F69" s="630"/>
      <c r="G69" s="566"/>
      <c r="H69" s="566"/>
      <c r="I69" s="578"/>
      <c r="J69" s="566"/>
      <c r="K69" s="566"/>
      <c r="L69" s="578"/>
      <c r="M69" s="578"/>
      <c r="O69" s="566"/>
      <c r="P69" s="626"/>
    </row>
    <row r="70" spans="1:16" x14ac:dyDescent="0.2">
      <c r="A70" s="629"/>
      <c r="B70" s="629"/>
      <c r="C70" s="629"/>
      <c r="D70" s="629"/>
      <c r="E70" s="623"/>
      <c r="F70" s="630"/>
      <c r="G70" s="566"/>
      <c r="H70" s="566"/>
      <c r="I70" s="578"/>
      <c r="J70" s="566"/>
      <c r="K70" s="566"/>
      <c r="L70" s="578"/>
      <c r="M70" s="578"/>
      <c r="O70" s="566"/>
      <c r="P70" s="626"/>
    </row>
    <row r="71" spans="1:16" x14ac:dyDescent="0.2">
      <c r="A71" s="629"/>
      <c r="B71" s="629"/>
      <c r="C71" s="629"/>
      <c r="D71" s="629"/>
      <c r="E71" s="623"/>
      <c r="F71" s="630"/>
      <c r="G71" s="566"/>
      <c r="H71" s="566"/>
      <c r="I71" s="578"/>
      <c r="J71" s="566"/>
      <c r="K71" s="566"/>
      <c r="L71" s="578"/>
      <c r="O71" s="566"/>
      <c r="P71" s="626"/>
    </row>
    <row r="72" spans="1:16" x14ac:dyDescent="0.2">
      <c r="A72" s="629"/>
      <c r="B72" s="629"/>
      <c r="C72" s="629"/>
      <c r="D72" s="629"/>
      <c r="E72" s="623"/>
      <c r="F72" s="630"/>
      <c r="G72" s="566"/>
      <c r="H72" s="566"/>
      <c r="I72" s="578"/>
      <c r="J72" s="566"/>
      <c r="K72" s="566"/>
      <c r="L72" s="578"/>
      <c r="O72" s="566"/>
      <c r="P72" s="626"/>
    </row>
    <row r="73" spans="1:16" x14ac:dyDescent="0.2">
      <c r="A73" s="629"/>
      <c r="B73" s="629"/>
      <c r="C73" s="629"/>
      <c r="D73" s="629"/>
      <c r="E73" s="623"/>
      <c r="F73" s="630"/>
      <c r="G73" s="566"/>
      <c r="H73" s="566"/>
      <c r="I73" s="578"/>
      <c r="J73" s="566"/>
      <c r="K73" s="566"/>
      <c r="L73" s="566"/>
      <c r="O73" s="566"/>
      <c r="P73" s="626"/>
    </row>
    <row r="74" spans="1:16" x14ac:dyDescent="0.2">
      <c r="A74" s="629"/>
      <c r="B74" s="629"/>
      <c r="C74" s="629"/>
      <c r="D74" s="629"/>
      <c r="E74" s="623"/>
      <c r="F74" s="630"/>
      <c r="G74" s="566"/>
      <c r="H74" s="566"/>
      <c r="I74" s="578"/>
      <c r="J74" s="566"/>
      <c r="K74" s="566"/>
      <c r="L74" s="566"/>
      <c r="O74" s="566"/>
      <c r="P74" s="626"/>
    </row>
    <row r="75" spans="1:16" x14ac:dyDescent="0.2">
      <c r="A75" s="629"/>
      <c r="B75" s="629"/>
      <c r="C75" s="629"/>
      <c r="D75" s="629"/>
      <c r="E75" s="623"/>
      <c r="F75" s="630"/>
      <c r="G75" s="566"/>
      <c r="H75" s="566"/>
      <c r="I75" s="578"/>
      <c r="J75" s="566"/>
      <c r="K75" s="566"/>
      <c r="L75" s="566"/>
      <c r="O75" s="566"/>
      <c r="P75" s="626"/>
    </row>
    <row r="76" spans="1:16" x14ac:dyDescent="0.2">
      <c r="A76" s="629"/>
      <c r="B76" s="629"/>
      <c r="C76" s="629"/>
      <c r="D76" s="629"/>
      <c r="E76" s="623"/>
      <c r="F76" s="630"/>
      <c r="G76" s="566"/>
      <c r="H76" s="566"/>
      <c r="I76" s="578"/>
      <c r="J76" s="566"/>
      <c r="K76" s="566"/>
      <c r="L76" s="566"/>
      <c r="O76" s="566"/>
      <c r="P76" s="626"/>
    </row>
    <row r="77" spans="1:16" x14ac:dyDescent="0.2">
      <c r="A77" s="629"/>
      <c r="B77" s="629"/>
      <c r="C77" s="629"/>
      <c r="D77" s="629"/>
      <c r="E77" s="623"/>
      <c r="F77" s="630"/>
      <c r="G77" s="566"/>
      <c r="H77" s="566"/>
      <c r="I77" s="578"/>
      <c r="J77" s="566"/>
      <c r="K77" s="566"/>
      <c r="L77" s="566"/>
      <c r="O77" s="566"/>
      <c r="P77" s="626"/>
    </row>
    <row r="78" spans="1:16" x14ac:dyDescent="0.2">
      <c r="A78" s="629"/>
      <c r="B78" s="629"/>
      <c r="C78" s="629"/>
      <c r="D78" s="629"/>
      <c r="E78" s="623"/>
      <c r="F78" s="630"/>
      <c r="G78" s="566"/>
      <c r="H78" s="566"/>
      <c r="I78" s="578"/>
      <c r="J78" s="566"/>
      <c r="K78" s="566"/>
      <c r="L78" s="566"/>
      <c r="O78" s="566"/>
      <c r="P78" s="626"/>
    </row>
    <row r="79" spans="1:16" x14ac:dyDescent="0.2">
      <c r="A79" s="629"/>
      <c r="B79" s="629"/>
      <c r="C79" s="629"/>
      <c r="D79" s="629"/>
      <c r="E79" s="623"/>
      <c r="F79" s="630"/>
      <c r="G79" s="566"/>
      <c r="H79" s="566"/>
      <c r="I79" s="578"/>
      <c r="J79" s="566"/>
      <c r="K79" s="566"/>
      <c r="L79" s="566"/>
      <c r="O79" s="566"/>
      <c r="P79" s="626"/>
    </row>
    <row r="80" spans="1:16" x14ac:dyDescent="0.2">
      <c r="A80" s="629"/>
      <c r="B80" s="629"/>
      <c r="C80" s="629"/>
      <c r="D80" s="629"/>
      <c r="E80" s="623"/>
      <c r="F80" s="630"/>
      <c r="G80" s="566"/>
      <c r="H80" s="566"/>
      <c r="I80" s="578"/>
      <c r="J80" s="566"/>
      <c r="K80" s="566"/>
      <c r="L80" s="566"/>
      <c r="O80" s="566"/>
      <c r="P80" s="626"/>
    </row>
    <row r="81" spans="1:19" x14ac:dyDescent="0.2">
      <c r="A81" s="629"/>
      <c r="B81" s="629"/>
      <c r="C81" s="629"/>
      <c r="D81" s="629"/>
      <c r="E81" s="623"/>
      <c r="F81" s="630"/>
      <c r="G81" s="566"/>
      <c r="H81" s="566"/>
      <c r="I81" s="578"/>
      <c r="J81" s="566"/>
      <c r="K81" s="566"/>
      <c r="L81" s="566"/>
      <c r="O81" s="566"/>
      <c r="P81" s="626"/>
    </row>
    <row r="82" spans="1:19" x14ac:dyDescent="0.2">
      <c r="A82" s="629"/>
      <c r="B82" s="629"/>
      <c r="C82" s="629"/>
      <c r="D82" s="629"/>
      <c r="E82" s="623"/>
      <c r="F82" s="630"/>
      <c r="G82" s="566"/>
      <c r="H82" s="566"/>
      <c r="I82" s="578"/>
      <c r="J82" s="566"/>
      <c r="K82" s="566"/>
      <c r="L82" s="566"/>
      <c r="O82" s="566"/>
      <c r="P82" s="626"/>
    </row>
    <row r="83" spans="1:19" x14ac:dyDescent="0.2">
      <c r="A83" s="629"/>
      <c r="B83" s="629"/>
      <c r="C83" s="629"/>
      <c r="D83" s="629"/>
      <c r="E83" s="623"/>
      <c r="F83" s="630"/>
      <c r="G83" s="566"/>
      <c r="H83" s="566"/>
      <c r="I83" s="578"/>
      <c r="J83" s="566"/>
      <c r="K83" s="566"/>
      <c r="L83" s="566"/>
      <c r="O83" s="566"/>
      <c r="P83" s="626"/>
    </row>
    <row r="84" spans="1:19" x14ac:dyDescent="0.2">
      <c r="A84" s="629"/>
      <c r="B84" s="629"/>
      <c r="C84" s="629"/>
      <c r="D84" s="629"/>
      <c r="E84" s="623"/>
      <c r="F84" s="630"/>
      <c r="G84" s="626"/>
      <c r="H84" s="566"/>
      <c r="I84" s="578"/>
      <c r="J84" s="566"/>
      <c r="K84" s="566"/>
      <c r="L84" s="566"/>
      <c r="O84" s="566"/>
      <c r="P84" s="626"/>
    </row>
    <row r="85" spans="1:19" x14ac:dyDescent="0.2">
      <c r="A85" s="629"/>
      <c r="B85" s="629"/>
      <c r="C85" s="629"/>
      <c r="D85" s="629"/>
      <c r="E85" s="623"/>
      <c r="F85" s="630"/>
      <c r="G85" s="626"/>
      <c r="H85" s="566"/>
      <c r="I85" s="578"/>
      <c r="J85" s="566"/>
      <c r="K85" s="566"/>
      <c r="L85" s="566"/>
      <c r="O85" s="566"/>
      <c r="P85" s="626"/>
    </row>
    <row r="86" spans="1:19" x14ac:dyDescent="0.2">
      <c r="A86" s="629"/>
      <c r="B86" s="629"/>
      <c r="C86" s="629"/>
      <c r="D86" s="629"/>
      <c r="E86" s="623"/>
      <c r="F86" s="630"/>
      <c r="G86" s="626"/>
      <c r="H86" s="566"/>
      <c r="I86" s="578"/>
      <c r="J86" s="566"/>
      <c r="K86" s="566"/>
      <c r="L86" s="566"/>
      <c r="O86" s="566"/>
      <c r="P86" s="626"/>
    </row>
    <row r="87" spans="1:19" x14ac:dyDescent="0.2">
      <c r="A87" s="629"/>
      <c r="B87" s="629"/>
      <c r="C87" s="629"/>
      <c r="D87" s="629"/>
      <c r="E87" s="623"/>
      <c r="F87" s="630"/>
      <c r="G87" s="626"/>
      <c r="H87" s="566"/>
      <c r="I87" s="578"/>
      <c r="J87" s="566"/>
      <c r="K87" s="566"/>
      <c r="L87" s="566"/>
      <c r="O87" s="566"/>
      <c r="P87" s="626"/>
    </row>
    <row r="88" spans="1:19" x14ac:dyDescent="0.2">
      <c r="A88" s="629"/>
      <c r="B88" s="629"/>
      <c r="C88" s="629"/>
      <c r="D88" s="629"/>
      <c r="E88" s="623"/>
      <c r="F88" s="630"/>
      <c r="G88" s="566"/>
      <c r="H88" s="566"/>
      <c r="I88" s="578"/>
      <c r="J88" s="566"/>
      <c r="K88" s="566"/>
      <c r="L88" s="566"/>
      <c r="O88" s="566"/>
      <c r="P88" s="626"/>
    </row>
    <row r="89" spans="1:19" x14ac:dyDescent="0.2">
      <c r="A89" s="629"/>
      <c r="B89" s="629"/>
      <c r="C89" s="629"/>
      <c r="D89" s="629"/>
      <c r="E89" s="623"/>
      <c r="F89" s="630"/>
      <c r="G89" s="566"/>
      <c r="H89" s="566"/>
      <c r="I89" s="578"/>
      <c r="J89" s="566"/>
      <c r="K89" s="566"/>
      <c r="L89" s="566"/>
      <c r="O89" s="566"/>
      <c r="P89" s="626"/>
    </row>
    <row r="90" spans="1:19" s="629" customFormat="1" x14ac:dyDescent="0.2">
      <c r="E90" s="623"/>
      <c r="F90" s="630"/>
      <c r="G90" s="566"/>
      <c r="H90" s="566"/>
      <c r="I90" s="578"/>
      <c r="J90" s="566"/>
      <c r="K90" s="566"/>
      <c r="L90" s="566"/>
      <c r="M90" s="566"/>
      <c r="N90" s="566"/>
      <c r="O90" s="566"/>
      <c r="P90" s="626"/>
      <c r="Q90" s="626"/>
      <c r="R90" s="632"/>
      <c r="S90" s="632"/>
    </row>
    <row r="91" spans="1:19" s="629" customFormat="1" x14ac:dyDescent="0.2">
      <c r="E91" s="623"/>
      <c r="F91" s="630"/>
      <c r="G91" s="566"/>
      <c r="H91" s="566"/>
      <c r="I91" s="578"/>
      <c r="J91" s="566"/>
      <c r="K91" s="566"/>
      <c r="L91" s="566"/>
      <c r="M91" s="566"/>
      <c r="N91" s="566"/>
      <c r="O91" s="566"/>
      <c r="P91" s="626"/>
      <c r="Q91" s="626"/>
      <c r="R91" s="632"/>
      <c r="S91" s="632"/>
    </row>
    <row r="92" spans="1:19" s="629" customFormat="1" x14ac:dyDescent="0.2">
      <c r="E92" s="623"/>
      <c r="F92" s="630"/>
      <c r="G92" s="566"/>
      <c r="H92" s="566"/>
      <c r="I92" s="578"/>
      <c r="J92" s="566"/>
      <c r="K92" s="566"/>
      <c r="L92" s="566"/>
      <c r="M92" s="566"/>
      <c r="N92" s="566"/>
      <c r="O92" s="566"/>
      <c r="P92" s="626"/>
      <c r="Q92" s="626"/>
      <c r="R92" s="632"/>
      <c r="S92" s="632"/>
    </row>
    <row r="93" spans="1:19" s="629" customFormat="1" x14ac:dyDescent="0.2">
      <c r="E93" s="623"/>
      <c r="F93" s="630"/>
      <c r="G93" s="566"/>
      <c r="H93" s="566"/>
      <c r="I93" s="578"/>
      <c r="J93" s="566"/>
      <c r="K93" s="566"/>
      <c r="L93" s="566"/>
      <c r="M93" s="566"/>
      <c r="N93" s="566"/>
      <c r="O93" s="566"/>
      <c r="P93" s="626"/>
      <c r="Q93" s="626"/>
      <c r="R93" s="632"/>
      <c r="S93" s="632"/>
    </row>
    <row r="94" spans="1:19" s="629" customFormat="1" x14ac:dyDescent="0.2">
      <c r="E94" s="623"/>
      <c r="F94" s="630"/>
      <c r="G94" s="566"/>
      <c r="H94" s="566"/>
      <c r="I94" s="578"/>
      <c r="J94" s="566"/>
      <c r="K94" s="566"/>
      <c r="L94" s="566"/>
      <c r="M94" s="566"/>
      <c r="N94" s="566"/>
      <c r="O94" s="566"/>
      <c r="P94" s="626"/>
      <c r="Q94" s="626"/>
      <c r="R94" s="632"/>
      <c r="S94" s="632"/>
    </row>
    <row r="95" spans="1:19" s="629" customFormat="1" x14ac:dyDescent="0.2">
      <c r="E95" s="623"/>
      <c r="F95" s="630"/>
      <c r="G95" s="566"/>
      <c r="H95" s="566"/>
      <c r="I95" s="578"/>
      <c r="J95" s="566"/>
      <c r="K95" s="566"/>
      <c r="L95" s="566"/>
      <c r="M95" s="566"/>
      <c r="P95" s="632"/>
      <c r="Q95" s="632"/>
      <c r="R95" s="632"/>
      <c r="S95" s="632"/>
    </row>
    <row r="96" spans="1:19" s="629" customFormat="1" x14ac:dyDescent="0.2">
      <c r="E96" s="623"/>
      <c r="F96" s="630"/>
      <c r="G96" s="566"/>
      <c r="H96" s="566"/>
      <c r="I96" s="578"/>
      <c r="J96" s="566"/>
      <c r="K96" s="566"/>
      <c r="L96" s="566"/>
      <c r="M96" s="566"/>
      <c r="P96" s="632"/>
      <c r="Q96" s="632"/>
      <c r="R96" s="632"/>
      <c r="S96" s="632"/>
    </row>
    <row r="97" spans="5:19" s="629" customFormat="1" x14ac:dyDescent="0.2">
      <c r="E97" s="623"/>
      <c r="F97" s="630"/>
      <c r="G97" s="566"/>
      <c r="H97" s="566"/>
      <c r="I97" s="578"/>
      <c r="J97" s="566"/>
      <c r="K97" s="566"/>
      <c r="L97" s="566"/>
      <c r="M97" s="566"/>
      <c r="P97" s="632"/>
      <c r="Q97" s="632"/>
      <c r="R97" s="632"/>
      <c r="S97" s="632"/>
    </row>
    <row r="98" spans="5:19" s="629" customFormat="1" x14ac:dyDescent="0.2">
      <c r="E98" s="623"/>
      <c r="F98" s="630"/>
      <c r="G98" s="566"/>
      <c r="H98" s="566"/>
      <c r="I98" s="578"/>
      <c r="J98" s="566"/>
      <c r="K98" s="566"/>
      <c r="L98" s="566"/>
      <c r="M98" s="566"/>
      <c r="P98" s="632"/>
      <c r="Q98" s="632"/>
      <c r="R98" s="632"/>
      <c r="S98" s="632"/>
    </row>
    <row r="99" spans="5:19" s="629" customFormat="1" x14ac:dyDescent="0.2">
      <c r="E99" s="623"/>
      <c r="F99" s="630"/>
      <c r="G99" s="566"/>
      <c r="H99" s="566"/>
      <c r="I99" s="578"/>
      <c r="J99" s="566"/>
      <c r="K99" s="566"/>
      <c r="L99" s="566"/>
      <c r="M99" s="566"/>
      <c r="P99" s="632"/>
      <c r="Q99" s="632"/>
      <c r="R99" s="632"/>
      <c r="S99" s="632"/>
    </row>
    <row r="100" spans="5:19" s="629" customFormat="1" x14ac:dyDescent="0.2">
      <c r="E100" s="623"/>
      <c r="F100" s="630"/>
      <c r="G100" s="566"/>
      <c r="H100" s="566"/>
      <c r="I100" s="578"/>
      <c r="J100" s="566"/>
      <c r="K100" s="566"/>
      <c r="L100" s="566"/>
      <c r="M100" s="566"/>
      <c r="P100" s="632"/>
      <c r="Q100" s="632"/>
      <c r="R100" s="632"/>
      <c r="S100" s="632"/>
    </row>
    <row r="101" spans="5:19" s="629" customFormat="1" x14ac:dyDescent="0.2">
      <c r="E101" s="623"/>
      <c r="F101" s="630"/>
      <c r="G101" s="566"/>
      <c r="H101" s="566"/>
      <c r="I101" s="578"/>
      <c r="J101" s="566"/>
      <c r="K101" s="566"/>
      <c r="L101" s="566"/>
      <c r="M101" s="566"/>
      <c r="P101" s="632"/>
      <c r="Q101" s="632"/>
      <c r="R101" s="632"/>
      <c r="S101" s="632"/>
    </row>
    <row r="102" spans="5:19" s="629" customFormat="1" x14ac:dyDescent="0.2">
      <c r="E102" s="623"/>
      <c r="F102" s="630"/>
      <c r="G102" s="566"/>
      <c r="H102" s="566"/>
      <c r="I102" s="578"/>
      <c r="J102" s="566"/>
      <c r="K102" s="566"/>
      <c r="L102" s="566"/>
      <c r="M102" s="566"/>
      <c r="P102" s="632"/>
      <c r="Q102" s="632"/>
      <c r="R102" s="632"/>
      <c r="S102" s="632"/>
    </row>
    <row r="103" spans="5:19" s="629" customFormat="1" x14ac:dyDescent="0.2">
      <c r="E103" s="623"/>
      <c r="F103" s="630"/>
      <c r="G103" s="566"/>
      <c r="H103" s="566"/>
      <c r="I103" s="578"/>
      <c r="J103" s="566"/>
      <c r="K103" s="566"/>
      <c r="L103" s="566"/>
      <c r="M103" s="566"/>
      <c r="P103" s="632"/>
      <c r="Q103" s="632"/>
      <c r="R103" s="632"/>
      <c r="S103" s="632"/>
    </row>
    <row r="104" spans="5:19" s="629" customFormat="1" x14ac:dyDescent="0.2">
      <c r="E104" s="623"/>
      <c r="F104" s="630"/>
      <c r="G104" s="566"/>
      <c r="H104" s="566"/>
      <c r="I104" s="578"/>
      <c r="J104" s="566"/>
      <c r="K104" s="566"/>
      <c r="L104" s="566"/>
      <c r="M104" s="566"/>
      <c r="P104" s="632"/>
      <c r="Q104" s="632"/>
      <c r="R104" s="632"/>
      <c r="S104" s="632"/>
    </row>
    <row r="105" spans="5:19" s="629" customFormat="1" x14ac:dyDescent="0.2">
      <c r="E105" s="623"/>
      <c r="F105" s="630"/>
      <c r="G105" s="566"/>
      <c r="H105" s="566"/>
      <c r="I105" s="578"/>
      <c r="J105" s="566"/>
      <c r="K105" s="566"/>
      <c r="L105" s="566"/>
      <c r="M105" s="566"/>
      <c r="P105" s="632"/>
      <c r="Q105" s="632"/>
      <c r="R105" s="632"/>
      <c r="S105" s="632"/>
    </row>
    <row r="106" spans="5:19" s="629" customFormat="1" x14ac:dyDescent="0.2">
      <c r="E106" s="623"/>
      <c r="F106" s="630"/>
      <c r="G106" s="566"/>
      <c r="H106" s="566"/>
      <c r="I106" s="578"/>
      <c r="J106" s="566"/>
      <c r="K106" s="566"/>
      <c r="L106" s="566"/>
      <c r="M106" s="566"/>
      <c r="P106" s="632"/>
      <c r="Q106" s="632"/>
      <c r="R106" s="632"/>
      <c r="S106" s="632"/>
    </row>
    <row r="107" spans="5:19" s="629" customFormat="1" x14ac:dyDescent="0.2">
      <c r="E107" s="623"/>
      <c r="F107" s="630"/>
      <c r="G107" s="566"/>
      <c r="H107" s="566"/>
      <c r="I107" s="578"/>
      <c r="J107" s="566"/>
      <c r="K107" s="566"/>
      <c r="L107" s="566"/>
      <c r="M107" s="566"/>
      <c r="P107" s="632"/>
      <c r="Q107" s="632"/>
      <c r="R107" s="632"/>
      <c r="S107" s="632"/>
    </row>
    <row r="108" spans="5:19" s="629" customFormat="1" x14ac:dyDescent="0.2">
      <c r="E108" s="623"/>
      <c r="F108" s="630"/>
      <c r="G108" s="566"/>
      <c r="H108" s="566"/>
      <c r="I108" s="578"/>
      <c r="J108" s="566"/>
      <c r="K108" s="566"/>
      <c r="L108" s="566"/>
      <c r="M108" s="566"/>
      <c r="P108" s="632"/>
      <c r="Q108" s="632"/>
      <c r="R108" s="632"/>
      <c r="S108" s="632"/>
    </row>
    <row r="109" spans="5:19" s="629" customFormat="1" x14ac:dyDescent="0.2">
      <c r="E109" s="623"/>
      <c r="F109" s="630"/>
      <c r="G109" s="566"/>
      <c r="H109" s="566"/>
      <c r="I109" s="578"/>
      <c r="J109" s="566"/>
      <c r="K109" s="566"/>
      <c r="L109" s="566"/>
      <c r="M109" s="566"/>
      <c r="P109" s="632"/>
      <c r="Q109" s="632"/>
      <c r="R109" s="632"/>
      <c r="S109" s="632"/>
    </row>
    <row r="110" spans="5:19" s="629" customFormat="1" x14ac:dyDescent="0.2">
      <c r="E110" s="623"/>
      <c r="F110" s="630"/>
      <c r="G110" s="566"/>
      <c r="H110" s="566"/>
      <c r="I110" s="578"/>
      <c r="J110" s="566"/>
      <c r="K110" s="566"/>
      <c r="L110" s="566"/>
      <c r="P110" s="632"/>
      <c r="Q110" s="632"/>
      <c r="R110" s="632"/>
      <c r="S110" s="632"/>
    </row>
    <row r="111" spans="5:19" s="629" customFormat="1" x14ac:dyDescent="0.2">
      <c r="E111" s="623"/>
      <c r="F111" s="630"/>
      <c r="G111" s="566"/>
      <c r="H111" s="566"/>
      <c r="I111" s="578"/>
      <c r="J111" s="566"/>
      <c r="K111" s="566"/>
      <c r="L111" s="566"/>
      <c r="P111" s="632"/>
      <c r="Q111" s="632"/>
      <c r="R111" s="632"/>
      <c r="S111" s="632"/>
    </row>
    <row r="112" spans="5:19" s="629" customFormat="1" x14ac:dyDescent="0.2">
      <c r="E112" s="623"/>
      <c r="F112" s="630"/>
      <c r="G112" s="566"/>
      <c r="H112" s="566"/>
      <c r="I112" s="578"/>
      <c r="J112" s="566"/>
      <c r="K112" s="566"/>
      <c r="L112" s="566"/>
      <c r="P112" s="632"/>
      <c r="Q112" s="632"/>
      <c r="R112" s="632"/>
      <c r="S112" s="632"/>
    </row>
    <row r="113" spans="5:19" s="629" customFormat="1" x14ac:dyDescent="0.2">
      <c r="E113" s="623"/>
      <c r="F113" s="630"/>
      <c r="G113" s="566"/>
      <c r="H113" s="566"/>
      <c r="I113" s="578"/>
      <c r="J113" s="566"/>
      <c r="K113" s="566"/>
      <c r="L113" s="566"/>
      <c r="P113" s="632"/>
      <c r="Q113" s="632"/>
      <c r="R113" s="632"/>
      <c r="S113" s="632"/>
    </row>
    <row r="114" spans="5:19" s="629" customFormat="1" x14ac:dyDescent="0.2">
      <c r="E114" s="623"/>
      <c r="F114" s="630"/>
      <c r="G114" s="566"/>
      <c r="H114" s="566"/>
      <c r="I114" s="578"/>
      <c r="J114" s="566"/>
      <c r="K114" s="566"/>
      <c r="L114" s="566"/>
      <c r="P114" s="632"/>
      <c r="Q114" s="632"/>
      <c r="R114" s="632"/>
      <c r="S114" s="632"/>
    </row>
    <row r="115" spans="5:19" s="629" customFormat="1" x14ac:dyDescent="0.2">
      <c r="E115" s="623"/>
      <c r="F115" s="630"/>
      <c r="G115" s="566"/>
      <c r="H115" s="566"/>
      <c r="I115" s="578"/>
      <c r="J115" s="566"/>
      <c r="K115" s="566"/>
      <c r="L115" s="566"/>
      <c r="P115" s="632"/>
      <c r="Q115" s="632"/>
      <c r="R115" s="632"/>
      <c r="S115" s="632"/>
    </row>
    <row r="116" spans="5:19" s="629" customFormat="1" x14ac:dyDescent="0.2">
      <c r="E116" s="623"/>
      <c r="F116" s="630"/>
      <c r="G116" s="566"/>
      <c r="H116" s="566"/>
      <c r="I116" s="578"/>
      <c r="J116" s="566"/>
      <c r="K116" s="566"/>
      <c r="L116" s="566"/>
      <c r="P116" s="632"/>
      <c r="Q116" s="632"/>
      <c r="R116" s="632"/>
      <c r="S116" s="632"/>
    </row>
    <row r="117" spans="5:19" s="629" customFormat="1" x14ac:dyDescent="0.2">
      <c r="E117" s="623"/>
      <c r="F117" s="630"/>
      <c r="G117" s="566"/>
      <c r="H117" s="566"/>
      <c r="I117" s="578"/>
      <c r="J117" s="566"/>
      <c r="K117" s="566"/>
      <c r="L117" s="566"/>
      <c r="P117" s="632"/>
      <c r="Q117" s="632"/>
      <c r="R117" s="632"/>
      <c r="S117" s="632"/>
    </row>
    <row r="118" spans="5:19" s="629" customFormat="1" x14ac:dyDescent="0.2">
      <c r="E118" s="623"/>
      <c r="F118" s="630"/>
      <c r="G118" s="566"/>
      <c r="H118" s="566"/>
      <c r="I118" s="578"/>
      <c r="J118" s="566"/>
      <c r="K118" s="566"/>
      <c r="L118" s="566"/>
      <c r="P118" s="632"/>
      <c r="Q118" s="632"/>
      <c r="R118" s="632"/>
      <c r="S118" s="632"/>
    </row>
    <row r="119" spans="5:19" s="629" customFormat="1" x14ac:dyDescent="0.2">
      <c r="E119" s="623"/>
      <c r="F119" s="630"/>
      <c r="G119" s="566"/>
      <c r="H119" s="566"/>
      <c r="I119" s="578"/>
      <c r="J119" s="566"/>
      <c r="K119" s="566"/>
      <c r="L119" s="566"/>
      <c r="P119" s="632"/>
      <c r="Q119" s="632"/>
      <c r="R119" s="632"/>
      <c r="S119" s="632"/>
    </row>
    <row r="120" spans="5:19" s="629" customFormat="1" x14ac:dyDescent="0.2">
      <c r="E120" s="623"/>
      <c r="F120" s="630"/>
      <c r="G120" s="566"/>
      <c r="H120" s="566"/>
      <c r="I120" s="578"/>
      <c r="J120" s="566"/>
      <c r="K120" s="566"/>
      <c r="L120" s="566"/>
      <c r="P120" s="632"/>
      <c r="Q120" s="632"/>
      <c r="R120" s="632"/>
      <c r="S120" s="632"/>
    </row>
    <row r="121" spans="5:19" s="629" customFormat="1" x14ac:dyDescent="0.2">
      <c r="E121" s="623"/>
      <c r="F121" s="630"/>
      <c r="G121" s="566"/>
      <c r="H121" s="566"/>
      <c r="I121" s="578"/>
      <c r="J121" s="566"/>
      <c r="K121" s="566"/>
      <c r="L121" s="566"/>
      <c r="P121" s="632"/>
      <c r="Q121" s="632"/>
      <c r="R121" s="632"/>
      <c r="S121" s="632"/>
    </row>
    <row r="122" spans="5:19" s="629" customFormat="1" x14ac:dyDescent="0.2">
      <c r="E122" s="623"/>
      <c r="F122" s="630"/>
      <c r="G122" s="566"/>
      <c r="H122" s="566"/>
      <c r="I122" s="578"/>
      <c r="J122" s="566"/>
      <c r="K122" s="566"/>
      <c r="L122" s="566"/>
      <c r="P122" s="632"/>
      <c r="Q122" s="632"/>
      <c r="R122" s="632"/>
      <c r="S122" s="632"/>
    </row>
    <row r="123" spans="5:19" s="629" customFormat="1" x14ac:dyDescent="0.2">
      <c r="E123" s="623"/>
      <c r="F123" s="630"/>
      <c r="G123" s="566"/>
      <c r="H123" s="566"/>
      <c r="I123" s="578"/>
      <c r="J123" s="566"/>
      <c r="K123" s="566"/>
      <c r="L123" s="566"/>
      <c r="P123" s="632"/>
      <c r="Q123" s="632"/>
      <c r="R123" s="632"/>
      <c r="S123" s="632"/>
    </row>
    <row r="124" spans="5:19" s="629" customFormat="1" x14ac:dyDescent="0.2">
      <c r="E124" s="623"/>
      <c r="F124" s="630"/>
      <c r="G124" s="566"/>
      <c r="H124" s="566"/>
      <c r="I124" s="578"/>
      <c r="J124" s="566"/>
      <c r="K124" s="566"/>
      <c r="L124" s="566"/>
      <c r="P124" s="632"/>
      <c r="Q124" s="632"/>
      <c r="R124" s="632"/>
      <c r="S124" s="632"/>
    </row>
    <row r="125" spans="5:19" s="629" customFormat="1" x14ac:dyDescent="0.2">
      <c r="E125" s="623"/>
      <c r="F125" s="630"/>
      <c r="G125" s="566"/>
      <c r="H125" s="566"/>
      <c r="I125" s="578"/>
      <c r="J125" s="566"/>
      <c r="K125" s="566"/>
      <c r="L125" s="566"/>
      <c r="P125" s="632"/>
      <c r="Q125" s="632"/>
      <c r="R125" s="632"/>
      <c r="S125" s="632"/>
    </row>
    <row r="126" spans="5:19" s="629" customFormat="1" x14ac:dyDescent="0.2">
      <c r="E126" s="623"/>
      <c r="F126" s="630"/>
      <c r="G126" s="566"/>
      <c r="H126" s="566"/>
      <c r="I126" s="578"/>
      <c r="J126" s="566"/>
      <c r="K126" s="566"/>
      <c r="L126" s="566"/>
      <c r="P126" s="632"/>
      <c r="Q126" s="632"/>
      <c r="R126" s="632"/>
      <c r="S126" s="632"/>
    </row>
    <row r="127" spans="5:19" s="629" customFormat="1" x14ac:dyDescent="0.2">
      <c r="E127" s="623"/>
      <c r="F127" s="630"/>
      <c r="G127" s="566"/>
      <c r="H127" s="566"/>
      <c r="I127" s="578"/>
      <c r="J127" s="566"/>
      <c r="K127" s="566"/>
      <c r="L127" s="566"/>
      <c r="P127" s="632"/>
      <c r="Q127" s="632"/>
      <c r="R127" s="632"/>
      <c r="S127" s="632"/>
    </row>
    <row r="128" spans="5:19" s="629" customFormat="1" x14ac:dyDescent="0.2">
      <c r="E128" s="623"/>
      <c r="F128" s="630"/>
      <c r="G128" s="566"/>
      <c r="H128" s="566"/>
      <c r="I128" s="578"/>
      <c r="J128" s="566"/>
      <c r="K128" s="566"/>
      <c r="L128" s="566"/>
      <c r="P128" s="632"/>
      <c r="Q128" s="632"/>
      <c r="R128" s="632"/>
      <c r="S128" s="632"/>
    </row>
    <row r="129" spans="5:19" s="629" customFormat="1" x14ac:dyDescent="0.2">
      <c r="E129" s="623"/>
      <c r="F129" s="630"/>
      <c r="G129" s="566"/>
      <c r="H129" s="566"/>
      <c r="I129" s="578"/>
      <c r="J129" s="566"/>
      <c r="K129" s="566"/>
      <c r="L129" s="566"/>
      <c r="P129" s="632"/>
      <c r="Q129" s="632"/>
      <c r="R129" s="632"/>
      <c r="S129" s="632"/>
    </row>
    <row r="130" spans="5:19" s="629" customFormat="1" x14ac:dyDescent="0.2">
      <c r="E130" s="623"/>
      <c r="F130" s="630"/>
      <c r="G130" s="566"/>
      <c r="H130" s="566"/>
      <c r="I130" s="578"/>
      <c r="J130" s="566"/>
      <c r="K130" s="566"/>
      <c r="L130" s="566"/>
      <c r="P130" s="632"/>
      <c r="Q130" s="632"/>
      <c r="R130" s="632"/>
      <c r="S130" s="632"/>
    </row>
    <row r="131" spans="5:19" s="629" customFormat="1" x14ac:dyDescent="0.2">
      <c r="E131" s="623"/>
      <c r="F131" s="630"/>
      <c r="G131" s="566"/>
      <c r="H131" s="566"/>
      <c r="I131" s="578"/>
      <c r="J131" s="566"/>
      <c r="K131" s="566"/>
      <c r="L131" s="566"/>
      <c r="P131" s="632"/>
      <c r="Q131" s="632"/>
      <c r="R131" s="632"/>
      <c r="S131" s="632"/>
    </row>
    <row r="132" spans="5:19" s="629" customFormat="1" x14ac:dyDescent="0.2">
      <c r="E132" s="623"/>
      <c r="F132" s="630"/>
      <c r="G132" s="566"/>
      <c r="H132" s="566"/>
      <c r="I132" s="578"/>
      <c r="J132" s="566"/>
      <c r="K132" s="566"/>
      <c r="L132" s="566"/>
      <c r="P132" s="632"/>
      <c r="Q132" s="632"/>
      <c r="R132" s="632"/>
      <c r="S132" s="632"/>
    </row>
    <row r="133" spans="5:19" s="629" customFormat="1" x14ac:dyDescent="0.2">
      <c r="E133" s="623"/>
      <c r="F133" s="630"/>
      <c r="G133" s="566"/>
      <c r="H133" s="566"/>
      <c r="I133" s="578"/>
      <c r="J133" s="566"/>
      <c r="K133" s="566"/>
      <c r="L133" s="566"/>
      <c r="P133" s="632"/>
      <c r="Q133" s="632"/>
      <c r="R133" s="632"/>
      <c r="S133" s="632"/>
    </row>
    <row r="134" spans="5:19" s="629" customFormat="1" x14ac:dyDescent="0.2">
      <c r="E134" s="623"/>
      <c r="F134" s="630"/>
      <c r="G134" s="566"/>
      <c r="H134" s="566"/>
      <c r="I134" s="578"/>
      <c r="J134" s="566"/>
      <c r="K134" s="566"/>
      <c r="L134" s="566"/>
      <c r="P134" s="632"/>
      <c r="Q134" s="632"/>
      <c r="R134" s="632"/>
      <c r="S134" s="632"/>
    </row>
    <row r="135" spans="5:19" s="629" customFormat="1" x14ac:dyDescent="0.2">
      <c r="E135" s="623"/>
      <c r="F135" s="630"/>
      <c r="G135" s="566"/>
      <c r="H135" s="566"/>
      <c r="I135" s="578"/>
      <c r="J135" s="566"/>
      <c r="K135" s="566"/>
      <c r="L135" s="566"/>
      <c r="P135" s="632"/>
      <c r="Q135" s="632"/>
      <c r="R135" s="632"/>
      <c r="S135" s="632"/>
    </row>
    <row r="136" spans="5:19" s="629" customFormat="1" x14ac:dyDescent="0.2">
      <c r="E136" s="623"/>
      <c r="F136" s="630"/>
      <c r="G136" s="566"/>
      <c r="H136" s="566"/>
      <c r="I136" s="578"/>
      <c r="J136" s="566"/>
      <c r="K136" s="566"/>
      <c r="L136" s="566"/>
      <c r="P136" s="632"/>
      <c r="Q136" s="632"/>
      <c r="R136" s="632"/>
      <c r="S136" s="632"/>
    </row>
    <row r="137" spans="5:19" s="629" customFormat="1" x14ac:dyDescent="0.2">
      <c r="E137" s="623"/>
      <c r="F137" s="630"/>
      <c r="G137" s="566"/>
      <c r="H137" s="566"/>
      <c r="I137" s="578"/>
      <c r="J137" s="566"/>
      <c r="K137" s="566"/>
      <c r="L137" s="566"/>
      <c r="P137" s="632"/>
      <c r="Q137" s="632"/>
      <c r="R137" s="632"/>
      <c r="S137" s="632"/>
    </row>
    <row r="138" spans="5:19" s="629" customFormat="1" x14ac:dyDescent="0.2">
      <c r="E138" s="623"/>
      <c r="F138" s="630"/>
      <c r="G138" s="566"/>
      <c r="H138" s="566"/>
      <c r="I138" s="578"/>
      <c r="J138" s="566"/>
      <c r="K138" s="566"/>
      <c r="L138" s="566"/>
      <c r="P138" s="632"/>
      <c r="Q138" s="632"/>
      <c r="R138" s="632"/>
      <c r="S138" s="632"/>
    </row>
    <row r="139" spans="5:19" s="629" customFormat="1" x14ac:dyDescent="0.2">
      <c r="E139" s="623"/>
      <c r="F139" s="630"/>
      <c r="G139" s="566"/>
      <c r="H139" s="566"/>
      <c r="I139" s="578"/>
      <c r="J139" s="566"/>
      <c r="K139" s="566"/>
      <c r="L139" s="566"/>
      <c r="P139" s="632"/>
      <c r="Q139" s="632"/>
      <c r="R139" s="632"/>
      <c r="S139" s="632"/>
    </row>
    <row r="140" spans="5:19" s="629" customFormat="1" x14ac:dyDescent="0.2">
      <c r="E140" s="623"/>
      <c r="F140" s="630"/>
      <c r="G140" s="566"/>
      <c r="H140" s="566"/>
      <c r="I140" s="578"/>
      <c r="J140" s="566"/>
      <c r="K140" s="566"/>
      <c r="L140" s="566"/>
      <c r="P140" s="632"/>
      <c r="Q140" s="632"/>
      <c r="R140" s="632"/>
      <c r="S140" s="632"/>
    </row>
    <row r="141" spans="5:19" s="629" customFormat="1" x14ac:dyDescent="0.2">
      <c r="E141" s="623"/>
      <c r="F141" s="630"/>
      <c r="G141" s="566"/>
      <c r="H141" s="566"/>
      <c r="I141" s="578"/>
      <c r="J141" s="566"/>
      <c r="K141" s="566"/>
      <c r="L141" s="566"/>
      <c r="P141" s="632"/>
      <c r="Q141" s="632"/>
      <c r="R141" s="632"/>
      <c r="S141" s="632"/>
    </row>
    <row r="142" spans="5:19" s="629" customFormat="1" x14ac:dyDescent="0.2">
      <c r="E142" s="623"/>
      <c r="F142" s="630"/>
      <c r="G142" s="566"/>
      <c r="H142" s="566"/>
      <c r="I142" s="578"/>
      <c r="J142" s="566"/>
      <c r="K142" s="566"/>
      <c r="L142" s="566"/>
      <c r="P142" s="632"/>
      <c r="Q142" s="632"/>
      <c r="R142" s="632"/>
      <c r="S142" s="632"/>
    </row>
    <row r="143" spans="5:19" s="629" customFormat="1" x14ac:dyDescent="0.2">
      <c r="E143" s="623"/>
      <c r="F143" s="630"/>
      <c r="G143" s="566"/>
      <c r="H143" s="566"/>
      <c r="I143" s="578"/>
      <c r="J143" s="566"/>
      <c r="K143" s="566"/>
      <c r="L143" s="566"/>
      <c r="P143" s="632"/>
      <c r="Q143" s="632"/>
      <c r="R143" s="632"/>
      <c r="S143" s="632"/>
    </row>
    <row r="144" spans="5:19" s="629" customFormat="1" x14ac:dyDescent="0.2">
      <c r="E144" s="623"/>
      <c r="F144" s="630"/>
      <c r="G144" s="566"/>
      <c r="H144" s="566"/>
      <c r="I144" s="578"/>
      <c r="J144" s="566"/>
      <c r="K144" s="566"/>
      <c r="L144" s="566"/>
      <c r="P144" s="632"/>
      <c r="Q144" s="632"/>
      <c r="R144" s="632"/>
      <c r="S144" s="632"/>
    </row>
    <row r="145" spans="1:19" s="629" customFormat="1" x14ac:dyDescent="0.2">
      <c r="E145" s="623"/>
      <c r="F145" s="630"/>
      <c r="G145" s="566"/>
      <c r="H145" s="566"/>
      <c r="I145" s="578"/>
      <c r="J145" s="566"/>
      <c r="K145" s="566"/>
      <c r="L145" s="566"/>
      <c r="P145" s="632"/>
      <c r="Q145" s="632"/>
      <c r="R145" s="632"/>
      <c r="S145" s="632"/>
    </row>
    <row r="146" spans="1:19" s="629" customFormat="1" x14ac:dyDescent="0.2">
      <c r="E146" s="623"/>
      <c r="F146" s="630"/>
      <c r="G146" s="566"/>
      <c r="H146" s="566"/>
      <c r="I146" s="578"/>
      <c r="J146" s="566"/>
      <c r="K146" s="566"/>
      <c r="L146" s="566"/>
      <c r="P146" s="632"/>
      <c r="Q146" s="632"/>
      <c r="R146" s="632"/>
      <c r="S146" s="632"/>
    </row>
    <row r="147" spans="1:19" x14ac:dyDescent="0.2">
      <c r="A147" s="629"/>
      <c r="B147" s="629"/>
      <c r="C147" s="629"/>
      <c r="D147" s="629"/>
      <c r="E147" s="623"/>
      <c r="F147" s="630"/>
      <c r="G147" s="566"/>
      <c r="H147" s="566"/>
      <c r="I147" s="578"/>
      <c r="J147" s="566"/>
      <c r="K147" s="566"/>
      <c r="L147" s="566"/>
      <c r="M147" s="629"/>
      <c r="N147" s="629"/>
      <c r="O147" s="629"/>
      <c r="P147" s="632"/>
      <c r="Q147" s="632"/>
    </row>
    <row r="148" spans="1:19" x14ac:dyDescent="0.2">
      <c r="A148" s="629"/>
      <c r="B148" s="629"/>
      <c r="C148" s="629"/>
      <c r="D148" s="629"/>
      <c r="E148" s="623"/>
      <c r="F148" s="630"/>
      <c r="G148" s="566"/>
      <c r="H148" s="566"/>
      <c r="I148" s="578"/>
      <c r="J148" s="566"/>
      <c r="K148" s="566"/>
      <c r="L148" s="566"/>
      <c r="M148" s="629"/>
      <c r="N148" s="629"/>
      <c r="O148" s="629"/>
      <c r="P148" s="632"/>
      <c r="Q148" s="632"/>
    </row>
    <row r="149" spans="1:19" x14ac:dyDescent="0.2">
      <c r="A149" s="629"/>
      <c r="B149" s="629"/>
      <c r="C149" s="629"/>
      <c r="D149" s="629"/>
      <c r="E149" s="623"/>
      <c r="F149" s="630"/>
      <c r="G149" s="566"/>
      <c r="H149" s="566"/>
      <c r="I149" s="578"/>
      <c r="J149" s="566"/>
      <c r="K149" s="566"/>
      <c r="L149" s="566"/>
      <c r="M149" s="629"/>
      <c r="N149" s="629"/>
      <c r="O149" s="629"/>
      <c r="P149" s="632"/>
      <c r="Q149" s="632"/>
    </row>
    <row r="150" spans="1:19" x14ac:dyDescent="0.2">
      <c r="A150" s="629"/>
      <c r="B150" s="629"/>
      <c r="C150" s="629"/>
      <c r="D150" s="629"/>
      <c r="E150" s="623"/>
      <c r="F150" s="630"/>
      <c r="G150" s="566"/>
      <c r="H150" s="566"/>
      <c r="I150" s="578"/>
      <c r="J150" s="566"/>
      <c r="K150" s="566"/>
      <c r="L150" s="566"/>
      <c r="M150" s="629"/>
      <c r="N150" s="629"/>
      <c r="O150" s="629"/>
      <c r="P150" s="632"/>
      <c r="Q150" s="632"/>
    </row>
    <row r="151" spans="1:19" x14ac:dyDescent="0.2">
      <c r="A151" s="629"/>
      <c r="B151" s="629"/>
      <c r="C151" s="629"/>
      <c r="D151" s="629"/>
      <c r="E151" s="623"/>
      <c r="F151" s="630"/>
      <c r="G151" s="566"/>
      <c r="H151" s="566"/>
      <c r="I151" s="578"/>
      <c r="J151" s="566"/>
      <c r="K151" s="566"/>
      <c r="L151" s="566"/>
      <c r="M151" s="629"/>
      <c r="N151" s="629"/>
      <c r="O151" s="629"/>
      <c r="P151" s="632"/>
      <c r="Q151" s="632"/>
    </row>
    <row r="152" spans="1:19" x14ac:dyDescent="0.2">
      <c r="A152" s="629"/>
      <c r="B152" s="629"/>
      <c r="C152" s="629"/>
      <c r="D152" s="629"/>
      <c r="E152" s="623"/>
      <c r="F152" s="630"/>
      <c r="G152" s="566"/>
      <c r="H152" s="566"/>
      <c r="I152" s="578"/>
      <c r="J152" s="566"/>
      <c r="K152" s="566"/>
      <c r="L152" s="566"/>
      <c r="M152" s="629"/>
    </row>
    <row r="153" spans="1:19" x14ac:dyDescent="0.2">
      <c r="A153" s="629"/>
      <c r="B153" s="629"/>
      <c r="C153" s="629"/>
      <c r="D153" s="629"/>
      <c r="E153" s="623"/>
      <c r="F153" s="630"/>
      <c r="G153" s="566"/>
      <c r="H153" s="566"/>
      <c r="I153" s="578"/>
      <c r="J153" s="566"/>
      <c r="K153" s="566"/>
      <c r="L153" s="566"/>
      <c r="M153" s="629"/>
    </row>
    <row r="154" spans="1:19" x14ac:dyDescent="0.2">
      <c r="A154" s="629"/>
      <c r="B154" s="629"/>
      <c r="C154" s="629"/>
      <c r="D154" s="629"/>
      <c r="E154" s="623"/>
      <c r="F154" s="630"/>
      <c r="G154" s="566"/>
      <c r="H154" s="566"/>
      <c r="I154" s="578"/>
      <c r="J154" s="566"/>
      <c r="K154" s="566"/>
      <c r="L154" s="566"/>
      <c r="M154" s="629"/>
    </row>
    <row r="155" spans="1:19" x14ac:dyDescent="0.2">
      <c r="A155" s="629"/>
      <c r="B155" s="629"/>
      <c r="C155" s="629"/>
      <c r="D155" s="629"/>
      <c r="E155" s="623"/>
      <c r="F155" s="630"/>
      <c r="G155" s="566"/>
      <c r="H155" s="566"/>
      <c r="I155" s="578"/>
      <c r="J155" s="566"/>
      <c r="K155" s="566"/>
      <c r="L155" s="566"/>
      <c r="M155" s="629"/>
    </row>
    <row r="156" spans="1:19" x14ac:dyDescent="0.2">
      <c r="J156" s="566"/>
      <c r="K156" s="566"/>
      <c r="L156" s="566"/>
      <c r="M156" s="629"/>
    </row>
    <row r="157" spans="1:19" x14ac:dyDescent="0.2">
      <c r="J157" s="566"/>
      <c r="K157" s="566"/>
      <c r="L157" s="566"/>
      <c r="M157" s="629"/>
    </row>
    <row r="158" spans="1:19" x14ac:dyDescent="0.2">
      <c r="J158" s="566"/>
      <c r="K158" s="566"/>
      <c r="L158" s="566"/>
      <c r="M158" s="629"/>
    </row>
    <row r="159" spans="1:19" x14ac:dyDescent="0.2">
      <c r="J159" s="566"/>
      <c r="K159" s="566"/>
      <c r="L159" s="566"/>
      <c r="M159" s="629"/>
    </row>
    <row r="160" spans="1:19" x14ac:dyDescent="0.2">
      <c r="J160" s="566"/>
      <c r="K160" s="566"/>
      <c r="L160" s="566"/>
      <c r="M160" s="629"/>
    </row>
    <row r="161" spans="10:13" x14ac:dyDescent="0.2">
      <c r="J161" s="566"/>
      <c r="K161" s="566"/>
      <c r="L161" s="566"/>
      <c r="M161" s="629"/>
    </row>
    <row r="162" spans="10:13" x14ac:dyDescent="0.2">
      <c r="K162" s="566"/>
      <c r="L162" s="566"/>
      <c r="M162" s="629"/>
    </row>
    <row r="163" spans="10:13" x14ac:dyDescent="0.2">
      <c r="K163" s="566"/>
      <c r="L163" s="566"/>
      <c r="M163" s="629"/>
    </row>
    <row r="164" spans="10:13" x14ac:dyDescent="0.2">
      <c r="K164" s="566"/>
      <c r="L164" s="566"/>
      <c r="M164" s="629"/>
    </row>
    <row r="165" spans="10:13" x14ac:dyDescent="0.2">
      <c r="L165" s="566"/>
      <c r="M165" s="629"/>
    </row>
    <row r="166" spans="10:13" x14ac:dyDescent="0.2">
      <c r="L166" s="566"/>
      <c r="M166" s="629"/>
    </row>
    <row r="167" spans="10:13" x14ac:dyDescent="0.2">
      <c r="L167" s="566"/>
    </row>
    <row r="168" spans="10:13" x14ac:dyDescent="0.2">
      <c r="L168" s="566"/>
    </row>
    <row r="169" spans="10:13" x14ac:dyDescent="0.2">
      <c r="L169" s="566"/>
    </row>
  </sheetData>
  <mergeCells count="5">
    <mergeCell ref="A7:L7"/>
    <mergeCell ref="M7:O7"/>
    <mergeCell ref="U7:V7"/>
    <mergeCell ref="D9:F9"/>
    <mergeCell ref="H9:K9"/>
  </mergeCells>
  <conditionalFormatting sqref="Z9:Z57 P58:P74">
    <cfRule type="aboveAverage" dxfId="7" priority="1" aboveAverage="0" stdDev="1"/>
    <cfRule type="aboveAverage" dxfId="6" priority="2" stdDev="1"/>
  </conditionalFormatting>
  <dataValidations count="1">
    <dataValidation type="list" allowBlank="1" showInputMessage="1" showErrorMessage="1" sqref="B5" xr:uid="{8EFF5A17-1812-447F-A0B5-E432CC65DF14}">
      <formula1>$AB$5:$AB$8</formula1>
    </dataValidation>
  </dataValidations>
  <pageMargins left="0.7" right="0.7" top="0.75" bottom="0.75" header="0.3" footer="0.3"/>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FF2A2-9DA8-4241-8B1B-EAECCF3DC953}">
  <dimension ref="A1:Q161"/>
  <sheetViews>
    <sheetView workbookViewId="0">
      <selection activeCell="G14" sqref="G14"/>
    </sheetView>
  </sheetViews>
  <sheetFormatPr defaultColWidth="7.88671875" defaultRowHeight="10.199999999999999" x14ac:dyDescent="0.2"/>
  <cols>
    <col min="1" max="1" width="15.6640625" style="566" bestFit="1" customWidth="1"/>
    <col min="2" max="2" width="9.5546875" style="566" bestFit="1" customWidth="1"/>
    <col min="3" max="3" width="5.109375" style="633" customWidth="1"/>
    <col min="4" max="6" width="7.6640625" style="633" customWidth="1"/>
    <col min="7" max="7" width="6.33203125" style="629" customWidth="1"/>
    <col min="8" max="8" width="6.88671875" style="632" customWidth="1"/>
    <col min="9" max="9" width="9.6640625" style="629" customWidth="1"/>
    <col min="10" max="10" width="8.6640625" style="629" bestFit="1" customWidth="1"/>
    <col min="11" max="11" width="18.6640625" style="623" customWidth="1"/>
    <col min="12" max="12" width="17.33203125" style="630" bestFit="1" customWidth="1"/>
    <col min="13" max="13" width="12.88671875" style="566" customWidth="1"/>
    <col min="14" max="14" width="11.33203125" style="566" customWidth="1"/>
    <col min="15" max="15" width="14.5546875" style="578" customWidth="1"/>
    <col min="16" max="16" width="2.44140625" style="578" customWidth="1"/>
    <col min="17" max="17" width="14" style="566" bestFit="1" customWidth="1"/>
    <col min="18" max="18" width="5.44140625" style="566" customWidth="1"/>
    <col min="19" max="27" width="5.33203125" style="566" customWidth="1"/>
    <col min="28" max="28" width="17" style="566" customWidth="1"/>
    <col min="29" max="16384" width="7.88671875" style="566"/>
  </cols>
  <sheetData>
    <row r="1" spans="1:15" s="402" customFormat="1" ht="13.2" x14ac:dyDescent="0.25">
      <c r="A1" s="669" t="s">
        <v>108</v>
      </c>
      <c r="B1" s="670" t="s">
        <v>163</v>
      </c>
      <c r="C1" s="396"/>
      <c r="D1" s="670"/>
      <c r="E1" s="397"/>
      <c r="F1" s="397"/>
      <c r="G1" s="398"/>
      <c r="H1" s="399" t="s">
        <v>193</v>
      </c>
      <c r="I1" s="400">
        <f>M12</f>
        <v>87</v>
      </c>
      <c r="J1" s="401"/>
      <c r="K1" s="670"/>
      <c r="L1" s="670"/>
      <c r="M1" s="671"/>
      <c r="N1" s="403"/>
    </row>
    <row r="2" spans="1:15" s="402" customFormat="1" ht="13.2" x14ac:dyDescent="0.25">
      <c r="A2" s="672" t="s">
        <v>110</v>
      </c>
      <c r="B2" s="414" t="s">
        <v>214</v>
      </c>
      <c r="C2" s="406"/>
      <c r="D2" s="414"/>
      <c r="E2" s="407"/>
      <c r="F2" s="407"/>
      <c r="G2" s="408"/>
      <c r="H2" s="409" t="s">
        <v>194</v>
      </c>
      <c r="I2" s="673">
        <f>M12</f>
        <v>87</v>
      </c>
      <c r="J2" s="411"/>
      <c r="K2" s="414"/>
      <c r="L2" s="414"/>
      <c r="M2" s="674"/>
      <c r="N2" s="412"/>
    </row>
    <row r="3" spans="1:15" s="416" customFormat="1" ht="11.25" customHeight="1" x14ac:dyDescent="0.25">
      <c r="A3" s="675" t="s">
        <v>112</v>
      </c>
      <c r="B3" s="665">
        <v>45551</v>
      </c>
      <c r="C3" s="406"/>
      <c r="D3" s="407"/>
      <c r="E3" s="407"/>
      <c r="F3" s="407"/>
      <c r="G3" s="408"/>
      <c r="H3" s="413" t="s">
        <v>195</v>
      </c>
      <c r="I3" s="676">
        <f>M45/100</f>
        <v>0.87</v>
      </c>
      <c r="J3" s="411"/>
      <c r="K3" s="414"/>
      <c r="L3" s="414"/>
      <c r="M3" s="677"/>
      <c r="N3" s="417"/>
    </row>
    <row r="4" spans="1:15" s="402" customFormat="1" ht="13.2" x14ac:dyDescent="0.25">
      <c r="A4" s="675" t="s">
        <v>114</v>
      </c>
      <c r="B4" s="414" t="s">
        <v>202</v>
      </c>
      <c r="C4" s="406"/>
      <c r="D4" s="407"/>
      <c r="E4" s="407"/>
      <c r="F4" s="407"/>
      <c r="G4" s="408"/>
      <c r="H4" s="413" t="s">
        <v>196</v>
      </c>
      <c r="I4" s="676">
        <f>J19</f>
        <v>0.5302705789962161</v>
      </c>
      <c r="J4" s="411"/>
      <c r="K4" s="414"/>
      <c r="L4" s="414"/>
      <c r="M4" s="674"/>
      <c r="N4" s="403"/>
    </row>
    <row r="5" spans="1:15" s="423" customFormat="1" ht="13.2" x14ac:dyDescent="0.25">
      <c r="A5" s="672" t="s">
        <v>116</v>
      </c>
      <c r="B5" s="420" t="s">
        <v>117</v>
      </c>
      <c r="C5" s="406"/>
      <c r="D5" s="407"/>
      <c r="E5" s="407"/>
      <c r="F5" s="407"/>
      <c r="G5" s="408"/>
      <c r="H5" s="413"/>
      <c r="I5" s="421"/>
      <c r="J5" s="411"/>
      <c r="K5" s="414"/>
      <c r="L5" s="414"/>
      <c r="M5" s="451"/>
      <c r="N5" s="422"/>
    </row>
    <row r="6" spans="1:15" s="422" customFormat="1" ht="13.8" thickBot="1" x14ac:dyDescent="0.25">
      <c r="A6" s="678"/>
      <c r="B6" s="679"/>
      <c r="C6" s="680"/>
      <c r="D6" s="681"/>
      <c r="E6" s="681"/>
      <c r="F6" s="681"/>
      <c r="G6" s="682"/>
      <c r="H6" s="683"/>
      <c r="I6" s="684"/>
      <c r="J6" s="682"/>
      <c r="K6" s="685"/>
      <c r="L6" s="679"/>
      <c r="M6" s="686"/>
    </row>
    <row r="7" spans="1:15" s="423" customFormat="1" ht="13.2" customHeight="1" x14ac:dyDescent="0.2">
      <c r="A7" s="687" t="s">
        <v>118</v>
      </c>
      <c r="B7" s="688"/>
      <c r="C7" s="689"/>
      <c r="D7" s="690"/>
      <c r="E7" s="691" t="s">
        <v>119</v>
      </c>
      <c r="F7" s="688"/>
      <c r="G7" s="645" t="s">
        <v>120</v>
      </c>
      <c r="H7" s="435"/>
      <c r="I7" s="692" t="s">
        <v>121</v>
      </c>
      <c r="J7" s="692"/>
      <c r="K7" s="436"/>
      <c r="L7" s="886" t="s">
        <v>122</v>
      </c>
      <c r="M7" s="887"/>
      <c r="N7" s="422"/>
      <c r="O7" s="422"/>
    </row>
    <row r="8" spans="1:15" s="453" customFormat="1" ht="11.25" customHeight="1" x14ac:dyDescent="0.2">
      <c r="A8" s="437"/>
      <c r="B8" s="432"/>
      <c r="C8" s="438"/>
      <c r="D8" s="447"/>
      <c r="E8" s="693"/>
      <c r="F8" s="447"/>
      <c r="G8" s="694"/>
      <c r="H8" s="449"/>
      <c r="I8" s="475"/>
      <c r="J8" s="475"/>
      <c r="K8" s="450"/>
      <c r="L8" s="451"/>
      <c r="M8" s="451"/>
      <c r="N8" s="452"/>
    </row>
    <row r="9" spans="1:15" s="464" customFormat="1" x14ac:dyDescent="0.2">
      <c r="C9" s="455"/>
      <c r="D9" s="695"/>
      <c r="E9" s="693" t="s">
        <v>125</v>
      </c>
      <c r="F9" s="447"/>
      <c r="G9" s="694"/>
      <c r="H9" s="449"/>
      <c r="I9" s="578"/>
      <c r="J9" s="578"/>
      <c r="K9" s="450"/>
      <c r="L9" s="460"/>
      <c r="M9" s="461"/>
      <c r="N9" s="462"/>
      <c r="O9" s="463"/>
    </row>
    <row r="10" spans="1:15" s="464" customFormat="1" x14ac:dyDescent="0.2">
      <c r="A10" s="465" t="s">
        <v>126</v>
      </c>
      <c r="B10" s="466" t="s">
        <v>51</v>
      </c>
      <c r="C10" s="467" t="s">
        <v>127</v>
      </c>
      <c r="D10" s="474" t="s">
        <v>137</v>
      </c>
      <c r="E10" s="472" t="s">
        <v>138</v>
      </c>
      <c r="F10" s="474" t="s">
        <v>139</v>
      </c>
      <c r="G10" s="694" t="s">
        <v>140</v>
      </c>
      <c r="H10" s="449" t="s">
        <v>141</v>
      </c>
      <c r="I10" s="475" t="s">
        <v>141</v>
      </c>
      <c r="J10" s="475" t="s">
        <v>140</v>
      </c>
      <c r="K10" s="476" t="s">
        <v>142</v>
      </c>
      <c r="L10" s="460" t="s">
        <v>143</v>
      </c>
      <c r="M10" s="460" t="s">
        <v>144</v>
      </c>
      <c r="N10" s="477"/>
    </row>
    <row r="11" spans="1:15" s="464" customFormat="1" ht="12" thickBot="1" x14ac:dyDescent="0.35">
      <c r="A11" s="478" t="s">
        <v>145</v>
      </c>
      <c r="B11" s="479" t="s">
        <v>145</v>
      </c>
      <c r="C11" s="480" t="s">
        <v>146</v>
      </c>
      <c r="D11" s="489" t="s">
        <v>148</v>
      </c>
      <c r="E11" s="487" t="s">
        <v>146</v>
      </c>
      <c r="F11" s="489" t="s">
        <v>146</v>
      </c>
      <c r="G11" s="696" t="s">
        <v>149</v>
      </c>
      <c r="H11" s="491" t="s">
        <v>150</v>
      </c>
      <c r="I11" s="490" t="s">
        <v>150</v>
      </c>
      <c r="J11" s="490" t="s">
        <v>149</v>
      </c>
      <c r="K11" s="493"/>
      <c r="L11" s="494"/>
      <c r="M11" s="495" t="s">
        <v>146</v>
      </c>
      <c r="N11" s="477"/>
    </row>
    <row r="12" spans="1:15" s="464" customFormat="1" x14ac:dyDescent="0.3">
      <c r="A12" s="515"/>
      <c r="B12" s="516"/>
      <c r="C12" s="504">
        <v>0</v>
      </c>
      <c r="D12" s="697"/>
      <c r="E12" s="698"/>
      <c r="F12" s="699"/>
      <c r="G12" s="700"/>
      <c r="H12" s="525"/>
      <c r="I12" s="701"/>
      <c r="J12" s="702"/>
      <c r="K12" s="528"/>
      <c r="L12" s="512" t="s">
        <v>197</v>
      </c>
      <c r="M12" s="513">
        <v>87</v>
      </c>
      <c r="N12" s="514"/>
    </row>
    <row r="13" spans="1:15" s="464" customFormat="1" x14ac:dyDescent="0.3">
      <c r="A13" s="515">
        <v>505</v>
      </c>
      <c r="B13" s="516">
        <v>0</v>
      </c>
      <c r="C13" s="504">
        <v>10</v>
      </c>
      <c r="D13" s="697">
        <v>966</v>
      </c>
      <c r="E13" s="703">
        <f>C12</f>
        <v>0</v>
      </c>
      <c r="F13" s="704">
        <f>(C13+C14-10)/2</f>
        <v>10</v>
      </c>
      <c r="G13" s="524">
        <f t="shared" ref="G13:G19" si="0">(A13-B13)/966</f>
        <v>0.52277432712215322</v>
      </c>
      <c r="H13" s="705">
        <f t="shared" ref="H13:H19" si="1">(G13*(F13-E13))/100</f>
        <v>5.2277432712215327E-2</v>
      </c>
      <c r="I13" s="706">
        <f>SUM(H$13:H13)</f>
        <v>5.2277432712215327E-2</v>
      </c>
      <c r="J13" s="527">
        <f t="shared" ref="J13:J19" si="2">I13/F13*100</f>
        <v>0.52277432712215333</v>
      </c>
      <c r="K13" s="528"/>
      <c r="L13" s="529"/>
      <c r="M13" s="530"/>
      <c r="N13" s="477"/>
    </row>
    <row r="14" spans="1:15" s="464" customFormat="1" x14ac:dyDescent="0.3">
      <c r="A14" s="515">
        <v>510</v>
      </c>
      <c r="B14" s="516">
        <v>0</v>
      </c>
      <c r="C14" s="504">
        <v>20</v>
      </c>
      <c r="D14" s="697">
        <v>966</v>
      </c>
      <c r="E14" s="703">
        <f>(C13+C14-10)/2</f>
        <v>10</v>
      </c>
      <c r="F14" s="704">
        <f>(C14+C15-10)/2</f>
        <v>20</v>
      </c>
      <c r="G14" s="524">
        <f t="shared" si="0"/>
        <v>0.52795031055900621</v>
      </c>
      <c r="H14" s="705">
        <f t="shared" si="1"/>
        <v>5.2795031055900624E-2</v>
      </c>
      <c r="I14" s="706">
        <f>SUM(H$13:H14)</f>
        <v>0.10507246376811595</v>
      </c>
      <c r="J14" s="527">
        <f t="shared" si="2"/>
        <v>0.52536231884057982</v>
      </c>
      <c r="K14" s="528"/>
      <c r="L14" s="529"/>
      <c r="M14" s="530"/>
      <c r="N14" s="477"/>
    </row>
    <row r="15" spans="1:15" s="464" customFormat="1" x14ac:dyDescent="0.3">
      <c r="A15" s="515">
        <v>540</v>
      </c>
      <c r="B15" s="516">
        <v>0</v>
      </c>
      <c r="C15" s="504">
        <v>30</v>
      </c>
      <c r="D15" s="697">
        <v>966</v>
      </c>
      <c r="E15" s="703">
        <f>(C14+C15-10)/2</f>
        <v>20</v>
      </c>
      <c r="F15" s="704">
        <f>(C15+C16-10)/2</f>
        <v>30</v>
      </c>
      <c r="G15" s="524">
        <f t="shared" si="0"/>
        <v>0.55900621118012417</v>
      </c>
      <c r="H15" s="705">
        <f t="shared" si="1"/>
        <v>5.5900621118012417E-2</v>
      </c>
      <c r="I15" s="706">
        <f>SUM(H$13:H15)</f>
        <v>0.16097308488612838</v>
      </c>
      <c r="J15" s="527">
        <f t="shared" si="2"/>
        <v>0.5365769496204279</v>
      </c>
      <c r="K15" s="528"/>
      <c r="L15" s="529"/>
      <c r="M15" s="531"/>
      <c r="N15" s="477"/>
    </row>
    <row r="16" spans="1:15" s="464" customFormat="1" x14ac:dyDescent="0.3">
      <c r="A16" s="532">
        <v>540</v>
      </c>
      <c r="B16" s="516">
        <v>0</v>
      </c>
      <c r="C16" s="504">
        <v>40</v>
      </c>
      <c r="D16" s="697">
        <v>966</v>
      </c>
      <c r="E16" s="703">
        <f>(C15+C16-10)/2</f>
        <v>30</v>
      </c>
      <c r="F16" s="704">
        <f>(C16+C17-10)/2</f>
        <v>40</v>
      </c>
      <c r="G16" s="524">
        <f t="shared" si="0"/>
        <v>0.55900621118012417</v>
      </c>
      <c r="H16" s="705">
        <f t="shared" si="1"/>
        <v>5.5900621118012417E-2</v>
      </c>
      <c r="I16" s="706">
        <f>SUM(H$13:H16)</f>
        <v>0.2168737060041408</v>
      </c>
      <c r="J16" s="527">
        <f t="shared" si="2"/>
        <v>0.542184265010352</v>
      </c>
      <c r="K16" s="528"/>
      <c r="L16" s="529"/>
      <c r="M16" s="530"/>
      <c r="N16" s="477"/>
    </row>
    <row r="17" spans="1:17" s="464" customFormat="1" x14ac:dyDescent="0.3">
      <c r="A17" s="532">
        <v>495</v>
      </c>
      <c r="B17" s="516">
        <v>0</v>
      </c>
      <c r="C17" s="504">
        <v>50</v>
      </c>
      <c r="D17" s="697">
        <v>966</v>
      </c>
      <c r="E17" s="703">
        <f>(C16+C17-10)/2</f>
        <v>40</v>
      </c>
      <c r="F17" s="704">
        <f>(C17+C18-10)/2</f>
        <v>50</v>
      </c>
      <c r="G17" s="524">
        <f t="shared" si="0"/>
        <v>0.51242236024844723</v>
      </c>
      <c r="H17" s="705">
        <f t="shared" si="1"/>
        <v>5.124223602484472E-2</v>
      </c>
      <c r="I17" s="706">
        <f>SUM(H$13:H17)</f>
        <v>0.26811594202898553</v>
      </c>
      <c r="J17" s="527">
        <f t="shared" si="2"/>
        <v>0.53623188405797106</v>
      </c>
      <c r="K17" s="707" t="s">
        <v>155</v>
      </c>
      <c r="L17" s="529"/>
      <c r="M17" s="530"/>
      <c r="N17" s="462"/>
    </row>
    <row r="18" spans="1:17" s="464" customFormat="1" x14ac:dyDescent="0.3">
      <c r="A18" s="532">
        <v>530</v>
      </c>
      <c r="B18" s="516">
        <v>0</v>
      </c>
      <c r="C18" s="504">
        <v>60</v>
      </c>
      <c r="D18" s="697">
        <v>966</v>
      </c>
      <c r="E18" s="703">
        <f>(C17+C18-10)/2</f>
        <v>50</v>
      </c>
      <c r="F18" s="704">
        <v>60</v>
      </c>
      <c r="G18" s="524">
        <f t="shared" si="0"/>
        <v>0.54865424430641818</v>
      </c>
      <c r="H18" s="705">
        <f t="shared" si="1"/>
        <v>5.4865424430641817E-2</v>
      </c>
      <c r="I18" s="706">
        <f>SUM(H$13:H18)</f>
        <v>0.32298136645962733</v>
      </c>
      <c r="J18" s="527">
        <f t="shared" si="2"/>
        <v>0.5383022774327122</v>
      </c>
      <c r="K18" s="533"/>
      <c r="L18" s="529"/>
      <c r="M18" s="530"/>
      <c r="N18" s="462"/>
    </row>
    <row r="19" spans="1:17" s="537" customFormat="1" x14ac:dyDescent="0.3">
      <c r="A19" s="532">
        <v>495</v>
      </c>
      <c r="B19" s="516">
        <v>0</v>
      </c>
      <c r="C19" s="504">
        <v>70</v>
      </c>
      <c r="D19" s="697">
        <v>966</v>
      </c>
      <c r="E19" s="703">
        <v>60</v>
      </c>
      <c r="F19" s="704">
        <v>87</v>
      </c>
      <c r="G19" s="524">
        <f t="shared" si="0"/>
        <v>0.51242236024844723</v>
      </c>
      <c r="H19" s="705">
        <f t="shared" si="1"/>
        <v>0.13835403726708073</v>
      </c>
      <c r="I19" s="706">
        <f>SUM(H$13:H19)</f>
        <v>0.46133540372670806</v>
      </c>
      <c r="J19" s="527">
        <f t="shared" si="2"/>
        <v>0.5302705789962161</v>
      </c>
      <c r="K19" s="709" t="s">
        <v>241</v>
      </c>
      <c r="L19" s="529"/>
      <c r="M19" s="530"/>
      <c r="N19" s="555"/>
    </row>
    <row r="20" spans="1:17" s="537" customFormat="1" x14ac:dyDescent="0.3">
      <c r="A20" s="532"/>
      <c r="B20" s="516"/>
      <c r="C20" s="504"/>
      <c r="D20" s="697"/>
      <c r="E20" s="703"/>
      <c r="F20" s="704"/>
      <c r="G20" s="524"/>
      <c r="H20" s="705"/>
      <c r="I20" s="706"/>
      <c r="J20" s="527"/>
      <c r="K20" s="709"/>
      <c r="L20" s="529"/>
      <c r="M20" s="530"/>
      <c r="N20" s="555"/>
    </row>
    <row r="21" spans="1:17" x14ac:dyDescent="0.2">
      <c r="A21" s="532"/>
      <c r="B21" s="516"/>
      <c r="C21" s="504"/>
      <c r="D21" s="697"/>
      <c r="E21" s="703"/>
      <c r="F21" s="704"/>
      <c r="G21" s="524"/>
      <c r="H21" s="705"/>
      <c r="I21" s="706"/>
      <c r="J21" s="527"/>
      <c r="K21" s="709"/>
      <c r="L21" s="529"/>
      <c r="M21" s="530"/>
      <c r="N21" s="555"/>
      <c r="O21" s="537"/>
      <c r="P21" s="537"/>
    </row>
    <row r="22" spans="1:17" x14ac:dyDescent="0.2">
      <c r="A22" s="532"/>
      <c r="B22" s="516"/>
      <c r="C22" s="504"/>
      <c r="D22" s="697"/>
      <c r="E22" s="703"/>
      <c r="F22" s="704"/>
      <c r="G22" s="524"/>
      <c r="H22" s="705"/>
      <c r="I22" s="706"/>
      <c r="J22" s="527"/>
      <c r="K22" s="709"/>
      <c r="L22" s="529"/>
      <c r="M22" s="530"/>
      <c r="N22" s="555"/>
      <c r="O22" s="537"/>
      <c r="P22" s="537"/>
    </row>
    <row r="23" spans="1:17" x14ac:dyDescent="0.2">
      <c r="A23" s="532"/>
      <c r="B23" s="516"/>
      <c r="C23" s="504"/>
      <c r="D23" s="697"/>
      <c r="E23" s="703"/>
      <c r="F23" s="704"/>
      <c r="G23" s="524"/>
      <c r="H23" s="705"/>
      <c r="I23" s="706"/>
      <c r="J23" s="527"/>
      <c r="K23" s="709"/>
      <c r="L23" s="529"/>
      <c r="M23" s="530"/>
      <c r="N23" s="555"/>
      <c r="O23" s="537"/>
      <c r="P23" s="537"/>
    </row>
    <row r="24" spans="1:17" x14ac:dyDescent="0.2">
      <c r="A24" s="532"/>
      <c r="B24" s="516"/>
      <c r="C24" s="504"/>
      <c r="D24" s="697"/>
      <c r="E24" s="703"/>
      <c r="F24" s="704"/>
      <c r="G24" s="524"/>
      <c r="H24" s="705"/>
      <c r="I24" s="706"/>
      <c r="J24" s="527"/>
      <c r="K24" s="538"/>
      <c r="L24" s="529"/>
      <c r="M24" s="530"/>
      <c r="N24" s="555"/>
      <c r="O24" s="537"/>
      <c r="P24" s="537"/>
    </row>
    <row r="25" spans="1:17" x14ac:dyDescent="0.2">
      <c r="A25" s="532"/>
      <c r="B25" s="516"/>
      <c r="C25" s="504"/>
      <c r="D25" s="697"/>
      <c r="E25" s="703"/>
      <c r="F25" s="704"/>
      <c r="G25" s="524"/>
      <c r="H25" s="705"/>
      <c r="I25" s="706"/>
      <c r="J25" s="527"/>
      <c r="K25" s="538"/>
      <c r="L25" s="529"/>
      <c r="M25" s="530"/>
      <c r="N25" s="555"/>
      <c r="O25" s="537"/>
      <c r="P25" s="537"/>
    </row>
    <row r="26" spans="1:17" x14ac:dyDescent="0.2">
      <c r="A26" s="532"/>
      <c r="B26" s="516"/>
      <c r="C26" s="504"/>
      <c r="D26" s="697"/>
      <c r="E26" s="703"/>
      <c r="F26" s="704"/>
      <c r="G26" s="524"/>
      <c r="H26" s="705"/>
      <c r="I26" s="706"/>
      <c r="J26" s="527"/>
      <c r="K26" s="538"/>
      <c r="L26" s="529"/>
      <c r="M26" s="530"/>
      <c r="N26" s="567"/>
      <c r="O26" s="566"/>
      <c r="P26" s="566"/>
    </row>
    <row r="27" spans="1:17" x14ac:dyDescent="0.2">
      <c r="A27" s="532"/>
      <c r="B27" s="516"/>
      <c r="C27" s="504"/>
      <c r="D27" s="697"/>
      <c r="E27" s="703"/>
      <c r="F27" s="704"/>
      <c r="G27" s="524"/>
      <c r="H27" s="705"/>
      <c r="I27" s="706"/>
      <c r="J27" s="527"/>
      <c r="K27" s="538"/>
      <c r="L27" s="529"/>
      <c r="M27" s="530"/>
      <c r="N27" s="568"/>
      <c r="O27" s="569"/>
      <c r="P27" s="570"/>
      <c r="Q27" s="569"/>
    </row>
    <row r="28" spans="1:17" x14ac:dyDescent="0.2">
      <c r="A28" s="532"/>
      <c r="B28" s="516"/>
      <c r="C28" s="504"/>
      <c r="D28" s="697"/>
      <c r="E28" s="703"/>
      <c r="F28" s="704"/>
      <c r="G28" s="524"/>
      <c r="H28" s="705"/>
      <c r="I28" s="706"/>
      <c r="J28" s="527"/>
      <c r="K28" s="538"/>
      <c r="L28" s="529"/>
      <c r="M28" s="530"/>
      <c r="N28" s="568"/>
      <c r="O28" s="569"/>
      <c r="P28" s="571"/>
      <c r="Q28" s="569"/>
    </row>
    <row r="29" spans="1:17" x14ac:dyDescent="0.2">
      <c r="A29" s="532"/>
      <c r="B29" s="516"/>
      <c r="C29" s="504"/>
      <c r="D29" s="697"/>
      <c r="E29" s="703"/>
      <c r="F29" s="704"/>
      <c r="G29" s="524"/>
      <c r="H29" s="705"/>
      <c r="I29" s="706"/>
      <c r="J29" s="527"/>
      <c r="K29" s="538"/>
      <c r="L29" s="529"/>
      <c r="M29" s="530"/>
      <c r="N29" s="572"/>
      <c r="O29" s="569"/>
      <c r="P29" s="569"/>
      <c r="Q29" s="569"/>
    </row>
    <row r="30" spans="1:17" x14ac:dyDescent="0.2">
      <c r="A30" s="532"/>
      <c r="B30" s="516"/>
      <c r="C30" s="504"/>
      <c r="D30" s="697"/>
      <c r="E30" s="703"/>
      <c r="F30" s="704"/>
      <c r="G30" s="524"/>
      <c r="H30" s="705"/>
      <c r="I30" s="706"/>
      <c r="J30" s="527"/>
      <c r="K30" s="538"/>
      <c r="L30" s="529"/>
      <c r="M30" s="530"/>
      <c r="N30" s="573"/>
      <c r="O30" s="574"/>
      <c r="P30" s="566"/>
    </row>
    <row r="31" spans="1:17" x14ac:dyDescent="0.2">
      <c r="A31" s="532"/>
      <c r="B31" s="516"/>
      <c r="C31" s="504"/>
      <c r="D31" s="697"/>
      <c r="E31" s="703"/>
      <c r="F31" s="704"/>
      <c r="G31" s="524"/>
      <c r="H31" s="705"/>
      <c r="I31" s="706"/>
      <c r="J31" s="527"/>
      <c r="K31" s="538"/>
      <c r="L31" s="529"/>
      <c r="M31" s="530"/>
      <c r="N31" s="574"/>
      <c r="O31" s="574"/>
      <c r="P31" s="566"/>
    </row>
    <row r="32" spans="1:17" x14ac:dyDescent="0.2">
      <c r="A32" s="532"/>
      <c r="B32" s="516"/>
      <c r="C32" s="504"/>
      <c r="D32" s="697"/>
      <c r="E32" s="703"/>
      <c r="F32" s="704"/>
      <c r="G32" s="524"/>
      <c r="H32" s="705"/>
      <c r="I32" s="706"/>
      <c r="J32" s="527"/>
      <c r="K32" s="538"/>
      <c r="L32" s="529"/>
      <c r="M32" s="530"/>
      <c r="O32" s="566"/>
      <c r="P32" s="566"/>
    </row>
    <row r="33" spans="1:17" x14ac:dyDescent="0.2">
      <c r="A33" s="532"/>
      <c r="B33" s="516"/>
      <c r="C33" s="504"/>
      <c r="D33" s="697"/>
      <c r="E33" s="703"/>
      <c r="F33" s="704"/>
      <c r="G33" s="524"/>
      <c r="H33" s="705"/>
      <c r="I33" s="706"/>
      <c r="J33" s="527"/>
      <c r="K33" s="538"/>
      <c r="L33" s="529"/>
      <c r="M33" s="530"/>
      <c r="O33" s="566"/>
      <c r="P33" s="566"/>
    </row>
    <row r="34" spans="1:17" x14ac:dyDescent="0.2">
      <c r="A34" s="532"/>
      <c r="B34" s="516"/>
      <c r="C34" s="504"/>
      <c r="D34" s="697"/>
      <c r="E34" s="703"/>
      <c r="F34" s="704"/>
      <c r="G34" s="524"/>
      <c r="H34" s="705"/>
      <c r="I34" s="706"/>
      <c r="J34" s="527"/>
      <c r="K34" s="538"/>
      <c r="L34" s="529"/>
      <c r="M34" s="530"/>
      <c r="O34" s="566"/>
      <c r="P34" s="566"/>
    </row>
    <row r="35" spans="1:17" x14ac:dyDescent="0.2">
      <c r="A35" s="532"/>
      <c r="B35" s="516"/>
      <c r="C35" s="504"/>
      <c r="D35" s="697"/>
      <c r="E35" s="703"/>
      <c r="F35" s="704"/>
      <c r="G35" s="524"/>
      <c r="H35" s="705"/>
      <c r="I35" s="706"/>
      <c r="J35" s="527"/>
      <c r="K35" s="538"/>
      <c r="L35" s="529"/>
      <c r="M35" s="530"/>
      <c r="O35" s="566"/>
      <c r="P35" s="566"/>
    </row>
    <row r="36" spans="1:17" x14ac:dyDescent="0.2">
      <c r="A36" s="532"/>
      <c r="B36" s="516"/>
      <c r="C36" s="504"/>
      <c r="D36" s="697"/>
      <c r="E36" s="703"/>
      <c r="F36" s="704"/>
      <c r="G36" s="524"/>
      <c r="H36" s="705"/>
      <c r="I36" s="706"/>
      <c r="J36" s="527"/>
      <c r="K36" s="538"/>
      <c r="L36" s="529"/>
      <c r="M36" s="530"/>
      <c r="O36" s="566"/>
      <c r="P36" s="566"/>
    </row>
    <row r="37" spans="1:17" x14ac:dyDescent="0.2">
      <c r="A37" s="532"/>
      <c r="B37" s="516"/>
      <c r="C37" s="504"/>
      <c r="D37" s="697"/>
      <c r="E37" s="703"/>
      <c r="F37" s="704"/>
      <c r="G37" s="524"/>
      <c r="H37" s="705"/>
      <c r="I37" s="706"/>
      <c r="J37" s="527"/>
      <c r="K37" s="538"/>
      <c r="L37" s="529"/>
      <c r="M37" s="530"/>
      <c r="O37" s="566"/>
      <c r="P37" s="566"/>
    </row>
    <row r="38" spans="1:17" x14ac:dyDescent="0.2">
      <c r="A38" s="532"/>
      <c r="B38" s="516"/>
      <c r="C38" s="504"/>
      <c r="D38" s="697"/>
      <c r="E38" s="703"/>
      <c r="F38" s="704"/>
      <c r="G38" s="524"/>
      <c r="H38" s="705"/>
      <c r="I38" s="706"/>
      <c r="J38" s="527"/>
      <c r="K38" s="538"/>
      <c r="L38" s="529"/>
      <c r="M38" s="530"/>
      <c r="O38" s="566"/>
      <c r="P38" s="566"/>
    </row>
    <row r="39" spans="1:17" x14ac:dyDescent="0.2">
      <c r="A39" s="532"/>
      <c r="B39" s="516"/>
      <c r="C39" s="504"/>
      <c r="D39" s="697"/>
      <c r="E39" s="703"/>
      <c r="F39" s="704"/>
      <c r="G39" s="524"/>
      <c r="H39" s="705"/>
      <c r="I39" s="706"/>
      <c r="J39" s="527"/>
      <c r="K39" s="538"/>
      <c r="L39" s="529"/>
      <c r="M39" s="530"/>
      <c r="O39" s="566"/>
      <c r="P39" s="566"/>
    </row>
    <row r="40" spans="1:17" x14ac:dyDescent="0.2">
      <c r="A40" s="532"/>
      <c r="B40" s="516"/>
      <c r="C40" s="504"/>
      <c r="D40" s="697"/>
      <c r="E40" s="703"/>
      <c r="F40" s="704"/>
      <c r="G40" s="524"/>
      <c r="H40" s="705"/>
      <c r="I40" s="706"/>
      <c r="J40" s="527"/>
      <c r="K40" s="538"/>
      <c r="L40" s="529"/>
      <c r="M40" s="530"/>
      <c r="O40" s="566"/>
      <c r="P40" s="566"/>
    </row>
    <row r="41" spans="1:17" x14ac:dyDescent="0.2">
      <c r="A41" s="532"/>
      <c r="B41" s="516"/>
      <c r="C41" s="504"/>
      <c r="D41" s="697"/>
      <c r="E41" s="703"/>
      <c r="F41" s="704"/>
      <c r="G41" s="524"/>
      <c r="H41" s="705"/>
      <c r="I41" s="706"/>
      <c r="J41" s="527"/>
      <c r="K41" s="538"/>
      <c r="L41" s="529"/>
      <c r="M41" s="530"/>
      <c r="O41" s="566"/>
      <c r="P41" s="566"/>
    </row>
    <row r="42" spans="1:17" x14ac:dyDescent="0.2">
      <c r="A42" s="532"/>
      <c r="B42" s="516"/>
      <c r="C42" s="504"/>
      <c r="D42" s="697"/>
      <c r="E42" s="703"/>
      <c r="F42" s="704"/>
      <c r="G42" s="524"/>
      <c r="H42" s="705"/>
      <c r="I42" s="706"/>
      <c r="J42" s="527"/>
      <c r="K42" s="538"/>
      <c r="L42" s="529"/>
      <c r="M42" s="530"/>
      <c r="O42" s="566"/>
      <c r="P42" s="566"/>
    </row>
    <row r="43" spans="1:17" x14ac:dyDescent="0.2">
      <c r="A43" s="532"/>
      <c r="B43" s="516"/>
      <c r="C43" s="504"/>
      <c r="D43" s="697"/>
      <c r="E43" s="703"/>
      <c r="F43" s="704"/>
      <c r="G43" s="524"/>
      <c r="H43" s="705"/>
      <c r="I43" s="706"/>
      <c r="J43" s="527"/>
      <c r="K43" s="538"/>
      <c r="L43" s="529"/>
      <c r="M43" s="530"/>
      <c r="O43" s="566"/>
      <c r="P43" s="566"/>
    </row>
    <row r="44" spans="1:17" ht="10.8" thickBot="1" x14ac:dyDescent="0.25">
      <c r="A44" s="532"/>
      <c r="B44" s="516"/>
      <c r="C44" s="504"/>
      <c r="D44" s="697"/>
      <c r="E44" s="703"/>
      <c r="F44" s="704"/>
      <c r="G44" s="524"/>
      <c r="H44" s="705"/>
      <c r="I44" s="706"/>
      <c r="J44" s="527"/>
      <c r="K44" s="538"/>
      <c r="L44" s="529"/>
      <c r="M44" s="575"/>
      <c r="O44" s="566"/>
      <c r="P44" s="566"/>
    </row>
    <row r="45" spans="1:17" x14ac:dyDescent="0.2">
      <c r="A45" s="532"/>
      <c r="B45" s="516"/>
      <c r="C45" s="504"/>
      <c r="D45" s="697"/>
      <c r="E45" s="703"/>
      <c r="F45" s="704"/>
      <c r="G45" s="524"/>
      <c r="H45" s="705"/>
      <c r="I45" s="706"/>
      <c r="J45" s="527"/>
      <c r="K45" s="538"/>
      <c r="L45" s="576" t="s">
        <v>157</v>
      </c>
      <c r="M45" s="577">
        <f>AVERAGE(M12:M44)</f>
        <v>87</v>
      </c>
      <c r="O45" s="566"/>
      <c r="P45" s="566"/>
    </row>
    <row r="46" spans="1:17" x14ac:dyDescent="0.2">
      <c r="A46" s="532"/>
      <c r="B46" s="516"/>
      <c r="C46" s="504"/>
      <c r="D46" s="697"/>
      <c r="E46" s="703"/>
      <c r="F46" s="704"/>
      <c r="G46" s="524"/>
      <c r="H46" s="705"/>
      <c r="I46" s="706"/>
      <c r="J46" s="527"/>
      <c r="K46" s="538"/>
      <c r="L46" s="403" t="s">
        <v>158</v>
      </c>
      <c r="M46" s="575" t="e">
        <f>STDEV(M12:M44)</f>
        <v>#DIV/0!</v>
      </c>
      <c r="N46" s="578"/>
      <c r="P46" s="566"/>
    </row>
    <row r="47" spans="1:17" x14ac:dyDescent="0.2">
      <c r="A47" s="579" t="s">
        <v>159</v>
      </c>
      <c r="B47" s="580"/>
      <c r="C47" s="581"/>
      <c r="D47" s="710"/>
      <c r="E47" s="711"/>
      <c r="F47" s="712"/>
      <c r="G47" s="586"/>
      <c r="H47" s="713"/>
      <c r="I47" s="714"/>
      <c r="J47" s="589"/>
      <c r="K47" s="590"/>
      <c r="L47" s="403" t="s">
        <v>160</v>
      </c>
      <c r="M47" s="575" t="e">
        <f>M46/SQRT(COUNT(M12:M43))</f>
        <v>#DIV/0!</v>
      </c>
      <c r="N47" s="573"/>
      <c r="Q47" s="578"/>
    </row>
    <row r="48" spans="1:17" x14ac:dyDescent="0.2">
      <c r="A48" s="591"/>
      <c r="B48" s="592"/>
      <c r="C48" s="593"/>
      <c r="D48" s="715"/>
      <c r="E48" s="716"/>
      <c r="F48" s="717"/>
      <c r="G48" s="718"/>
      <c r="H48" s="599"/>
      <c r="I48" s="719"/>
      <c r="J48" s="720"/>
      <c r="K48" s="602"/>
      <c r="L48" s="403" t="s">
        <v>161</v>
      </c>
      <c r="M48" s="575">
        <f>MAX(M12:M43)</f>
        <v>87</v>
      </c>
      <c r="N48" s="573"/>
      <c r="O48" s="566"/>
      <c r="P48" s="566"/>
    </row>
    <row r="49" spans="1:16" ht="10.8" thickBot="1" x14ac:dyDescent="0.25">
      <c r="A49" s="603"/>
      <c r="B49" s="604"/>
      <c r="C49" s="605"/>
      <c r="D49" s="721"/>
      <c r="E49" s="722"/>
      <c r="F49" s="723"/>
      <c r="G49" s="724"/>
      <c r="H49" s="611"/>
      <c r="I49" s="725"/>
      <c r="J49" s="726"/>
      <c r="K49" s="614"/>
      <c r="L49" s="615" t="s">
        <v>162</v>
      </c>
      <c r="M49" s="616">
        <f>MIN(M12:M43)</f>
        <v>87</v>
      </c>
      <c r="N49" s="578"/>
      <c r="O49" s="566"/>
      <c r="P49" s="566"/>
    </row>
    <row r="50" spans="1:16" x14ac:dyDescent="0.2">
      <c r="A50" s="617"/>
      <c r="B50" s="617"/>
      <c r="C50" s="618"/>
      <c r="D50" s="619"/>
      <c r="E50" s="619"/>
      <c r="F50" s="619"/>
      <c r="G50" s="620"/>
      <c r="H50" s="621"/>
      <c r="I50" s="622"/>
      <c r="J50" s="623"/>
      <c r="K50" s="624"/>
      <c r="L50" s="625"/>
      <c r="M50" s="578"/>
      <c r="O50" s="566"/>
      <c r="P50" s="566"/>
    </row>
    <row r="51" spans="1:16" x14ac:dyDescent="0.2">
      <c r="A51" s="578"/>
      <c r="B51" s="578"/>
      <c r="C51" s="627"/>
      <c r="D51" s="627"/>
      <c r="E51" s="627"/>
      <c r="F51" s="627"/>
      <c r="G51" s="622"/>
      <c r="H51" s="621"/>
      <c r="I51" s="622"/>
      <c r="J51" s="623"/>
      <c r="K51" s="628"/>
      <c r="L51" s="625"/>
      <c r="M51" s="578"/>
      <c r="O51" s="566"/>
      <c r="P51" s="566"/>
    </row>
    <row r="52" spans="1:16" x14ac:dyDescent="0.2">
      <c r="A52" s="629"/>
      <c r="B52" s="629"/>
      <c r="C52" s="629"/>
      <c r="D52" s="629"/>
      <c r="E52" s="623"/>
      <c r="F52" s="630"/>
      <c r="G52" s="578"/>
      <c r="H52" s="566"/>
      <c r="I52" s="578"/>
      <c r="J52" s="566"/>
      <c r="K52" s="566"/>
      <c r="L52" s="578"/>
      <c r="M52" s="578"/>
      <c r="O52" s="566"/>
      <c r="P52" s="566"/>
    </row>
    <row r="53" spans="1:16" x14ac:dyDescent="0.2">
      <c r="A53" s="631"/>
      <c r="B53" s="631"/>
      <c r="C53" s="629"/>
      <c r="D53" s="629"/>
      <c r="E53" s="623"/>
      <c r="F53" s="630"/>
      <c r="G53" s="566"/>
      <c r="H53" s="566"/>
      <c r="I53" s="578"/>
      <c r="J53" s="566"/>
      <c r="K53" s="566"/>
      <c r="L53" s="578"/>
      <c r="M53" s="578"/>
      <c r="O53" s="566"/>
      <c r="P53" s="566"/>
    </row>
    <row r="54" spans="1:16" x14ac:dyDescent="0.2">
      <c r="A54" s="475"/>
      <c r="B54" s="475"/>
      <c r="C54" s="629"/>
      <c r="D54" s="629"/>
      <c r="E54" s="623"/>
      <c r="F54" s="630"/>
      <c r="G54" s="566"/>
      <c r="H54" s="566"/>
      <c r="I54" s="578"/>
      <c r="J54" s="566"/>
      <c r="K54" s="566"/>
      <c r="L54" s="578"/>
      <c r="M54" s="578"/>
      <c r="O54" s="566"/>
      <c r="P54" s="566"/>
    </row>
    <row r="55" spans="1:16" x14ac:dyDescent="0.2">
      <c r="A55" s="629"/>
      <c r="B55" s="629"/>
      <c r="C55" s="629"/>
      <c r="D55" s="629"/>
      <c r="E55" s="623"/>
      <c r="F55" s="630"/>
      <c r="G55" s="566"/>
      <c r="H55" s="566"/>
      <c r="I55" s="578"/>
      <c r="J55" s="566"/>
      <c r="K55" s="566"/>
      <c r="L55" s="578"/>
      <c r="M55" s="578"/>
      <c r="O55" s="566"/>
      <c r="P55" s="566"/>
    </row>
    <row r="56" spans="1:16" x14ac:dyDescent="0.2">
      <c r="A56" s="629"/>
      <c r="B56" s="629"/>
      <c r="C56" s="629"/>
      <c r="D56" s="629"/>
      <c r="E56" s="623"/>
      <c r="F56" s="630"/>
      <c r="G56" s="566"/>
      <c r="H56" s="566"/>
      <c r="I56" s="578"/>
      <c r="J56" s="622"/>
      <c r="K56" s="566"/>
      <c r="L56" s="578"/>
      <c r="M56" s="578"/>
      <c r="O56" s="566"/>
      <c r="P56" s="566"/>
    </row>
    <row r="57" spans="1:16" x14ac:dyDescent="0.2">
      <c r="A57" s="629"/>
      <c r="B57" s="629"/>
      <c r="C57" s="629"/>
      <c r="D57" s="629"/>
      <c r="E57" s="623"/>
      <c r="F57" s="630"/>
      <c r="G57" s="566"/>
      <c r="H57" s="566"/>
      <c r="I57" s="578"/>
      <c r="J57" s="622"/>
      <c r="K57" s="566"/>
      <c r="L57" s="578"/>
      <c r="M57" s="578"/>
      <c r="O57" s="566"/>
      <c r="P57" s="566"/>
    </row>
    <row r="58" spans="1:16" x14ac:dyDescent="0.2">
      <c r="A58" s="629"/>
      <c r="B58" s="629"/>
      <c r="C58" s="629"/>
      <c r="D58" s="629"/>
      <c r="E58" s="623"/>
      <c r="F58" s="630"/>
      <c r="G58" s="566"/>
      <c r="H58" s="566"/>
      <c r="I58" s="578"/>
      <c r="J58" s="566"/>
      <c r="K58" s="566"/>
      <c r="L58" s="578"/>
      <c r="M58" s="578"/>
      <c r="O58" s="566"/>
      <c r="P58" s="566"/>
    </row>
    <row r="59" spans="1:16" x14ac:dyDescent="0.2">
      <c r="A59" s="629"/>
      <c r="B59" s="629"/>
      <c r="C59" s="629"/>
      <c r="D59" s="629"/>
      <c r="E59" s="623"/>
      <c r="F59" s="630"/>
      <c r="G59" s="566"/>
      <c r="H59" s="566"/>
      <c r="I59" s="578"/>
      <c r="J59" s="566"/>
      <c r="K59" s="566"/>
      <c r="L59" s="578"/>
      <c r="M59" s="578"/>
      <c r="O59" s="566"/>
      <c r="P59" s="566"/>
    </row>
    <row r="60" spans="1:16" x14ac:dyDescent="0.2">
      <c r="A60" s="629"/>
      <c r="B60" s="629"/>
      <c r="C60" s="629"/>
      <c r="D60" s="629"/>
      <c r="E60" s="623"/>
      <c r="F60" s="630"/>
      <c r="G60" s="566"/>
      <c r="H60" s="566"/>
      <c r="I60" s="578"/>
      <c r="J60" s="566"/>
      <c r="K60" s="566"/>
      <c r="L60" s="578"/>
      <c r="M60" s="578"/>
      <c r="O60" s="566"/>
      <c r="P60" s="566"/>
    </row>
    <row r="61" spans="1:16" x14ac:dyDescent="0.2">
      <c r="A61" s="629"/>
      <c r="B61" s="629"/>
      <c r="C61" s="629"/>
      <c r="D61" s="629"/>
      <c r="E61" s="623"/>
      <c r="F61" s="630"/>
      <c r="G61" s="566"/>
      <c r="H61" s="566"/>
      <c r="I61" s="578"/>
      <c r="J61" s="566"/>
      <c r="K61" s="566"/>
      <c r="L61" s="578"/>
      <c r="M61" s="578"/>
      <c r="O61" s="566"/>
      <c r="P61" s="566"/>
    </row>
    <row r="62" spans="1:16" x14ac:dyDescent="0.2">
      <c r="A62" s="629"/>
      <c r="B62" s="629"/>
      <c r="C62" s="629"/>
      <c r="D62" s="629"/>
      <c r="E62" s="623"/>
      <c r="F62" s="630"/>
      <c r="G62" s="566"/>
      <c r="H62" s="566"/>
      <c r="I62" s="578"/>
      <c r="J62" s="566"/>
      <c r="K62" s="566"/>
      <c r="L62" s="578"/>
      <c r="M62" s="578"/>
      <c r="O62" s="566"/>
      <c r="P62" s="566"/>
    </row>
    <row r="63" spans="1:16" x14ac:dyDescent="0.2">
      <c r="A63" s="629"/>
      <c r="B63" s="629"/>
      <c r="C63" s="629"/>
      <c r="D63" s="629"/>
      <c r="E63" s="623"/>
      <c r="F63" s="630"/>
      <c r="G63" s="566"/>
      <c r="H63" s="566"/>
      <c r="I63" s="578"/>
      <c r="J63" s="566"/>
      <c r="K63" s="566"/>
      <c r="L63" s="578"/>
      <c r="O63" s="566"/>
      <c r="P63" s="566"/>
    </row>
    <row r="64" spans="1:16" x14ac:dyDescent="0.2">
      <c r="A64" s="629"/>
      <c r="B64" s="629"/>
      <c r="C64" s="629"/>
      <c r="D64" s="629"/>
      <c r="E64" s="623"/>
      <c r="F64" s="630"/>
      <c r="G64" s="566"/>
      <c r="H64" s="566"/>
      <c r="I64" s="578"/>
      <c r="J64" s="566"/>
      <c r="K64" s="566"/>
      <c r="L64" s="578"/>
      <c r="O64" s="566"/>
      <c r="P64" s="566"/>
    </row>
    <row r="65" spans="1:16" x14ac:dyDescent="0.2">
      <c r="A65" s="629"/>
      <c r="B65" s="629"/>
      <c r="C65" s="629"/>
      <c r="D65" s="629"/>
      <c r="E65" s="623"/>
      <c r="F65" s="630"/>
      <c r="G65" s="566"/>
      <c r="H65" s="566"/>
      <c r="I65" s="578"/>
      <c r="J65" s="566"/>
      <c r="K65" s="566"/>
      <c r="L65" s="566"/>
      <c r="O65" s="566"/>
      <c r="P65" s="566"/>
    </row>
    <row r="66" spans="1:16" x14ac:dyDescent="0.2">
      <c r="A66" s="629"/>
      <c r="B66" s="629"/>
      <c r="C66" s="629"/>
      <c r="D66" s="629"/>
      <c r="E66" s="623"/>
      <c r="F66" s="630"/>
      <c r="G66" s="566"/>
      <c r="H66" s="566"/>
      <c r="I66" s="578"/>
      <c r="J66" s="566"/>
      <c r="K66" s="566"/>
      <c r="L66" s="566"/>
      <c r="O66" s="566"/>
      <c r="P66" s="566"/>
    </row>
    <row r="67" spans="1:16" x14ac:dyDescent="0.2">
      <c r="A67" s="629"/>
      <c r="B67" s="629"/>
      <c r="C67" s="629"/>
      <c r="D67" s="629"/>
      <c r="E67" s="623"/>
      <c r="F67" s="630"/>
      <c r="G67" s="566"/>
      <c r="H67" s="566"/>
      <c r="I67" s="578"/>
      <c r="J67" s="566"/>
      <c r="K67" s="566"/>
      <c r="L67" s="566"/>
      <c r="O67" s="566"/>
      <c r="P67" s="566"/>
    </row>
    <row r="68" spans="1:16" x14ac:dyDescent="0.2">
      <c r="A68" s="629"/>
      <c r="B68" s="629"/>
      <c r="C68" s="629"/>
      <c r="D68" s="629"/>
      <c r="E68" s="623"/>
      <c r="F68" s="630"/>
      <c r="G68" s="566"/>
      <c r="H68" s="566"/>
      <c r="I68" s="578"/>
      <c r="J68" s="566"/>
      <c r="K68" s="566"/>
      <c r="L68" s="566"/>
      <c r="O68" s="566"/>
      <c r="P68" s="566"/>
    </row>
    <row r="69" spans="1:16" x14ac:dyDescent="0.2">
      <c r="A69" s="629"/>
      <c r="B69" s="629"/>
      <c r="C69" s="629"/>
      <c r="D69" s="629"/>
      <c r="E69" s="623"/>
      <c r="F69" s="630"/>
      <c r="G69" s="566"/>
      <c r="H69" s="566"/>
      <c r="I69" s="578"/>
      <c r="J69" s="566"/>
      <c r="K69" s="566"/>
      <c r="L69" s="566"/>
      <c r="O69" s="566"/>
      <c r="P69" s="566"/>
    </row>
    <row r="70" spans="1:16" x14ac:dyDescent="0.2">
      <c r="A70" s="629"/>
      <c r="B70" s="629"/>
      <c r="C70" s="629"/>
      <c r="D70" s="629"/>
      <c r="E70" s="623"/>
      <c r="F70" s="630"/>
      <c r="G70" s="566"/>
      <c r="H70" s="566"/>
      <c r="I70" s="578"/>
      <c r="J70" s="566"/>
      <c r="K70" s="566"/>
      <c r="L70" s="566"/>
      <c r="O70" s="566"/>
      <c r="P70" s="566"/>
    </row>
    <row r="71" spans="1:16" x14ac:dyDescent="0.2">
      <c r="A71" s="629"/>
      <c r="B71" s="629"/>
      <c r="C71" s="629"/>
      <c r="D71" s="629"/>
      <c r="E71" s="623"/>
      <c r="F71" s="630"/>
      <c r="G71" s="566"/>
      <c r="H71" s="566"/>
      <c r="I71" s="578"/>
      <c r="J71" s="566"/>
      <c r="K71" s="566"/>
      <c r="L71" s="566"/>
      <c r="O71" s="566"/>
      <c r="P71" s="566"/>
    </row>
    <row r="72" spans="1:16" x14ac:dyDescent="0.2">
      <c r="A72" s="629"/>
      <c r="B72" s="629"/>
      <c r="C72" s="629"/>
      <c r="D72" s="629"/>
      <c r="E72" s="623"/>
      <c r="F72" s="630"/>
      <c r="G72" s="566"/>
      <c r="H72" s="566"/>
      <c r="I72" s="578"/>
      <c r="J72" s="566"/>
      <c r="K72" s="566"/>
      <c r="L72" s="566"/>
      <c r="O72" s="566"/>
      <c r="P72" s="566"/>
    </row>
    <row r="73" spans="1:16" x14ac:dyDescent="0.2">
      <c r="A73" s="629"/>
      <c r="B73" s="629"/>
      <c r="C73" s="629"/>
      <c r="D73" s="629"/>
      <c r="E73" s="623"/>
      <c r="F73" s="630"/>
      <c r="G73" s="566"/>
      <c r="H73" s="566"/>
      <c r="I73" s="578"/>
      <c r="J73" s="566"/>
      <c r="K73" s="566"/>
      <c r="L73" s="566"/>
      <c r="O73" s="566"/>
      <c r="P73" s="566"/>
    </row>
    <row r="74" spans="1:16" x14ac:dyDescent="0.2">
      <c r="A74" s="629"/>
      <c r="B74" s="629"/>
      <c r="C74" s="629"/>
      <c r="D74" s="629"/>
      <c r="E74" s="623"/>
      <c r="F74" s="630"/>
      <c r="G74" s="566"/>
      <c r="H74" s="566"/>
      <c r="I74" s="578"/>
      <c r="J74" s="566"/>
      <c r="K74" s="566"/>
      <c r="L74" s="566"/>
      <c r="O74" s="566"/>
      <c r="P74" s="566"/>
    </row>
    <row r="75" spans="1:16" x14ac:dyDescent="0.2">
      <c r="A75" s="629"/>
      <c r="B75" s="629"/>
      <c r="C75" s="629"/>
      <c r="D75" s="629"/>
      <c r="E75" s="623"/>
      <c r="F75" s="630"/>
      <c r="G75" s="566"/>
      <c r="H75" s="566"/>
      <c r="I75" s="578"/>
      <c r="J75" s="566"/>
      <c r="K75" s="566"/>
      <c r="L75" s="566"/>
      <c r="O75" s="566"/>
      <c r="P75" s="566"/>
    </row>
    <row r="76" spans="1:16" x14ac:dyDescent="0.2">
      <c r="A76" s="629"/>
      <c r="B76" s="629"/>
      <c r="C76" s="629"/>
      <c r="D76" s="629"/>
      <c r="E76" s="623"/>
      <c r="F76" s="630"/>
      <c r="G76" s="626"/>
      <c r="H76" s="566"/>
      <c r="I76" s="578"/>
      <c r="J76" s="566"/>
      <c r="K76" s="566"/>
      <c r="L76" s="566"/>
      <c r="O76" s="566"/>
      <c r="P76" s="566"/>
    </row>
    <row r="77" spans="1:16" x14ac:dyDescent="0.2">
      <c r="A77" s="629"/>
      <c r="B77" s="629"/>
      <c r="C77" s="629"/>
      <c r="D77" s="629"/>
      <c r="E77" s="623"/>
      <c r="F77" s="630"/>
      <c r="G77" s="626"/>
      <c r="H77" s="566"/>
      <c r="I77" s="578"/>
      <c r="J77" s="566"/>
      <c r="K77" s="566"/>
      <c r="L77" s="566"/>
      <c r="O77" s="566"/>
      <c r="P77" s="566"/>
    </row>
    <row r="78" spans="1:16" x14ac:dyDescent="0.2">
      <c r="A78" s="629"/>
      <c r="B78" s="629"/>
      <c r="C78" s="629"/>
      <c r="D78" s="629"/>
      <c r="E78" s="623"/>
      <c r="F78" s="630"/>
      <c r="G78" s="626"/>
      <c r="H78" s="566"/>
      <c r="I78" s="578"/>
      <c r="J78" s="566"/>
      <c r="K78" s="566"/>
      <c r="L78" s="566"/>
      <c r="O78" s="566"/>
      <c r="P78" s="566"/>
    </row>
    <row r="79" spans="1:16" x14ac:dyDescent="0.2">
      <c r="A79" s="629"/>
      <c r="B79" s="629"/>
      <c r="C79" s="629"/>
      <c r="D79" s="629"/>
      <c r="E79" s="623"/>
      <c r="F79" s="630"/>
      <c r="G79" s="626"/>
      <c r="H79" s="566"/>
      <c r="I79" s="578"/>
      <c r="J79" s="566"/>
      <c r="K79" s="566"/>
      <c r="L79" s="566"/>
      <c r="O79" s="566"/>
      <c r="P79" s="566"/>
    </row>
    <row r="80" spans="1:16" x14ac:dyDescent="0.2">
      <c r="A80" s="629"/>
      <c r="B80" s="629"/>
      <c r="C80" s="629"/>
      <c r="D80" s="629"/>
      <c r="E80" s="623"/>
      <c r="F80" s="630"/>
      <c r="G80" s="566"/>
      <c r="H80" s="566"/>
      <c r="I80" s="578"/>
      <c r="J80" s="566"/>
      <c r="K80" s="566"/>
      <c r="L80" s="566"/>
      <c r="O80" s="566"/>
      <c r="P80" s="566"/>
    </row>
    <row r="81" spans="1:17" x14ac:dyDescent="0.2">
      <c r="A81" s="629"/>
      <c r="B81" s="629"/>
      <c r="C81" s="629"/>
      <c r="D81" s="629"/>
      <c r="E81" s="623"/>
      <c r="F81" s="630"/>
      <c r="G81" s="566"/>
      <c r="H81" s="566"/>
      <c r="I81" s="578"/>
      <c r="J81" s="566"/>
      <c r="K81" s="566"/>
      <c r="L81" s="566"/>
      <c r="O81" s="566"/>
      <c r="P81" s="566"/>
    </row>
    <row r="82" spans="1:17" s="629" customFormat="1" x14ac:dyDescent="0.2">
      <c r="E82" s="623"/>
      <c r="F82" s="630"/>
      <c r="G82" s="566"/>
      <c r="H82" s="566"/>
      <c r="I82" s="578"/>
      <c r="J82" s="566"/>
      <c r="K82" s="566"/>
      <c r="L82" s="566"/>
      <c r="M82" s="566"/>
      <c r="N82" s="566"/>
      <c r="O82" s="566"/>
      <c r="P82" s="566"/>
      <c r="Q82" s="566"/>
    </row>
    <row r="83" spans="1:17" s="629" customFormat="1" x14ac:dyDescent="0.2">
      <c r="E83" s="623"/>
      <c r="F83" s="630"/>
      <c r="G83" s="566"/>
      <c r="H83" s="566"/>
      <c r="I83" s="578"/>
      <c r="J83" s="566"/>
      <c r="K83" s="566"/>
      <c r="L83" s="566"/>
      <c r="M83" s="566"/>
      <c r="N83" s="566"/>
      <c r="O83" s="566"/>
      <c r="P83" s="566"/>
      <c r="Q83" s="566"/>
    </row>
    <row r="84" spans="1:17" s="629" customFormat="1" x14ac:dyDescent="0.2">
      <c r="E84" s="623"/>
      <c r="F84" s="630"/>
      <c r="G84" s="566"/>
      <c r="H84" s="566"/>
      <c r="I84" s="578"/>
      <c r="J84" s="566"/>
      <c r="K84" s="566"/>
      <c r="L84" s="566"/>
      <c r="M84" s="566"/>
      <c r="N84" s="566"/>
      <c r="O84" s="566"/>
      <c r="P84" s="566"/>
      <c r="Q84" s="566"/>
    </row>
    <row r="85" spans="1:17" s="629" customFormat="1" x14ac:dyDescent="0.2">
      <c r="E85" s="623"/>
      <c r="F85" s="630"/>
      <c r="G85" s="566"/>
      <c r="H85" s="566"/>
      <c r="I85" s="578"/>
      <c r="J85" s="566"/>
      <c r="K85" s="566"/>
      <c r="L85" s="566"/>
      <c r="M85" s="566"/>
      <c r="N85" s="566"/>
      <c r="O85" s="566"/>
      <c r="P85" s="566"/>
      <c r="Q85" s="566"/>
    </row>
    <row r="86" spans="1:17" s="629" customFormat="1" x14ac:dyDescent="0.2">
      <c r="E86" s="623"/>
      <c r="F86" s="630"/>
      <c r="G86" s="566"/>
      <c r="H86" s="566"/>
      <c r="I86" s="578"/>
      <c r="J86" s="566"/>
      <c r="K86" s="566"/>
      <c r="L86" s="566"/>
      <c r="M86" s="566"/>
      <c r="N86" s="566"/>
      <c r="O86" s="566"/>
      <c r="P86" s="566"/>
      <c r="Q86" s="566"/>
    </row>
    <row r="87" spans="1:17" s="629" customFormat="1" x14ac:dyDescent="0.2">
      <c r="E87" s="623"/>
      <c r="F87" s="630"/>
      <c r="G87" s="566"/>
      <c r="H87" s="566"/>
      <c r="I87" s="578"/>
      <c r="J87" s="566"/>
      <c r="K87" s="566"/>
      <c r="L87" s="566"/>
      <c r="M87" s="566"/>
    </row>
    <row r="88" spans="1:17" s="629" customFormat="1" x14ac:dyDescent="0.2">
      <c r="E88" s="623"/>
      <c r="F88" s="630"/>
      <c r="G88" s="566"/>
      <c r="H88" s="566"/>
      <c r="I88" s="578"/>
      <c r="J88" s="566"/>
      <c r="K88" s="566"/>
      <c r="L88" s="566"/>
      <c r="M88" s="566"/>
    </row>
    <row r="89" spans="1:17" s="629" customFormat="1" x14ac:dyDescent="0.2">
      <c r="E89" s="623"/>
      <c r="F89" s="630"/>
      <c r="G89" s="566"/>
      <c r="H89" s="566"/>
      <c r="I89" s="578"/>
      <c r="J89" s="566"/>
      <c r="K89" s="566"/>
      <c r="L89" s="566"/>
      <c r="M89" s="566"/>
    </row>
    <row r="90" spans="1:17" s="629" customFormat="1" x14ac:dyDescent="0.2">
      <c r="E90" s="623"/>
      <c r="F90" s="630"/>
      <c r="G90" s="566"/>
      <c r="H90" s="566"/>
      <c r="I90" s="578"/>
      <c r="J90" s="566"/>
      <c r="K90" s="566"/>
      <c r="L90" s="566"/>
      <c r="M90" s="566"/>
    </row>
    <row r="91" spans="1:17" s="629" customFormat="1" x14ac:dyDescent="0.2">
      <c r="E91" s="623"/>
      <c r="F91" s="630"/>
      <c r="G91" s="566"/>
      <c r="H91" s="566"/>
      <c r="I91" s="578"/>
      <c r="J91" s="566"/>
      <c r="K91" s="566"/>
      <c r="L91" s="566"/>
      <c r="M91" s="566"/>
    </row>
    <row r="92" spans="1:17" s="629" customFormat="1" x14ac:dyDescent="0.2">
      <c r="E92" s="623"/>
      <c r="F92" s="630"/>
      <c r="G92" s="566"/>
      <c r="H92" s="566"/>
      <c r="I92" s="578"/>
      <c r="J92" s="566"/>
      <c r="K92" s="566"/>
      <c r="L92" s="566"/>
      <c r="M92" s="566"/>
    </row>
    <row r="93" spans="1:17" s="629" customFormat="1" x14ac:dyDescent="0.2">
      <c r="E93" s="623"/>
      <c r="F93" s="630"/>
      <c r="G93" s="566"/>
      <c r="H93" s="566"/>
      <c r="I93" s="578"/>
      <c r="J93" s="566"/>
      <c r="K93" s="566"/>
      <c r="L93" s="566"/>
      <c r="M93" s="566"/>
    </row>
    <row r="94" spans="1:17" s="629" customFormat="1" x14ac:dyDescent="0.2">
      <c r="E94" s="623"/>
      <c r="F94" s="630"/>
      <c r="G94" s="566"/>
      <c r="H94" s="566"/>
      <c r="I94" s="578"/>
      <c r="J94" s="566"/>
      <c r="K94" s="566"/>
      <c r="L94" s="566"/>
      <c r="M94" s="566"/>
    </row>
    <row r="95" spans="1:17" s="629" customFormat="1" x14ac:dyDescent="0.2">
      <c r="E95" s="623"/>
      <c r="F95" s="630"/>
      <c r="G95" s="566"/>
      <c r="H95" s="566"/>
      <c r="I95" s="578"/>
      <c r="J95" s="566"/>
      <c r="K95" s="566"/>
      <c r="L95" s="566"/>
      <c r="M95" s="566"/>
    </row>
    <row r="96" spans="1:17" s="629" customFormat="1" x14ac:dyDescent="0.2">
      <c r="E96" s="623"/>
      <c r="F96" s="630"/>
      <c r="G96" s="566"/>
      <c r="H96" s="566"/>
      <c r="I96" s="578"/>
      <c r="J96" s="566"/>
      <c r="K96" s="566"/>
      <c r="L96" s="566"/>
      <c r="M96" s="566"/>
    </row>
    <row r="97" spans="5:13" s="629" customFormat="1" x14ac:dyDescent="0.2">
      <c r="E97" s="623"/>
      <c r="F97" s="630"/>
      <c r="G97" s="566"/>
      <c r="H97" s="566"/>
      <c r="I97" s="578"/>
      <c r="J97" s="566"/>
      <c r="K97" s="566"/>
      <c r="L97" s="566"/>
      <c r="M97" s="566"/>
    </row>
    <row r="98" spans="5:13" s="629" customFormat="1" x14ac:dyDescent="0.2">
      <c r="E98" s="623"/>
      <c r="F98" s="630"/>
      <c r="G98" s="566"/>
      <c r="H98" s="566"/>
      <c r="I98" s="578"/>
      <c r="J98" s="566"/>
      <c r="K98" s="566"/>
      <c r="L98" s="566"/>
      <c r="M98" s="566"/>
    </row>
    <row r="99" spans="5:13" s="629" customFormat="1" x14ac:dyDescent="0.2">
      <c r="E99" s="623"/>
      <c r="F99" s="630"/>
      <c r="G99" s="566"/>
      <c r="H99" s="566"/>
      <c r="I99" s="578"/>
      <c r="J99" s="566"/>
      <c r="K99" s="566"/>
      <c r="L99" s="566"/>
      <c r="M99" s="566"/>
    </row>
    <row r="100" spans="5:13" s="629" customFormat="1" x14ac:dyDescent="0.2">
      <c r="E100" s="623"/>
      <c r="F100" s="630"/>
      <c r="G100" s="566"/>
      <c r="H100" s="566"/>
      <c r="I100" s="578"/>
      <c r="J100" s="566"/>
      <c r="K100" s="566"/>
      <c r="L100" s="566"/>
      <c r="M100" s="566"/>
    </row>
    <row r="101" spans="5:13" s="629" customFormat="1" x14ac:dyDescent="0.2">
      <c r="E101" s="623"/>
      <c r="F101" s="630"/>
      <c r="G101" s="566"/>
      <c r="H101" s="566"/>
      <c r="I101" s="578"/>
      <c r="J101" s="566"/>
      <c r="K101" s="566"/>
      <c r="L101" s="566"/>
      <c r="M101" s="566"/>
    </row>
    <row r="102" spans="5:13" s="629" customFormat="1" x14ac:dyDescent="0.2">
      <c r="E102" s="623"/>
      <c r="F102" s="630"/>
      <c r="G102" s="566"/>
      <c r="H102" s="566"/>
      <c r="I102" s="578"/>
      <c r="J102" s="566"/>
      <c r="K102" s="566"/>
      <c r="L102" s="566"/>
    </row>
    <row r="103" spans="5:13" s="629" customFormat="1" x14ac:dyDescent="0.2">
      <c r="E103" s="623"/>
      <c r="F103" s="630"/>
      <c r="G103" s="566"/>
      <c r="H103" s="566"/>
      <c r="I103" s="578"/>
      <c r="J103" s="566"/>
      <c r="K103" s="566"/>
      <c r="L103" s="566"/>
    </row>
    <row r="104" spans="5:13" s="629" customFormat="1" x14ac:dyDescent="0.2">
      <c r="E104" s="623"/>
      <c r="F104" s="630"/>
      <c r="G104" s="566"/>
      <c r="H104" s="566"/>
      <c r="I104" s="578"/>
      <c r="J104" s="566"/>
      <c r="K104" s="566"/>
      <c r="L104" s="566"/>
    </row>
    <row r="105" spans="5:13" s="629" customFormat="1" x14ac:dyDescent="0.2">
      <c r="E105" s="623"/>
      <c r="F105" s="630"/>
      <c r="G105" s="566"/>
      <c r="H105" s="566"/>
      <c r="I105" s="578"/>
      <c r="J105" s="566"/>
      <c r="K105" s="566"/>
      <c r="L105" s="566"/>
    </row>
    <row r="106" spans="5:13" s="629" customFormat="1" x14ac:dyDescent="0.2">
      <c r="E106" s="623"/>
      <c r="F106" s="630"/>
      <c r="G106" s="566"/>
      <c r="H106" s="566"/>
      <c r="I106" s="578"/>
      <c r="J106" s="566"/>
      <c r="K106" s="566"/>
      <c r="L106" s="566"/>
    </row>
    <row r="107" spans="5:13" s="629" customFormat="1" x14ac:dyDescent="0.2">
      <c r="E107" s="623"/>
      <c r="F107" s="630"/>
      <c r="G107" s="566"/>
      <c r="H107" s="566"/>
      <c r="I107" s="578"/>
      <c r="J107" s="566"/>
      <c r="K107" s="566"/>
      <c r="L107" s="566"/>
    </row>
    <row r="108" spans="5:13" s="629" customFormat="1" x14ac:dyDescent="0.2">
      <c r="E108" s="623"/>
      <c r="F108" s="630"/>
      <c r="G108" s="566"/>
      <c r="H108" s="566"/>
      <c r="I108" s="578"/>
      <c r="J108" s="566"/>
      <c r="K108" s="566"/>
      <c r="L108" s="566"/>
    </row>
    <row r="109" spans="5:13" s="629" customFormat="1" x14ac:dyDescent="0.2">
      <c r="E109" s="623"/>
      <c r="F109" s="630"/>
      <c r="G109" s="566"/>
      <c r="H109" s="566"/>
      <c r="I109" s="578"/>
      <c r="J109" s="566"/>
      <c r="K109" s="566"/>
      <c r="L109" s="566"/>
    </row>
    <row r="110" spans="5:13" s="629" customFormat="1" x14ac:dyDescent="0.2">
      <c r="E110" s="623"/>
      <c r="F110" s="630"/>
      <c r="G110" s="566"/>
      <c r="H110" s="566"/>
      <c r="I110" s="578"/>
      <c r="J110" s="566"/>
      <c r="K110" s="566"/>
      <c r="L110" s="566"/>
    </row>
    <row r="111" spans="5:13" s="629" customFormat="1" x14ac:dyDescent="0.2">
      <c r="E111" s="623"/>
      <c r="F111" s="630"/>
      <c r="G111" s="566"/>
      <c r="H111" s="566"/>
      <c r="I111" s="578"/>
      <c r="J111" s="566"/>
      <c r="K111" s="566"/>
      <c r="L111" s="566"/>
    </row>
    <row r="112" spans="5:13" s="629" customFormat="1" x14ac:dyDescent="0.2">
      <c r="E112" s="623"/>
      <c r="F112" s="630"/>
      <c r="G112" s="566"/>
      <c r="H112" s="566"/>
      <c r="I112" s="578"/>
      <c r="J112" s="566"/>
      <c r="K112" s="566"/>
      <c r="L112" s="566"/>
    </row>
    <row r="113" spans="5:12" s="629" customFormat="1" x14ac:dyDescent="0.2">
      <c r="E113" s="623"/>
      <c r="F113" s="630"/>
      <c r="G113" s="566"/>
      <c r="H113" s="566"/>
      <c r="I113" s="578"/>
      <c r="J113" s="566"/>
      <c r="K113" s="566"/>
      <c r="L113" s="566"/>
    </row>
    <row r="114" spans="5:12" s="629" customFormat="1" x14ac:dyDescent="0.2">
      <c r="E114" s="623"/>
      <c r="F114" s="630"/>
      <c r="G114" s="566"/>
      <c r="H114" s="566"/>
      <c r="I114" s="578"/>
      <c r="J114" s="566"/>
      <c r="K114" s="566"/>
      <c r="L114" s="566"/>
    </row>
    <row r="115" spans="5:12" s="629" customFormat="1" x14ac:dyDescent="0.2">
      <c r="E115" s="623"/>
      <c r="F115" s="630"/>
      <c r="G115" s="566"/>
      <c r="H115" s="566"/>
      <c r="I115" s="578"/>
      <c r="J115" s="566"/>
      <c r="K115" s="566"/>
      <c r="L115" s="566"/>
    </row>
    <row r="116" spans="5:12" s="629" customFormat="1" x14ac:dyDescent="0.2">
      <c r="E116" s="623"/>
      <c r="F116" s="630"/>
      <c r="G116" s="566"/>
      <c r="H116" s="566"/>
      <c r="I116" s="578"/>
      <c r="J116" s="566"/>
      <c r="K116" s="566"/>
      <c r="L116" s="566"/>
    </row>
    <row r="117" spans="5:12" s="629" customFormat="1" x14ac:dyDescent="0.2">
      <c r="E117" s="623"/>
      <c r="F117" s="630"/>
      <c r="G117" s="566"/>
      <c r="H117" s="566"/>
      <c r="I117" s="578"/>
      <c r="J117" s="566"/>
      <c r="K117" s="566"/>
      <c r="L117" s="566"/>
    </row>
    <row r="118" spans="5:12" s="629" customFormat="1" x14ac:dyDescent="0.2">
      <c r="E118" s="623"/>
      <c r="F118" s="630"/>
      <c r="G118" s="566"/>
      <c r="H118" s="566"/>
      <c r="I118" s="578"/>
      <c r="J118" s="566"/>
      <c r="K118" s="566"/>
      <c r="L118" s="566"/>
    </row>
    <row r="119" spans="5:12" s="629" customFormat="1" x14ac:dyDescent="0.2">
      <c r="E119" s="623"/>
      <c r="F119" s="630"/>
      <c r="G119" s="566"/>
      <c r="H119" s="566"/>
      <c r="I119" s="578"/>
      <c r="J119" s="566"/>
      <c r="K119" s="566"/>
      <c r="L119" s="566"/>
    </row>
    <row r="120" spans="5:12" s="629" customFormat="1" x14ac:dyDescent="0.2">
      <c r="E120" s="623"/>
      <c r="F120" s="630"/>
      <c r="G120" s="566"/>
      <c r="H120" s="566"/>
      <c r="I120" s="578"/>
      <c r="J120" s="566"/>
      <c r="K120" s="566"/>
      <c r="L120" s="566"/>
    </row>
    <row r="121" spans="5:12" s="629" customFormat="1" x14ac:dyDescent="0.2">
      <c r="E121" s="623"/>
      <c r="F121" s="630"/>
      <c r="G121" s="566"/>
      <c r="H121" s="566"/>
      <c r="I121" s="578"/>
      <c r="J121" s="566"/>
      <c r="K121" s="566"/>
      <c r="L121" s="566"/>
    </row>
    <row r="122" spans="5:12" s="629" customFormat="1" x14ac:dyDescent="0.2">
      <c r="E122" s="623"/>
      <c r="F122" s="630"/>
      <c r="G122" s="566"/>
      <c r="H122" s="566"/>
      <c r="I122" s="578"/>
      <c r="J122" s="566"/>
      <c r="K122" s="566"/>
      <c r="L122" s="566"/>
    </row>
    <row r="123" spans="5:12" s="629" customFormat="1" x14ac:dyDescent="0.2">
      <c r="E123" s="623"/>
      <c r="F123" s="630"/>
      <c r="G123" s="566"/>
      <c r="H123" s="566"/>
      <c r="I123" s="578"/>
      <c r="J123" s="566"/>
      <c r="K123" s="566"/>
      <c r="L123" s="566"/>
    </row>
    <row r="124" spans="5:12" s="629" customFormat="1" x14ac:dyDescent="0.2">
      <c r="E124" s="623"/>
      <c r="F124" s="630"/>
      <c r="G124" s="566"/>
      <c r="H124" s="566"/>
      <c r="I124" s="578"/>
      <c r="J124" s="566"/>
      <c r="K124" s="566"/>
      <c r="L124" s="566"/>
    </row>
    <row r="125" spans="5:12" s="629" customFormat="1" x14ac:dyDescent="0.2">
      <c r="E125" s="623"/>
      <c r="F125" s="630"/>
      <c r="G125" s="566"/>
      <c r="H125" s="566"/>
      <c r="I125" s="578"/>
      <c r="J125" s="566"/>
      <c r="K125" s="566"/>
      <c r="L125" s="566"/>
    </row>
    <row r="126" spans="5:12" s="629" customFormat="1" x14ac:dyDescent="0.2">
      <c r="E126" s="623"/>
      <c r="F126" s="630"/>
      <c r="G126" s="566"/>
      <c r="H126" s="566"/>
      <c r="I126" s="578"/>
      <c r="J126" s="566"/>
      <c r="K126" s="566"/>
      <c r="L126" s="566"/>
    </row>
    <row r="127" spans="5:12" s="629" customFormat="1" x14ac:dyDescent="0.2">
      <c r="E127" s="623"/>
      <c r="F127" s="630"/>
      <c r="G127" s="566"/>
      <c r="H127" s="566"/>
      <c r="I127" s="578"/>
      <c r="J127" s="566"/>
      <c r="K127" s="566"/>
      <c r="L127" s="566"/>
    </row>
    <row r="128" spans="5:12" s="629" customFormat="1" x14ac:dyDescent="0.2">
      <c r="E128" s="623"/>
      <c r="F128" s="630"/>
      <c r="G128" s="566"/>
      <c r="H128" s="566"/>
      <c r="I128" s="578"/>
      <c r="J128" s="566"/>
      <c r="K128" s="566"/>
      <c r="L128" s="566"/>
    </row>
    <row r="129" spans="1:17" s="629" customFormat="1" x14ac:dyDescent="0.2">
      <c r="E129" s="623"/>
      <c r="F129" s="630"/>
      <c r="G129" s="566"/>
      <c r="H129" s="566"/>
      <c r="I129" s="578"/>
      <c r="J129" s="566"/>
      <c r="K129" s="566"/>
      <c r="L129" s="566"/>
    </row>
    <row r="130" spans="1:17" s="629" customFormat="1" x14ac:dyDescent="0.2">
      <c r="E130" s="623"/>
      <c r="F130" s="630"/>
      <c r="G130" s="566"/>
      <c r="H130" s="566"/>
      <c r="I130" s="578"/>
      <c r="J130" s="566"/>
      <c r="K130" s="566"/>
      <c r="L130" s="566"/>
    </row>
    <row r="131" spans="1:17" s="629" customFormat="1" x14ac:dyDescent="0.2">
      <c r="E131" s="623"/>
      <c r="F131" s="630"/>
      <c r="G131" s="566"/>
      <c r="H131" s="566"/>
      <c r="I131" s="578"/>
      <c r="J131" s="566"/>
      <c r="K131" s="566"/>
      <c r="L131" s="566"/>
    </row>
    <row r="132" spans="1:17" s="629" customFormat="1" x14ac:dyDescent="0.2">
      <c r="E132" s="623"/>
      <c r="F132" s="630"/>
      <c r="G132" s="566"/>
      <c r="H132" s="566"/>
      <c r="I132" s="578"/>
      <c r="J132" s="566"/>
      <c r="K132" s="566"/>
      <c r="L132" s="566"/>
    </row>
    <row r="133" spans="1:17" s="629" customFormat="1" x14ac:dyDescent="0.2">
      <c r="E133" s="623"/>
      <c r="F133" s="630"/>
      <c r="G133" s="566"/>
      <c r="H133" s="566"/>
      <c r="I133" s="578"/>
      <c r="J133" s="566"/>
      <c r="K133" s="566"/>
      <c r="L133" s="566"/>
    </row>
    <row r="134" spans="1:17" s="629" customFormat="1" x14ac:dyDescent="0.2">
      <c r="E134" s="623"/>
      <c r="F134" s="630"/>
      <c r="G134" s="566"/>
      <c r="H134" s="566"/>
      <c r="I134" s="578"/>
      <c r="J134" s="566"/>
      <c r="K134" s="566"/>
      <c r="L134" s="566"/>
    </row>
    <row r="135" spans="1:17" s="629" customFormat="1" x14ac:dyDescent="0.2">
      <c r="E135" s="623"/>
      <c r="F135" s="630"/>
      <c r="G135" s="566"/>
      <c r="H135" s="566"/>
      <c r="I135" s="578"/>
      <c r="J135" s="566"/>
      <c r="K135" s="566"/>
      <c r="L135" s="566"/>
    </row>
    <row r="136" spans="1:17" s="629" customFormat="1" x14ac:dyDescent="0.2">
      <c r="E136" s="623"/>
      <c r="F136" s="630"/>
      <c r="G136" s="566"/>
      <c r="H136" s="566"/>
      <c r="I136" s="578"/>
      <c r="J136" s="566"/>
      <c r="K136" s="566"/>
      <c r="L136" s="566"/>
    </row>
    <row r="137" spans="1:17" s="629" customFormat="1" x14ac:dyDescent="0.2">
      <c r="E137" s="623"/>
      <c r="F137" s="630"/>
      <c r="G137" s="566"/>
      <c r="H137" s="566"/>
      <c r="I137" s="578"/>
      <c r="J137" s="566"/>
      <c r="K137" s="566"/>
      <c r="L137" s="566"/>
    </row>
    <row r="138" spans="1:17" s="629" customFormat="1" x14ac:dyDescent="0.2">
      <c r="E138" s="623"/>
      <c r="F138" s="630"/>
      <c r="G138" s="566"/>
      <c r="H138" s="566"/>
      <c r="I138" s="578"/>
      <c r="J138" s="566"/>
      <c r="K138" s="566"/>
      <c r="L138" s="566"/>
    </row>
    <row r="139" spans="1:17" x14ac:dyDescent="0.2">
      <c r="A139" s="629"/>
      <c r="B139" s="629"/>
      <c r="C139" s="629"/>
      <c r="D139" s="629"/>
      <c r="E139" s="623"/>
      <c r="F139" s="630"/>
      <c r="G139" s="566"/>
      <c r="H139" s="566"/>
      <c r="I139" s="578"/>
      <c r="J139" s="566"/>
      <c r="K139" s="566"/>
      <c r="L139" s="566"/>
      <c r="M139" s="629"/>
      <c r="N139" s="629"/>
      <c r="O139" s="629"/>
      <c r="P139" s="629"/>
      <c r="Q139" s="629"/>
    </row>
    <row r="140" spans="1:17" x14ac:dyDescent="0.2">
      <c r="A140" s="629"/>
      <c r="B140" s="629"/>
      <c r="C140" s="629"/>
      <c r="D140" s="629"/>
      <c r="E140" s="623"/>
      <c r="F140" s="630"/>
      <c r="G140" s="566"/>
      <c r="H140" s="566"/>
      <c r="I140" s="578"/>
      <c r="J140" s="566"/>
      <c r="K140" s="566"/>
      <c r="L140" s="566"/>
      <c r="M140" s="629"/>
      <c r="N140" s="629"/>
      <c r="O140" s="629"/>
      <c r="P140" s="629"/>
      <c r="Q140" s="629"/>
    </row>
    <row r="141" spans="1:17" x14ac:dyDescent="0.2">
      <c r="A141" s="629"/>
      <c r="B141" s="629"/>
      <c r="C141" s="629"/>
      <c r="D141" s="629"/>
      <c r="E141" s="623"/>
      <c r="F141" s="630"/>
      <c r="G141" s="566"/>
      <c r="H141" s="566"/>
      <c r="I141" s="578"/>
      <c r="J141" s="566"/>
      <c r="K141" s="566"/>
      <c r="L141" s="566"/>
      <c r="M141" s="629"/>
      <c r="N141" s="629"/>
      <c r="O141" s="629"/>
      <c r="P141" s="629"/>
      <c r="Q141" s="629"/>
    </row>
    <row r="142" spans="1:17" x14ac:dyDescent="0.2">
      <c r="A142" s="629"/>
      <c r="B142" s="629"/>
      <c r="C142" s="629"/>
      <c r="D142" s="629"/>
      <c r="E142" s="623"/>
      <c r="F142" s="630"/>
      <c r="G142" s="566"/>
      <c r="H142" s="566"/>
      <c r="I142" s="578"/>
      <c r="J142" s="566"/>
      <c r="K142" s="566"/>
      <c r="L142" s="566"/>
      <c r="M142" s="629"/>
      <c r="N142" s="629"/>
      <c r="O142" s="629"/>
      <c r="P142" s="629"/>
      <c r="Q142" s="629"/>
    </row>
    <row r="143" spans="1:17" x14ac:dyDescent="0.2">
      <c r="A143" s="629"/>
      <c r="B143" s="629"/>
      <c r="C143" s="629"/>
      <c r="D143" s="629"/>
      <c r="E143" s="623"/>
      <c r="F143" s="630"/>
      <c r="G143" s="566"/>
      <c r="H143" s="566"/>
      <c r="I143" s="578"/>
      <c r="J143" s="566"/>
      <c r="K143" s="566"/>
      <c r="L143" s="566"/>
      <c r="M143" s="629"/>
      <c r="N143" s="629"/>
      <c r="O143" s="629"/>
      <c r="P143" s="629"/>
      <c r="Q143" s="629"/>
    </row>
    <row r="144" spans="1:17" x14ac:dyDescent="0.2">
      <c r="A144" s="629"/>
      <c r="B144" s="629"/>
      <c r="C144" s="629"/>
      <c r="D144" s="629"/>
      <c r="E144" s="623"/>
      <c r="F144" s="630"/>
      <c r="G144" s="566"/>
      <c r="H144" s="566"/>
      <c r="I144" s="578"/>
      <c r="J144" s="566"/>
      <c r="K144" s="566"/>
      <c r="L144" s="566"/>
      <c r="M144" s="629"/>
    </row>
    <row r="145" spans="1:13" x14ac:dyDescent="0.2">
      <c r="A145" s="629"/>
      <c r="B145" s="629"/>
      <c r="C145" s="629"/>
      <c r="D145" s="629"/>
      <c r="E145" s="623"/>
      <c r="F145" s="630"/>
      <c r="G145" s="566"/>
      <c r="H145" s="566"/>
      <c r="I145" s="578"/>
      <c r="J145" s="566"/>
      <c r="K145" s="566"/>
      <c r="L145" s="566"/>
      <c r="M145" s="629"/>
    </row>
    <row r="146" spans="1:13" x14ac:dyDescent="0.2">
      <c r="A146" s="629"/>
      <c r="B146" s="629"/>
      <c r="C146" s="629"/>
      <c r="D146" s="629"/>
      <c r="E146" s="623"/>
      <c r="F146" s="630"/>
      <c r="G146" s="566"/>
      <c r="H146" s="566"/>
      <c r="I146" s="578"/>
      <c r="J146" s="566"/>
      <c r="K146" s="566"/>
      <c r="L146" s="566"/>
      <c r="M146" s="629"/>
    </row>
    <row r="147" spans="1:13" x14ac:dyDescent="0.2">
      <c r="A147" s="629"/>
      <c r="B147" s="629"/>
      <c r="C147" s="629"/>
      <c r="D147" s="629"/>
      <c r="E147" s="623"/>
      <c r="F147" s="630"/>
      <c r="G147" s="566"/>
      <c r="H147" s="566"/>
      <c r="I147" s="578"/>
      <c r="J147" s="566"/>
      <c r="K147" s="566"/>
      <c r="L147" s="566"/>
      <c r="M147" s="629"/>
    </row>
    <row r="148" spans="1:13" x14ac:dyDescent="0.2">
      <c r="J148" s="566"/>
      <c r="K148" s="566"/>
      <c r="L148" s="566"/>
      <c r="M148" s="629"/>
    </row>
    <row r="149" spans="1:13" x14ac:dyDescent="0.2">
      <c r="J149" s="566"/>
      <c r="K149" s="566"/>
      <c r="L149" s="566"/>
      <c r="M149" s="629"/>
    </row>
    <row r="150" spans="1:13" x14ac:dyDescent="0.2">
      <c r="J150" s="566"/>
      <c r="K150" s="566"/>
      <c r="L150" s="566"/>
      <c r="M150" s="629"/>
    </row>
    <row r="151" spans="1:13" x14ac:dyDescent="0.2">
      <c r="J151" s="566"/>
      <c r="K151" s="566"/>
      <c r="L151" s="566"/>
      <c r="M151" s="629"/>
    </row>
    <row r="152" spans="1:13" x14ac:dyDescent="0.2">
      <c r="J152" s="566"/>
      <c r="K152" s="566"/>
      <c r="L152" s="566"/>
      <c r="M152" s="629"/>
    </row>
    <row r="153" spans="1:13" x14ac:dyDescent="0.2">
      <c r="J153" s="566"/>
      <c r="K153" s="566"/>
      <c r="L153" s="566"/>
      <c r="M153" s="629"/>
    </row>
    <row r="154" spans="1:13" x14ac:dyDescent="0.2">
      <c r="K154" s="566"/>
      <c r="L154" s="566"/>
      <c r="M154" s="629"/>
    </row>
    <row r="155" spans="1:13" x14ac:dyDescent="0.2">
      <c r="K155" s="566"/>
      <c r="L155" s="566"/>
      <c r="M155" s="629"/>
    </row>
    <row r="156" spans="1:13" x14ac:dyDescent="0.2">
      <c r="K156" s="566"/>
      <c r="L156" s="566"/>
      <c r="M156" s="629"/>
    </row>
    <row r="157" spans="1:13" x14ac:dyDescent="0.2">
      <c r="L157" s="566"/>
      <c r="M157" s="629"/>
    </row>
    <row r="158" spans="1:13" x14ac:dyDescent="0.2">
      <c r="L158" s="566"/>
      <c r="M158" s="629"/>
    </row>
    <row r="159" spans="1:13" x14ac:dyDescent="0.2">
      <c r="L159" s="566"/>
    </row>
    <row r="160" spans="1:13" x14ac:dyDescent="0.2">
      <c r="L160" s="566"/>
    </row>
    <row r="161" spans="12:12" x14ac:dyDescent="0.2">
      <c r="L161" s="566"/>
    </row>
  </sheetData>
  <mergeCells count="1">
    <mergeCell ref="L7:M7"/>
  </mergeCells>
  <dataValidations count="1">
    <dataValidation type="list" allowBlank="1" showInputMessage="1" showErrorMessage="1" sqref="B5" xr:uid="{41881FEF-CE3B-4883-B850-2062F00E9174}">
      <formula1>$AB$5:$AB$8</formula1>
    </dataValidation>
  </dataValidations>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1CE43-EE08-4A94-843A-3E12B2C09B79}">
  <dimension ref="A1:Q161"/>
  <sheetViews>
    <sheetView workbookViewId="0">
      <selection activeCell="K3" sqref="K3"/>
    </sheetView>
  </sheetViews>
  <sheetFormatPr defaultColWidth="7.88671875" defaultRowHeight="10.199999999999999" x14ac:dyDescent="0.2"/>
  <cols>
    <col min="1" max="1" width="15.6640625" style="566" bestFit="1" customWidth="1"/>
    <col min="2" max="2" width="9.5546875" style="566" bestFit="1" customWidth="1"/>
    <col min="3" max="3" width="5.109375" style="633" customWidth="1"/>
    <col min="4" max="6" width="7.6640625" style="633" customWidth="1"/>
    <col min="7" max="7" width="6.33203125" style="629" customWidth="1"/>
    <col min="8" max="8" width="6.88671875" style="632" customWidth="1"/>
    <col min="9" max="9" width="9.6640625" style="629" customWidth="1"/>
    <col min="10" max="10" width="8.6640625" style="629" bestFit="1" customWidth="1"/>
    <col min="11" max="11" width="18.6640625" style="623" customWidth="1"/>
    <col min="12" max="12" width="17.33203125" style="630" bestFit="1" customWidth="1"/>
    <col min="13" max="13" width="12.88671875" style="566" customWidth="1"/>
    <col min="14" max="14" width="11.33203125" style="566" customWidth="1"/>
    <col min="15" max="15" width="14.5546875" style="578" customWidth="1"/>
    <col min="16" max="16" width="2.44140625" style="578" customWidth="1"/>
    <col min="17" max="17" width="14" style="566" bestFit="1" customWidth="1"/>
    <col min="18" max="18" width="5.44140625" style="566" customWidth="1"/>
    <col min="19" max="27" width="5.33203125" style="566" customWidth="1"/>
    <col min="28" max="28" width="17" style="566" customWidth="1"/>
    <col min="29" max="16384" width="7.88671875" style="566"/>
  </cols>
  <sheetData>
    <row r="1" spans="1:15" s="402" customFormat="1" ht="13.2" x14ac:dyDescent="0.25">
      <c r="A1" s="669" t="s">
        <v>108</v>
      </c>
      <c r="B1" s="670" t="s">
        <v>163</v>
      </c>
      <c r="C1" s="396"/>
      <c r="D1" s="670"/>
      <c r="E1" s="397"/>
      <c r="F1" s="397"/>
      <c r="G1" s="398"/>
      <c r="H1" s="399" t="s">
        <v>193</v>
      </c>
      <c r="I1" s="400">
        <f>M12</f>
        <v>16</v>
      </c>
      <c r="J1" s="401"/>
      <c r="K1" s="670"/>
      <c r="L1" s="670"/>
      <c r="M1" s="671"/>
      <c r="N1" s="403"/>
    </row>
    <row r="2" spans="1:15" s="402" customFormat="1" ht="13.2" x14ac:dyDescent="0.25">
      <c r="A2" s="672" t="s">
        <v>110</v>
      </c>
      <c r="B2" s="414" t="s">
        <v>57</v>
      </c>
      <c r="C2" s="406"/>
      <c r="D2" s="414"/>
      <c r="E2" s="407"/>
      <c r="F2" s="407"/>
      <c r="G2" s="408"/>
      <c r="H2" s="409" t="s">
        <v>194</v>
      </c>
      <c r="I2" s="673">
        <f>M12</f>
        <v>16</v>
      </c>
      <c r="J2" s="411"/>
      <c r="K2" s="414"/>
      <c r="L2" s="414"/>
      <c r="M2" s="674"/>
      <c r="N2" s="412"/>
    </row>
    <row r="3" spans="1:15" s="416" customFormat="1" ht="11.25" customHeight="1" x14ac:dyDescent="0.25">
      <c r="A3" s="675" t="s">
        <v>112</v>
      </c>
      <c r="B3" s="665">
        <v>45552</v>
      </c>
      <c r="C3" s="406"/>
      <c r="D3" s="407"/>
      <c r="E3" s="407"/>
      <c r="F3" s="407"/>
      <c r="G3" s="408"/>
      <c r="H3" s="413" t="s">
        <v>195</v>
      </c>
      <c r="I3" s="676">
        <f>M45/100</f>
        <v>0.14666666666666667</v>
      </c>
      <c r="J3" s="411"/>
      <c r="K3" s="414"/>
      <c r="L3" s="414"/>
      <c r="M3" s="677"/>
      <c r="N3" s="417"/>
    </row>
    <row r="4" spans="1:15" s="402" customFormat="1" ht="13.2" x14ac:dyDescent="0.25">
      <c r="A4" s="675" t="s">
        <v>114</v>
      </c>
      <c r="B4" s="414" t="s">
        <v>202</v>
      </c>
      <c r="C4" s="406"/>
      <c r="D4" s="407"/>
      <c r="E4" s="407"/>
      <c r="F4" s="407"/>
      <c r="G4" s="408"/>
      <c r="H4" s="413" t="s">
        <v>196</v>
      </c>
      <c r="I4" s="676"/>
      <c r="J4" s="411"/>
      <c r="K4" s="414"/>
      <c r="L4" s="414"/>
      <c r="M4" s="674"/>
      <c r="N4" s="403"/>
    </row>
    <row r="5" spans="1:15" s="423" customFormat="1" ht="13.2" x14ac:dyDescent="0.25">
      <c r="A5" s="672" t="s">
        <v>116</v>
      </c>
      <c r="B5" s="420" t="s">
        <v>117</v>
      </c>
      <c r="C5" s="406"/>
      <c r="D5" s="407"/>
      <c r="E5" s="407"/>
      <c r="F5" s="407"/>
      <c r="G5" s="408"/>
      <c r="H5" s="413"/>
      <c r="I5" s="421"/>
      <c r="J5" s="411"/>
      <c r="K5" s="414"/>
      <c r="L5" s="414"/>
      <c r="M5" s="451"/>
      <c r="N5" s="422"/>
    </row>
    <row r="6" spans="1:15" s="422" customFormat="1" ht="13.8" thickBot="1" x14ac:dyDescent="0.25">
      <c r="A6" s="678"/>
      <c r="B6" s="679"/>
      <c r="C6" s="680"/>
      <c r="D6" s="681"/>
      <c r="E6" s="681"/>
      <c r="F6" s="681"/>
      <c r="G6" s="682"/>
      <c r="H6" s="683"/>
      <c r="I6" s="684"/>
      <c r="J6" s="682"/>
      <c r="K6" s="685"/>
      <c r="L6" s="679"/>
      <c r="M6" s="686"/>
    </row>
    <row r="7" spans="1:15" s="423" customFormat="1" ht="13.2" customHeight="1" x14ac:dyDescent="0.2">
      <c r="A7" s="687" t="s">
        <v>118</v>
      </c>
      <c r="B7" s="688"/>
      <c r="C7" s="689"/>
      <c r="D7" s="690"/>
      <c r="E7" s="691" t="s">
        <v>119</v>
      </c>
      <c r="F7" s="688"/>
      <c r="G7" s="645" t="s">
        <v>120</v>
      </c>
      <c r="H7" s="435"/>
      <c r="I7" s="692" t="s">
        <v>121</v>
      </c>
      <c r="J7" s="692"/>
      <c r="K7" s="436"/>
      <c r="L7" s="886" t="s">
        <v>122</v>
      </c>
      <c r="M7" s="887"/>
      <c r="N7" s="422"/>
      <c r="O7" s="422"/>
    </row>
    <row r="8" spans="1:15" s="453" customFormat="1" ht="11.25" customHeight="1" x14ac:dyDescent="0.2">
      <c r="A8" s="437"/>
      <c r="B8" s="432"/>
      <c r="C8" s="438"/>
      <c r="D8" s="447"/>
      <c r="E8" s="693"/>
      <c r="F8" s="447"/>
      <c r="G8" s="694"/>
      <c r="H8" s="449"/>
      <c r="I8" s="475"/>
      <c r="J8" s="475"/>
      <c r="K8" s="450"/>
      <c r="L8" s="451"/>
      <c r="M8" s="451"/>
      <c r="N8" s="452"/>
    </row>
    <row r="9" spans="1:15" s="464" customFormat="1" x14ac:dyDescent="0.2">
      <c r="C9" s="455"/>
      <c r="D9" s="695"/>
      <c r="E9" s="693" t="s">
        <v>125</v>
      </c>
      <c r="F9" s="447"/>
      <c r="G9" s="694"/>
      <c r="H9" s="449"/>
      <c r="I9" s="578"/>
      <c r="J9" s="578"/>
      <c r="K9" s="450"/>
      <c r="L9" s="460"/>
      <c r="M9" s="461"/>
      <c r="N9" s="462"/>
      <c r="O9" s="463"/>
    </row>
    <row r="10" spans="1:15" s="464" customFormat="1" x14ac:dyDescent="0.2">
      <c r="A10" s="465" t="s">
        <v>126</v>
      </c>
      <c r="B10" s="466" t="s">
        <v>51</v>
      </c>
      <c r="C10" s="467" t="s">
        <v>127</v>
      </c>
      <c r="D10" s="474" t="s">
        <v>137</v>
      </c>
      <c r="E10" s="472" t="s">
        <v>138</v>
      </c>
      <c r="F10" s="474" t="s">
        <v>139</v>
      </c>
      <c r="G10" s="694" t="s">
        <v>140</v>
      </c>
      <c r="H10" s="449" t="s">
        <v>141</v>
      </c>
      <c r="I10" s="475" t="s">
        <v>141</v>
      </c>
      <c r="J10" s="475" t="s">
        <v>140</v>
      </c>
      <c r="K10" s="476" t="s">
        <v>142</v>
      </c>
      <c r="L10" s="460" t="s">
        <v>143</v>
      </c>
      <c r="M10" s="460" t="s">
        <v>144</v>
      </c>
      <c r="N10" s="477"/>
    </row>
    <row r="11" spans="1:15" s="464" customFormat="1" ht="12" thickBot="1" x14ac:dyDescent="0.35">
      <c r="A11" s="478" t="s">
        <v>145</v>
      </c>
      <c r="B11" s="479" t="s">
        <v>145</v>
      </c>
      <c r="C11" s="480" t="s">
        <v>146</v>
      </c>
      <c r="D11" s="489" t="s">
        <v>148</v>
      </c>
      <c r="E11" s="487" t="s">
        <v>146</v>
      </c>
      <c r="F11" s="489" t="s">
        <v>146</v>
      </c>
      <c r="G11" s="696" t="s">
        <v>149</v>
      </c>
      <c r="H11" s="491" t="s">
        <v>150</v>
      </c>
      <c r="I11" s="490" t="s">
        <v>150</v>
      </c>
      <c r="J11" s="490" t="s">
        <v>149</v>
      </c>
      <c r="K11" s="493"/>
      <c r="L11" s="494"/>
      <c r="M11" s="495" t="s">
        <v>146</v>
      </c>
      <c r="N11" s="477"/>
    </row>
    <row r="12" spans="1:15" s="464" customFormat="1" x14ac:dyDescent="0.3">
      <c r="A12" s="515"/>
      <c r="B12" s="516"/>
      <c r="C12" s="504">
        <v>0</v>
      </c>
      <c r="D12" s="697"/>
      <c r="E12" s="698"/>
      <c r="F12" s="699"/>
      <c r="G12" s="700"/>
      <c r="H12" s="525"/>
      <c r="I12" s="701"/>
      <c r="J12" s="702"/>
      <c r="K12" s="528"/>
      <c r="L12" s="512" t="s">
        <v>243</v>
      </c>
      <c r="M12" s="513">
        <v>16</v>
      </c>
      <c r="N12" s="514"/>
    </row>
    <row r="13" spans="1:15" s="464" customFormat="1" x14ac:dyDescent="0.3">
      <c r="A13" s="515"/>
      <c r="B13" s="516"/>
      <c r="C13" s="504"/>
      <c r="D13" s="697"/>
      <c r="E13" s="703"/>
      <c r="F13" s="704"/>
      <c r="G13" s="524"/>
      <c r="H13" s="705"/>
      <c r="I13" s="706"/>
      <c r="J13" s="527"/>
      <c r="K13" s="528"/>
      <c r="L13" s="529" t="s">
        <v>244</v>
      </c>
      <c r="M13" s="530">
        <v>13</v>
      </c>
      <c r="N13" s="477"/>
    </row>
    <row r="14" spans="1:15" s="464" customFormat="1" x14ac:dyDescent="0.3">
      <c r="A14" s="515"/>
      <c r="B14" s="516"/>
      <c r="C14" s="504"/>
      <c r="D14" s="697"/>
      <c r="E14" s="703"/>
      <c r="F14" s="704"/>
      <c r="G14" s="524"/>
      <c r="H14" s="705"/>
      <c r="I14" s="706"/>
      <c r="J14" s="527"/>
      <c r="K14" s="809"/>
      <c r="L14" s="810" t="s">
        <v>245</v>
      </c>
      <c r="M14" s="811">
        <v>6</v>
      </c>
      <c r="N14" s="477"/>
    </row>
    <row r="15" spans="1:15" s="464" customFormat="1" ht="10.8" thickBot="1" x14ac:dyDescent="0.35">
      <c r="A15" s="515"/>
      <c r="B15" s="516"/>
      <c r="C15" s="504"/>
      <c r="D15" s="697"/>
      <c r="E15" s="703"/>
      <c r="F15" s="704"/>
      <c r="G15" s="524"/>
      <c r="H15" s="705"/>
      <c r="I15" s="706"/>
      <c r="J15" s="527"/>
      <c r="K15" s="528"/>
      <c r="L15" s="529" t="s">
        <v>246</v>
      </c>
      <c r="M15" s="531">
        <v>7</v>
      </c>
      <c r="N15" s="477"/>
    </row>
    <row r="16" spans="1:15" s="464" customFormat="1" x14ac:dyDescent="0.3">
      <c r="A16" s="532"/>
      <c r="B16" s="516"/>
      <c r="C16" s="504"/>
      <c r="D16" s="697"/>
      <c r="E16" s="703"/>
      <c r="F16" s="704"/>
      <c r="G16" s="524"/>
      <c r="H16" s="705"/>
      <c r="I16" s="706"/>
      <c r="J16" s="527"/>
      <c r="K16" s="528"/>
      <c r="L16" s="512" t="s">
        <v>247</v>
      </c>
      <c r="M16" s="530">
        <v>16</v>
      </c>
      <c r="N16" s="477"/>
    </row>
    <row r="17" spans="1:17" s="464" customFormat="1" x14ac:dyDescent="0.3">
      <c r="A17" s="532"/>
      <c r="B17" s="516"/>
      <c r="C17" s="504"/>
      <c r="D17" s="697"/>
      <c r="E17" s="703"/>
      <c r="F17" s="704"/>
      <c r="G17" s="524"/>
      <c r="H17" s="705"/>
      <c r="I17" s="706"/>
      <c r="J17" s="527"/>
      <c r="K17" s="707"/>
      <c r="L17" s="529" t="s">
        <v>248</v>
      </c>
      <c r="M17" s="530">
        <v>25</v>
      </c>
      <c r="N17" s="462"/>
    </row>
    <row r="18" spans="1:17" s="464" customFormat="1" x14ac:dyDescent="0.3">
      <c r="A18" s="532"/>
      <c r="B18" s="516"/>
      <c r="C18" s="504"/>
      <c r="D18" s="697"/>
      <c r="E18" s="703"/>
      <c r="F18" s="704"/>
      <c r="G18" s="524"/>
      <c r="H18" s="705"/>
      <c r="I18" s="706"/>
      <c r="J18" s="527"/>
      <c r="K18" s="533"/>
      <c r="L18" s="810" t="s">
        <v>249</v>
      </c>
      <c r="M18" s="530">
        <v>20</v>
      </c>
      <c r="N18" s="462"/>
    </row>
    <row r="19" spans="1:17" s="537" customFormat="1" ht="10.8" thickBot="1" x14ac:dyDescent="0.35">
      <c r="A19" s="532"/>
      <c r="B19" s="516"/>
      <c r="C19" s="504"/>
      <c r="D19" s="697"/>
      <c r="E19" s="703"/>
      <c r="F19" s="704"/>
      <c r="G19" s="524"/>
      <c r="H19" s="705"/>
      <c r="I19" s="706"/>
      <c r="J19" s="527"/>
      <c r="K19" s="709"/>
      <c r="L19" s="529" t="s">
        <v>250</v>
      </c>
      <c r="M19" s="530">
        <v>7</v>
      </c>
      <c r="N19" s="555"/>
    </row>
    <row r="20" spans="1:17" s="537" customFormat="1" x14ac:dyDescent="0.3">
      <c r="A20" s="532"/>
      <c r="B20" s="516"/>
      <c r="C20" s="504"/>
      <c r="D20" s="697"/>
      <c r="E20" s="703"/>
      <c r="F20" s="704"/>
      <c r="G20" s="524"/>
      <c r="H20" s="705"/>
      <c r="I20" s="706"/>
      <c r="J20" s="527"/>
      <c r="K20" s="709"/>
      <c r="L20" s="512" t="s">
        <v>251</v>
      </c>
      <c r="M20" s="530">
        <v>22</v>
      </c>
      <c r="N20" s="555"/>
    </row>
    <row r="21" spans="1:17" x14ac:dyDescent="0.2">
      <c r="A21" s="532"/>
      <c r="B21" s="516"/>
      <c r="C21" s="504"/>
      <c r="D21" s="697"/>
      <c r="E21" s="703"/>
      <c r="F21" s="704"/>
      <c r="G21" s="524"/>
      <c r="H21" s="705"/>
      <c r="I21" s="706"/>
      <c r="J21" s="527"/>
      <c r="K21" s="709"/>
      <c r="L21" s="529" t="s">
        <v>252</v>
      </c>
      <c r="M21" s="530">
        <v>21</v>
      </c>
      <c r="N21" s="555"/>
      <c r="O21" s="537"/>
      <c r="P21" s="537"/>
    </row>
    <row r="22" spans="1:17" x14ac:dyDescent="0.2">
      <c r="A22" s="532"/>
      <c r="B22" s="516"/>
      <c r="C22" s="504"/>
      <c r="D22" s="697"/>
      <c r="E22" s="703"/>
      <c r="F22" s="704"/>
      <c r="G22" s="524"/>
      <c r="H22" s="705"/>
      <c r="I22" s="706"/>
      <c r="J22" s="527"/>
      <c r="K22" s="709"/>
      <c r="L22" s="810" t="s">
        <v>253</v>
      </c>
      <c r="M22" s="530">
        <v>1</v>
      </c>
      <c r="N22" s="555"/>
      <c r="O22" s="537"/>
      <c r="P22" s="537"/>
    </row>
    <row r="23" spans="1:17" x14ac:dyDescent="0.2">
      <c r="A23" s="532"/>
      <c r="B23" s="516"/>
      <c r="C23" s="504"/>
      <c r="D23" s="697"/>
      <c r="E23" s="703"/>
      <c r="F23" s="704"/>
      <c r="G23" s="524"/>
      <c r="H23" s="705"/>
      <c r="I23" s="706"/>
      <c r="J23" s="527"/>
      <c r="K23" s="709"/>
      <c r="L23" s="529" t="s">
        <v>254</v>
      </c>
      <c r="M23" s="530">
        <v>22</v>
      </c>
      <c r="N23" s="555"/>
      <c r="O23" s="537"/>
      <c r="P23" s="537"/>
    </row>
    <row r="24" spans="1:17" x14ac:dyDescent="0.2">
      <c r="A24" s="532"/>
      <c r="B24" s="516"/>
      <c r="C24" s="504"/>
      <c r="D24" s="697"/>
      <c r="E24" s="703"/>
      <c r="F24" s="704"/>
      <c r="G24" s="524"/>
      <c r="H24" s="705"/>
      <c r="I24" s="706"/>
      <c r="J24" s="527"/>
      <c r="K24" s="538"/>
      <c r="L24" s="529"/>
      <c r="M24" s="530"/>
      <c r="N24" s="555"/>
      <c r="O24" s="537"/>
      <c r="P24" s="537"/>
    </row>
    <row r="25" spans="1:17" x14ac:dyDescent="0.2">
      <c r="A25" s="532"/>
      <c r="B25" s="516"/>
      <c r="C25" s="504"/>
      <c r="D25" s="697"/>
      <c r="E25" s="703"/>
      <c r="F25" s="704"/>
      <c r="G25" s="524"/>
      <c r="H25" s="705"/>
      <c r="I25" s="706"/>
      <c r="J25" s="527"/>
      <c r="K25" s="538"/>
      <c r="L25" s="529"/>
      <c r="M25" s="530"/>
      <c r="N25" s="555"/>
      <c r="O25" s="537"/>
      <c r="P25" s="537"/>
    </row>
    <row r="26" spans="1:17" x14ac:dyDescent="0.2">
      <c r="A26" s="532"/>
      <c r="B26" s="516"/>
      <c r="C26" s="504"/>
      <c r="D26" s="697"/>
      <c r="E26" s="703"/>
      <c r="F26" s="704"/>
      <c r="G26" s="524"/>
      <c r="H26" s="705"/>
      <c r="I26" s="706"/>
      <c r="J26" s="527"/>
      <c r="K26" s="538"/>
      <c r="L26" s="529"/>
      <c r="M26" s="530"/>
      <c r="N26" s="567"/>
      <c r="O26" s="566"/>
      <c r="P26" s="566"/>
    </row>
    <row r="27" spans="1:17" x14ac:dyDescent="0.2">
      <c r="A27" s="532"/>
      <c r="B27" s="516"/>
      <c r="C27" s="504"/>
      <c r="D27" s="697"/>
      <c r="E27" s="703"/>
      <c r="F27" s="704"/>
      <c r="G27" s="524"/>
      <c r="H27" s="705"/>
      <c r="I27" s="706"/>
      <c r="J27" s="527"/>
      <c r="K27" s="538"/>
      <c r="L27" s="529"/>
      <c r="M27" s="530"/>
      <c r="N27" s="568"/>
      <c r="O27" s="569"/>
      <c r="P27" s="570"/>
      <c r="Q27" s="569"/>
    </row>
    <row r="28" spans="1:17" x14ac:dyDescent="0.2">
      <c r="A28" s="532"/>
      <c r="B28" s="516"/>
      <c r="C28" s="504"/>
      <c r="D28" s="697"/>
      <c r="E28" s="703"/>
      <c r="F28" s="704"/>
      <c r="G28" s="524"/>
      <c r="H28" s="705"/>
      <c r="I28" s="706"/>
      <c r="J28" s="527"/>
      <c r="K28" s="538"/>
      <c r="L28" s="529"/>
      <c r="M28" s="530"/>
      <c r="N28" s="568"/>
      <c r="O28" s="569"/>
      <c r="P28" s="571"/>
      <c r="Q28" s="569"/>
    </row>
    <row r="29" spans="1:17" x14ac:dyDescent="0.2">
      <c r="A29" s="532"/>
      <c r="B29" s="516"/>
      <c r="C29" s="504"/>
      <c r="D29" s="697"/>
      <c r="E29" s="703"/>
      <c r="F29" s="704"/>
      <c r="G29" s="524"/>
      <c r="H29" s="705"/>
      <c r="I29" s="706"/>
      <c r="J29" s="527"/>
      <c r="K29" s="538"/>
      <c r="L29" s="529"/>
      <c r="M29" s="530"/>
      <c r="N29" s="572"/>
      <c r="O29" s="569"/>
      <c r="P29" s="569"/>
      <c r="Q29" s="569"/>
    </row>
    <row r="30" spans="1:17" x14ac:dyDescent="0.2">
      <c r="A30" s="532"/>
      <c r="B30" s="516"/>
      <c r="C30" s="504"/>
      <c r="D30" s="697"/>
      <c r="E30" s="703"/>
      <c r="F30" s="704"/>
      <c r="G30" s="524"/>
      <c r="H30" s="705"/>
      <c r="I30" s="706"/>
      <c r="J30" s="527"/>
      <c r="K30" s="538"/>
      <c r="L30" s="529"/>
      <c r="M30" s="530"/>
      <c r="N30" s="573"/>
      <c r="O30" s="574"/>
      <c r="P30" s="566"/>
    </row>
    <row r="31" spans="1:17" x14ac:dyDescent="0.2">
      <c r="A31" s="532"/>
      <c r="B31" s="516"/>
      <c r="C31" s="504"/>
      <c r="D31" s="697"/>
      <c r="E31" s="703"/>
      <c r="F31" s="704"/>
      <c r="G31" s="524"/>
      <c r="H31" s="705"/>
      <c r="I31" s="706"/>
      <c r="J31" s="527"/>
      <c r="K31" s="538"/>
      <c r="L31" s="529"/>
      <c r="M31" s="530"/>
      <c r="N31" s="574"/>
      <c r="O31" s="574"/>
      <c r="P31" s="566"/>
    </row>
    <row r="32" spans="1:17" x14ac:dyDescent="0.2">
      <c r="A32" s="532"/>
      <c r="B32" s="516"/>
      <c r="C32" s="504"/>
      <c r="D32" s="697"/>
      <c r="E32" s="703"/>
      <c r="F32" s="704"/>
      <c r="G32" s="524"/>
      <c r="H32" s="705"/>
      <c r="I32" s="706"/>
      <c r="J32" s="527"/>
      <c r="K32" s="538"/>
      <c r="L32" s="529"/>
      <c r="M32" s="530"/>
      <c r="O32" s="566"/>
      <c r="P32" s="566"/>
    </row>
    <row r="33" spans="1:17" x14ac:dyDescent="0.2">
      <c r="A33" s="532"/>
      <c r="B33" s="516"/>
      <c r="C33" s="504"/>
      <c r="D33" s="697"/>
      <c r="E33" s="703"/>
      <c r="F33" s="704"/>
      <c r="G33" s="524"/>
      <c r="H33" s="705"/>
      <c r="I33" s="706"/>
      <c r="J33" s="527"/>
      <c r="K33" s="538"/>
      <c r="L33" s="529"/>
      <c r="M33" s="530"/>
      <c r="O33" s="566"/>
      <c r="P33" s="566"/>
    </row>
    <row r="34" spans="1:17" x14ac:dyDescent="0.2">
      <c r="A34" s="532"/>
      <c r="B34" s="516"/>
      <c r="C34" s="504"/>
      <c r="D34" s="697"/>
      <c r="E34" s="703"/>
      <c r="F34" s="704"/>
      <c r="G34" s="524"/>
      <c r="H34" s="705"/>
      <c r="I34" s="706"/>
      <c r="J34" s="527"/>
      <c r="K34" s="538"/>
      <c r="L34" s="529"/>
      <c r="M34" s="530"/>
      <c r="O34" s="566"/>
      <c r="P34" s="566"/>
    </row>
    <row r="35" spans="1:17" x14ac:dyDescent="0.2">
      <c r="A35" s="532"/>
      <c r="B35" s="516"/>
      <c r="C35" s="504"/>
      <c r="D35" s="697"/>
      <c r="E35" s="703"/>
      <c r="F35" s="704"/>
      <c r="G35" s="524"/>
      <c r="H35" s="705"/>
      <c r="I35" s="706"/>
      <c r="J35" s="527"/>
      <c r="K35" s="538"/>
      <c r="L35" s="529"/>
      <c r="M35" s="530"/>
      <c r="O35" s="566"/>
      <c r="P35" s="566"/>
    </row>
    <row r="36" spans="1:17" x14ac:dyDescent="0.2">
      <c r="A36" s="532"/>
      <c r="B36" s="516"/>
      <c r="C36" s="504"/>
      <c r="D36" s="697"/>
      <c r="E36" s="703"/>
      <c r="F36" s="704"/>
      <c r="G36" s="524"/>
      <c r="H36" s="705"/>
      <c r="I36" s="706"/>
      <c r="J36" s="527"/>
      <c r="K36" s="538"/>
      <c r="L36" s="529"/>
      <c r="M36" s="530"/>
      <c r="O36" s="566"/>
      <c r="P36" s="566"/>
    </row>
    <row r="37" spans="1:17" x14ac:dyDescent="0.2">
      <c r="A37" s="532"/>
      <c r="B37" s="516"/>
      <c r="C37" s="504"/>
      <c r="D37" s="697"/>
      <c r="E37" s="703"/>
      <c r="F37" s="704"/>
      <c r="G37" s="524"/>
      <c r="H37" s="705"/>
      <c r="I37" s="706"/>
      <c r="J37" s="527"/>
      <c r="K37" s="538"/>
      <c r="L37" s="529"/>
      <c r="M37" s="530"/>
      <c r="O37" s="566"/>
      <c r="P37" s="566"/>
    </row>
    <row r="38" spans="1:17" x14ac:dyDescent="0.2">
      <c r="A38" s="532"/>
      <c r="B38" s="516"/>
      <c r="C38" s="504"/>
      <c r="D38" s="697"/>
      <c r="E38" s="703"/>
      <c r="F38" s="704"/>
      <c r="G38" s="524"/>
      <c r="H38" s="705"/>
      <c r="I38" s="706"/>
      <c r="J38" s="527"/>
      <c r="K38" s="538"/>
      <c r="L38" s="529"/>
      <c r="M38" s="530"/>
      <c r="O38" s="566"/>
      <c r="P38" s="566"/>
    </row>
    <row r="39" spans="1:17" x14ac:dyDescent="0.2">
      <c r="A39" s="532"/>
      <c r="B39" s="516"/>
      <c r="C39" s="504"/>
      <c r="D39" s="697"/>
      <c r="E39" s="703"/>
      <c r="F39" s="704"/>
      <c r="G39" s="524"/>
      <c r="H39" s="705"/>
      <c r="I39" s="706"/>
      <c r="J39" s="527"/>
      <c r="K39" s="538"/>
      <c r="L39" s="529"/>
      <c r="M39" s="530"/>
      <c r="O39" s="566"/>
      <c r="P39" s="566"/>
    </row>
    <row r="40" spans="1:17" x14ac:dyDescent="0.2">
      <c r="A40" s="532"/>
      <c r="B40" s="516"/>
      <c r="C40" s="504"/>
      <c r="D40" s="697"/>
      <c r="E40" s="703"/>
      <c r="F40" s="704"/>
      <c r="G40" s="524"/>
      <c r="H40" s="705"/>
      <c r="I40" s="706"/>
      <c r="J40" s="527"/>
      <c r="K40" s="538"/>
      <c r="L40" s="529"/>
      <c r="M40" s="530"/>
      <c r="O40" s="566"/>
      <c r="P40" s="566"/>
    </row>
    <row r="41" spans="1:17" x14ac:dyDescent="0.2">
      <c r="A41" s="532"/>
      <c r="B41" s="516"/>
      <c r="C41" s="504"/>
      <c r="D41" s="697"/>
      <c r="E41" s="703"/>
      <c r="F41" s="704"/>
      <c r="G41" s="524"/>
      <c r="H41" s="705"/>
      <c r="I41" s="706"/>
      <c r="J41" s="527"/>
      <c r="K41" s="538"/>
      <c r="L41" s="529"/>
      <c r="M41" s="530"/>
      <c r="O41" s="566"/>
      <c r="P41" s="566"/>
    </row>
    <row r="42" spans="1:17" x14ac:dyDescent="0.2">
      <c r="A42" s="532"/>
      <c r="B42" s="516"/>
      <c r="C42" s="504"/>
      <c r="D42" s="697"/>
      <c r="E42" s="703"/>
      <c r="F42" s="704"/>
      <c r="G42" s="524"/>
      <c r="H42" s="705"/>
      <c r="I42" s="706"/>
      <c r="J42" s="527"/>
      <c r="K42" s="538"/>
      <c r="L42" s="529"/>
      <c r="M42" s="530"/>
      <c r="O42" s="566"/>
      <c r="P42" s="566"/>
    </row>
    <row r="43" spans="1:17" x14ac:dyDescent="0.2">
      <c r="A43" s="532"/>
      <c r="B43" s="516"/>
      <c r="C43" s="504"/>
      <c r="D43" s="697"/>
      <c r="E43" s="703"/>
      <c r="F43" s="704"/>
      <c r="G43" s="524"/>
      <c r="H43" s="705"/>
      <c r="I43" s="706"/>
      <c r="J43" s="527"/>
      <c r="K43" s="538"/>
      <c r="L43" s="529"/>
      <c r="M43" s="530"/>
      <c r="O43" s="566"/>
      <c r="P43" s="566"/>
    </row>
    <row r="44" spans="1:17" ht="10.8" thickBot="1" x14ac:dyDescent="0.25">
      <c r="A44" s="532"/>
      <c r="B44" s="516"/>
      <c r="C44" s="504"/>
      <c r="D44" s="697"/>
      <c r="E44" s="703"/>
      <c r="F44" s="704"/>
      <c r="G44" s="524"/>
      <c r="H44" s="705"/>
      <c r="I44" s="706"/>
      <c r="J44" s="527"/>
      <c r="K44" s="538"/>
      <c r="L44" s="529"/>
      <c r="M44" s="575"/>
      <c r="O44" s="566"/>
      <c r="P44" s="566"/>
    </row>
    <row r="45" spans="1:17" x14ac:dyDescent="0.2">
      <c r="A45" s="532"/>
      <c r="B45" s="516"/>
      <c r="C45" s="504"/>
      <c r="D45" s="697"/>
      <c r="E45" s="703"/>
      <c r="F45" s="704"/>
      <c r="G45" s="524"/>
      <c r="H45" s="705"/>
      <c r="I45" s="706"/>
      <c r="J45" s="527"/>
      <c r="K45" s="538"/>
      <c r="L45" s="576" t="s">
        <v>157</v>
      </c>
      <c r="M45" s="577">
        <f>AVERAGE(M12:M44)</f>
        <v>14.666666666666666</v>
      </c>
      <c r="O45" s="566"/>
      <c r="P45" s="566"/>
    </row>
    <row r="46" spans="1:17" x14ac:dyDescent="0.2">
      <c r="A46" s="532"/>
      <c r="B46" s="516"/>
      <c r="C46" s="504"/>
      <c r="D46" s="697"/>
      <c r="E46" s="703"/>
      <c r="F46" s="704"/>
      <c r="G46" s="524"/>
      <c r="H46" s="705"/>
      <c r="I46" s="706"/>
      <c r="J46" s="527"/>
      <c r="K46" s="538"/>
      <c r="L46" s="403" t="s">
        <v>158</v>
      </c>
      <c r="M46" s="575">
        <f>STDEV(M12:M44)</f>
        <v>7.7966581807771194</v>
      </c>
      <c r="N46" s="578"/>
      <c r="P46" s="566"/>
    </row>
    <row r="47" spans="1:17" x14ac:dyDescent="0.2">
      <c r="A47" s="579" t="s">
        <v>159</v>
      </c>
      <c r="B47" s="580"/>
      <c r="C47" s="581"/>
      <c r="D47" s="710"/>
      <c r="E47" s="711"/>
      <c r="F47" s="712"/>
      <c r="G47" s="586"/>
      <c r="H47" s="713"/>
      <c r="I47" s="714"/>
      <c r="J47" s="589"/>
      <c r="K47" s="590"/>
      <c r="L47" s="403" t="s">
        <v>160</v>
      </c>
      <c r="M47" s="575">
        <f>M46/SQRT(COUNT(M12:M43))</f>
        <v>2.2507013497255839</v>
      </c>
      <c r="N47" s="573"/>
      <c r="Q47" s="578"/>
    </row>
    <row r="48" spans="1:17" x14ac:dyDescent="0.2">
      <c r="A48" s="591"/>
      <c r="B48" s="592"/>
      <c r="C48" s="593"/>
      <c r="D48" s="715"/>
      <c r="E48" s="716"/>
      <c r="F48" s="717"/>
      <c r="G48" s="718"/>
      <c r="H48" s="599"/>
      <c r="I48" s="719"/>
      <c r="J48" s="720"/>
      <c r="K48" s="602"/>
      <c r="L48" s="403" t="s">
        <v>161</v>
      </c>
      <c r="M48" s="575">
        <f>MAX(M12:M43)</f>
        <v>25</v>
      </c>
      <c r="N48" s="573"/>
      <c r="O48" s="566"/>
      <c r="P48" s="566"/>
    </row>
    <row r="49" spans="1:16" ht="10.8" thickBot="1" x14ac:dyDescent="0.25">
      <c r="A49" s="603"/>
      <c r="B49" s="604"/>
      <c r="C49" s="605"/>
      <c r="D49" s="721"/>
      <c r="E49" s="722"/>
      <c r="F49" s="723"/>
      <c r="G49" s="724"/>
      <c r="H49" s="611"/>
      <c r="I49" s="725"/>
      <c r="J49" s="726"/>
      <c r="K49" s="614"/>
      <c r="L49" s="615" t="s">
        <v>162</v>
      </c>
      <c r="M49" s="616">
        <f>MIN(M12:M43)</f>
        <v>1</v>
      </c>
      <c r="N49" s="578"/>
      <c r="O49" s="566"/>
      <c r="P49" s="566"/>
    </row>
    <row r="50" spans="1:16" x14ac:dyDescent="0.2">
      <c r="A50" s="617"/>
      <c r="B50" s="617"/>
      <c r="C50" s="618"/>
      <c r="D50" s="619"/>
      <c r="E50" s="619"/>
      <c r="F50" s="619"/>
      <c r="G50" s="620"/>
      <c r="H50" s="621"/>
      <c r="I50" s="622"/>
      <c r="J50" s="623"/>
      <c r="K50" s="624"/>
      <c r="L50" s="625"/>
      <c r="M50" s="578"/>
      <c r="O50" s="566"/>
      <c r="P50" s="566"/>
    </row>
    <row r="51" spans="1:16" x14ac:dyDescent="0.2">
      <c r="A51" s="578"/>
      <c r="B51" s="578"/>
      <c r="C51" s="627"/>
      <c r="D51" s="627"/>
      <c r="E51" s="627"/>
      <c r="F51" s="627"/>
      <c r="G51" s="622"/>
      <c r="H51" s="621"/>
      <c r="I51" s="622"/>
      <c r="J51" s="623"/>
      <c r="K51" s="628"/>
      <c r="L51" s="625"/>
      <c r="M51" s="578"/>
      <c r="O51" s="566"/>
      <c r="P51" s="566"/>
    </row>
    <row r="52" spans="1:16" x14ac:dyDescent="0.2">
      <c r="A52" s="629"/>
      <c r="B52" s="629"/>
      <c r="C52" s="629"/>
      <c r="D52" s="629"/>
      <c r="E52" s="623"/>
      <c r="F52" s="630"/>
      <c r="G52" s="578"/>
      <c r="H52" s="566"/>
      <c r="I52" s="578"/>
      <c r="J52" s="566"/>
      <c r="K52" s="566"/>
      <c r="L52" s="578"/>
      <c r="M52" s="578"/>
      <c r="O52" s="566"/>
      <c r="P52" s="566"/>
    </row>
    <row r="53" spans="1:16" x14ac:dyDescent="0.2">
      <c r="A53" s="631"/>
      <c r="B53" s="631"/>
      <c r="C53" s="629"/>
      <c r="D53" s="629"/>
      <c r="E53" s="623"/>
      <c r="F53" s="630"/>
      <c r="G53" s="566"/>
      <c r="H53" s="566"/>
      <c r="I53" s="578"/>
      <c r="J53" s="566"/>
      <c r="K53" s="566"/>
      <c r="L53" s="578"/>
      <c r="M53" s="578"/>
      <c r="O53" s="566"/>
      <c r="P53" s="566"/>
    </row>
    <row r="54" spans="1:16" x14ac:dyDescent="0.2">
      <c r="A54" s="475"/>
      <c r="B54" s="475"/>
      <c r="C54" s="629"/>
      <c r="D54" s="629"/>
      <c r="E54" s="623"/>
      <c r="F54" s="630"/>
      <c r="G54" s="566"/>
      <c r="H54" s="566"/>
      <c r="I54" s="578"/>
      <c r="J54" s="566"/>
      <c r="K54" s="566"/>
      <c r="L54" s="578"/>
      <c r="M54" s="578"/>
      <c r="O54" s="566"/>
      <c r="P54" s="566"/>
    </row>
    <row r="55" spans="1:16" x14ac:dyDescent="0.2">
      <c r="A55" s="629"/>
      <c r="B55" s="629"/>
      <c r="C55" s="629"/>
      <c r="D55" s="629"/>
      <c r="E55" s="623"/>
      <c r="F55" s="630"/>
      <c r="G55" s="566"/>
      <c r="H55" s="566"/>
      <c r="I55" s="578"/>
      <c r="J55" s="566"/>
      <c r="K55" s="566"/>
      <c r="L55" s="578"/>
      <c r="M55" s="578"/>
      <c r="O55" s="566"/>
      <c r="P55" s="566"/>
    </row>
    <row r="56" spans="1:16" x14ac:dyDescent="0.2">
      <c r="A56" s="629"/>
      <c r="B56" s="629"/>
      <c r="C56" s="629"/>
      <c r="D56" s="629"/>
      <c r="E56" s="623"/>
      <c r="F56" s="630"/>
      <c r="G56" s="566"/>
      <c r="H56" s="566"/>
      <c r="I56" s="578"/>
      <c r="J56" s="622"/>
      <c r="K56" s="566"/>
      <c r="L56" s="578"/>
      <c r="M56" s="578"/>
      <c r="O56" s="566"/>
      <c r="P56" s="566"/>
    </row>
    <row r="57" spans="1:16" x14ac:dyDescent="0.2">
      <c r="A57" s="629"/>
      <c r="B57" s="629"/>
      <c r="C57" s="629"/>
      <c r="D57" s="629"/>
      <c r="E57" s="623"/>
      <c r="F57" s="630"/>
      <c r="G57" s="566"/>
      <c r="H57" s="566"/>
      <c r="I57" s="578"/>
      <c r="J57" s="622"/>
      <c r="K57" s="566"/>
      <c r="L57" s="578"/>
      <c r="M57" s="578"/>
      <c r="O57" s="566"/>
      <c r="P57" s="566"/>
    </row>
    <row r="58" spans="1:16" x14ac:dyDescent="0.2">
      <c r="A58" s="629"/>
      <c r="B58" s="629"/>
      <c r="C58" s="629"/>
      <c r="D58" s="629"/>
      <c r="E58" s="623"/>
      <c r="F58" s="630"/>
      <c r="G58" s="566"/>
      <c r="H58" s="566"/>
      <c r="I58" s="578"/>
      <c r="J58" s="566"/>
      <c r="K58" s="566"/>
      <c r="L58" s="578"/>
      <c r="M58" s="578"/>
      <c r="O58" s="566"/>
      <c r="P58" s="566"/>
    </row>
    <row r="59" spans="1:16" x14ac:dyDescent="0.2">
      <c r="A59" s="629"/>
      <c r="B59" s="629"/>
      <c r="C59" s="629"/>
      <c r="D59" s="629"/>
      <c r="E59" s="623"/>
      <c r="F59" s="630"/>
      <c r="G59" s="566"/>
      <c r="H59" s="566"/>
      <c r="I59" s="578"/>
      <c r="J59" s="566"/>
      <c r="K59" s="566"/>
      <c r="L59" s="578"/>
      <c r="M59" s="578"/>
      <c r="O59" s="566"/>
      <c r="P59" s="566"/>
    </row>
    <row r="60" spans="1:16" x14ac:dyDescent="0.2">
      <c r="A60" s="629"/>
      <c r="B60" s="629"/>
      <c r="C60" s="629"/>
      <c r="D60" s="629"/>
      <c r="E60" s="623"/>
      <c r="F60" s="630"/>
      <c r="G60" s="566"/>
      <c r="H60" s="566"/>
      <c r="I60" s="578"/>
      <c r="J60" s="566"/>
      <c r="K60" s="566"/>
      <c r="L60" s="578"/>
      <c r="M60" s="578"/>
      <c r="O60" s="566"/>
      <c r="P60" s="566"/>
    </row>
    <row r="61" spans="1:16" x14ac:dyDescent="0.2">
      <c r="A61" s="629"/>
      <c r="B61" s="629"/>
      <c r="C61" s="629"/>
      <c r="D61" s="629"/>
      <c r="E61" s="623"/>
      <c r="F61" s="630"/>
      <c r="G61" s="566"/>
      <c r="H61" s="566"/>
      <c r="I61" s="578"/>
      <c r="J61" s="566"/>
      <c r="K61" s="566"/>
      <c r="L61" s="578"/>
      <c r="M61" s="578"/>
      <c r="O61" s="566"/>
      <c r="P61" s="566"/>
    </row>
    <row r="62" spans="1:16" x14ac:dyDescent="0.2">
      <c r="A62" s="629"/>
      <c r="B62" s="629"/>
      <c r="C62" s="629"/>
      <c r="D62" s="629"/>
      <c r="E62" s="623"/>
      <c r="F62" s="630"/>
      <c r="G62" s="566"/>
      <c r="H62" s="566"/>
      <c r="I62" s="578"/>
      <c r="J62" s="566"/>
      <c r="K62" s="566"/>
      <c r="L62" s="578"/>
      <c r="M62" s="578"/>
      <c r="O62" s="566"/>
      <c r="P62" s="566"/>
    </row>
    <row r="63" spans="1:16" x14ac:dyDescent="0.2">
      <c r="A63" s="629"/>
      <c r="B63" s="629"/>
      <c r="C63" s="629"/>
      <c r="D63" s="629"/>
      <c r="E63" s="623"/>
      <c r="F63" s="630"/>
      <c r="G63" s="566"/>
      <c r="H63" s="566"/>
      <c r="I63" s="578"/>
      <c r="J63" s="566"/>
      <c r="K63" s="566"/>
      <c r="L63" s="578"/>
      <c r="O63" s="566"/>
      <c r="P63" s="566"/>
    </row>
    <row r="64" spans="1:16" x14ac:dyDescent="0.2">
      <c r="A64" s="629"/>
      <c r="B64" s="629"/>
      <c r="C64" s="629"/>
      <c r="D64" s="629"/>
      <c r="E64" s="623"/>
      <c r="F64" s="630"/>
      <c r="G64" s="566"/>
      <c r="H64" s="566"/>
      <c r="I64" s="578"/>
      <c r="J64" s="566"/>
      <c r="K64" s="566"/>
      <c r="L64" s="578"/>
      <c r="O64" s="566"/>
      <c r="P64" s="566"/>
    </row>
    <row r="65" spans="1:16" x14ac:dyDescent="0.2">
      <c r="A65" s="629"/>
      <c r="B65" s="629"/>
      <c r="C65" s="629"/>
      <c r="D65" s="629"/>
      <c r="E65" s="623"/>
      <c r="F65" s="630"/>
      <c r="G65" s="566"/>
      <c r="H65" s="566"/>
      <c r="I65" s="578"/>
      <c r="J65" s="566"/>
      <c r="K65" s="566"/>
      <c r="L65" s="566"/>
      <c r="O65" s="566"/>
      <c r="P65" s="566"/>
    </row>
    <row r="66" spans="1:16" x14ac:dyDescent="0.2">
      <c r="A66" s="629"/>
      <c r="B66" s="629"/>
      <c r="C66" s="629"/>
      <c r="D66" s="629"/>
      <c r="E66" s="623"/>
      <c r="F66" s="630"/>
      <c r="G66" s="566"/>
      <c r="H66" s="566"/>
      <c r="I66" s="578"/>
      <c r="J66" s="566"/>
      <c r="K66" s="566"/>
      <c r="L66" s="566"/>
      <c r="O66" s="566"/>
      <c r="P66" s="566"/>
    </row>
    <row r="67" spans="1:16" x14ac:dyDescent="0.2">
      <c r="A67" s="629"/>
      <c r="B67" s="629"/>
      <c r="C67" s="629"/>
      <c r="D67" s="629"/>
      <c r="E67" s="623"/>
      <c r="F67" s="630"/>
      <c r="G67" s="566"/>
      <c r="H67" s="566"/>
      <c r="I67" s="578"/>
      <c r="J67" s="566"/>
      <c r="K67" s="566"/>
      <c r="L67" s="566"/>
      <c r="O67" s="566"/>
      <c r="P67" s="566"/>
    </row>
    <row r="68" spans="1:16" x14ac:dyDescent="0.2">
      <c r="A68" s="629"/>
      <c r="B68" s="629"/>
      <c r="C68" s="629"/>
      <c r="D68" s="629"/>
      <c r="E68" s="623"/>
      <c r="F68" s="630"/>
      <c r="G68" s="566"/>
      <c r="H68" s="566"/>
      <c r="I68" s="578"/>
      <c r="J68" s="566"/>
      <c r="K68" s="566"/>
      <c r="L68" s="566"/>
      <c r="O68" s="566"/>
      <c r="P68" s="566"/>
    </row>
    <row r="69" spans="1:16" x14ac:dyDescent="0.2">
      <c r="A69" s="629"/>
      <c r="B69" s="629"/>
      <c r="C69" s="629"/>
      <c r="D69" s="629"/>
      <c r="E69" s="623"/>
      <c r="F69" s="630"/>
      <c r="G69" s="566"/>
      <c r="H69" s="566"/>
      <c r="I69" s="578"/>
      <c r="J69" s="566"/>
      <c r="K69" s="566"/>
      <c r="L69" s="566"/>
      <c r="O69" s="566"/>
      <c r="P69" s="566"/>
    </row>
    <row r="70" spans="1:16" x14ac:dyDescent="0.2">
      <c r="A70" s="629"/>
      <c r="B70" s="629"/>
      <c r="C70" s="629"/>
      <c r="D70" s="629"/>
      <c r="E70" s="623"/>
      <c r="F70" s="630"/>
      <c r="G70" s="566"/>
      <c r="H70" s="566"/>
      <c r="I70" s="578"/>
      <c r="J70" s="566"/>
      <c r="K70" s="566"/>
      <c r="L70" s="566"/>
      <c r="O70" s="566"/>
      <c r="P70" s="566"/>
    </row>
    <row r="71" spans="1:16" x14ac:dyDescent="0.2">
      <c r="A71" s="629"/>
      <c r="B71" s="629"/>
      <c r="C71" s="629"/>
      <c r="D71" s="629"/>
      <c r="E71" s="623"/>
      <c r="F71" s="630"/>
      <c r="G71" s="566"/>
      <c r="H71" s="566"/>
      <c r="I71" s="578"/>
      <c r="J71" s="566"/>
      <c r="K71" s="566"/>
      <c r="L71" s="566"/>
      <c r="O71" s="566"/>
      <c r="P71" s="566"/>
    </row>
    <row r="72" spans="1:16" x14ac:dyDescent="0.2">
      <c r="A72" s="629"/>
      <c r="B72" s="629"/>
      <c r="C72" s="629"/>
      <c r="D72" s="629"/>
      <c r="E72" s="623"/>
      <c r="F72" s="630"/>
      <c r="G72" s="566"/>
      <c r="H72" s="566"/>
      <c r="I72" s="578"/>
      <c r="J72" s="566"/>
      <c r="K72" s="566"/>
      <c r="L72" s="566"/>
      <c r="O72" s="566"/>
      <c r="P72" s="566"/>
    </row>
    <row r="73" spans="1:16" x14ac:dyDescent="0.2">
      <c r="A73" s="629"/>
      <c r="B73" s="629"/>
      <c r="C73" s="629"/>
      <c r="D73" s="629"/>
      <c r="E73" s="623"/>
      <c r="F73" s="630"/>
      <c r="G73" s="566"/>
      <c r="H73" s="566"/>
      <c r="I73" s="578"/>
      <c r="J73" s="566"/>
      <c r="K73" s="566"/>
      <c r="L73" s="566"/>
      <c r="O73" s="566"/>
      <c r="P73" s="566"/>
    </row>
    <row r="74" spans="1:16" x14ac:dyDescent="0.2">
      <c r="A74" s="629"/>
      <c r="B74" s="629"/>
      <c r="C74" s="629"/>
      <c r="D74" s="629"/>
      <c r="E74" s="623"/>
      <c r="F74" s="630"/>
      <c r="G74" s="566"/>
      <c r="H74" s="566"/>
      <c r="I74" s="578"/>
      <c r="J74" s="566"/>
      <c r="K74" s="566"/>
      <c r="L74" s="566"/>
      <c r="O74" s="566"/>
      <c r="P74" s="566"/>
    </row>
    <row r="75" spans="1:16" x14ac:dyDescent="0.2">
      <c r="A75" s="629"/>
      <c r="B75" s="629"/>
      <c r="C75" s="629"/>
      <c r="D75" s="629"/>
      <c r="E75" s="623"/>
      <c r="F75" s="630"/>
      <c r="G75" s="566"/>
      <c r="H75" s="566"/>
      <c r="I75" s="578"/>
      <c r="J75" s="566"/>
      <c r="K75" s="566"/>
      <c r="L75" s="566"/>
      <c r="O75" s="566"/>
      <c r="P75" s="566"/>
    </row>
    <row r="76" spans="1:16" x14ac:dyDescent="0.2">
      <c r="A76" s="629"/>
      <c r="B76" s="629"/>
      <c r="C76" s="629"/>
      <c r="D76" s="629"/>
      <c r="E76" s="623"/>
      <c r="F76" s="630"/>
      <c r="G76" s="626"/>
      <c r="H76" s="566"/>
      <c r="I76" s="578"/>
      <c r="J76" s="566"/>
      <c r="K76" s="566"/>
      <c r="L76" s="566"/>
      <c r="O76" s="566"/>
      <c r="P76" s="566"/>
    </row>
    <row r="77" spans="1:16" x14ac:dyDescent="0.2">
      <c r="A77" s="629"/>
      <c r="B77" s="629"/>
      <c r="C77" s="629"/>
      <c r="D77" s="629"/>
      <c r="E77" s="623"/>
      <c r="F77" s="630"/>
      <c r="G77" s="626"/>
      <c r="H77" s="566"/>
      <c r="I77" s="578"/>
      <c r="J77" s="566"/>
      <c r="K77" s="566"/>
      <c r="L77" s="566"/>
      <c r="O77" s="566"/>
      <c r="P77" s="566"/>
    </row>
    <row r="78" spans="1:16" x14ac:dyDescent="0.2">
      <c r="A78" s="629"/>
      <c r="B78" s="629"/>
      <c r="C78" s="629"/>
      <c r="D78" s="629"/>
      <c r="E78" s="623"/>
      <c r="F78" s="630"/>
      <c r="G78" s="626"/>
      <c r="H78" s="566"/>
      <c r="I78" s="578"/>
      <c r="J78" s="566"/>
      <c r="K78" s="566"/>
      <c r="L78" s="566"/>
      <c r="O78" s="566"/>
      <c r="P78" s="566"/>
    </row>
    <row r="79" spans="1:16" x14ac:dyDescent="0.2">
      <c r="A79" s="629"/>
      <c r="B79" s="629"/>
      <c r="C79" s="629"/>
      <c r="D79" s="629"/>
      <c r="E79" s="623"/>
      <c r="F79" s="630"/>
      <c r="G79" s="626"/>
      <c r="H79" s="566"/>
      <c r="I79" s="578"/>
      <c r="J79" s="566"/>
      <c r="K79" s="566"/>
      <c r="L79" s="566"/>
      <c r="O79" s="566"/>
      <c r="P79" s="566"/>
    </row>
    <row r="80" spans="1:16" x14ac:dyDescent="0.2">
      <c r="A80" s="629"/>
      <c r="B80" s="629"/>
      <c r="C80" s="629"/>
      <c r="D80" s="629"/>
      <c r="E80" s="623"/>
      <c r="F80" s="630"/>
      <c r="G80" s="566"/>
      <c r="H80" s="566"/>
      <c r="I80" s="578"/>
      <c r="J80" s="566"/>
      <c r="K80" s="566"/>
      <c r="L80" s="566"/>
      <c r="O80" s="566"/>
      <c r="P80" s="566"/>
    </row>
    <row r="81" spans="1:17" x14ac:dyDescent="0.2">
      <c r="A81" s="629"/>
      <c r="B81" s="629"/>
      <c r="C81" s="629"/>
      <c r="D81" s="629"/>
      <c r="E81" s="623"/>
      <c r="F81" s="630"/>
      <c r="G81" s="566"/>
      <c r="H81" s="566"/>
      <c r="I81" s="578"/>
      <c r="J81" s="566"/>
      <c r="K81" s="566"/>
      <c r="L81" s="566"/>
      <c r="O81" s="566"/>
      <c r="P81" s="566"/>
    </row>
    <row r="82" spans="1:17" s="629" customFormat="1" x14ac:dyDescent="0.2">
      <c r="E82" s="623"/>
      <c r="F82" s="630"/>
      <c r="G82" s="566"/>
      <c r="H82" s="566"/>
      <c r="I82" s="578"/>
      <c r="J82" s="566"/>
      <c r="K82" s="566"/>
      <c r="L82" s="566"/>
      <c r="M82" s="566"/>
      <c r="N82" s="566"/>
      <c r="O82" s="566"/>
      <c r="P82" s="566"/>
      <c r="Q82" s="566"/>
    </row>
    <row r="83" spans="1:17" s="629" customFormat="1" x14ac:dyDescent="0.2">
      <c r="E83" s="623"/>
      <c r="F83" s="630"/>
      <c r="G83" s="566"/>
      <c r="H83" s="566"/>
      <c r="I83" s="578"/>
      <c r="J83" s="566"/>
      <c r="K83" s="566"/>
      <c r="L83" s="566"/>
      <c r="M83" s="566"/>
      <c r="N83" s="566"/>
      <c r="O83" s="566"/>
      <c r="P83" s="566"/>
      <c r="Q83" s="566"/>
    </row>
    <row r="84" spans="1:17" s="629" customFormat="1" x14ac:dyDescent="0.2">
      <c r="E84" s="623"/>
      <c r="F84" s="630"/>
      <c r="G84" s="566"/>
      <c r="H84" s="566"/>
      <c r="I84" s="578"/>
      <c r="J84" s="566"/>
      <c r="K84" s="566"/>
      <c r="L84" s="566"/>
      <c r="M84" s="566"/>
      <c r="N84" s="566"/>
      <c r="O84" s="566"/>
      <c r="P84" s="566"/>
      <c r="Q84" s="566"/>
    </row>
    <row r="85" spans="1:17" s="629" customFormat="1" x14ac:dyDescent="0.2">
      <c r="E85" s="623"/>
      <c r="F85" s="630"/>
      <c r="G85" s="566"/>
      <c r="H85" s="566"/>
      <c r="I85" s="578"/>
      <c r="J85" s="566"/>
      <c r="K85" s="566"/>
      <c r="L85" s="566"/>
      <c r="M85" s="566"/>
      <c r="N85" s="566"/>
      <c r="O85" s="566"/>
      <c r="P85" s="566"/>
      <c r="Q85" s="566"/>
    </row>
    <row r="86" spans="1:17" s="629" customFormat="1" x14ac:dyDescent="0.2">
      <c r="E86" s="623"/>
      <c r="F86" s="630"/>
      <c r="G86" s="566"/>
      <c r="H86" s="566"/>
      <c r="I86" s="578"/>
      <c r="J86" s="566"/>
      <c r="K86" s="566"/>
      <c r="L86" s="566"/>
      <c r="M86" s="566"/>
      <c r="N86" s="566"/>
      <c r="O86" s="566"/>
      <c r="P86" s="566"/>
      <c r="Q86" s="566"/>
    </row>
    <row r="87" spans="1:17" s="629" customFormat="1" x14ac:dyDescent="0.2">
      <c r="E87" s="623"/>
      <c r="F87" s="630"/>
      <c r="G87" s="566"/>
      <c r="H87" s="566"/>
      <c r="I87" s="578"/>
      <c r="J87" s="566"/>
      <c r="K87" s="566"/>
      <c r="L87" s="566"/>
      <c r="M87" s="566"/>
    </row>
    <row r="88" spans="1:17" s="629" customFormat="1" x14ac:dyDescent="0.2">
      <c r="E88" s="623"/>
      <c r="F88" s="630"/>
      <c r="G88" s="566"/>
      <c r="H88" s="566"/>
      <c r="I88" s="578"/>
      <c r="J88" s="566"/>
      <c r="K88" s="566"/>
      <c r="L88" s="566"/>
      <c r="M88" s="566"/>
    </row>
    <row r="89" spans="1:17" s="629" customFormat="1" x14ac:dyDescent="0.2">
      <c r="E89" s="623"/>
      <c r="F89" s="630"/>
      <c r="G89" s="566"/>
      <c r="H89" s="566"/>
      <c r="I89" s="578"/>
      <c r="J89" s="566"/>
      <c r="K89" s="566"/>
      <c r="L89" s="566"/>
      <c r="M89" s="566"/>
    </row>
    <row r="90" spans="1:17" s="629" customFormat="1" x14ac:dyDescent="0.2">
      <c r="E90" s="623"/>
      <c r="F90" s="630"/>
      <c r="G90" s="566"/>
      <c r="H90" s="566"/>
      <c r="I90" s="578"/>
      <c r="J90" s="566"/>
      <c r="K90" s="566"/>
      <c r="L90" s="566"/>
      <c r="M90" s="566"/>
    </row>
    <row r="91" spans="1:17" s="629" customFormat="1" x14ac:dyDescent="0.2">
      <c r="E91" s="623"/>
      <c r="F91" s="630"/>
      <c r="G91" s="566"/>
      <c r="H91" s="566"/>
      <c r="I91" s="578"/>
      <c r="J91" s="566"/>
      <c r="K91" s="566"/>
      <c r="L91" s="566"/>
      <c r="M91" s="566"/>
    </row>
    <row r="92" spans="1:17" s="629" customFormat="1" x14ac:dyDescent="0.2">
      <c r="E92" s="623"/>
      <c r="F92" s="630"/>
      <c r="G92" s="566"/>
      <c r="H92" s="566"/>
      <c r="I92" s="578"/>
      <c r="J92" s="566"/>
      <c r="K92" s="566"/>
      <c r="L92" s="566"/>
      <c r="M92" s="566"/>
    </row>
    <row r="93" spans="1:17" s="629" customFormat="1" x14ac:dyDescent="0.2">
      <c r="E93" s="623"/>
      <c r="F93" s="630"/>
      <c r="G93" s="566"/>
      <c r="H93" s="566"/>
      <c r="I93" s="578"/>
      <c r="J93" s="566"/>
      <c r="K93" s="566"/>
      <c r="L93" s="566"/>
      <c r="M93" s="566"/>
    </row>
    <row r="94" spans="1:17" s="629" customFormat="1" x14ac:dyDescent="0.2">
      <c r="E94" s="623"/>
      <c r="F94" s="630"/>
      <c r="G94" s="566"/>
      <c r="H94" s="566"/>
      <c r="I94" s="578"/>
      <c r="J94" s="566"/>
      <c r="K94" s="566"/>
      <c r="L94" s="566"/>
      <c r="M94" s="566"/>
    </row>
    <row r="95" spans="1:17" s="629" customFormat="1" x14ac:dyDescent="0.2">
      <c r="E95" s="623"/>
      <c r="F95" s="630"/>
      <c r="G95" s="566"/>
      <c r="H95" s="566"/>
      <c r="I95" s="578"/>
      <c r="J95" s="566"/>
      <c r="K95" s="566"/>
      <c r="L95" s="566"/>
      <c r="M95" s="566"/>
    </row>
    <row r="96" spans="1:17" s="629" customFormat="1" x14ac:dyDescent="0.2">
      <c r="E96" s="623"/>
      <c r="F96" s="630"/>
      <c r="G96" s="566"/>
      <c r="H96" s="566"/>
      <c r="I96" s="578"/>
      <c r="J96" s="566"/>
      <c r="K96" s="566"/>
      <c r="L96" s="566"/>
      <c r="M96" s="566"/>
    </row>
    <row r="97" spans="5:13" s="629" customFormat="1" x14ac:dyDescent="0.2">
      <c r="E97" s="623"/>
      <c r="F97" s="630"/>
      <c r="G97" s="566"/>
      <c r="H97" s="566"/>
      <c r="I97" s="578"/>
      <c r="J97" s="566"/>
      <c r="K97" s="566"/>
      <c r="L97" s="566"/>
      <c r="M97" s="566"/>
    </row>
    <row r="98" spans="5:13" s="629" customFormat="1" x14ac:dyDescent="0.2">
      <c r="E98" s="623"/>
      <c r="F98" s="630"/>
      <c r="G98" s="566"/>
      <c r="H98" s="566"/>
      <c r="I98" s="578"/>
      <c r="J98" s="566"/>
      <c r="K98" s="566"/>
      <c r="L98" s="566"/>
      <c r="M98" s="566"/>
    </row>
    <row r="99" spans="5:13" s="629" customFormat="1" x14ac:dyDescent="0.2">
      <c r="E99" s="623"/>
      <c r="F99" s="630"/>
      <c r="G99" s="566"/>
      <c r="H99" s="566"/>
      <c r="I99" s="578"/>
      <c r="J99" s="566"/>
      <c r="K99" s="566"/>
      <c r="L99" s="566"/>
      <c r="M99" s="566"/>
    </row>
    <row r="100" spans="5:13" s="629" customFormat="1" x14ac:dyDescent="0.2">
      <c r="E100" s="623"/>
      <c r="F100" s="630"/>
      <c r="G100" s="566"/>
      <c r="H100" s="566"/>
      <c r="I100" s="578"/>
      <c r="J100" s="566"/>
      <c r="K100" s="566"/>
      <c r="L100" s="566"/>
      <c r="M100" s="566"/>
    </row>
    <row r="101" spans="5:13" s="629" customFormat="1" x14ac:dyDescent="0.2">
      <c r="E101" s="623"/>
      <c r="F101" s="630"/>
      <c r="G101" s="566"/>
      <c r="H101" s="566"/>
      <c r="I101" s="578"/>
      <c r="J101" s="566"/>
      <c r="K101" s="566"/>
      <c r="L101" s="566"/>
      <c r="M101" s="566"/>
    </row>
    <row r="102" spans="5:13" s="629" customFormat="1" x14ac:dyDescent="0.2">
      <c r="E102" s="623"/>
      <c r="F102" s="630"/>
      <c r="G102" s="566"/>
      <c r="H102" s="566"/>
      <c r="I102" s="578"/>
      <c r="J102" s="566"/>
      <c r="K102" s="566"/>
      <c r="L102" s="566"/>
    </row>
    <row r="103" spans="5:13" s="629" customFormat="1" x14ac:dyDescent="0.2">
      <c r="E103" s="623"/>
      <c r="F103" s="630"/>
      <c r="G103" s="566"/>
      <c r="H103" s="566"/>
      <c r="I103" s="578"/>
      <c r="J103" s="566"/>
      <c r="K103" s="566"/>
      <c r="L103" s="566"/>
    </row>
    <row r="104" spans="5:13" s="629" customFormat="1" x14ac:dyDescent="0.2">
      <c r="E104" s="623"/>
      <c r="F104" s="630"/>
      <c r="G104" s="566"/>
      <c r="H104" s="566"/>
      <c r="I104" s="578"/>
      <c r="J104" s="566"/>
      <c r="K104" s="566"/>
      <c r="L104" s="566"/>
    </row>
    <row r="105" spans="5:13" s="629" customFormat="1" x14ac:dyDescent="0.2">
      <c r="E105" s="623"/>
      <c r="F105" s="630"/>
      <c r="G105" s="566"/>
      <c r="H105" s="566"/>
      <c r="I105" s="578"/>
      <c r="J105" s="566"/>
      <c r="K105" s="566"/>
      <c r="L105" s="566"/>
    </row>
    <row r="106" spans="5:13" s="629" customFormat="1" x14ac:dyDescent="0.2">
      <c r="E106" s="623"/>
      <c r="F106" s="630"/>
      <c r="G106" s="566"/>
      <c r="H106" s="566"/>
      <c r="I106" s="578"/>
      <c r="J106" s="566"/>
      <c r="K106" s="566"/>
      <c r="L106" s="566"/>
    </row>
    <row r="107" spans="5:13" s="629" customFormat="1" x14ac:dyDescent="0.2">
      <c r="E107" s="623"/>
      <c r="F107" s="630"/>
      <c r="G107" s="566"/>
      <c r="H107" s="566"/>
      <c r="I107" s="578"/>
      <c r="J107" s="566"/>
      <c r="K107" s="566"/>
      <c r="L107" s="566"/>
    </row>
    <row r="108" spans="5:13" s="629" customFormat="1" x14ac:dyDescent="0.2">
      <c r="E108" s="623"/>
      <c r="F108" s="630"/>
      <c r="G108" s="566"/>
      <c r="H108" s="566"/>
      <c r="I108" s="578"/>
      <c r="J108" s="566"/>
      <c r="K108" s="566"/>
      <c r="L108" s="566"/>
    </row>
    <row r="109" spans="5:13" s="629" customFormat="1" x14ac:dyDescent="0.2">
      <c r="E109" s="623"/>
      <c r="F109" s="630"/>
      <c r="G109" s="566"/>
      <c r="H109" s="566"/>
      <c r="I109" s="578"/>
      <c r="J109" s="566"/>
      <c r="K109" s="566"/>
      <c r="L109" s="566"/>
    </row>
    <row r="110" spans="5:13" s="629" customFormat="1" x14ac:dyDescent="0.2">
      <c r="E110" s="623"/>
      <c r="F110" s="630"/>
      <c r="G110" s="566"/>
      <c r="H110" s="566"/>
      <c r="I110" s="578"/>
      <c r="J110" s="566"/>
      <c r="K110" s="566"/>
      <c r="L110" s="566"/>
    </row>
    <row r="111" spans="5:13" s="629" customFormat="1" x14ac:dyDescent="0.2">
      <c r="E111" s="623"/>
      <c r="F111" s="630"/>
      <c r="G111" s="566"/>
      <c r="H111" s="566"/>
      <c r="I111" s="578"/>
      <c r="J111" s="566"/>
      <c r="K111" s="566"/>
      <c r="L111" s="566"/>
    </row>
    <row r="112" spans="5:13" s="629" customFormat="1" x14ac:dyDescent="0.2">
      <c r="E112" s="623"/>
      <c r="F112" s="630"/>
      <c r="G112" s="566"/>
      <c r="H112" s="566"/>
      <c r="I112" s="578"/>
      <c r="J112" s="566"/>
      <c r="K112" s="566"/>
      <c r="L112" s="566"/>
    </row>
    <row r="113" spans="5:12" s="629" customFormat="1" x14ac:dyDescent="0.2">
      <c r="E113" s="623"/>
      <c r="F113" s="630"/>
      <c r="G113" s="566"/>
      <c r="H113" s="566"/>
      <c r="I113" s="578"/>
      <c r="J113" s="566"/>
      <c r="K113" s="566"/>
      <c r="L113" s="566"/>
    </row>
    <row r="114" spans="5:12" s="629" customFormat="1" x14ac:dyDescent="0.2">
      <c r="E114" s="623"/>
      <c r="F114" s="630"/>
      <c r="G114" s="566"/>
      <c r="H114" s="566"/>
      <c r="I114" s="578"/>
      <c r="J114" s="566"/>
      <c r="K114" s="566"/>
      <c r="L114" s="566"/>
    </row>
    <row r="115" spans="5:12" s="629" customFormat="1" x14ac:dyDescent="0.2">
      <c r="E115" s="623"/>
      <c r="F115" s="630"/>
      <c r="G115" s="566"/>
      <c r="H115" s="566"/>
      <c r="I115" s="578"/>
      <c r="J115" s="566"/>
      <c r="K115" s="566"/>
      <c r="L115" s="566"/>
    </row>
    <row r="116" spans="5:12" s="629" customFormat="1" x14ac:dyDescent="0.2">
      <c r="E116" s="623"/>
      <c r="F116" s="630"/>
      <c r="G116" s="566"/>
      <c r="H116" s="566"/>
      <c r="I116" s="578"/>
      <c r="J116" s="566"/>
      <c r="K116" s="566"/>
      <c r="L116" s="566"/>
    </row>
    <row r="117" spans="5:12" s="629" customFormat="1" x14ac:dyDescent="0.2">
      <c r="E117" s="623"/>
      <c r="F117" s="630"/>
      <c r="G117" s="566"/>
      <c r="H117" s="566"/>
      <c r="I117" s="578"/>
      <c r="J117" s="566"/>
      <c r="K117" s="566"/>
      <c r="L117" s="566"/>
    </row>
    <row r="118" spans="5:12" s="629" customFormat="1" x14ac:dyDescent="0.2">
      <c r="E118" s="623"/>
      <c r="F118" s="630"/>
      <c r="G118" s="566"/>
      <c r="H118" s="566"/>
      <c r="I118" s="578"/>
      <c r="J118" s="566"/>
      <c r="K118" s="566"/>
      <c r="L118" s="566"/>
    </row>
    <row r="119" spans="5:12" s="629" customFormat="1" x14ac:dyDescent="0.2">
      <c r="E119" s="623"/>
      <c r="F119" s="630"/>
      <c r="G119" s="566"/>
      <c r="H119" s="566"/>
      <c r="I119" s="578"/>
      <c r="J119" s="566"/>
      <c r="K119" s="566"/>
      <c r="L119" s="566"/>
    </row>
    <row r="120" spans="5:12" s="629" customFormat="1" x14ac:dyDescent="0.2">
      <c r="E120" s="623"/>
      <c r="F120" s="630"/>
      <c r="G120" s="566"/>
      <c r="H120" s="566"/>
      <c r="I120" s="578"/>
      <c r="J120" s="566"/>
      <c r="K120" s="566"/>
      <c r="L120" s="566"/>
    </row>
    <row r="121" spans="5:12" s="629" customFormat="1" x14ac:dyDescent="0.2">
      <c r="E121" s="623"/>
      <c r="F121" s="630"/>
      <c r="G121" s="566"/>
      <c r="H121" s="566"/>
      <c r="I121" s="578"/>
      <c r="J121" s="566"/>
      <c r="K121" s="566"/>
      <c r="L121" s="566"/>
    </row>
    <row r="122" spans="5:12" s="629" customFormat="1" x14ac:dyDescent="0.2">
      <c r="E122" s="623"/>
      <c r="F122" s="630"/>
      <c r="G122" s="566"/>
      <c r="H122" s="566"/>
      <c r="I122" s="578"/>
      <c r="J122" s="566"/>
      <c r="K122" s="566"/>
      <c r="L122" s="566"/>
    </row>
    <row r="123" spans="5:12" s="629" customFormat="1" x14ac:dyDescent="0.2">
      <c r="E123" s="623"/>
      <c r="F123" s="630"/>
      <c r="G123" s="566"/>
      <c r="H123" s="566"/>
      <c r="I123" s="578"/>
      <c r="J123" s="566"/>
      <c r="K123" s="566"/>
      <c r="L123" s="566"/>
    </row>
    <row r="124" spans="5:12" s="629" customFormat="1" x14ac:dyDescent="0.2">
      <c r="E124" s="623"/>
      <c r="F124" s="630"/>
      <c r="G124" s="566"/>
      <c r="H124" s="566"/>
      <c r="I124" s="578"/>
      <c r="J124" s="566"/>
      <c r="K124" s="566"/>
      <c r="L124" s="566"/>
    </row>
    <row r="125" spans="5:12" s="629" customFormat="1" x14ac:dyDescent="0.2">
      <c r="E125" s="623"/>
      <c r="F125" s="630"/>
      <c r="G125" s="566"/>
      <c r="H125" s="566"/>
      <c r="I125" s="578"/>
      <c r="J125" s="566"/>
      <c r="K125" s="566"/>
      <c r="L125" s="566"/>
    </row>
    <row r="126" spans="5:12" s="629" customFormat="1" x14ac:dyDescent="0.2">
      <c r="E126" s="623"/>
      <c r="F126" s="630"/>
      <c r="G126" s="566"/>
      <c r="H126" s="566"/>
      <c r="I126" s="578"/>
      <c r="J126" s="566"/>
      <c r="K126" s="566"/>
      <c r="L126" s="566"/>
    </row>
    <row r="127" spans="5:12" s="629" customFormat="1" x14ac:dyDescent="0.2">
      <c r="E127" s="623"/>
      <c r="F127" s="630"/>
      <c r="G127" s="566"/>
      <c r="H127" s="566"/>
      <c r="I127" s="578"/>
      <c r="J127" s="566"/>
      <c r="K127" s="566"/>
      <c r="L127" s="566"/>
    </row>
    <row r="128" spans="5:12" s="629" customFormat="1" x14ac:dyDescent="0.2">
      <c r="E128" s="623"/>
      <c r="F128" s="630"/>
      <c r="G128" s="566"/>
      <c r="H128" s="566"/>
      <c r="I128" s="578"/>
      <c r="J128" s="566"/>
      <c r="K128" s="566"/>
      <c r="L128" s="566"/>
    </row>
    <row r="129" spans="1:17" s="629" customFormat="1" x14ac:dyDescent="0.2">
      <c r="E129" s="623"/>
      <c r="F129" s="630"/>
      <c r="G129" s="566"/>
      <c r="H129" s="566"/>
      <c r="I129" s="578"/>
      <c r="J129" s="566"/>
      <c r="K129" s="566"/>
      <c r="L129" s="566"/>
    </row>
    <row r="130" spans="1:17" s="629" customFormat="1" x14ac:dyDescent="0.2">
      <c r="E130" s="623"/>
      <c r="F130" s="630"/>
      <c r="G130" s="566"/>
      <c r="H130" s="566"/>
      <c r="I130" s="578"/>
      <c r="J130" s="566"/>
      <c r="K130" s="566"/>
      <c r="L130" s="566"/>
    </row>
    <row r="131" spans="1:17" s="629" customFormat="1" x14ac:dyDescent="0.2">
      <c r="E131" s="623"/>
      <c r="F131" s="630"/>
      <c r="G131" s="566"/>
      <c r="H131" s="566"/>
      <c r="I131" s="578"/>
      <c r="J131" s="566"/>
      <c r="K131" s="566"/>
      <c r="L131" s="566"/>
    </row>
    <row r="132" spans="1:17" s="629" customFormat="1" x14ac:dyDescent="0.2">
      <c r="E132" s="623"/>
      <c r="F132" s="630"/>
      <c r="G132" s="566"/>
      <c r="H132" s="566"/>
      <c r="I132" s="578"/>
      <c r="J132" s="566"/>
      <c r="K132" s="566"/>
      <c r="L132" s="566"/>
    </row>
    <row r="133" spans="1:17" s="629" customFormat="1" x14ac:dyDescent="0.2">
      <c r="E133" s="623"/>
      <c r="F133" s="630"/>
      <c r="G133" s="566"/>
      <c r="H133" s="566"/>
      <c r="I133" s="578"/>
      <c r="J133" s="566"/>
      <c r="K133" s="566"/>
      <c r="L133" s="566"/>
    </row>
    <row r="134" spans="1:17" s="629" customFormat="1" x14ac:dyDescent="0.2">
      <c r="E134" s="623"/>
      <c r="F134" s="630"/>
      <c r="G134" s="566"/>
      <c r="H134" s="566"/>
      <c r="I134" s="578"/>
      <c r="J134" s="566"/>
      <c r="K134" s="566"/>
      <c r="L134" s="566"/>
    </row>
    <row r="135" spans="1:17" s="629" customFormat="1" x14ac:dyDescent="0.2">
      <c r="E135" s="623"/>
      <c r="F135" s="630"/>
      <c r="G135" s="566"/>
      <c r="H135" s="566"/>
      <c r="I135" s="578"/>
      <c r="J135" s="566"/>
      <c r="K135" s="566"/>
      <c r="L135" s="566"/>
    </row>
    <row r="136" spans="1:17" s="629" customFormat="1" x14ac:dyDescent="0.2">
      <c r="E136" s="623"/>
      <c r="F136" s="630"/>
      <c r="G136" s="566"/>
      <c r="H136" s="566"/>
      <c r="I136" s="578"/>
      <c r="J136" s="566"/>
      <c r="K136" s="566"/>
      <c r="L136" s="566"/>
    </row>
    <row r="137" spans="1:17" s="629" customFormat="1" x14ac:dyDescent="0.2">
      <c r="E137" s="623"/>
      <c r="F137" s="630"/>
      <c r="G137" s="566"/>
      <c r="H137" s="566"/>
      <c r="I137" s="578"/>
      <c r="J137" s="566"/>
      <c r="K137" s="566"/>
      <c r="L137" s="566"/>
    </row>
    <row r="138" spans="1:17" s="629" customFormat="1" x14ac:dyDescent="0.2">
      <c r="E138" s="623"/>
      <c r="F138" s="630"/>
      <c r="G138" s="566"/>
      <c r="H138" s="566"/>
      <c r="I138" s="578"/>
      <c r="J138" s="566"/>
      <c r="K138" s="566"/>
      <c r="L138" s="566"/>
    </row>
    <row r="139" spans="1:17" x14ac:dyDescent="0.2">
      <c r="A139" s="629"/>
      <c r="B139" s="629"/>
      <c r="C139" s="629"/>
      <c r="D139" s="629"/>
      <c r="E139" s="623"/>
      <c r="F139" s="630"/>
      <c r="G139" s="566"/>
      <c r="H139" s="566"/>
      <c r="I139" s="578"/>
      <c r="J139" s="566"/>
      <c r="K139" s="566"/>
      <c r="L139" s="566"/>
      <c r="M139" s="629"/>
      <c r="N139" s="629"/>
      <c r="O139" s="629"/>
      <c r="P139" s="629"/>
      <c r="Q139" s="629"/>
    </row>
    <row r="140" spans="1:17" x14ac:dyDescent="0.2">
      <c r="A140" s="629"/>
      <c r="B140" s="629"/>
      <c r="C140" s="629"/>
      <c r="D140" s="629"/>
      <c r="E140" s="623"/>
      <c r="F140" s="630"/>
      <c r="G140" s="566"/>
      <c r="H140" s="566"/>
      <c r="I140" s="578"/>
      <c r="J140" s="566"/>
      <c r="K140" s="566"/>
      <c r="L140" s="566"/>
      <c r="M140" s="629"/>
      <c r="N140" s="629"/>
      <c r="O140" s="629"/>
      <c r="P140" s="629"/>
      <c r="Q140" s="629"/>
    </row>
    <row r="141" spans="1:17" x14ac:dyDescent="0.2">
      <c r="A141" s="629"/>
      <c r="B141" s="629"/>
      <c r="C141" s="629"/>
      <c r="D141" s="629"/>
      <c r="E141" s="623"/>
      <c r="F141" s="630"/>
      <c r="G141" s="566"/>
      <c r="H141" s="566"/>
      <c r="I141" s="578"/>
      <c r="J141" s="566"/>
      <c r="K141" s="566"/>
      <c r="L141" s="566"/>
      <c r="M141" s="629"/>
      <c r="N141" s="629"/>
      <c r="O141" s="629"/>
      <c r="P141" s="629"/>
      <c r="Q141" s="629"/>
    </row>
    <row r="142" spans="1:17" x14ac:dyDescent="0.2">
      <c r="A142" s="629"/>
      <c r="B142" s="629"/>
      <c r="C142" s="629"/>
      <c r="D142" s="629"/>
      <c r="E142" s="623"/>
      <c r="F142" s="630"/>
      <c r="G142" s="566"/>
      <c r="H142" s="566"/>
      <c r="I142" s="578"/>
      <c r="J142" s="566"/>
      <c r="K142" s="566"/>
      <c r="L142" s="566"/>
      <c r="M142" s="629"/>
      <c r="N142" s="629"/>
      <c r="O142" s="629"/>
      <c r="P142" s="629"/>
      <c r="Q142" s="629"/>
    </row>
    <row r="143" spans="1:17" x14ac:dyDescent="0.2">
      <c r="A143" s="629"/>
      <c r="B143" s="629"/>
      <c r="C143" s="629"/>
      <c r="D143" s="629"/>
      <c r="E143" s="623"/>
      <c r="F143" s="630"/>
      <c r="G143" s="566"/>
      <c r="H143" s="566"/>
      <c r="I143" s="578"/>
      <c r="J143" s="566"/>
      <c r="K143" s="566"/>
      <c r="L143" s="566"/>
      <c r="M143" s="629"/>
      <c r="N143" s="629"/>
      <c r="O143" s="629"/>
      <c r="P143" s="629"/>
      <c r="Q143" s="629"/>
    </row>
    <row r="144" spans="1:17" x14ac:dyDescent="0.2">
      <c r="A144" s="629"/>
      <c r="B144" s="629"/>
      <c r="C144" s="629"/>
      <c r="D144" s="629"/>
      <c r="E144" s="623"/>
      <c r="F144" s="630"/>
      <c r="G144" s="566"/>
      <c r="H144" s="566"/>
      <c r="I144" s="578"/>
      <c r="J144" s="566"/>
      <c r="K144" s="566"/>
      <c r="L144" s="566"/>
      <c r="M144" s="629"/>
    </row>
    <row r="145" spans="1:13" x14ac:dyDescent="0.2">
      <c r="A145" s="629"/>
      <c r="B145" s="629"/>
      <c r="C145" s="629"/>
      <c r="D145" s="629"/>
      <c r="E145" s="623"/>
      <c r="F145" s="630"/>
      <c r="G145" s="566"/>
      <c r="H145" s="566"/>
      <c r="I145" s="578"/>
      <c r="J145" s="566"/>
      <c r="K145" s="566"/>
      <c r="L145" s="566"/>
      <c r="M145" s="629"/>
    </row>
    <row r="146" spans="1:13" x14ac:dyDescent="0.2">
      <c r="A146" s="629"/>
      <c r="B146" s="629"/>
      <c r="C146" s="629"/>
      <c r="D146" s="629"/>
      <c r="E146" s="623"/>
      <c r="F146" s="630"/>
      <c r="G146" s="566"/>
      <c r="H146" s="566"/>
      <c r="I146" s="578"/>
      <c r="J146" s="566"/>
      <c r="K146" s="566"/>
      <c r="L146" s="566"/>
      <c r="M146" s="629"/>
    </row>
    <row r="147" spans="1:13" x14ac:dyDescent="0.2">
      <c r="A147" s="629"/>
      <c r="B147" s="629"/>
      <c r="C147" s="629"/>
      <c r="D147" s="629"/>
      <c r="E147" s="623"/>
      <c r="F147" s="630"/>
      <c r="G147" s="566"/>
      <c r="H147" s="566"/>
      <c r="I147" s="578"/>
      <c r="J147" s="566"/>
      <c r="K147" s="566"/>
      <c r="L147" s="566"/>
      <c r="M147" s="629"/>
    </row>
    <row r="148" spans="1:13" x14ac:dyDescent="0.2">
      <c r="J148" s="566"/>
      <c r="K148" s="566"/>
      <c r="L148" s="566"/>
      <c r="M148" s="629"/>
    </row>
    <row r="149" spans="1:13" x14ac:dyDescent="0.2">
      <c r="J149" s="566"/>
      <c r="K149" s="566"/>
      <c r="L149" s="566"/>
      <c r="M149" s="629"/>
    </row>
    <row r="150" spans="1:13" x14ac:dyDescent="0.2">
      <c r="J150" s="566"/>
      <c r="K150" s="566"/>
      <c r="L150" s="566"/>
      <c r="M150" s="629"/>
    </row>
    <row r="151" spans="1:13" x14ac:dyDescent="0.2">
      <c r="J151" s="566"/>
      <c r="K151" s="566"/>
      <c r="L151" s="566"/>
      <c r="M151" s="629"/>
    </row>
    <row r="152" spans="1:13" x14ac:dyDescent="0.2">
      <c r="J152" s="566"/>
      <c r="K152" s="566"/>
      <c r="L152" s="566"/>
      <c r="M152" s="629"/>
    </row>
    <row r="153" spans="1:13" x14ac:dyDescent="0.2">
      <c r="J153" s="566"/>
      <c r="K153" s="566"/>
      <c r="L153" s="566"/>
      <c r="M153" s="629"/>
    </row>
    <row r="154" spans="1:13" x14ac:dyDescent="0.2">
      <c r="K154" s="566"/>
      <c r="L154" s="566"/>
      <c r="M154" s="629"/>
    </row>
    <row r="155" spans="1:13" x14ac:dyDescent="0.2">
      <c r="K155" s="566"/>
      <c r="L155" s="566"/>
      <c r="M155" s="629"/>
    </row>
    <row r="156" spans="1:13" x14ac:dyDescent="0.2">
      <c r="K156" s="566"/>
      <c r="L156" s="566"/>
      <c r="M156" s="629"/>
    </row>
    <row r="157" spans="1:13" x14ac:dyDescent="0.2">
      <c r="L157" s="566"/>
      <c r="M157" s="629"/>
    </row>
    <row r="158" spans="1:13" x14ac:dyDescent="0.2">
      <c r="L158" s="566"/>
      <c r="M158" s="629"/>
    </row>
    <row r="159" spans="1:13" x14ac:dyDescent="0.2">
      <c r="L159" s="566"/>
    </row>
    <row r="160" spans="1:13" x14ac:dyDescent="0.2">
      <c r="L160" s="566"/>
    </row>
    <row r="161" spans="12:12" x14ac:dyDescent="0.2">
      <c r="L161" s="566"/>
    </row>
  </sheetData>
  <mergeCells count="1">
    <mergeCell ref="L7:M7"/>
  </mergeCells>
  <dataValidations count="1">
    <dataValidation type="list" allowBlank="1" showInputMessage="1" showErrorMessage="1" sqref="B5" xr:uid="{EE6C1812-F494-4177-8C24-79F3736A4F43}">
      <formula1>$AB$5:$AB$8</formula1>
    </dataValidation>
  </dataValidations>
  <pageMargins left="0.7" right="0.7" top="0.75" bottom="0.75" header="0.3" footer="0.3"/>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0E1D6-20AB-4A52-8E5F-5A0F9525FC4A}">
  <dimension ref="A1:Z150"/>
  <sheetViews>
    <sheetView topLeftCell="E4" workbookViewId="0">
      <selection activeCell="K22" sqref="K22"/>
    </sheetView>
  </sheetViews>
  <sheetFormatPr defaultColWidth="7.88671875" defaultRowHeight="10.199999999999999" x14ac:dyDescent="0.2"/>
  <cols>
    <col min="1" max="1" width="15.6640625" style="566" bestFit="1" customWidth="1"/>
    <col min="2" max="2" width="9.5546875" style="566" bestFit="1" customWidth="1"/>
    <col min="3" max="3" width="5.109375" style="633" customWidth="1"/>
    <col min="4" max="6" width="7.6640625" style="633" customWidth="1"/>
    <col min="7" max="7" width="12" style="629" bestFit="1" customWidth="1"/>
    <col min="8" max="8" width="9.33203125" style="632" customWidth="1"/>
    <col min="9" max="10" width="8.44140625" style="629" bestFit="1" customWidth="1"/>
    <col min="11" max="11" width="8.44140625" style="623" bestFit="1" customWidth="1"/>
    <col min="12" max="12" width="13.6640625" style="630" bestFit="1" customWidth="1"/>
    <col min="13" max="13" width="6.33203125" style="566" bestFit="1" customWidth="1"/>
    <col min="14" max="14" width="5.6640625" style="566" bestFit="1" customWidth="1"/>
    <col min="15" max="15" width="5.88671875" style="578" bestFit="1" customWidth="1"/>
    <col min="16" max="16" width="5.88671875" style="459" bestFit="1" customWidth="1"/>
    <col min="17" max="17" width="14" style="626" bestFit="1" customWidth="1"/>
    <col min="18" max="18" width="6" style="626" bestFit="1" customWidth="1"/>
    <col min="19" max="19" width="8.6640625" style="626" bestFit="1" customWidth="1"/>
    <col min="20" max="21" width="17.33203125" style="566" bestFit="1" customWidth="1"/>
    <col min="22" max="22" width="9.33203125" style="566" bestFit="1" customWidth="1"/>
    <col min="23" max="27" width="5.33203125" style="566" customWidth="1"/>
    <col min="28" max="28" width="17" style="566" customWidth="1"/>
    <col min="29" max="16384" width="7.88671875" style="566"/>
  </cols>
  <sheetData>
    <row r="1" spans="1:24" s="402" customFormat="1" ht="13.2" x14ac:dyDescent="0.25">
      <c r="A1" s="394" t="s">
        <v>108</v>
      </c>
      <c r="B1" s="395" t="s">
        <v>163</v>
      </c>
      <c r="C1" s="396"/>
      <c r="D1" s="395"/>
      <c r="E1" s="397"/>
      <c r="F1" s="397"/>
      <c r="G1" s="398"/>
      <c r="H1" s="399" t="s">
        <v>109</v>
      </c>
      <c r="I1" s="400">
        <f>C19</f>
        <v>176</v>
      </c>
      <c r="J1" s="401"/>
      <c r="K1" s="395"/>
      <c r="L1" s="395"/>
      <c r="N1" s="403"/>
      <c r="P1" s="404"/>
      <c r="Q1" s="404"/>
      <c r="R1" s="404"/>
      <c r="S1" s="404"/>
    </row>
    <row r="2" spans="1:24" s="402" customFormat="1" ht="13.2" x14ac:dyDescent="0.25">
      <c r="A2" s="405" t="s">
        <v>110</v>
      </c>
      <c r="B2" s="395" t="s">
        <v>164</v>
      </c>
      <c r="C2" s="406"/>
      <c r="D2" s="395"/>
      <c r="E2" s="407"/>
      <c r="F2" s="407"/>
      <c r="G2" s="408"/>
      <c r="H2" s="409" t="s">
        <v>111</v>
      </c>
      <c r="I2" s="410">
        <f>V12</f>
        <v>94</v>
      </c>
      <c r="J2" s="411"/>
      <c r="K2" s="395"/>
      <c r="L2" s="395"/>
      <c r="N2" s="412"/>
      <c r="P2" s="404"/>
      <c r="Q2" s="404"/>
      <c r="R2" s="404"/>
      <c r="S2" s="404"/>
    </row>
    <row r="3" spans="1:24" s="416" customFormat="1" ht="11.25" customHeight="1" x14ac:dyDescent="0.25">
      <c r="A3" s="413" t="s">
        <v>112</v>
      </c>
      <c r="B3" s="414">
        <v>20240916</v>
      </c>
      <c r="C3" s="406"/>
      <c r="D3" s="407"/>
      <c r="E3" s="407"/>
      <c r="F3" s="407"/>
      <c r="G3" s="408"/>
      <c r="H3" s="413" t="s">
        <v>113</v>
      </c>
      <c r="I3" s="415">
        <f>V34/100</f>
        <v>0.94</v>
      </c>
      <c r="J3" s="411"/>
      <c r="K3" s="395"/>
      <c r="L3" s="395"/>
      <c r="N3" s="417"/>
      <c r="P3" s="418"/>
      <c r="Q3" s="418"/>
      <c r="R3" s="418"/>
      <c r="S3" s="418"/>
    </row>
    <row r="4" spans="1:24" s="402" customFormat="1" ht="13.2" x14ac:dyDescent="0.25">
      <c r="A4" s="413" t="s">
        <v>114</v>
      </c>
      <c r="B4" s="414" t="s">
        <v>202</v>
      </c>
      <c r="C4" s="406"/>
      <c r="D4" s="407"/>
      <c r="E4" s="407"/>
      <c r="F4" s="407"/>
      <c r="G4" s="408"/>
      <c r="H4" s="413" t="s">
        <v>115</v>
      </c>
      <c r="I4" s="419">
        <f>S17</f>
        <v>0.61025490627237333</v>
      </c>
      <c r="J4" s="411"/>
      <c r="K4" s="395"/>
      <c r="L4" s="395"/>
      <c r="M4" s="403"/>
      <c r="N4" s="403"/>
      <c r="P4" s="404"/>
      <c r="Q4" s="404"/>
      <c r="R4" s="404"/>
      <c r="S4" s="404"/>
    </row>
    <row r="5" spans="1:24" s="423" customFormat="1" ht="13.2" x14ac:dyDescent="0.25">
      <c r="A5" s="405" t="s">
        <v>116</v>
      </c>
      <c r="B5" s="420" t="s">
        <v>117</v>
      </c>
      <c r="C5" s="406"/>
      <c r="D5" s="407"/>
      <c r="E5" s="407"/>
      <c r="F5" s="407"/>
      <c r="G5" s="408"/>
      <c r="H5" s="413"/>
      <c r="I5" s="421"/>
      <c r="J5" s="411"/>
      <c r="K5" s="395"/>
      <c r="L5" s="395"/>
      <c r="M5" s="422"/>
      <c r="N5" s="422"/>
      <c r="P5" s="424"/>
      <c r="Q5" s="424"/>
      <c r="R5" s="424"/>
      <c r="S5" s="424"/>
    </row>
    <row r="6" spans="1:24" s="422" customFormat="1" ht="13.8" thickBot="1" x14ac:dyDescent="0.25">
      <c r="A6" s="425"/>
      <c r="B6" s="426"/>
      <c r="C6" s="427"/>
      <c r="D6" s="428"/>
      <c r="E6" s="428"/>
      <c r="F6" s="428"/>
      <c r="G6" s="429"/>
      <c r="H6" s="430"/>
      <c r="I6" s="431"/>
      <c r="J6" s="429"/>
      <c r="K6" s="426"/>
      <c r="L6" s="426"/>
      <c r="M6" s="432"/>
      <c r="P6" s="433"/>
      <c r="Q6" s="433"/>
      <c r="R6" s="433"/>
      <c r="S6" s="433"/>
    </row>
    <row r="7" spans="1:24" s="423" customFormat="1" ht="13.2" customHeight="1" x14ac:dyDescent="0.2">
      <c r="A7" s="888" t="s">
        <v>118</v>
      </c>
      <c r="B7" s="889"/>
      <c r="C7" s="889"/>
      <c r="D7" s="889"/>
      <c r="E7" s="889"/>
      <c r="F7" s="889"/>
      <c r="G7" s="889"/>
      <c r="H7" s="889"/>
      <c r="I7" s="889"/>
      <c r="J7" s="889"/>
      <c r="K7" s="889"/>
      <c r="L7" s="889"/>
      <c r="M7" s="890" t="s">
        <v>119</v>
      </c>
      <c r="N7" s="891"/>
      <c r="O7" s="892"/>
      <c r="P7" s="434" t="s">
        <v>120</v>
      </c>
      <c r="Q7" s="435"/>
      <c r="R7" s="434" t="s">
        <v>121</v>
      </c>
      <c r="S7" s="434"/>
      <c r="T7" s="436"/>
      <c r="U7" s="886" t="s">
        <v>122</v>
      </c>
      <c r="V7" s="887"/>
      <c r="W7" s="422"/>
      <c r="X7" s="422"/>
    </row>
    <row r="8" spans="1:24" s="453" customFormat="1" x14ac:dyDescent="0.2">
      <c r="A8" s="437"/>
      <c r="B8" s="432"/>
      <c r="C8" s="438"/>
      <c r="D8" s="439"/>
      <c r="E8" s="440"/>
      <c r="F8" s="441"/>
      <c r="G8" s="442"/>
      <c r="H8" s="443"/>
      <c r="I8" s="443"/>
      <c r="J8" s="443"/>
      <c r="K8" s="443"/>
      <c r="L8" s="444"/>
      <c r="M8" s="445"/>
      <c r="N8" s="446"/>
      <c r="O8" s="447"/>
      <c r="P8" s="448"/>
      <c r="Q8" s="449"/>
      <c r="R8" s="448"/>
      <c r="S8" s="448"/>
      <c r="T8" s="450"/>
      <c r="U8" s="451"/>
      <c r="V8" s="451"/>
      <c r="W8" s="452"/>
    </row>
    <row r="9" spans="1:24" s="464" customFormat="1" ht="13.2" customHeight="1" x14ac:dyDescent="0.2">
      <c r="A9" s="454"/>
      <c r="B9" s="422"/>
      <c r="C9" s="455"/>
      <c r="D9" s="893" t="s">
        <v>123</v>
      </c>
      <c r="E9" s="894"/>
      <c r="F9" s="895"/>
      <c r="G9" s="456"/>
      <c r="H9" s="896" t="s">
        <v>124</v>
      </c>
      <c r="I9" s="897"/>
      <c r="J9" s="897"/>
      <c r="K9" s="898"/>
      <c r="L9" s="806"/>
      <c r="M9" s="458"/>
      <c r="N9" s="446" t="s">
        <v>125</v>
      </c>
      <c r="O9" s="447"/>
      <c r="P9" s="448"/>
      <c r="Q9" s="449"/>
      <c r="R9" s="459"/>
      <c r="S9" s="459"/>
      <c r="T9" s="450"/>
      <c r="U9" s="460"/>
      <c r="V9" s="461"/>
      <c r="W9" s="462"/>
      <c r="X9" s="463"/>
    </row>
    <row r="10" spans="1:24" s="464" customFormat="1" x14ac:dyDescent="0.2">
      <c r="A10" s="465" t="s">
        <v>126</v>
      </c>
      <c r="B10" s="466" t="s">
        <v>51</v>
      </c>
      <c r="C10" s="467" t="s">
        <v>127</v>
      </c>
      <c r="D10" s="468" t="s">
        <v>128</v>
      </c>
      <c r="E10" s="469" t="s">
        <v>129</v>
      </c>
      <c r="F10" s="470" t="s">
        <v>130</v>
      </c>
      <c r="G10" s="456" t="s">
        <v>131</v>
      </c>
      <c r="H10" s="807" t="s">
        <v>132</v>
      </c>
      <c r="I10" s="807" t="s">
        <v>133</v>
      </c>
      <c r="J10" s="807" t="s">
        <v>134</v>
      </c>
      <c r="K10" s="807" t="s">
        <v>135</v>
      </c>
      <c r="L10" s="806" t="s">
        <v>136</v>
      </c>
      <c r="M10" s="472" t="s">
        <v>137</v>
      </c>
      <c r="N10" s="473" t="s">
        <v>138</v>
      </c>
      <c r="O10" s="474" t="s">
        <v>139</v>
      </c>
      <c r="P10" s="475" t="s">
        <v>140</v>
      </c>
      <c r="Q10" s="449" t="s">
        <v>141</v>
      </c>
      <c r="R10" s="475" t="s">
        <v>141</v>
      </c>
      <c r="S10" s="475" t="s">
        <v>140</v>
      </c>
      <c r="T10" s="476" t="s">
        <v>142</v>
      </c>
      <c r="U10" s="460" t="s">
        <v>143</v>
      </c>
      <c r="V10" s="460" t="s">
        <v>144</v>
      </c>
      <c r="W10" s="477"/>
    </row>
    <row r="11" spans="1:24" s="464" customFormat="1" ht="12" thickBot="1" x14ac:dyDescent="0.25">
      <c r="A11" s="478" t="s">
        <v>145</v>
      </c>
      <c r="B11" s="479" t="s">
        <v>145</v>
      </c>
      <c r="C11" s="480" t="s">
        <v>146</v>
      </c>
      <c r="D11" s="481" t="s">
        <v>147</v>
      </c>
      <c r="E11" s="482" t="s">
        <v>147</v>
      </c>
      <c r="F11" s="483" t="s">
        <v>147</v>
      </c>
      <c r="G11" s="484" t="s">
        <v>147</v>
      </c>
      <c r="H11" s="485" t="s">
        <v>147</v>
      </c>
      <c r="I11" s="485" t="s">
        <v>147</v>
      </c>
      <c r="J11" s="485" t="s">
        <v>147</v>
      </c>
      <c r="K11" s="485" t="s">
        <v>147</v>
      </c>
      <c r="L11" s="486" t="s">
        <v>147</v>
      </c>
      <c r="M11" s="487" t="s">
        <v>148</v>
      </c>
      <c r="N11" s="488" t="s">
        <v>146</v>
      </c>
      <c r="O11" s="489" t="s">
        <v>146</v>
      </c>
      <c r="P11" s="490" t="s">
        <v>149</v>
      </c>
      <c r="Q11" s="491" t="s">
        <v>150</v>
      </c>
      <c r="R11" s="492" t="s">
        <v>36</v>
      </c>
      <c r="S11" s="492" t="s">
        <v>151</v>
      </c>
      <c r="T11" s="493"/>
      <c r="U11" s="494"/>
      <c r="V11" s="495" t="s">
        <v>147</v>
      </c>
      <c r="W11" s="477"/>
    </row>
    <row r="12" spans="1:24" s="464" customFormat="1" x14ac:dyDescent="0.3">
      <c r="A12" s="496" t="s">
        <v>152</v>
      </c>
      <c r="B12" s="497"/>
      <c r="C12" s="498">
        <v>0</v>
      </c>
      <c r="D12" s="499" t="s">
        <v>153</v>
      </c>
      <c r="E12" s="500" t="s">
        <v>153</v>
      </c>
      <c r="F12" s="501" t="s">
        <v>153</v>
      </c>
      <c r="G12" s="502" t="s">
        <v>153</v>
      </c>
      <c r="H12" s="500" t="s">
        <v>153</v>
      </c>
      <c r="I12" s="500" t="s">
        <v>153</v>
      </c>
      <c r="J12" s="500" t="s">
        <v>153</v>
      </c>
      <c r="K12" s="500" t="s">
        <v>153</v>
      </c>
      <c r="L12" s="503" t="s">
        <v>153</v>
      </c>
      <c r="M12" s="504"/>
      <c r="N12" s="505"/>
      <c r="O12" s="506"/>
      <c r="P12" s="507"/>
      <c r="Q12" s="508"/>
      <c r="R12" s="509"/>
      <c r="S12" s="510"/>
      <c r="T12" s="511"/>
      <c r="U12" s="512" t="s">
        <v>172</v>
      </c>
      <c r="V12" s="513">
        <f>C17</f>
        <v>94</v>
      </c>
      <c r="W12" s="514"/>
    </row>
    <row r="13" spans="1:24" s="537" customFormat="1" x14ac:dyDescent="0.3">
      <c r="A13" s="532"/>
      <c r="B13" s="516"/>
      <c r="C13" s="504"/>
      <c r="D13" s="517"/>
      <c r="E13" s="518"/>
      <c r="F13" s="519"/>
      <c r="G13" s="520"/>
      <c r="H13" s="518"/>
      <c r="I13" s="518"/>
      <c r="J13" s="518"/>
      <c r="K13" s="518"/>
      <c r="L13" s="521"/>
      <c r="M13" s="504"/>
      <c r="N13" s="522"/>
      <c r="O13" s="523"/>
      <c r="P13" s="524"/>
      <c r="Q13" s="525"/>
      <c r="R13" s="526"/>
      <c r="S13" s="527"/>
      <c r="T13" s="538"/>
      <c r="U13" s="529"/>
      <c r="V13" s="539"/>
      <c r="W13" s="535"/>
    </row>
    <row r="14" spans="1:24" s="537" customFormat="1" ht="10.8" thickBot="1" x14ac:dyDescent="0.35">
      <c r="A14" s="540"/>
      <c r="B14" s="541"/>
      <c r="C14" s="542"/>
      <c r="D14" s="543"/>
      <c r="E14" s="542"/>
      <c r="F14" s="544"/>
      <c r="G14" s="545"/>
      <c r="H14" s="542"/>
      <c r="I14" s="542"/>
      <c r="J14" s="542"/>
      <c r="K14" s="542"/>
      <c r="L14" s="546"/>
      <c r="M14" s="542"/>
      <c r="N14" s="547"/>
      <c r="O14" s="548"/>
      <c r="P14" s="549"/>
      <c r="Q14" s="550"/>
      <c r="R14" s="551"/>
      <c r="S14" s="552"/>
      <c r="T14" s="553"/>
      <c r="U14" s="529"/>
      <c r="V14" s="554"/>
      <c r="W14" s="555"/>
    </row>
    <row r="15" spans="1:24" s="537" customFormat="1" x14ac:dyDescent="0.3">
      <c r="A15" s="556" t="s">
        <v>156</v>
      </c>
      <c r="B15" s="516"/>
      <c r="C15" s="504"/>
      <c r="D15" s="557"/>
      <c r="E15" s="504"/>
      <c r="F15" s="558"/>
      <c r="G15" s="559"/>
      <c r="H15" s="504"/>
      <c r="I15" s="504"/>
      <c r="J15" s="504"/>
      <c r="K15" s="504"/>
      <c r="L15" s="560"/>
      <c r="M15" s="504"/>
      <c r="N15" s="522"/>
      <c r="O15" s="523"/>
      <c r="P15" s="524"/>
      <c r="Q15" s="525"/>
      <c r="R15" s="526"/>
      <c r="S15" s="527"/>
      <c r="T15" s="538"/>
      <c r="U15" s="529"/>
      <c r="V15" s="554"/>
      <c r="W15" s="555"/>
    </row>
    <row r="16" spans="1:24" s="537" customFormat="1" x14ac:dyDescent="0.3">
      <c r="A16" s="532">
        <v>790</v>
      </c>
      <c r="B16" s="516">
        <v>0</v>
      </c>
      <c r="C16" s="504">
        <f>C17-D17</f>
        <v>59.5</v>
      </c>
      <c r="D16" s="561">
        <v>50.3</v>
      </c>
      <c r="E16" s="562"/>
      <c r="F16" s="563"/>
      <c r="G16" s="564">
        <f>AVERAGE(D16:F16)</f>
        <v>50.3</v>
      </c>
      <c r="H16" s="562">
        <v>5.7</v>
      </c>
      <c r="I16" s="562"/>
      <c r="J16" s="562"/>
      <c r="K16" s="562"/>
      <c r="L16" s="565">
        <f>AVERAGE(H16:K16)</f>
        <v>5.7</v>
      </c>
      <c r="M16" s="504">
        <f>G16*    PI()* (L16/2)^2</f>
        <v>1283.5345923377897</v>
      </c>
      <c r="N16" s="522">
        <v>0</v>
      </c>
      <c r="O16" s="523">
        <f>(C16+C17-G17)/2</f>
        <v>59.5</v>
      </c>
      <c r="P16" s="524">
        <f>(A16-B16)/M16</f>
        <v>0.61548789157378203</v>
      </c>
      <c r="Q16" s="525">
        <f>(P16*(O16-N16))/100</f>
        <v>0.36621529548640036</v>
      </c>
      <c r="R16" s="526">
        <f>SUM(Q$13:Q16)</f>
        <v>0.36621529548640036</v>
      </c>
      <c r="S16" s="527">
        <f>R16/O16*100</f>
        <v>0.61548789157378214</v>
      </c>
      <c r="T16" s="538"/>
      <c r="U16" s="529"/>
      <c r="V16" s="554"/>
      <c r="W16" s="555"/>
    </row>
    <row r="17" spans="1:24" s="537" customFormat="1" x14ac:dyDescent="0.3">
      <c r="A17" s="532">
        <v>530</v>
      </c>
      <c r="B17" s="516">
        <v>0</v>
      </c>
      <c r="C17" s="504">
        <f>114-20</f>
        <v>94</v>
      </c>
      <c r="D17" s="561">
        <v>34.5</v>
      </c>
      <c r="E17" s="562"/>
      <c r="F17" s="563"/>
      <c r="G17" s="564">
        <f>AVERAGE(D17:F17)</f>
        <v>34.5</v>
      </c>
      <c r="H17" s="562">
        <v>5.7</v>
      </c>
      <c r="I17" s="562"/>
      <c r="J17" s="562"/>
      <c r="K17" s="562"/>
      <c r="L17" s="565">
        <f>AVERAGE(H17:K17)</f>
        <v>5.7</v>
      </c>
      <c r="M17" s="504">
        <f>G17*    PI()* (L17/2)^2</f>
        <v>880.35672834301681</v>
      </c>
      <c r="N17" s="522">
        <f>(C16+C17-G17)/2</f>
        <v>59.5</v>
      </c>
      <c r="O17" s="523">
        <f>(C17+C18-G18)/2</f>
        <v>97.350000000000009</v>
      </c>
      <c r="P17" s="524">
        <f>(A17-B17)/M17</f>
        <v>0.60202868102973595</v>
      </c>
      <c r="Q17" s="525">
        <f>(P17*(O17-N17))/100</f>
        <v>0.2278678557697551</v>
      </c>
      <c r="R17" s="526">
        <f>SUM(Q$13:Q17)</f>
        <v>0.59408315125615552</v>
      </c>
      <c r="S17" s="527">
        <f>R17/O17*100</f>
        <v>0.61025490627237333</v>
      </c>
      <c r="T17" s="538" t="s">
        <v>258</v>
      </c>
      <c r="U17" s="529"/>
      <c r="V17" s="530"/>
      <c r="W17" s="555"/>
    </row>
    <row r="18" spans="1:24" s="537" customFormat="1" x14ac:dyDescent="0.3">
      <c r="A18" s="532">
        <v>490</v>
      </c>
      <c r="B18" s="516">
        <v>0</v>
      </c>
      <c r="C18" s="504">
        <f>C19-D19</f>
        <v>130.9</v>
      </c>
      <c r="D18" s="561">
        <v>30.2</v>
      </c>
      <c r="E18" s="562"/>
      <c r="F18" s="563"/>
      <c r="G18" s="564">
        <f>AVERAGE(D18:F18)</f>
        <v>30.2</v>
      </c>
      <c r="H18" s="562">
        <v>5.7</v>
      </c>
      <c r="I18" s="562"/>
      <c r="J18" s="562"/>
      <c r="K18" s="562"/>
      <c r="L18" s="565">
        <f>AVERAGE(H18:K18)</f>
        <v>5.7</v>
      </c>
      <c r="M18" s="504">
        <f>G18*    PI()* (L18/2)^2</f>
        <v>770.63110712924947</v>
      </c>
      <c r="N18" s="522">
        <f>(C17+C18-G18)/2</f>
        <v>97.350000000000009</v>
      </c>
      <c r="O18" s="523">
        <f>(C18+C19-G19)/2</f>
        <v>130.89999999999998</v>
      </c>
      <c r="P18" s="524">
        <f>(A18-B18)/M18</f>
        <v>0.63584248736771753</v>
      </c>
      <c r="Q18" s="525">
        <f>(P18*(O18-N18))/100</f>
        <v>0.21332515451186904</v>
      </c>
      <c r="R18" s="526">
        <f>SUM(Q$13:Q18)</f>
        <v>0.80740830576802458</v>
      </c>
      <c r="S18" s="527">
        <f>R18/O18*100</f>
        <v>0.616813067813617</v>
      </c>
      <c r="T18" s="538"/>
      <c r="U18" s="529"/>
      <c r="V18" s="530"/>
      <c r="W18" s="555"/>
    </row>
    <row r="19" spans="1:24" x14ac:dyDescent="0.2">
      <c r="A19" s="532">
        <v>730</v>
      </c>
      <c r="B19" s="516">
        <v>0</v>
      </c>
      <c r="C19" s="504">
        <f>196-20</f>
        <v>176</v>
      </c>
      <c r="D19" s="561">
        <v>45.1</v>
      </c>
      <c r="E19" s="562"/>
      <c r="F19" s="563"/>
      <c r="G19" s="564">
        <f>AVERAGE(D19:F19)</f>
        <v>45.1</v>
      </c>
      <c r="H19" s="562">
        <v>5.7</v>
      </c>
      <c r="I19" s="562"/>
      <c r="J19" s="562"/>
      <c r="K19" s="562"/>
      <c r="L19" s="565">
        <f>AVERAGE(H19:K19)</f>
        <v>5.7</v>
      </c>
      <c r="M19" s="504">
        <f>G19*    PI()* (L19/2)^2</f>
        <v>1150.8431434281176</v>
      </c>
      <c r="N19" s="522">
        <f>(C18+C19-G19)/2</f>
        <v>130.89999999999998</v>
      </c>
      <c r="O19" s="523">
        <f>C19</f>
        <v>176</v>
      </c>
      <c r="P19" s="524">
        <f>(A19-B19)/M19</f>
        <v>0.63431754724235034</v>
      </c>
      <c r="Q19" s="525">
        <f>(P19*(O19-N19))/100</f>
        <v>0.28607721380630013</v>
      </c>
      <c r="R19" s="526">
        <f>SUM(Q$13:Q19)</f>
        <v>1.0934855195743247</v>
      </c>
      <c r="S19" s="527">
        <f>R19/O19*100</f>
        <v>0.62129859066722992</v>
      </c>
      <c r="T19" s="538"/>
      <c r="U19" s="529"/>
      <c r="V19" s="530"/>
      <c r="W19" s="573"/>
      <c r="X19" s="574"/>
    </row>
    <row r="20" spans="1:24" x14ac:dyDescent="0.2">
      <c r="A20" s="532"/>
      <c r="B20" s="516"/>
      <c r="C20" s="504"/>
      <c r="D20" s="561"/>
      <c r="E20" s="562"/>
      <c r="F20" s="563"/>
      <c r="G20" s="564"/>
      <c r="H20" s="562"/>
      <c r="I20" s="562"/>
      <c r="J20" s="562"/>
      <c r="K20" s="562"/>
      <c r="L20" s="565"/>
      <c r="M20" s="504"/>
      <c r="N20" s="522"/>
      <c r="O20" s="523"/>
      <c r="P20" s="524"/>
      <c r="Q20" s="525"/>
      <c r="R20" s="526"/>
      <c r="S20" s="527"/>
      <c r="T20" s="538"/>
      <c r="U20" s="529"/>
      <c r="V20" s="530"/>
      <c r="W20" s="574"/>
      <c r="X20" s="574"/>
    </row>
    <row r="21" spans="1:24" x14ac:dyDescent="0.2">
      <c r="A21" s="532"/>
      <c r="B21" s="516"/>
      <c r="C21" s="504"/>
      <c r="D21" s="561"/>
      <c r="E21" s="562"/>
      <c r="F21" s="563"/>
      <c r="G21" s="564"/>
      <c r="H21" s="562"/>
      <c r="I21" s="562"/>
      <c r="J21" s="562"/>
      <c r="K21" s="562"/>
      <c r="L21" s="565"/>
      <c r="M21" s="504"/>
      <c r="N21" s="522"/>
      <c r="O21" s="523"/>
      <c r="P21" s="524"/>
      <c r="Q21" s="525"/>
      <c r="R21" s="526"/>
      <c r="S21" s="527"/>
      <c r="T21" s="538"/>
      <c r="U21" s="529"/>
      <c r="V21" s="530"/>
    </row>
    <row r="22" spans="1:24" x14ac:dyDescent="0.2">
      <c r="A22" s="532"/>
      <c r="B22" s="516"/>
      <c r="C22" s="504"/>
      <c r="D22" s="561"/>
      <c r="E22" s="562"/>
      <c r="F22" s="563"/>
      <c r="G22" s="564"/>
      <c r="H22" s="562"/>
      <c r="I22" s="562"/>
      <c r="J22" s="562"/>
      <c r="K22" s="562"/>
      <c r="L22" s="565"/>
      <c r="M22" s="504"/>
      <c r="N22" s="522"/>
      <c r="O22" s="523"/>
      <c r="P22" s="524"/>
      <c r="Q22" s="525"/>
      <c r="R22" s="526"/>
      <c r="S22" s="527"/>
      <c r="T22" s="538"/>
      <c r="U22" s="529"/>
      <c r="V22" s="530"/>
    </row>
    <row r="23" spans="1:24" x14ac:dyDescent="0.2">
      <c r="A23" s="532"/>
      <c r="B23" s="516"/>
      <c r="C23" s="504"/>
      <c r="D23" s="561"/>
      <c r="E23" s="562"/>
      <c r="F23" s="563"/>
      <c r="G23" s="564"/>
      <c r="H23" s="562"/>
      <c r="I23" s="562"/>
      <c r="J23" s="562"/>
      <c r="K23" s="562"/>
      <c r="L23" s="565"/>
      <c r="M23" s="504"/>
      <c r="N23" s="522"/>
      <c r="O23" s="523"/>
      <c r="P23" s="524"/>
      <c r="Q23" s="525"/>
      <c r="R23" s="526"/>
      <c r="S23" s="527"/>
      <c r="T23" s="538"/>
      <c r="U23" s="529"/>
      <c r="V23" s="530"/>
    </row>
    <row r="24" spans="1:24" x14ac:dyDescent="0.2">
      <c r="A24" s="532"/>
      <c r="B24" s="516"/>
      <c r="C24" s="504"/>
      <c r="D24" s="561"/>
      <c r="E24" s="562"/>
      <c r="F24" s="563"/>
      <c r="G24" s="564"/>
      <c r="H24" s="562"/>
      <c r="I24" s="562"/>
      <c r="J24" s="562"/>
      <c r="K24" s="562"/>
      <c r="L24" s="565"/>
      <c r="M24" s="504"/>
      <c r="N24" s="522"/>
      <c r="O24" s="523"/>
      <c r="P24" s="524"/>
      <c r="Q24" s="525"/>
      <c r="R24" s="526"/>
      <c r="S24" s="527"/>
      <c r="T24" s="538"/>
      <c r="U24" s="529"/>
      <c r="V24" s="530"/>
    </row>
    <row r="25" spans="1:24" x14ac:dyDescent="0.2">
      <c r="A25" s="532"/>
      <c r="B25" s="516"/>
      <c r="C25" s="504"/>
      <c r="D25" s="561"/>
      <c r="E25" s="562"/>
      <c r="F25" s="563"/>
      <c r="G25" s="564"/>
      <c r="H25" s="562"/>
      <c r="I25" s="562"/>
      <c r="J25" s="562"/>
      <c r="K25" s="562"/>
      <c r="L25" s="565"/>
      <c r="M25" s="504"/>
      <c r="N25" s="522"/>
      <c r="O25" s="523"/>
      <c r="P25" s="524"/>
      <c r="Q25" s="525"/>
      <c r="R25" s="526"/>
      <c r="S25" s="527"/>
      <c r="T25" s="538"/>
      <c r="U25" s="529"/>
      <c r="V25" s="530"/>
    </row>
    <row r="26" spans="1:24" x14ac:dyDescent="0.2">
      <c r="A26" s="532"/>
      <c r="B26" s="516"/>
      <c r="C26" s="504"/>
      <c r="D26" s="561"/>
      <c r="E26" s="562"/>
      <c r="F26" s="563"/>
      <c r="G26" s="564"/>
      <c r="H26" s="562"/>
      <c r="I26" s="562"/>
      <c r="J26" s="562"/>
      <c r="K26" s="562"/>
      <c r="L26" s="565"/>
      <c r="M26" s="504"/>
      <c r="N26" s="522"/>
      <c r="O26" s="523"/>
      <c r="P26" s="524"/>
      <c r="Q26" s="525"/>
      <c r="R26" s="526"/>
      <c r="S26" s="527"/>
      <c r="T26" s="538"/>
      <c r="U26" s="529"/>
      <c r="V26" s="530"/>
    </row>
    <row r="27" spans="1:24" x14ac:dyDescent="0.2">
      <c r="A27" s="532"/>
      <c r="B27" s="516"/>
      <c r="C27" s="504"/>
      <c r="D27" s="561"/>
      <c r="E27" s="562"/>
      <c r="F27" s="563"/>
      <c r="G27" s="564"/>
      <c r="H27" s="562"/>
      <c r="I27" s="562"/>
      <c r="J27" s="562"/>
      <c r="K27" s="562"/>
      <c r="L27" s="565"/>
      <c r="M27" s="504"/>
      <c r="N27" s="522"/>
      <c r="O27" s="523"/>
      <c r="P27" s="524"/>
      <c r="Q27" s="525"/>
      <c r="R27" s="526"/>
      <c r="S27" s="527"/>
      <c r="T27" s="538"/>
      <c r="U27" s="529"/>
      <c r="V27" s="530"/>
    </row>
    <row r="28" spans="1:24" x14ac:dyDescent="0.2">
      <c r="A28" s="532"/>
      <c r="B28" s="516"/>
      <c r="C28" s="504"/>
      <c r="D28" s="561"/>
      <c r="E28" s="562"/>
      <c r="F28" s="563"/>
      <c r="G28" s="564"/>
      <c r="H28" s="562"/>
      <c r="I28" s="562"/>
      <c r="J28" s="562"/>
      <c r="K28" s="562"/>
      <c r="L28" s="565"/>
      <c r="M28" s="504"/>
      <c r="N28" s="522"/>
      <c r="O28" s="523"/>
      <c r="P28" s="524"/>
      <c r="Q28" s="525"/>
      <c r="R28" s="526"/>
      <c r="S28" s="527"/>
      <c r="T28" s="538"/>
      <c r="U28" s="529"/>
      <c r="V28" s="530"/>
    </row>
    <row r="29" spans="1:24" x14ac:dyDescent="0.2">
      <c r="A29" s="532"/>
      <c r="B29" s="516"/>
      <c r="C29" s="504"/>
      <c r="D29" s="561"/>
      <c r="E29" s="562"/>
      <c r="F29" s="563"/>
      <c r="G29" s="564"/>
      <c r="H29" s="562"/>
      <c r="I29" s="562"/>
      <c r="J29" s="562"/>
      <c r="K29" s="562"/>
      <c r="L29" s="565"/>
      <c r="M29" s="504"/>
      <c r="N29" s="522"/>
      <c r="O29" s="523"/>
      <c r="P29" s="524"/>
      <c r="Q29" s="525"/>
      <c r="R29" s="526"/>
      <c r="S29" s="527"/>
      <c r="T29" s="538"/>
      <c r="U29" s="529"/>
      <c r="V29" s="530"/>
    </row>
    <row r="30" spans="1:24" x14ac:dyDescent="0.2">
      <c r="A30" s="532"/>
      <c r="B30" s="516"/>
      <c r="C30" s="504"/>
      <c r="D30" s="561"/>
      <c r="E30" s="562"/>
      <c r="F30" s="563"/>
      <c r="G30" s="564"/>
      <c r="H30" s="562"/>
      <c r="I30" s="562"/>
      <c r="J30" s="562"/>
      <c r="K30" s="562"/>
      <c r="L30" s="565"/>
      <c r="M30" s="504"/>
      <c r="N30" s="522"/>
      <c r="O30" s="523"/>
      <c r="P30" s="524"/>
      <c r="Q30" s="525"/>
      <c r="R30" s="526"/>
      <c r="S30" s="527"/>
      <c r="T30" s="538"/>
      <c r="U30" s="529"/>
      <c r="V30" s="530"/>
    </row>
    <row r="31" spans="1:24" x14ac:dyDescent="0.2">
      <c r="A31" s="532"/>
      <c r="B31" s="516"/>
      <c r="C31" s="504"/>
      <c r="D31" s="561"/>
      <c r="E31" s="562"/>
      <c r="F31" s="563"/>
      <c r="G31" s="564"/>
      <c r="H31" s="562"/>
      <c r="I31" s="562"/>
      <c r="J31" s="562"/>
      <c r="K31" s="562"/>
      <c r="L31" s="565"/>
      <c r="M31" s="504"/>
      <c r="N31" s="522"/>
      <c r="O31" s="523"/>
      <c r="P31" s="524"/>
      <c r="Q31" s="525"/>
      <c r="R31" s="526"/>
      <c r="S31" s="527"/>
      <c r="T31" s="538"/>
      <c r="U31" s="529"/>
      <c r="V31" s="530"/>
    </row>
    <row r="32" spans="1:24" x14ac:dyDescent="0.2">
      <c r="A32" s="532"/>
      <c r="B32" s="516"/>
      <c r="C32" s="504"/>
      <c r="D32" s="561"/>
      <c r="E32" s="562"/>
      <c r="F32" s="563"/>
      <c r="G32" s="564"/>
      <c r="H32" s="562"/>
      <c r="I32" s="562"/>
      <c r="J32" s="562"/>
      <c r="K32" s="562"/>
      <c r="L32" s="565"/>
      <c r="M32" s="504"/>
      <c r="N32" s="522"/>
      <c r="O32" s="523"/>
      <c r="P32" s="524"/>
      <c r="Q32" s="525"/>
      <c r="R32" s="526"/>
      <c r="S32" s="527"/>
      <c r="T32" s="538"/>
      <c r="U32" s="529"/>
      <c r="V32" s="530"/>
    </row>
    <row r="33" spans="1:26" ht="10.8" thickBot="1" x14ac:dyDescent="0.25">
      <c r="A33" s="532"/>
      <c r="B33" s="516"/>
      <c r="C33" s="504"/>
      <c r="D33" s="561"/>
      <c r="E33" s="562"/>
      <c r="F33" s="563"/>
      <c r="G33" s="564"/>
      <c r="H33" s="562"/>
      <c r="I33" s="562"/>
      <c r="J33" s="562"/>
      <c r="K33" s="562"/>
      <c r="L33" s="565"/>
      <c r="M33" s="504"/>
      <c r="N33" s="522"/>
      <c r="O33" s="523"/>
      <c r="P33" s="524"/>
      <c r="Q33" s="525"/>
      <c r="R33" s="526"/>
      <c r="S33" s="527"/>
      <c r="T33" s="538"/>
      <c r="U33" s="529"/>
      <c r="V33" s="575"/>
    </row>
    <row r="34" spans="1:26" x14ac:dyDescent="0.2">
      <c r="A34" s="532"/>
      <c r="B34" s="516"/>
      <c r="C34" s="504"/>
      <c r="D34" s="561"/>
      <c r="E34" s="562"/>
      <c r="F34" s="563"/>
      <c r="G34" s="564"/>
      <c r="H34" s="562"/>
      <c r="I34" s="562"/>
      <c r="J34" s="562"/>
      <c r="K34" s="562"/>
      <c r="L34" s="565"/>
      <c r="M34" s="504"/>
      <c r="N34" s="522"/>
      <c r="O34" s="523"/>
      <c r="P34" s="524"/>
      <c r="Q34" s="525"/>
      <c r="R34" s="526"/>
      <c r="S34" s="527"/>
      <c r="T34" s="538"/>
      <c r="U34" s="576" t="s">
        <v>157</v>
      </c>
      <c r="V34" s="577">
        <f>AVERAGE(V12:V33)</f>
        <v>94</v>
      </c>
    </row>
    <row r="35" spans="1:26" x14ac:dyDescent="0.2">
      <c r="A35" s="532"/>
      <c r="B35" s="516"/>
      <c r="C35" s="504"/>
      <c r="D35" s="561"/>
      <c r="E35" s="562"/>
      <c r="F35" s="563"/>
      <c r="G35" s="564"/>
      <c r="H35" s="562"/>
      <c r="I35" s="562"/>
      <c r="J35" s="562"/>
      <c r="K35" s="562"/>
      <c r="L35" s="565"/>
      <c r="M35" s="504"/>
      <c r="N35" s="522"/>
      <c r="O35" s="523"/>
      <c r="P35" s="524"/>
      <c r="Q35" s="525"/>
      <c r="R35" s="526"/>
      <c r="S35" s="527"/>
      <c r="T35" s="538"/>
      <c r="U35" s="403" t="s">
        <v>158</v>
      </c>
      <c r="V35" s="575" t="e">
        <f>STDEV(V12:V33)</f>
        <v>#DIV/0!</v>
      </c>
      <c r="W35" s="578"/>
      <c r="X35" s="578"/>
    </row>
    <row r="36" spans="1:26" x14ac:dyDescent="0.2">
      <c r="A36" s="579" t="s">
        <v>159</v>
      </c>
      <c r="B36" s="580"/>
      <c r="C36" s="581"/>
      <c r="D36" s="581"/>
      <c r="E36" s="581"/>
      <c r="F36" s="581"/>
      <c r="G36" s="582"/>
      <c r="H36" s="581"/>
      <c r="I36" s="581"/>
      <c r="J36" s="581"/>
      <c r="K36" s="581"/>
      <c r="L36" s="583"/>
      <c r="M36" s="581"/>
      <c r="N36" s="584"/>
      <c r="O36" s="585"/>
      <c r="P36" s="586"/>
      <c r="Q36" s="587"/>
      <c r="R36" s="588"/>
      <c r="S36" s="589"/>
      <c r="T36" s="590"/>
      <c r="U36" s="403" t="s">
        <v>160</v>
      </c>
      <c r="V36" s="575" t="e">
        <f>V35/SQRT(COUNT(V12:V32))</f>
        <v>#DIV/0!</v>
      </c>
      <c r="W36" s="573"/>
      <c r="X36" s="578"/>
      <c r="Y36" s="578"/>
      <c r="Z36" s="578"/>
    </row>
    <row r="37" spans="1:26" x14ac:dyDescent="0.2">
      <c r="A37" s="591"/>
      <c r="B37" s="592"/>
      <c r="C37" s="593"/>
      <c r="D37" s="593"/>
      <c r="E37" s="593"/>
      <c r="F37" s="593"/>
      <c r="G37" s="594"/>
      <c r="H37" s="593"/>
      <c r="I37" s="593"/>
      <c r="J37" s="593"/>
      <c r="K37" s="593"/>
      <c r="L37" s="595"/>
      <c r="M37" s="593"/>
      <c r="N37" s="596"/>
      <c r="O37" s="597"/>
      <c r="P37" s="598"/>
      <c r="Q37" s="599"/>
      <c r="R37" s="600"/>
      <c r="S37" s="601"/>
      <c r="T37" s="602"/>
      <c r="U37" s="403" t="s">
        <v>161</v>
      </c>
      <c r="V37" s="575">
        <f>MAX(V12:V33)</f>
        <v>94</v>
      </c>
      <c r="W37" s="573"/>
    </row>
    <row r="38" spans="1:26" ht="10.8" thickBot="1" x14ac:dyDescent="0.25">
      <c r="A38" s="603"/>
      <c r="B38" s="604"/>
      <c r="C38" s="605"/>
      <c r="D38" s="605"/>
      <c r="E38" s="605"/>
      <c r="F38" s="605"/>
      <c r="G38" s="606"/>
      <c r="H38" s="605"/>
      <c r="I38" s="605"/>
      <c r="J38" s="605"/>
      <c r="K38" s="605"/>
      <c r="L38" s="607"/>
      <c r="M38" s="605"/>
      <c r="N38" s="608"/>
      <c r="O38" s="609"/>
      <c r="P38" s="610"/>
      <c r="Q38" s="611"/>
      <c r="R38" s="612"/>
      <c r="S38" s="613"/>
      <c r="T38" s="614"/>
      <c r="U38" s="615" t="s">
        <v>162</v>
      </c>
      <c r="V38" s="616">
        <f>MIN(V12:V33)</f>
        <v>94</v>
      </c>
      <c r="W38" s="578"/>
    </row>
    <row r="39" spans="1:26" x14ac:dyDescent="0.2">
      <c r="A39" s="617"/>
      <c r="B39" s="617"/>
      <c r="C39" s="618"/>
      <c r="D39" s="619"/>
      <c r="E39" s="619"/>
      <c r="F39" s="619"/>
      <c r="G39" s="620"/>
      <c r="H39" s="621"/>
      <c r="I39" s="622"/>
      <c r="J39" s="623"/>
      <c r="K39" s="624"/>
      <c r="L39" s="625"/>
      <c r="M39" s="578"/>
      <c r="O39" s="566"/>
      <c r="P39" s="626"/>
    </row>
    <row r="40" spans="1:26" x14ac:dyDescent="0.2">
      <c r="A40" s="578"/>
      <c r="B40" s="578"/>
      <c r="C40" s="627"/>
      <c r="D40" s="627"/>
      <c r="E40" s="627"/>
      <c r="F40" s="627"/>
      <c r="G40" s="622"/>
      <c r="H40" s="621"/>
      <c r="I40" s="622"/>
      <c r="J40" s="623"/>
      <c r="K40" s="628"/>
      <c r="L40" s="625"/>
      <c r="M40" s="578"/>
      <c r="O40" s="566"/>
      <c r="P40" s="626"/>
    </row>
    <row r="41" spans="1:26" x14ac:dyDescent="0.2">
      <c r="A41" s="629"/>
      <c r="B41" s="629"/>
      <c r="C41" s="629"/>
      <c r="D41" s="629"/>
      <c r="E41" s="623"/>
      <c r="F41" s="630"/>
      <c r="G41" s="578"/>
      <c r="H41" s="566"/>
      <c r="I41" s="578"/>
      <c r="J41" s="566"/>
      <c r="K41" s="566"/>
      <c r="L41" s="578"/>
      <c r="M41" s="578"/>
      <c r="O41" s="566"/>
      <c r="P41" s="626"/>
    </row>
    <row r="42" spans="1:26" x14ac:dyDescent="0.2">
      <c r="A42" s="631"/>
      <c r="B42" s="631"/>
      <c r="C42" s="629"/>
      <c r="D42" s="629"/>
      <c r="E42" s="623"/>
      <c r="F42" s="630"/>
      <c r="G42" s="566"/>
      <c r="H42" s="566"/>
      <c r="I42" s="578"/>
      <c r="J42" s="566"/>
      <c r="K42" s="566"/>
      <c r="L42" s="578"/>
      <c r="M42" s="578"/>
      <c r="O42" s="566"/>
      <c r="P42" s="626"/>
    </row>
    <row r="43" spans="1:26" x14ac:dyDescent="0.2">
      <c r="A43" s="475"/>
      <c r="B43" s="475"/>
      <c r="C43" s="629"/>
      <c r="D43" s="629"/>
      <c r="E43" s="623"/>
      <c r="F43" s="630"/>
      <c r="G43" s="566"/>
      <c r="H43" s="566"/>
      <c r="I43" s="578"/>
      <c r="J43" s="566"/>
      <c r="K43" s="566"/>
      <c r="L43" s="578"/>
      <c r="M43" s="578"/>
      <c r="O43" s="566"/>
      <c r="P43" s="626"/>
    </row>
    <row r="44" spans="1:26" x14ac:dyDescent="0.2">
      <c r="A44" s="629"/>
      <c r="B44" s="629"/>
      <c r="C44" s="629"/>
      <c r="D44" s="629"/>
      <c r="E44" s="623"/>
      <c r="F44" s="630"/>
      <c r="G44" s="566"/>
      <c r="H44" s="566"/>
      <c r="I44" s="578"/>
      <c r="J44" s="566"/>
      <c r="K44" s="566"/>
      <c r="L44" s="578"/>
      <c r="M44" s="578"/>
      <c r="O44" s="566"/>
      <c r="P44" s="626"/>
    </row>
    <row r="45" spans="1:26" x14ac:dyDescent="0.2">
      <c r="A45" s="629"/>
      <c r="B45" s="629"/>
      <c r="C45" s="629"/>
      <c r="D45" s="629"/>
      <c r="E45" s="623"/>
      <c r="F45" s="630"/>
      <c r="G45" s="566"/>
      <c r="H45" s="566"/>
      <c r="I45" s="578"/>
      <c r="J45" s="622"/>
      <c r="K45" s="566"/>
      <c r="L45" s="578"/>
      <c r="M45" s="578"/>
      <c r="O45" s="566"/>
      <c r="P45" s="626"/>
    </row>
    <row r="46" spans="1:26" x14ac:dyDescent="0.2">
      <c r="A46" s="629"/>
      <c r="B46" s="629"/>
      <c r="C46" s="629"/>
      <c r="D46" s="629"/>
      <c r="E46" s="623"/>
      <c r="F46" s="630"/>
      <c r="G46" s="566"/>
      <c r="H46" s="566"/>
      <c r="I46" s="578"/>
      <c r="J46" s="622"/>
      <c r="K46" s="566"/>
      <c r="L46" s="578"/>
      <c r="M46" s="578"/>
      <c r="O46" s="566"/>
      <c r="P46" s="626"/>
    </row>
    <row r="47" spans="1:26" x14ac:dyDescent="0.2">
      <c r="A47" s="629"/>
      <c r="B47" s="629"/>
      <c r="C47" s="629"/>
      <c r="D47" s="629"/>
      <c r="E47" s="623"/>
      <c r="F47" s="630"/>
      <c r="G47" s="566"/>
      <c r="H47" s="566"/>
      <c r="I47" s="578"/>
      <c r="J47" s="566"/>
      <c r="K47" s="566"/>
      <c r="L47" s="578"/>
      <c r="M47" s="578"/>
      <c r="O47" s="566"/>
      <c r="P47" s="626"/>
    </row>
    <row r="48" spans="1:26" x14ac:dyDescent="0.2">
      <c r="A48" s="629"/>
      <c r="B48" s="629"/>
      <c r="C48" s="629"/>
      <c r="D48" s="629"/>
      <c r="E48" s="623"/>
      <c r="F48" s="630"/>
      <c r="G48" s="566"/>
      <c r="H48" s="566"/>
      <c r="I48" s="578"/>
      <c r="J48" s="566"/>
      <c r="K48" s="566"/>
      <c r="L48" s="578"/>
      <c r="M48" s="578"/>
      <c r="O48" s="566"/>
      <c r="P48" s="626"/>
    </row>
    <row r="49" spans="1:16" x14ac:dyDescent="0.2">
      <c r="A49" s="629"/>
      <c r="B49" s="629"/>
      <c r="C49" s="629"/>
      <c r="D49" s="629"/>
      <c r="E49" s="623"/>
      <c r="F49" s="630"/>
      <c r="G49" s="566"/>
      <c r="H49" s="566"/>
      <c r="I49" s="578"/>
      <c r="J49" s="566"/>
      <c r="K49" s="566"/>
      <c r="L49" s="578"/>
      <c r="M49" s="578"/>
      <c r="O49" s="566"/>
      <c r="P49" s="626"/>
    </row>
    <row r="50" spans="1:16" x14ac:dyDescent="0.2">
      <c r="A50" s="629"/>
      <c r="B50" s="629"/>
      <c r="C50" s="629"/>
      <c r="D50" s="629"/>
      <c r="E50" s="623"/>
      <c r="F50" s="630"/>
      <c r="G50" s="566"/>
      <c r="H50" s="566"/>
      <c r="I50" s="578"/>
      <c r="J50" s="566"/>
      <c r="K50" s="566"/>
      <c r="L50" s="578"/>
      <c r="M50" s="578"/>
      <c r="O50" s="566"/>
      <c r="P50" s="626"/>
    </row>
    <row r="51" spans="1:16" x14ac:dyDescent="0.2">
      <c r="A51" s="629"/>
      <c r="B51" s="629"/>
      <c r="C51" s="629"/>
      <c r="D51" s="629"/>
      <c r="E51" s="623"/>
      <c r="F51" s="630"/>
      <c r="G51" s="566"/>
      <c r="H51" s="566"/>
      <c r="I51" s="578"/>
      <c r="J51" s="566"/>
      <c r="K51" s="566"/>
      <c r="L51" s="578"/>
      <c r="M51" s="578"/>
      <c r="O51" s="566"/>
      <c r="P51" s="626"/>
    </row>
    <row r="52" spans="1:16" x14ac:dyDescent="0.2">
      <c r="A52" s="629"/>
      <c r="B52" s="629"/>
      <c r="C52" s="629"/>
      <c r="D52" s="629"/>
      <c r="E52" s="623"/>
      <c r="F52" s="630"/>
      <c r="G52" s="566"/>
      <c r="H52" s="566"/>
      <c r="I52" s="578"/>
      <c r="J52" s="566"/>
      <c r="K52" s="566"/>
      <c r="L52" s="578"/>
      <c r="O52" s="566"/>
      <c r="P52" s="626"/>
    </row>
    <row r="53" spans="1:16" x14ac:dyDescent="0.2">
      <c r="A53" s="629"/>
      <c r="B53" s="629"/>
      <c r="C53" s="629"/>
      <c r="D53" s="629"/>
      <c r="E53" s="623"/>
      <c r="F53" s="630"/>
      <c r="G53" s="566"/>
      <c r="H53" s="566"/>
      <c r="I53" s="578"/>
      <c r="J53" s="566"/>
      <c r="K53" s="566"/>
      <c r="L53" s="578"/>
      <c r="O53" s="566"/>
      <c r="P53" s="626"/>
    </row>
    <row r="54" spans="1:16" x14ac:dyDescent="0.2">
      <c r="A54" s="629"/>
      <c r="B54" s="629"/>
      <c r="C54" s="629"/>
      <c r="D54" s="629"/>
      <c r="E54" s="623"/>
      <c r="F54" s="630"/>
      <c r="G54" s="566"/>
      <c r="H54" s="566"/>
      <c r="I54" s="578"/>
      <c r="J54" s="566"/>
      <c r="K54" s="566"/>
      <c r="L54" s="566"/>
      <c r="O54" s="566"/>
      <c r="P54" s="626"/>
    </row>
    <row r="55" spans="1:16" x14ac:dyDescent="0.2">
      <c r="A55" s="629"/>
      <c r="B55" s="629"/>
      <c r="C55" s="629"/>
      <c r="D55" s="629"/>
      <c r="E55" s="623"/>
      <c r="F55" s="630"/>
      <c r="G55" s="566"/>
      <c r="H55" s="566"/>
      <c r="I55" s="578"/>
      <c r="J55" s="566"/>
      <c r="K55" s="566"/>
      <c r="L55" s="566"/>
      <c r="O55" s="566"/>
      <c r="P55" s="626"/>
    </row>
    <row r="56" spans="1:16" x14ac:dyDescent="0.2">
      <c r="A56" s="629"/>
      <c r="B56" s="629"/>
      <c r="C56" s="629"/>
      <c r="D56" s="629"/>
      <c r="E56" s="623"/>
      <c r="F56" s="630"/>
      <c r="G56" s="566"/>
      <c r="H56" s="566"/>
      <c r="I56" s="578"/>
      <c r="J56" s="566"/>
      <c r="K56" s="566"/>
      <c r="L56" s="566"/>
      <c r="O56" s="566"/>
      <c r="P56" s="626"/>
    </row>
    <row r="57" spans="1:16" x14ac:dyDescent="0.2">
      <c r="A57" s="629"/>
      <c r="B57" s="629"/>
      <c r="C57" s="629"/>
      <c r="D57" s="629"/>
      <c r="E57" s="623"/>
      <c r="F57" s="630"/>
      <c r="G57" s="566"/>
      <c r="H57" s="566"/>
      <c r="I57" s="578"/>
      <c r="J57" s="566"/>
      <c r="K57" s="566"/>
      <c r="L57" s="566"/>
      <c r="O57" s="566"/>
      <c r="P57" s="626"/>
    </row>
    <row r="58" spans="1:16" x14ac:dyDescent="0.2">
      <c r="A58" s="629"/>
      <c r="B58" s="629"/>
      <c r="C58" s="629"/>
      <c r="D58" s="629"/>
      <c r="E58" s="623"/>
      <c r="F58" s="630"/>
      <c r="G58" s="566"/>
      <c r="H58" s="566"/>
      <c r="I58" s="578"/>
      <c r="J58" s="566"/>
      <c r="K58" s="566"/>
      <c r="L58" s="566"/>
      <c r="O58" s="566"/>
      <c r="P58" s="626"/>
    </row>
    <row r="59" spans="1:16" x14ac:dyDescent="0.2">
      <c r="A59" s="629"/>
      <c r="B59" s="629"/>
      <c r="C59" s="629"/>
      <c r="D59" s="629"/>
      <c r="E59" s="623"/>
      <c r="F59" s="630"/>
      <c r="G59" s="566"/>
      <c r="H59" s="566"/>
      <c r="I59" s="578"/>
      <c r="J59" s="566"/>
      <c r="K59" s="566"/>
      <c r="L59" s="566"/>
      <c r="O59" s="566"/>
      <c r="P59" s="626"/>
    </row>
    <row r="60" spans="1:16" x14ac:dyDescent="0.2">
      <c r="A60" s="629"/>
      <c r="B60" s="629"/>
      <c r="C60" s="629"/>
      <c r="D60" s="629"/>
      <c r="E60" s="623"/>
      <c r="F60" s="630"/>
      <c r="G60" s="566"/>
      <c r="H60" s="566"/>
      <c r="I60" s="578"/>
      <c r="J60" s="566"/>
      <c r="K60" s="566"/>
      <c r="L60" s="566"/>
      <c r="O60" s="566"/>
      <c r="P60" s="626"/>
    </row>
    <row r="61" spans="1:16" x14ac:dyDescent="0.2">
      <c r="A61" s="629"/>
      <c r="B61" s="629"/>
      <c r="C61" s="629"/>
      <c r="D61" s="629"/>
      <c r="E61" s="623"/>
      <c r="F61" s="630"/>
      <c r="G61" s="566"/>
      <c r="H61" s="566"/>
      <c r="I61" s="578"/>
      <c r="J61" s="566"/>
      <c r="K61" s="566"/>
      <c r="L61" s="566"/>
      <c r="O61" s="566"/>
      <c r="P61" s="626"/>
    </row>
    <row r="62" spans="1:16" x14ac:dyDescent="0.2">
      <c r="A62" s="629"/>
      <c r="B62" s="629"/>
      <c r="C62" s="629"/>
      <c r="D62" s="629"/>
      <c r="E62" s="623"/>
      <c r="F62" s="630"/>
      <c r="G62" s="566"/>
      <c r="H62" s="566"/>
      <c r="I62" s="578"/>
      <c r="J62" s="566"/>
      <c r="K62" s="566"/>
      <c r="L62" s="566"/>
      <c r="O62" s="566"/>
      <c r="P62" s="626"/>
    </row>
    <row r="63" spans="1:16" x14ac:dyDescent="0.2">
      <c r="A63" s="629"/>
      <c r="B63" s="629"/>
      <c r="C63" s="629"/>
      <c r="D63" s="629"/>
      <c r="E63" s="623"/>
      <c r="F63" s="630"/>
      <c r="G63" s="566"/>
      <c r="H63" s="566"/>
      <c r="I63" s="578"/>
      <c r="J63" s="566"/>
      <c r="K63" s="566"/>
      <c r="L63" s="566"/>
      <c r="O63" s="566"/>
      <c r="P63" s="626"/>
    </row>
    <row r="64" spans="1:16" x14ac:dyDescent="0.2">
      <c r="A64" s="629"/>
      <c r="B64" s="629"/>
      <c r="C64" s="629"/>
      <c r="D64" s="629"/>
      <c r="E64" s="623"/>
      <c r="F64" s="630"/>
      <c r="G64" s="566"/>
      <c r="H64" s="566"/>
      <c r="I64" s="578"/>
      <c r="J64" s="566"/>
      <c r="K64" s="566"/>
      <c r="L64" s="566"/>
      <c r="O64" s="566"/>
      <c r="P64" s="626"/>
    </row>
    <row r="65" spans="1:19" x14ac:dyDescent="0.2">
      <c r="A65" s="629"/>
      <c r="B65" s="629"/>
      <c r="C65" s="629"/>
      <c r="D65" s="629"/>
      <c r="E65" s="623"/>
      <c r="F65" s="630"/>
      <c r="G65" s="626"/>
      <c r="H65" s="566"/>
      <c r="I65" s="578"/>
      <c r="J65" s="566"/>
      <c r="K65" s="566"/>
      <c r="L65" s="566"/>
      <c r="O65" s="566"/>
      <c r="P65" s="626"/>
    </row>
    <row r="66" spans="1:19" x14ac:dyDescent="0.2">
      <c r="A66" s="629"/>
      <c r="B66" s="629"/>
      <c r="C66" s="629"/>
      <c r="D66" s="629"/>
      <c r="E66" s="623"/>
      <c r="F66" s="630"/>
      <c r="G66" s="626"/>
      <c r="H66" s="566"/>
      <c r="I66" s="578"/>
      <c r="J66" s="566"/>
      <c r="K66" s="566"/>
      <c r="L66" s="566"/>
      <c r="O66" s="566"/>
      <c r="P66" s="626"/>
    </row>
    <row r="67" spans="1:19" x14ac:dyDescent="0.2">
      <c r="A67" s="629"/>
      <c r="B67" s="629"/>
      <c r="C67" s="629"/>
      <c r="D67" s="629"/>
      <c r="E67" s="623"/>
      <c r="F67" s="630"/>
      <c r="G67" s="626"/>
      <c r="H67" s="566"/>
      <c r="I67" s="578"/>
      <c r="J67" s="566"/>
      <c r="K67" s="566"/>
      <c r="L67" s="566"/>
      <c r="O67" s="566"/>
      <c r="P67" s="626"/>
    </row>
    <row r="68" spans="1:19" x14ac:dyDescent="0.2">
      <c r="A68" s="629"/>
      <c r="B68" s="629"/>
      <c r="C68" s="629"/>
      <c r="D68" s="629"/>
      <c r="E68" s="623"/>
      <c r="F68" s="630"/>
      <c r="G68" s="626"/>
      <c r="H68" s="566"/>
      <c r="I68" s="578"/>
      <c r="J68" s="566"/>
      <c r="K68" s="566"/>
      <c r="L68" s="566"/>
      <c r="O68" s="566"/>
      <c r="P68" s="626"/>
    </row>
    <row r="69" spans="1:19" x14ac:dyDescent="0.2">
      <c r="A69" s="629"/>
      <c r="B69" s="629"/>
      <c r="C69" s="629"/>
      <c r="D69" s="629"/>
      <c r="E69" s="623"/>
      <c r="F69" s="630"/>
      <c r="G69" s="566"/>
      <c r="H69" s="566"/>
      <c r="I69" s="578"/>
      <c r="J69" s="566"/>
      <c r="K69" s="566"/>
      <c r="L69" s="566"/>
      <c r="O69" s="566"/>
      <c r="P69" s="626"/>
    </row>
    <row r="70" spans="1:19" x14ac:dyDescent="0.2">
      <c r="A70" s="629"/>
      <c r="B70" s="629"/>
      <c r="C70" s="629"/>
      <c r="D70" s="629"/>
      <c r="E70" s="623"/>
      <c r="F70" s="630"/>
      <c r="G70" s="566"/>
      <c r="H70" s="566"/>
      <c r="I70" s="578"/>
      <c r="J70" s="566"/>
      <c r="K70" s="566"/>
      <c r="L70" s="566"/>
      <c r="O70" s="566"/>
      <c r="P70" s="626"/>
    </row>
    <row r="71" spans="1:19" s="629" customFormat="1" x14ac:dyDescent="0.2">
      <c r="E71" s="623"/>
      <c r="F71" s="630"/>
      <c r="G71" s="566"/>
      <c r="H71" s="566"/>
      <c r="I71" s="578"/>
      <c r="J71" s="566"/>
      <c r="K71" s="566"/>
      <c r="L71" s="566"/>
      <c r="M71" s="566"/>
      <c r="N71" s="566"/>
      <c r="O71" s="566"/>
      <c r="P71" s="626"/>
      <c r="Q71" s="626"/>
      <c r="R71" s="632"/>
      <c r="S71" s="632"/>
    </row>
    <row r="72" spans="1:19" s="629" customFormat="1" x14ac:dyDescent="0.2">
      <c r="E72" s="623"/>
      <c r="F72" s="630"/>
      <c r="G72" s="566"/>
      <c r="H72" s="566"/>
      <c r="I72" s="578"/>
      <c r="J72" s="566"/>
      <c r="K72" s="566"/>
      <c r="L72" s="566"/>
      <c r="M72" s="566"/>
      <c r="N72" s="566"/>
      <c r="O72" s="566"/>
      <c r="P72" s="626"/>
      <c r="Q72" s="626"/>
      <c r="R72" s="632"/>
      <c r="S72" s="632"/>
    </row>
    <row r="73" spans="1:19" s="629" customFormat="1" x14ac:dyDescent="0.2">
      <c r="E73" s="623"/>
      <c r="F73" s="630"/>
      <c r="G73" s="566"/>
      <c r="H73" s="566"/>
      <c r="I73" s="578"/>
      <c r="J73" s="566"/>
      <c r="K73" s="566"/>
      <c r="L73" s="566"/>
      <c r="M73" s="566"/>
      <c r="N73" s="566"/>
      <c r="O73" s="566"/>
      <c r="P73" s="626"/>
      <c r="Q73" s="626"/>
      <c r="R73" s="632"/>
      <c r="S73" s="632"/>
    </row>
    <row r="74" spans="1:19" s="629" customFormat="1" x14ac:dyDescent="0.2">
      <c r="E74" s="623"/>
      <c r="F74" s="630"/>
      <c r="G74" s="566"/>
      <c r="H74" s="566"/>
      <c r="I74" s="578"/>
      <c r="J74" s="566"/>
      <c r="K74" s="566"/>
      <c r="L74" s="566"/>
      <c r="M74" s="566"/>
      <c r="N74" s="566"/>
      <c r="O74" s="566"/>
      <c r="P74" s="626"/>
      <c r="Q74" s="626"/>
      <c r="R74" s="632"/>
      <c r="S74" s="632"/>
    </row>
    <row r="75" spans="1:19" s="629" customFormat="1" x14ac:dyDescent="0.2">
      <c r="E75" s="623"/>
      <c r="F75" s="630"/>
      <c r="G75" s="566"/>
      <c r="H75" s="566"/>
      <c r="I75" s="578"/>
      <c r="J75" s="566"/>
      <c r="K75" s="566"/>
      <c r="L75" s="566"/>
      <c r="M75" s="566"/>
      <c r="N75" s="566"/>
      <c r="O75" s="566"/>
      <c r="P75" s="626"/>
      <c r="Q75" s="626"/>
      <c r="R75" s="632"/>
      <c r="S75" s="632"/>
    </row>
    <row r="76" spans="1:19" s="629" customFormat="1" x14ac:dyDescent="0.2">
      <c r="E76" s="623"/>
      <c r="F76" s="630"/>
      <c r="G76" s="566"/>
      <c r="H76" s="566"/>
      <c r="I76" s="578"/>
      <c r="J76" s="566"/>
      <c r="K76" s="566"/>
      <c r="L76" s="566"/>
      <c r="M76" s="566"/>
      <c r="P76" s="632"/>
      <c r="Q76" s="632"/>
      <c r="R76" s="632"/>
      <c r="S76" s="632"/>
    </row>
    <row r="77" spans="1:19" s="629" customFormat="1" x14ac:dyDescent="0.2">
      <c r="E77" s="623"/>
      <c r="F77" s="630"/>
      <c r="G77" s="566"/>
      <c r="H77" s="566"/>
      <c r="I77" s="578"/>
      <c r="J77" s="566"/>
      <c r="K77" s="566"/>
      <c r="L77" s="566"/>
      <c r="M77" s="566"/>
      <c r="P77" s="632"/>
      <c r="Q77" s="632"/>
      <c r="R77" s="632"/>
      <c r="S77" s="632"/>
    </row>
    <row r="78" spans="1:19" s="629" customFormat="1" x14ac:dyDescent="0.2">
      <c r="E78" s="623"/>
      <c r="F78" s="630"/>
      <c r="G78" s="566"/>
      <c r="H78" s="566"/>
      <c r="I78" s="578"/>
      <c r="J78" s="566"/>
      <c r="K78" s="566"/>
      <c r="L78" s="566"/>
      <c r="M78" s="566"/>
      <c r="P78" s="632"/>
      <c r="Q78" s="632"/>
      <c r="R78" s="632"/>
      <c r="S78" s="632"/>
    </row>
    <row r="79" spans="1:19" s="629" customFormat="1" x14ac:dyDescent="0.2">
      <c r="E79" s="623"/>
      <c r="F79" s="630"/>
      <c r="G79" s="566"/>
      <c r="H79" s="566"/>
      <c r="I79" s="578"/>
      <c r="J79" s="566"/>
      <c r="K79" s="566"/>
      <c r="L79" s="566"/>
      <c r="M79" s="566"/>
      <c r="P79" s="632"/>
      <c r="Q79" s="632"/>
      <c r="R79" s="632"/>
      <c r="S79" s="632"/>
    </row>
    <row r="80" spans="1:19" s="629" customFormat="1" x14ac:dyDescent="0.2">
      <c r="E80" s="623"/>
      <c r="F80" s="630"/>
      <c r="G80" s="566"/>
      <c r="H80" s="566"/>
      <c r="I80" s="578"/>
      <c r="J80" s="566"/>
      <c r="K80" s="566"/>
      <c r="L80" s="566"/>
      <c r="M80" s="566"/>
      <c r="P80" s="632"/>
      <c r="Q80" s="632"/>
      <c r="R80" s="632"/>
      <c r="S80" s="632"/>
    </row>
    <row r="81" spans="5:19" s="629" customFormat="1" x14ac:dyDescent="0.2">
      <c r="E81" s="623"/>
      <c r="F81" s="630"/>
      <c r="G81" s="566"/>
      <c r="H81" s="566"/>
      <c r="I81" s="578"/>
      <c r="J81" s="566"/>
      <c r="K81" s="566"/>
      <c r="L81" s="566"/>
      <c r="M81" s="566"/>
      <c r="P81" s="632"/>
      <c r="Q81" s="632"/>
      <c r="R81" s="632"/>
      <c r="S81" s="632"/>
    </row>
    <row r="82" spans="5:19" s="629" customFormat="1" x14ac:dyDescent="0.2">
      <c r="E82" s="623"/>
      <c r="F82" s="630"/>
      <c r="G82" s="566"/>
      <c r="H82" s="566"/>
      <c r="I82" s="578"/>
      <c r="J82" s="566"/>
      <c r="K82" s="566"/>
      <c r="L82" s="566"/>
      <c r="M82" s="566"/>
      <c r="P82" s="632"/>
      <c r="Q82" s="632"/>
      <c r="R82" s="632"/>
      <c r="S82" s="632"/>
    </row>
    <row r="83" spans="5:19" s="629" customFormat="1" x14ac:dyDescent="0.2">
      <c r="E83" s="623"/>
      <c r="F83" s="630"/>
      <c r="G83" s="566"/>
      <c r="H83" s="566"/>
      <c r="I83" s="578"/>
      <c r="J83" s="566"/>
      <c r="K83" s="566"/>
      <c r="L83" s="566"/>
      <c r="M83" s="566"/>
      <c r="P83" s="632"/>
      <c r="Q83" s="632"/>
      <c r="R83" s="632"/>
      <c r="S83" s="632"/>
    </row>
    <row r="84" spans="5:19" s="629" customFormat="1" x14ac:dyDescent="0.2">
      <c r="E84" s="623"/>
      <c r="F84" s="630"/>
      <c r="G84" s="566"/>
      <c r="H84" s="566"/>
      <c r="I84" s="578"/>
      <c r="J84" s="566"/>
      <c r="K84" s="566"/>
      <c r="L84" s="566"/>
      <c r="M84" s="566"/>
      <c r="P84" s="632"/>
      <c r="Q84" s="632"/>
      <c r="R84" s="632"/>
      <c r="S84" s="632"/>
    </row>
    <row r="85" spans="5:19" s="629" customFormat="1" x14ac:dyDescent="0.2">
      <c r="E85" s="623"/>
      <c r="F85" s="630"/>
      <c r="G85" s="566"/>
      <c r="H85" s="566"/>
      <c r="I85" s="578"/>
      <c r="J85" s="566"/>
      <c r="K85" s="566"/>
      <c r="L85" s="566"/>
      <c r="M85" s="566"/>
      <c r="P85" s="632"/>
      <c r="Q85" s="632"/>
      <c r="R85" s="632"/>
      <c r="S85" s="632"/>
    </row>
    <row r="86" spans="5:19" s="629" customFormat="1" x14ac:dyDescent="0.2">
      <c r="E86" s="623"/>
      <c r="F86" s="630"/>
      <c r="G86" s="566"/>
      <c r="H86" s="566"/>
      <c r="I86" s="578"/>
      <c r="J86" s="566"/>
      <c r="K86" s="566"/>
      <c r="L86" s="566"/>
      <c r="M86" s="566"/>
      <c r="P86" s="632"/>
      <c r="Q86" s="632"/>
      <c r="R86" s="632"/>
      <c r="S86" s="632"/>
    </row>
    <row r="87" spans="5:19" s="629" customFormat="1" x14ac:dyDescent="0.2">
      <c r="E87" s="623"/>
      <c r="F87" s="630"/>
      <c r="G87" s="566"/>
      <c r="H87" s="566"/>
      <c r="I87" s="578"/>
      <c r="J87" s="566"/>
      <c r="K87" s="566"/>
      <c r="L87" s="566"/>
      <c r="M87" s="566"/>
      <c r="P87" s="632"/>
      <c r="Q87" s="632"/>
      <c r="R87" s="632"/>
      <c r="S87" s="632"/>
    </row>
    <row r="88" spans="5:19" s="629" customFormat="1" x14ac:dyDescent="0.2">
      <c r="E88" s="623"/>
      <c r="F88" s="630"/>
      <c r="G88" s="566"/>
      <c r="H88" s="566"/>
      <c r="I88" s="578"/>
      <c r="J88" s="566"/>
      <c r="K88" s="566"/>
      <c r="L88" s="566"/>
      <c r="M88" s="566"/>
      <c r="P88" s="632"/>
      <c r="Q88" s="632"/>
      <c r="R88" s="632"/>
      <c r="S88" s="632"/>
    </row>
    <row r="89" spans="5:19" s="629" customFormat="1" x14ac:dyDescent="0.2">
      <c r="E89" s="623"/>
      <c r="F89" s="630"/>
      <c r="G89" s="566"/>
      <c r="H89" s="566"/>
      <c r="I89" s="578"/>
      <c r="J89" s="566"/>
      <c r="K89" s="566"/>
      <c r="L89" s="566"/>
      <c r="M89" s="566"/>
      <c r="P89" s="632"/>
      <c r="Q89" s="632"/>
      <c r="R89" s="632"/>
      <c r="S89" s="632"/>
    </row>
    <row r="90" spans="5:19" s="629" customFormat="1" x14ac:dyDescent="0.2">
      <c r="E90" s="623"/>
      <c r="F90" s="630"/>
      <c r="G90" s="566"/>
      <c r="H90" s="566"/>
      <c r="I90" s="578"/>
      <c r="J90" s="566"/>
      <c r="K90" s="566"/>
      <c r="L90" s="566"/>
      <c r="M90" s="566"/>
      <c r="P90" s="632"/>
      <c r="Q90" s="632"/>
      <c r="R90" s="632"/>
      <c r="S90" s="632"/>
    </row>
    <row r="91" spans="5:19" s="629" customFormat="1" x14ac:dyDescent="0.2">
      <c r="E91" s="623"/>
      <c r="F91" s="630"/>
      <c r="G91" s="566"/>
      <c r="H91" s="566"/>
      <c r="I91" s="578"/>
      <c r="J91" s="566"/>
      <c r="K91" s="566"/>
      <c r="L91" s="566"/>
      <c r="P91" s="632"/>
      <c r="Q91" s="632"/>
      <c r="R91" s="632"/>
      <c r="S91" s="632"/>
    </row>
    <row r="92" spans="5:19" s="629" customFormat="1" x14ac:dyDescent="0.2">
      <c r="E92" s="623"/>
      <c r="F92" s="630"/>
      <c r="G92" s="566"/>
      <c r="H92" s="566"/>
      <c r="I92" s="578"/>
      <c r="J92" s="566"/>
      <c r="K92" s="566"/>
      <c r="L92" s="566"/>
      <c r="P92" s="632"/>
      <c r="Q92" s="632"/>
      <c r="R92" s="632"/>
      <c r="S92" s="632"/>
    </row>
    <row r="93" spans="5:19" s="629" customFormat="1" x14ac:dyDescent="0.2">
      <c r="E93" s="623"/>
      <c r="F93" s="630"/>
      <c r="G93" s="566"/>
      <c r="H93" s="566"/>
      <c r="I93" s="578"/>
      <c r="J93" s="566"/>
      <c r="K93" s="566"/>
      <c r="L93" s="566"/>
      <c r="P93" s="632"/>
      <c r="Q93" s="632"/>
      <c r="R93" s="632"/>
      <c r="S93" s="632"/>
    </row>
    <row r="94" spans="5:19" s="629" customFormat="1" x14ac:dyDescent="0.2">
      <c r="E94" s="623"/>
      <c r="F94" s="630"/>
      <c r="G94" s="566"/>
      <c r="H94" s="566"/>
      <c r="I94" s="578"/>
      <c r="J94" s="566"/>
      <c r="K94" s="566"/>
      <c r="L94" s="566"/>
      <c r="P94" s="632"/>
      <c r="Q94" s="632"/>
      <c r="R94" s="632"/>
      <c r="S94" s="632"/>
    </row>
    <row r="95" spans="5:19" s="629" customFormat="1" x14ac:dyDescent="0.2">
      <c r="E95" s="623"/>
      <c r="F95" s="630"/>
      <c r="G95" s="566"/>
      <c r="H95" s="566"/>
      <c r="I95" s="578"/>
      <c r="J95" s="566"/>
      <c r="K95" s="566"/>
      <c r="L95" s="566"/>
      <c r="P95" s="632"/>
      <c r="Q95" s="632"/>
      <c r="R95" s="632"/>
      <c r="S95" s="632"/>
    </row>
    <row r="96" spans="5:19" s="629" customFormat="1" x14ac:dyDescent="0.2">
      <c r="E96" s="623"/>
      <c r="F96" s="630"/>
      <c r="G96" s="566"/>
      <c r="H96" s="566"/>
      <c r="I96" s="578"/>
      <c r="J96" s="566"/>
      <c r="K96" s="566"/>
      <c r="L96" s="566"/>
      <c r="P96" s="632"/>
      <c r="Q96" s="632"/>
      <c r="R96" s="632"/>
      <c r="S96" s="632"/>
    </row>
    <row r="97" spans="5:19" s="629" customFormat="1" x14ac:dyDescent="0.2">
      <c r="E97" s="623"/>
      <c r="F97" s="630"/>
      <c r="G97" s="566"/>
      <c r="H97" s="566"/>
      <c r="I97" s="578"/>
      <c r="J97" s="566"/>
      <c r="K97" s="566"/>
      <c r="L97" s="566"/>
      <c r="P97" s="632"/>
      <c r="Q97" s="632"/>
      <c r="R97" s="632"/>
      <c r="S97" s="632"/>
    </row>
    <row r="98" spans="5:19" s="629" customFormat="1" x14ac:dyDescent="0.2">
      <c r="E98" s="623"/>
      <c r="F98" s="630"/>
      <c r="G98" s="566"/>
      <c r="H98" s="566"/>
      <c r="I98" s="578"/>
      <c r="J98" s="566"/>
      <c r="K98" s="566"/>
      <c r="L98" s="566"/>
      <c r="P98" s="632"/>
      <c r="Q98" s="632"/>
      <c r="R98" s="632"/>
      <c r="S98" s="632"/>
    </row>
    <row r="99" spans="5:19" s="629" customFormat="1" x14ac:dyDescent="0.2">
      <c r="E99" s="623"/>
      <c r="F99" s="630"/>
      <c r="G99" s="566"/>
      <c r="H99" s="566"/>
      <c r="I99" s="578"/>
      <c r="J99" s="566"/>
      <c r="K99" s="566"/>
      <c r="L99" s="566"/>
      <c r="P99" s="632"/>
      <c r="Q99" s="632"/>
      <c r="R99" s="632"/>
      <c r="S99" s="632"/>
    </row>
    <row r="100" spans="5:19" s="629" customFormat="1" x14ac:dyDescent="0.2">
      <c r="E100" s="623"/>
      <c r="F100" s="630"/>
      <c r="G100" s="566"/>
      <c r="H100" s="566"/>
      <c r="I100" s="578"/>
      <c r="J100" s="566"/>
      <c r="K100" s="566"/>
      <c r="L100" s="566"/>
      <c r="P100" s="632"/>
      <c r="Q100" s="632"/>
      <c r="R100" s="632"/>
      <c r="S100" s="632"/>
    </row>
    <row r="101" spans="5:19" s="629" customFormat="1" x14ac:dyDescent="0.2">
      <c r="E101" s="623"/>
      <c r="F101" s="630"/>
      <c r="G101" s="566"/>
      <c r="H101" s="566"/>
      <c r="I101" s="578"/>
      <c r="J101" s="566"/>
      <c r="K101" s="566"/>
      <c r="L101" s="566"/>
      <c r="P101" s="632"/>
      <c r="Q101" s="632"/>
      <c r="R101" s="632"/>
      <c r="S101" s="632"/>
    </row>
    <row r="102" spans="5:19" s="629" customFormat="1" x14ac:dyDescent="0.2">
      <c r="E102" s="623"/>
      <c r="F102" s="630"/>
      <c r="G102" s="566"/>
      <c r="H102" s="566"/>
      <c r="I102" s="578"/>
      <c r="J102" s="566"/>
      <c r="K102" s="566"/>
      <c r="L102" s="566"/>
      <c r="P102" s="632"/>
      <c r="Q102" s="632"/>
      <c r="R102" s="632"/>
      <c r="S102" s="632"/>
    </row>
    <row r="103" spans="5:19" s="629" customFormat="1" x14ac:dyDescent="0.2">
      <c r="E103" s="623"/>
      <c r="F103" s="630"/>
      <c r="G103" s="566"/>
      <c r="H103" s="566"/>
      <c r="I103" s="578"/>
      <c r="J103" s="566"/>
      <c r="K103" s="566"/>
      <c r="L103" s="566"/>
      <c r="P103" s="632"/>
      <c r="Q103" s="632"/>
      <c r="R103" s="632"/>
      <c r="S103" s="632"/>
    </row>
    <row r="104" spans="5:19" s="629" customFormat="1" x14ac:dyDescent="0.2">
      <c r="E104" s="623"/>
      <c r="F104" s="630"/>
      <c r="G104" s="566"/>
      <c r="H104" s="566"/>
      <c r="I104" s="578"/>
      <c r="J104" s="566"/>
      <c r="K104" s="566"/>
      <c r="L104" s="566"/>
      <c r="P104" s="632"/>
      <c r="Q104" s="632"/>
      <c r="R104" s="632"/>
      <c r="S104" s="632"/>
    </row>
    <row r="105" spans="5:19" s="629" customFormat="1" x14ac:dyDescent="0.2">
      <c r="E105" s="623"/>
      <c r="F105" s="630"/>
      <c r="G105" s="566"/>
      <c r="H105" s="566"/>
      <c r="I105" s="578"/>
      <c r="J105" s="566"/>
      <c r="K105" s="566"/>
      <c r="L105" s="566"/>
      <c r="P105" s="632"/>
      <c r="Q105" s="632"/>
      <c r="R105" s="632"/>
      <c r="S105" s="632"/>
    </row>
    <row r="106" spans="5:19" s="629" customFormat="1" x14ac:dyDescent="0.2">
      <c r="E106" s="623"/>
      <c r="F106" s="630"/>
      <c r="G106" s="566"/>
      <c r="H106" s="566"/>
      <c r="I106" s="578"/>
      <c r="J106" s="566"/>
      <c r="K106" s="566"/>
      <c r="L106" s="566"/>
      <c r="P106" s="632"/>
      <c r="Q106" s="632"/>
      <c r="R106" s="632"/>
      <c r="S106" s="632"/>
    </row>
    <row r="107" spans="5:19" s="629" customFormat="1" x14ac:dyDescent="0.2">
      <c r="E107" s="623"/>
      <c r="F107" s="630"/>
      <c r="G107" s="566"/>
      <c r="H107" s="566"/>
      <c r="I107" s="578"/>
      <c r="J107" s="566"/>
      <c r="K107" s="566"/>
      <c r="L107" s="566"/>
      <c r="P107" s="632"/>
      <c r="Q107" s="632"/>
      <c r="R107" s="632"/>
      <c r="S107" s="632"/>
    </row>
    <row r="108" spans="5:19" s="629" customFormat="1" x14ac:dyDescent="0.2">
      <c r="E108" s="623"/>
      <c r="F108" s="630"/>
      <c r="G108" s="566"/>
      <c r="H108" s="566"/>
      <c r="I108" s="578"/>
      <c r="J108" s="566"/>
      <c r="K108" s="566"/>
      <c r="L108" s="566"/>
      <c r="P108" s="632"/>
      <c r="Q108" s="632"/>
      <c r="R108" s="632"/>
      <c r="S108" s="632"/>
    </row>
    <row r="109" spans="5:19" s="629" customFormat="1" x14ac:dyDescent="0.2">
      <c r="E109" s="623"/>
      <c r="F109" s="630"/>
      <c r="G109" s="566"/>
      <c r="H109" s="566"/>
      <c r="I109" s="578"/>
      <c r="J109" s="566"/>
      <c r="K109" s="566"/>
      <c r="L109" s="566"/>
      <c r="P109" s="632"/>
      <c r="Q109" s="632"/>
      <c r="R109" s="632"/>
      <c r="S109" s="632"/>
    </row>
    <row r="110" spans="5:19" s="629" customFormat="1" x14ac:dyDescent="0.2">
      <c r="E110" s="623"/>
      <c r="F110" s="630"/>
      <c r="G110" s="566"/>
      <c r="H110" s="566"/>
      <c r="I110" s="578"/>
      <c r="J110" s="566"/>
      <c r="K110" s="566"/>
      <c r="L110" s="566"/>
      <c r="P110" s="632"/>
      <c r="Q110" s="632"/>
      <c r="R110" s="632"/>
      <c r="S110" s="632"/>
    </row>
    <row r="111" spans="5:19" s="629" customFormat="1" x14ac:dyDescent="0.2">
      <c r="E111" s="623"/>
      <c r="F111" s="630"/>
      <c r="G111" s="566"/>
      <c r="H111" s="566"/>
      <c r="I111" s="578"/>
      <c r="J111" s="566"/>
      <c r="K111" s="566"/>
      <c r="L111" s="566"/>
      <c r="P111" s="632"/>
      <c r="Q111" s="632"/>
      <c r="R111" s="632"/>
      <c r="S111" s="632"/>
    </row>
    <row r="112" spans="5:19" s="629" customFormat="1" x14ac:dyDescent="0.2">
      <c r="E112" s="623"/>
      <c r="F112" s="630"/>
      <c r="G112" s="566"/>
      <c r="H112" s="566"/>
      <c r="I112" s="578"/>
      <c r="J112" s="566"/>
      <c r="K112" s="566"/>
      <c r="L112" s="566"/>
      <c r="P112" s="632"/>
      <c r="Q112" s="632"/>
      <c r="R112" s="632"/>
      <c r="S112" s="632"/>
    </row>
    <row r="113" spans="1:19" s="629" customFormat="1" x14ac:dyDescent="0.2">
      <c r="E113" s="623"/>
      <c r="F113" s="630"/>
      <c r="G113" s="566"/>
      <c r="H113" s="566"/>
      <c r="I113" s="578"/>
      <c r="J113" s="566"/>
      <c r="K113" s="566"/>
      <c r="L113" s="566"/>
      <c r="P113" s="632"/>
      <c r="Q113" s="632"/>
      <c r="R113" s="632"/>
      <c r="S113" s="632"/>
    </row>
    <row r="114" spans="1:19" s="629" customFormat="1" x14ac:dyDescent="0.2">
      <c r="E114" s="623"/>
      <c r="F114" s="630"/>
      <c r="G114" s="566"/>
      <c r="H114" s="566"/>
      <c r="I114" s="578"/>
      <c r="J114" s="566"/>
      <c r="K114" s="566"/>
      <c r="L114" s="566"/>
      <c r="P114" s="632"/>
      <c r="Q114" s="632"/>
      <c r="R114" s="632"/>
      <c r="S114" s="632"/>
    </row>
    <row r="115" spans="1:19" s="629" customFormat="1" x14ac:dyDescent="0.2">
      <c r="E115" s="623"/>
      <c r="F115" s="630"/>
      <c r="G115" s="566"/>
      <c r="H115" s="566"/>
      <c r="I115" s="578"/>
      <c r="J115" s="566"/>
      <c r="K115" s="566"/>
      <c r="L115" s="566"/>
      <c r="P115" s="632"/>
      <c r="Q115" s="632"/>
      <c r="R115" s="632"/>
      <c r="S115" s="632"/>
    </row>
    <row r="116" spans="1:19" s="629" customFormat="1" x14ac:dyDescent="0.2">
      <c r="E116" s="623"/>
      <c r="F116" s="630"/>
      <c r="G116" s="566"/>
      <c r="H116" s="566"/>
      <c r="I116" s="578"/>
      <c r="J116" s="566"/>
      <c r="K116" s="566"/>
      <c r="L116" s="566"/>
      <c r="P116" s="632"/>
      <c r="Q116" s="632"/>
      <c r="R116" s="632"/>
      <c r="S116" s="632"/>
    </row>
    <row r="117" spans="1:19" s="629" customFormat="1" x14ac:dyDescent="0.2">
      <c r="E117" s="623"/>
      <c r="F117" s="630"/>
      <c r="G117" s="566"/>
      <c r="H117" s="566"/>
      <c r="I117" s="578"/>
      <c r="J117" s="566"/>
      <c r="K117" s="566"/>
      <c r="L117" s="566"/>
      <c r="P117" s="632"/>
      <c r="Q117" s="632"/>
      <c r="R117" s="632"/>
      <c r="S117" s="632"/>
    </row>
    <row r="118" spans="1:19" s="629" customFormat="1" x14ac:dyDescent="0.2">
      <c r="E118" s="623"/>
      <c r="F118" s="630"/>
      <c r="G118" s="566"/>
      <c r="H118" s="566"/>
      <c r="I118" s="578"/>
      <c r="J118" s="566"/>
      <c r="K118" s="566"/>
      <c r="L118" s="566"/>
      <c r="P118" s="632"/>
      <c r="Q118" s="632"/>
      <c r="R118" s="632"/>
      <c r="S118" s="632"/>
    </row>
    <row r="119" spans="1:19" s="629" customFormat="1" x14ac:dyDescent="0.2">
      <c r="E119" s="623"/>
      <c r="F119" s="630"/>
      <c r="G119" s="566"/>
      <c r="H119" s="566"/>
      <c r="I119" s="578"/>
      <c r="J119" s="566"/>
      <c r="K119" s="566"/>
      <c r="L119" s="566"/>
      <c r="P119" s="632"/>
      <c r="Q119" s="632"/>
      <c r="R119" s="632"/>
      <c r="S119" s="632"/>
    </row>
    <row r="120" spans="1:19" s="629" customFormat="1" x14ac:dyDescent="0.2">
      <c r="E120" s="623"/>
      <c r="F120" s="630"/>
      <c r="G120" s="566"/>
      <c r="H120" s="566"/>
      <c r="I120" s="578"/>
      <c r="J120" s="566"/>
      <c r="K120" s="566"/>
      <c r="L120" s="566"/>
      <c r="P120" s="632"/>
      <c r="Q120" s="632"/>
      <c r="R120" s="632"/>
      <c r="S120" s="632"/>
    </row>
    <row r="121" spans="1:19" s="629" customFormat="1" x14ac:dyDescent="0.2">
      <c r="E121" s="623"/>
      <c r="F121" s="630"/>
      <c r="G121" s="566"/>
      <c r="H121" s="566"/>
      <c r="I121" s="578"/>
      <c r="J121" s="566"/>
      <c r="K121" s="566"/>
      <c r="L121" s="566"/>
      <c r="P121" s="632"/>
      <c r="Q121" s="632"/>
      <c r="R121" s="632"/>
      <c r="S121" s="632"/>
    </row>
    <row r="122" spans="1:19" s="629" customFormat="1" x14ac:dyDescent="0.2">
      <c r="E122" s="623"/>
      <c r="F122" s="630"/>
      <c r="G122" s="566"/>
      <c r="H122" s="566"/>
      <c r="I122" s="578"/>
      <c r="J122" s="566"/>
      <c r="K122" s="566"/>
      <c r="L122" s="566"/>
      <c r="P122" s="632"/>
      <c r="Q122" s="632"/>
      <c r="R122" s="632"/>
      <c r="S122" s="632"/>
    </row>
    <row r="123" spans="1:19" s="629" customFormat="1" x14ac:dyDescent="0.2">
      <c r="E123" s="623"/>
      <c r="F123" s="630"/>
      <c r="G123" s="566"/>
      <c r="H123" s="566"/>
      <c r="I123" s="578"/>
      <c r="J123" s="566"/>
      <c r="K123" s="566"/>
      <c r="L123" s="566"/>
      <c r="P123" s="632"/>
      <c r="Q123" s="632"/>
      <c r="R123" s="632"/>
      <c r="S123" s="632"/>
    </row>
    <row r="124" spans="1:19" s="629" customFormat="1" x14ac:dyDescent="0.2">
      <c r="E124" s="623"/>
      <c r="F124" s="630"/>
      <c r="G124" s="566"/>
      <c r="H124" s="566"/>
      <c r="I124" s="578"/>
      <c r="J124" s="566"/>
      <c r="K124" s="566"/>
      <c r="L124" s="566"/>
      <c r="P124" s="632"/>
      <c r="Q124" s="632"/>
      <c r="R124" s="632"/>
      <c r="S124" s="632"/>
    </row>
    <row r="125" spans="1:19" s="629" customFormat="1" x14ac:dyDescent="0.2">
      <c r="E125" s="623"/>
      <c r="F125" s="630"/>
      <c r="G125" s="566"/>
      <c r="H125" s="566"/>
      <c r="I125" s="578"/>
      <c r="J125" s="566"/>
      <c r="K125" s="566"/>
      <c r="L125" s="566"/>
      <c r="P125" s="632"/>
      <c r="Q125" s="632"/>
      <c r="R125" s="632"/>
      <c r="S125" s="632"/>
    </row>
    <row r="126" spans="1:19" s="629" customFormat="1" x14ac:dyDescent="0.2">
      <c r="E126" s="623"/>
      <c r="F126" s="630"/>
      <c r="G126" s="566"/>
      <c r="H126" s="566"/>
      <c r="I126" s="578"/>
      <c r="J126" s="566"/>
      <c r="K126" s="566"/>
      <c r="L126" s="566"/>
      <c r="P126" s="632"/>
      <c r="Q126" s="632"/>
      <c r="R126" s="632"/>
      <c r="S126" s="632"/>
    </row>
    <row r="127" spans="1:19" s="629" customFormat="1" x14ac:dyDescent="0.2">
      <c r="E127" s="623"/>
      <c r="F127" s="630"/>
      <c r="G127" s="566"/>
      <c r="H127" s="566"/>
      <c r="I127" s="578"/>
      <c r="J127" s="566"/>
      <c r="K127" s="566"/>
      <c r="L127" s="566"/>
      <c r="P127" s="632"/>
      <c r="Q127" s="632"/>
      <c r="R127" s="632"/>
      <c r="S127" s="632"/>
    </row>
    <row r="128" spans="1:19" x14ac:dyDescent="0.2">
      <c r="A128" s="629"/>
      <c r="B128" s="629"/>
      <c r="C128" s="629"/>
      <c r="D128" s="629"/>
      <c r="E128" s="623"/>
      <c r="F128" s="630"/>
      <c r="G128" s="566"/>
      <c r="H128" s="566"/>
      <c r="I128" s="578"/>
      <c r="J128" s="566"/>
      <c r="K128" s="566"/>
      <c r="L128" s="566"/>
      <c r="M128" s="629"/>
      <c r="N128" s="629"/>
      <c r="O128" s="629"/>
      <c r="P128" s="632"/>
      <c r="Q128" s="632"/>
    </row>
    <row r="129" spans="1:17" x14ac:dyDescent="0.2">
      <c r="A129" s="629"/>
      <c r="B129" s="629"/>
      <c r="C129" s="629"/>
      <c r="D129" s="629"/>
      <c r="E129" s="623"/>
      <c r="F129" s="630"/>
      <c r="G129" s="566"/>
      <c r="H129" s="566"/>
      <c r="I129" s="578"/>
      <c r="J129" s="566"/>
      <c r="K129" s="566"/>
      <c r="L129" s="566"/>
      <c r="M129" s="629"/>
      <c r="N129" s="629"/>
      <c r="O129" s="629"/>
      <c r="P129" s="632"/>
      <c r="Q129" s="632"/>
    </row>
    <row r="130" spans="1:17" x14ac:dyDescent="0.2">
      <c r="A130" s="629"/>
      <c r="B130" s="629"/>
      <c r="C130" s="629"/>
      <c r="D130" s="629"/>
      <c r="E130" s="623"/>
      <c r="F130" s="630"/>
      <c r="G130" s="566"/>
      <c r="H130" s="566"/>
      <c r="I130" s="578"/>
      <c r="J130" s="566"/>
      <c r="K130" s="566"/>
      <c r="L130" s="566"/>
      <c r="M130" s="629"/>
      <c r="N130" s="629"/>
      <c r="O130" s="629"/>
      <c r="P130" s="632"/>
      <c r="Q130" s="632"/>
    </row>
    <row r="131" spans="1:17" x14ac:dyDescent="0.2">
      <c r="A131" s="629"/>
      <c r="B131" s="629"/>
      <c r="C131" s="629"/>
      <c r="D131" s="629"/>
      <c r="E131" s="623"/>
      <c r="F131" s="630"/>
      <c r="G131" s="566"/>
      <c r="H131" s="566"/>
      <c r="I131" s="578"/>
      <c r="J131" s="566"/>
      <c r="K131" s="566"/>
      <c r="L131" s="566"/>
      <c r="M131" s="629"/>
      <c r="N131" s="629"/>
      <c r="O131" s="629"/>
      <c r="P131" s="632"/>
      <c r="Q131" s="632"/>
    </row>
    <row r="132" spans="1:17" x14ac:dyDescent="0.2">
      <c r="A132" s="629"/>
      <c r="B132" s="629"/>
      <c r="C132" s="629"/>
      <c r="D132" s="629"/>
      <c r="E132" s="623"/>
      <c r="F132" s="630"/>
      <c r="G132" s="566"/>
      <c r="H132" s="566"/>
      <c r="I132" s="578"/>
      <c r="J132" s="566"/>
      <c r="K132" s="566"/>
      <c r="L132" s="566"/>
      <c r="M132" s="629"/>
      <c r="N132" s="629"/>
      <c r="O132" s="629"/>
      <c r="P132" s="632"/>
      <c r="Q132" s="632"/>
    </row>
    <row r="133" spans="1:17" x14ac:dyDescent="0.2">
      <c r="A133" s="629"/>
      <c r="B133" s="629"/>
      <c r="C133" s="629"/>
      <c r="D133" s="629"/>
      <c r="E133" s="623"/>
      <c r="F133" s="630"/>
      <c r="G133" s="566"/>
      <c r="H133" s="566"/>
      <c r="I133" s="578"/>
      <c r="J133" s="566"/>
      <c r="K133" s="566"/>
      <c r="L133" s="566"/>
      <c r="M133" s="629"/>
    </row>
    <row r="134" spans="1:17" x14ac:dyDescent="0.2">
      <c r="A134" s="629"/>
      <c r="B134" s="629"/>
      <c r="C134" s="629"/>
      <c r="D134" s="629"/>
      <c r="E134" s="623"/>
      <c r="F134" s="630"/>
      <c r="G134" s="566"/>
      <c r="H134" s="566"/>
      <c r="I134" s="578"/>
      <c r="J134" s="566"/>
      <c r="K134" s="566"/>
      <c r="L134" s="566"/>
      <c r="M134" s="629"/>
    </row>
    <row r="135" spans="1:17" x14ac:dyDescent="0.2">
      <c r="A135" s="629"/>
      <c r="B135" s="629"/>
      <c r="C135" s="629"/>
      <c r="D135" s="629"/>
      <c r="E135" s="623"/>
      <c r="F135" s="630"/>
      <c r="G135" s="566"/>
      <c r="H135" s="566"/>
      <c r="I135" s="578"/>
      <c r="J135" s="566"/>
      <c r="K135" s="566"/>
      <c r="L135" s="566"/>
      <c r="M135" s="629"/>
    </row>
    <row r="136" spans="1:17" x14ac:dyDescent="0.2">
      <c r="A136" s="629"/>
      <c r="B136" s="629"/>
      <c r="C136" s="629"/>
      <c r="D136" s="629"/>
      <c r="E136" s="623"/>
      <c r="F136" s="630"/>
      <c r="G136" s="566"/>
      <c r="H136" s="566"/>
      <c r="I136" s="578"/>
      <c r="J136" s="566"/>
      <c r="K136" s="566"/>
      <c r="L136" s="566"/>
      <c r="M136" s="629"/>
    </row>
    <row r="137" spans="1:17" x14ac:dyDescent="0.2">
      <c r="J137" s="566"/>
      <c r="K137" s="566"/>
      <c r="L137" s="566"/>
      <c r="M137" s="629"/>
    </row>
    <row r="138" spans="1:17" x14ac:dyDescent="0.2">
      <c r="J138" s="566"/>
      <c r="K138" s="566"/>
      <c r="L138" s="566"/>
      <c r="M138" s="629"/>
    </row>
    <row r="139" spans="1:17" x14ac:dyDescent="0.2">
      <c r="J139" s="566"/>
      <c r="K139" s="566"/>
      <c r="L139" s="566"/>
      <c r="M139" s="629"/>
    </row>
    <row r="140" spans="1:17" x14ac:dyDescent="0.2">
      <c r="J140" s="566"/>
      <c r="K140" s="566"/>
      <c r="L140" s="566"/>
      <c r="M140" s="629"/>
    </row>
    <row r="141" spans="1:17" x14ac:dyDescent="0.2">
      <c r="J141" s="566"/>
      <c r="K141" s="566"/>
      <c r="L141" s="566"/>
      <c r="M141" s="629"/>
    </row>
    <row r="142" spans="1:17" x14ac:dyDescent="0.2">
      <c r="J142" s="566"/>
      <c r="K142" s="566"/>
      <c r="L142" s="566"/>
      <c r="M142" s="629"/>
    </row>
    <row r="143" spans="1:17" x14ac:dyDescent="0.2">
      <c r="K143" s="566"/>
      <c r="L143" s="566"/>
      <c r="M143" s="629"/>
    </row>
    <row r="144" spans="1:17" x14ac:dyDescent="0.2">
      <c r="K144" s="566"/>
      <c r="L144" s="566"/>
      <c r="M144" s="629"/>
    </row>
    <row r="145" spans="11:13" x14ac:dyDescent="0.2">
      <c r="K145" s="566"/>
      <c r="L145" s="566"/>
      <c r="M145" s="629"/>
    </row>
    <row r="146" spans="11:13" x14ac:dyDescent="0.2">
      <c r="L146" s="566"/>
      <c r="M146" s="629"/>
    </row>
    <row r="147" spans="11:13" x14ac:dyDescent="0.2">
      <c r="L147" s="566"/>
      <c r="M147" s="629"/>
    </row>
    <row r="148" spans="11:13" x14ac:dyDescent="0.2">
      <c r="L148" s="566"/>
    </row>
    <row r="149" spans="11:13" x14ac:dyDescent="0.2">
      <c r="L149" s="566"/>
    </row>
    <row r="150" spans="11:13" x14ac:dyDescent="0.2">
      <c r="L150" s="566"/>
    </row>
  </sheetData>
  <mergeCells count="5">
    <mergeCell ref="A7:L7"/>
    <mergeCell ref="M7:O7"/>
    <mergeCell ref="U7:V7"/>
    <mergeCell ref="D9:F9"/>
    <mergeCell ref="H9:K9"/>
  </mergeCells>
  <conditionalFormatting sqref="P39:P55 Z9:Z38">
    <cfRule type="aboveAverage" dxfId="5" priority="1" aboveAverage="0" stdDev="1"/>
    <cfRule type="aboveAverage" dxfId="4" priority="2" stdDev="1"/>
  </conditionalFormatting>
  <dataValidations count="1">
    <dataValidation type="list" allowBlank="1" showInputMessage="1" showErrorMessage="1" sqref="B5" xr:uid="{89AF74F7-0B1A-4B8D-A496-64AFAF631935}">
      <formula1>$AB$5:$AB$8</formula1>
    </dataValidation>
  </dataValidations>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21088-B09B-4ED0-8BBC-284B9BF734BE}">
  <dimension ref="A1:AJ195"/>
  <sheetViews>
    <sheetView topLeftCell="Q6" zoomScale="90" zoomScaleNormal="90" workbookViewId="0">
      <selection activeCell="Q38" sqref="A38:XFD38"/>
    </sheetView>
  </sheetViews>
  <sheetFormatPr defaultColWidth="7.88671875" defaultRowHeight="10.199999999999999" x14ac:dyDescent="0.2"/>
  <cols>
    <col min="1" max="1" width="15.6640625" style="566" bestFit="1" customWidth="1"/>
    <col min="2" max="2" width="9.5546875" style="566" bestFit="1" customWidth="1"/>
    <col min="3" max="3" width="5.109375" style="633" customWidth="1"/>
    <col min="4" max="4" width="8.44140625" style="633" bestFit="1" customWidth="1"/>
    <col min="5" max="6" width="8.6640625" style="633" bestFit="1" customWidth="1"/>
    <col min="7" max="7" width="14.88671875" style="629" bestFit="1" customWidth="1"/>
    <col min="8" max="8" width="10.33203125" style="632" customWidth="1"/>
    <col min="9" max="10" width="10.33203125" style="629" bestFit="1" customWidth="1"/>
    <col min="11" max="11" width="10.33203125" style="623" bestFit="1" customWidth="1"/>
    <col min="12" max="12" width="16.33203125" style="630" bestFit="1" customWidth="1"/>
    <col min="13" max="13" width="7.6640625" style="566" bestFit="1" customWidth="1"/>
    <col min="14" max="14" width="6.109375" style="566" bestFit="1" customWidth="1"/>
    <col min="15" max="15" width="9.33203125" style="578" customWidth="1"/>
    <col min="16" max="16" width="7.6640625" style="459" bestFit="1" customWidth="1"/>
    <col min="17" max="17" width="6.6640625" style="626" bestFit="1" customWidth="1"/>
    <col min="18" max="18" width="8.44140625" style="626" customWidth="1"/>
    <col min="19" max="19" width="9.44140625" style="626" customWidth="1"/>
    <col min="20" max="20" width="17.109375" style="626" bestFit="1" customWidth="1"/>
    <col min="21" max="21" width="11.33203125" style="626" bestFit="1" customWidth="1"/>
    <col min="22" max="22" width="17.33203125" style="626" bestFit="1" customWidth="1"/>
    <col min="23" max="23" width="11.6640625" style="626" bestFit="1" customWidth="1"/>
    <col min="24" max="24" width="17.33203125" style="626" bestFit="1" customWidth="1"/>
    <col min="25" max="25" width="11.6640625" style="626" bestFit="1" customWidth="1"/>
    <col min="26" max="26" width="10.44140625" style="626" bestFit="1" customWidth="1"/>
    <col min="27" max="27" width="14" style="626" bestFit="1" customWidth="1"/>
    <col min="28" max="28" width="15.6640625" style="626" bestFit="1" customWidth="1"/>
    <col min="29" max="29" width="13.6640625" style="626" bestFit="1" customWidth="1"/>
    <col min="30" max="30" width="17.33203125" style="566" bestFit="1" customWidth="1"/>
    <col min="31" max="31" width="21.109375" style="566" bestFit="1" customWidth="1"/>
    <col min="32" max="32" width="11.33203125" style="566" customWidth="1"/>
    <col min="33" max="37" width="5.33203125" style="566" customWidth="1"/>
    <col min="38" max="38" width="17" style="566" customWidth="1"/>
    <col min="39" max="16384" width="7.88671875" style="566"/>
  </cols>
  <sheetData>
    <row r="1" spans="1:34" s="402" customFormat="1" ht="13.2" x14ac:dyDescent="0.25">
      <c r="A1" s="394" t="s">
        <v>108</v>
      </c>
      <c r="B1" s="395" t="s">
        <v>163</v>
      </c>
      <c r="C1" s="396"/>
      <c r="D1" s="395"/>
      <c r="E1" s="397"/>
      <c r="F1" s="397"/>
      <c r="G1" s="398"/>
      <c r="H1" s="399" t="s">
        <v>109</v>
      </c>
      <c r="I1" s="400">
        <f>C69</f>
        <v>1688</v>
      </c>
      <c r="J1" s="401"/>
      <c r="K1" s="395"/>
      <c r="L1" s="395"/>
      <c r="N1" s="403"/>
      <c r="P1" s="404"/>
      <c r="Q1" s="404"/>
      <c r="R1" s="404"/>
      <c r="S1" s="404"/>
      <c r="T1" s="404"/>
      <c r="U1" s="404"/>
      <c r="V1" s="404"/>
      <c r="W1" s="404"/>
      <c r="X1" s="404"/>
      <c r="Y1" s="404"/>
      <c r="Z1" s="404"/>
      <c r="AA1" s="404"/>
      <c r="AB1" s="404"/>
      <c r="AC1" s="404"/>
    </row>
    <row r="2" spans="1:34" s="402" customFormat="1" ht="13.2" x14ac:dyDescent="0.25">
      <c r="A2" s="405" t="s">
        <v>110</v>
      </c>
      <c r="B2" s="395" t="s">
        <v>184</v>
      </c>
      <c r="C2" s="406"/>
      <c r="D2" s="395"/>
      <c r="E2" s="407"/>
      <c r="F2" s="407"/>
      <c r="G2" s="408"/>
      <c r="H2" s="409" t="s">
        <v>111</v>
      </c>
      <c r="I2" s="419">
        <f>AC38</f>
        <v>582</v>
      </c>
      <c r="J2" s="411"/>
      <c r="K2" s="395"/>
      <c r="L2" s="395"/>
      <c r="N2" s="412"/>
      <c r="P2" s="404"/>
      <c r="Q2" s="404"/>
      <c r="R2" s="404"/>
      <c r="S2" s="404"/>
      <c r="T2" s="404"/>
      <c r="U2" s="404"/>
      <c r="V2" s="404"/>
      <c r="W2" s="404"/>
      <c r="X2" s="404"/>
      <c r="Y2" s="404"/>
      <c r="Z2" s="404"/>
      <c r="AA2" s="404"/>
      <c r="AB2" s="404"/>
      <c r="AC2" s="404"/>
    </row>
    <row r="3" spans="1:34" s="416" customFormat="1" ht="11.25" customHeight="1" x14ac:dyDescent="0.25">
      <c r="A3" s="413" t="s">
        <v>112</v>
      </c>
      <c r="B3" s="665">
        <v>45408</v>
      </c>
      <c r="C3" s="406"/>
      <c r="D3" s="407"/>
      <c r="E3" s="407"/>
      <c r="F3" s="407"/>
      <c r="G3" s="408"/>
      <c r="H3" s="413" t="s">
        <v>113</v>
      </c>
      <c r="I3" s="415">
        <f>AF53/100</f>
        <v>5.82</v>
      </c>
      <c r="J3" s="411"/>
      <c r="K3" s="395"/>
      <c r="L3" s="395"/>
      <c r="N3" s="417"/>
      <c r="P3" s="418"/>
      <c r="Q3" s="418"/>
      <c r="R3" s="418"/>
      <c r="S3" s="418"/>
      <c r="T3" s="418"/>
      <c r="U3" s="418"/>
      <c r="V3" s="418"/>
      <c r="W3" s="418"/>
      <c r="X3" s="418"/>
      <c r="Y3" s="418"/>
      <c r="Z3" s="418"/>
      <c r="AA3" s="418"/>
      <c r="AB3" s="418"/>
      <c r="AC3" s="418"/>
    </row>
    <row r="4" spans="1:34" s="402" customFormat="1" ht="13.2" x14ac:dyDescent="0.25">
      <c r="A4" s="413" t="s">
        <v>114</v>
      </c>
      <c r="B4" s="414" t="s">
        <v>107</v>
      </c>
      <c r="C4" s="406"/>
      <c r="D4" s="407"/>
      <c r="E4" s="407"/>
      <c r="F4" s="407"/>
      <c r="G4" s="408"/>
      <c r="H4" s="413" t="s">
        <v>115</v>
      </c>
      <c r="I4" s="419">
        <f>S38</f>
        <v>0.447128837986706</v>
      </c>
      <c r="J4" s="411"/>
      <c r="K4" s="395"/>
      <c r="L4" s="395"/>
      <c r="M4" s="403"/>
      <c r="N4" s="403"/>
      <c r="P4" s="404"/>
      <c r="Q4" s="404"/>
      <c r="R4" s="404"/>
      <c r="S4" s="404"/>
      <c r="T4" s="404"/>
      <c r="U4" s="404"/>
      <c r="V4" s="404"/>
      <c r="W4" s="404"/>
      <c r="X4" s="404"/>
      <c r="Y4" s="404"/>
      <c r="Z4" s="404"/>
      <c r="AA4" s="404"/>
      <c r="AB4" s="404"/>
      <c r="AC4" s="404"/>
    </row>
    <row r="5" spans="1:34" s="423" customFormat="1" ht="13.2" x14ac:dyDescent="0.25">
      <c r="A5" s="405" t="s">
        <v>116</v>
      </c>
      <c r="B5" s="420" t="s">
        <v>117</v>
      </c>
      <c r="C5" s="406"/>
      <c r="D5" s="407"/>
      <c r="E5" s="407"/>
      <c r="F5" s="407"/>
      <c r="G5" s="408"/>
      <c r="H5" s="413"/>
      <c r="I5" s="421"/>
      <c r="J5" s="411"/>
      <c r="K5" s="395"/>
      <c r="L5" s="395"/>
      <c r="M5" s="422"/>
      <c r="N5" s="422"/>
      <c r="P5" s="424"/>
      <c r="Q5" s="424"/>
      <c r="R5" s="424"/>
      <c r="S5" s="424"/>
      <c r="T5" s="424"/>
      <c r="U5" s="424"/>
      <c r="V5" s="424"/>
      <c r="W5" s="424"/>
      <c r="X5" s="424"/>
      <c r="Y5" s="424"/>
      <c r="Z5" s="424"/>
      <c r="AA5" s="424"/>
      <c r="AB5" s="424"/>
      <c r="AC5" s="424"/>
    </row>
    <row r="6" spans="1:34" s="422" customFormat="1" ht="13.8" thickBot="1" x14ac:dyDescent="0.25">
      <c r="A6" s="425"/>
      <c r="B6" s="426"/>
      <c r="C6" s="427"/>
      <c r="D6" s="428"/>
      <c r="E6" s="428"/>
      <c r="F6" s="428"/>
      <c r="G6" s="429"/>
      <c r="H6" s="430"/>
      <c r="I6" s="431"/>
      <c r="J6" s="429"/>
      <c r="K6" s="426"/>
      <c r="L6" s="426"/>
      <c r="M6" s="432"/>
      <c r="P6" s="433"/>
      <c r="Q6" s="433"/>
      <c r="R6" s="433"/>
      <c r="S6" s="433"/>
      <c r="T6" s="433"/>
      <c r="U6" s="433"/>
      <c r="V6" s="433"/>
      <c r="W6" s="433"/>
      <c r="X6" s="433"/>
      <c r="Y6" s="433"/>
      <c r="Z6" s="433"/>
      <c r="AA6" s="433"/>
      <c r="AB6" s="433"/>
      <c r="AC6" s="433"/>
    </row>
    <row r="7" spans="1:34" s="423" customFormat="1" ht="13.2" customHeight="1" x14ac:dyDescent="0.2">
      <c r="A7" s="888" t="s">
        <v>118</v>
      </c>
      <c r="B7" s="889"/>
      <c r="C7" s="889"/>
      <c r="D7" s="889"/>
      <c r="E7" s="889"/>
      <c r="F7" s="889"/>
      <c r="G7" s="889"/>
      <c r="H7" s="889"/>
      <c r="I7" s="889"/>
      <c r="J7" s="889"/>
      <c r="K7" s="889"/>
      <c r="L7" s="901"/>
      <c r="M7" s="642"/>
      <c r="N7" s="643" t="s">
        <v>119</v>
      </c>
      <c r="O7" s="644"/>
      <c r="P7" s="645" t="s">
        <v>120</v>
      </c>
      <c r="Q7" s="435"/>
      <c r="R7" s="899" t="s">
        <v>121</v>
      </c>
      <c r="S7" s="902"/>
      <c r="T7" s="899" t="s">
        <v>175</v>
      </c>
      <c r="U7" s="902"/>
      <c r="V7" s="902"/>
      <c r="W7" s="902"/>
      <c r="X7" s="902"/>
      <c r="Y7" s="902"/>
      <c r="Z7" s="902"/>
      <c r="AA7" s="902"/>
      <c r="AB7" s="899" t="s">
        <v>176</v>
      </c>
      <c r="AC7" s="900"/>
      <c r="AD7" s="646"/>
      <c r="AE7" s="886" t="s">
        <v>122</v>
      </c>
      <c r="AF7" s="887"/>
      <c r="AG7" s="422"/>
      <c r="AH7" s="422"/>
    </row>
    <row r="8" spans="1:34" s="453" customFormat="1" ht="11.25" customHeight="1" x14ac:dyDescent="0.2">
      <c r="A8" s="437"/>
      <c r="B8" s="432"/>
      <c r="C8" s="438"/>
      <c r="D8" s="440"/>
      <c r="E8" s="440"/>
      <c r="F8" s="440"/>
      <c r="G8" s="442"/>
      <c r="H8" s="443"/>
      <c r="I8" s="443"/>
      <c r="J8" s="443"/>
      <c r="K8" s="443"/>
      <c r="L8" s="647"/>
      <c r="M8" s="443"/>
      <c r="N8" s="446"/>
      <c r="O8" s="438"/>
      <c r="P8" s="648"/>
      <c r="Q8" s="449"/>
      <c r="R8" s="448"/>
      <c r="S8" s="448"/>
      <c r="T8" s="648"/>
      <c r="U8" s="448"/>
      <c r="V8" s="448"/>
      <c r="W8" s="448"/>
      <c r="X8" s="448"/>
      <c r="Y8" s="448"/>
      <c r="Z8" s="448"/>
      <c r="AA8" s="448"/>
      <c r="AB8" s="648"/>
      <c r="AC8" s="449"/>
      <c r="AD8" s="649"/>
      <c r="AE8" s="451"/>
      <c r="AF8" s="451"/>
      <c r="AG8" s="452"/>
    </row>
    <row r="9" spans="1:34" s="464" customFormat="1" x14ac:dyDescent="0.2">
      <c r="A9" s="454"/>
      <c r="B9" s="422"/>
      <c r="C9" s="455"/>
      <c r="D9" s="893" t="s">
        <v>123</v>
      </c>
      <c r="E9" s="894"/>
      <c r="F9" s="895"/>
      <c r="G9" s="456"/>
      <c r="H9" s="896" t="s">
        <v>124</v>
      </c>
      <c r="I9" s="897"/>
      <c r="J9" s="897"/>
      <c r="K9" s="898"/>
      <c r="L9" s="457"/>
      <c r="M9" s="458"/>
      <c r="N9" s="446" t="s">
        <v>125</v>
      </c>
      <c r="O9" s="447"/>
      <c r="P9" s="448"/>
      <c r="Q9" s="449"/>
      <c r="R9" s="459"/>
      <c r="S9" s="459"/>
      <c r="T9" s="650"/>
      <c r="U9" s="459"/>
      <c r="V9" s="459"/>
      <c r="W9" s="459"/>
      <c r="X9" s="459"/>
      <c r="Y9" s="459"/>
      <c r="Z9" s="459"/>
      <c r="AA9" s="459"/>
      <c r="AB9" s="650"/>
      <c r="AC9" s="651"/>
      <c r="AD9" s="649"/>
      <c r="AE9" s="460"/>
      <c r="AF9" s="461"/>
      <c r="AG9" s="462"/>
      <c r="AH9" s="463"/>
    </row>
    <row r="10" spans="1:34" s="464" customFormat="1" x14ac:dyDescent="0.2">
      <c r="A10" s="465" t="s">
        <v>126</v>
      </c>
      <c r="B10" s="466" t="s">
        <v>51</v>
      </c>
      <c r="C10" s="467" t="s">
        <v>127</v>
      </c>
      <c r="D10" s="468" t="s">
        <v>128</v>
      </c>
      <c r="E10" s="469" t="s">
        <v>129</v>
      </c>
      <c r="F10" s="470" t="s">
        <v>130</v>
      </c>
      <c r="G10" s="456" t="s">
        <v>131</v>
      </c>
      <c r="H10" s="471" t="s">
        <v>132</v>
      </c>
      <c r="I10" s="471" t="s">
        <v>133</v>
      </c>
      <c r="J10" s="471" t="s">
        <v>134</v>
      </c>
      <c r="K10" s="471" t="s">
        <v>135</v>
      </c>
      <c r="L10" s="457" t="s">
        <v>136</v>
      </c>
      <c r="M10" s="472" t="s">
        <v>137</v>
      </c>
      <c r="N10" s="473" t="s">
        <v>138</v>
      </c>
      <c r="O10" s="474" t="s">
        <v>139</v>
      </c>
      <c r="P10" s="475" t="s">
        <v>140</v>
      </c>
      <c r="Q10" s="449" t="s">
        <v>141</v>
      </c>
      <c r="R10" s="475" t="s">
        <v>141</v>
      </c>
      <c r="S10" s="475" t="s">
        <v>140</v>
      </c>
      <c r="T10" s="648" t="s">
        <v>186</v>
      </c>
      <c r="U10" s="448" t="s">
        <v>187</v>
      </c>
      <c r="V10" s="448" t="s">
        <v>188</v>
      </c>
      <c r="W10" s="448" t="s">
        <v>189</v>
      </c>
      <c r="X10" s="448" t="s">
        <v>190</v>
      </c>
      <c r="Y10" s="448" t="s">
        <v>191</v>
      </c>
      <c r="Z10" s="448" t="s">
        <v>178</v>
      </c>
      <c r="AA10" s="448" t="s">
        <v>179</v>
      </c>
      <c r="AB10" s="648" t="s">
        <v>177</v>
      </c>
      <c r="AC10" s="449" t="s">
        <v>180</v>
      </c>
      <c r="AD10" s="476" t="s">
        <v>142</v>
      </c>
      <c r="AE10" s="460" t="s">
        <v>143</v>
      </c>
      <c r="AF10" s="460" t="s">
        <v>144</v>
      </c>
      <c r="AG10" s="477"/>
    </row>
    <row r="11" spans="1:34" s="464" customFormat="1" ht="12" thickBot="1" x14ac:dyDescent="0.25">
      <c r="A11" s="652" t="s">
        <v>145</v>
      </c>
      <c r="B11" s="653" t="s">
        <v>145</v>
      </c>
      <c r="C11" s="654" t="s">
        <v>146</v>
      </c>
      <c r="D11" s="481" t="s">
        <v>147</v>
      </c>
      <c r="E11" s="482" t="s">
        <v>147</v>
      </c>
      <c r="F11" s="483" t="s">
        <v>147</v>
      </c>
      <c r="G11" s="484" t="s">
        <v>147</v>
      </c>
      <c r="H11" s="485" t="s">
        <v>147</v>
      </c>
      <c r="I11" s="485" t="s">
        <v>147</v>
      </c>
      <c r="J11" s="485" t="s">
        <v>147</v>
      </c>
      <c r="K11" s="485" t="s">
        <v>147</v>
      </c>
      <c r="L11" s="655" t="s">
        <v>147</v>
      </c>
      <c r="M11" s="656" t="s">
        <v>181</v>
      </c>
      <c r="N11" s="488" t="s">
        <v>147</v>
      </c>
      <c r="O11" s="480" t="s">
        <v>147</v>
      </c>
      <c r="P11" s="657" t="s">
        <v>151</v>
      </c>
      <c r="Q11" s="491" t="s">
        <v>36</v>
      </c>
      <c r="R11" s="492" t="s">
        <v>36</v>
      </c>
      <c r="S11" s="492" t="s">
        <v>151</v>
      </c>
      <c r="T11" s="657" t="s">
        <v>147</v>
      </c>
      <c r="U11" s="492" t="s">
        <v>147</v>
      </c>
      <c r="V11" s="492" t="s">
        <v>147</v>
      </c>
      <c r="W11" s="492" t="s">
        <v>147</v>
      </c>
      <c r="X11" s="492" t="s">
        <v>147</v>
      </c>
      <c r="Y11" s="492" t="s">
        <v>147</v>
      </c>
      <c r="Z11" s="492" t="s">
        <v>182</v>
      </c>
      <c r="AA11" s="492" t="s">
        <v>183</v>
      </c>
      <c r="AB11" s="657" t="s">
        <v>147</v>
      </c>
      <c r="AC11" s="491" t="s">
        <v>147</v>
      </c>
      <c r="AD11" s="658"/>
      <c r="AE11" s="494"/>
      <c r="AF11" s="495" t="s">
        <v>147</v>
      </c>
      <c r="AG11" s="477"/>
    </row>
    <row r="12" spans="1:34" s="464" customFormat="1" x14ac:dyDescent="0.3">
      <c r="A12" s="496" t="s">
        <v>152</v>
      </c>
      <c r="B12" s="497"/>
      <c r="C12" s="498">
        <v>0</v>
      </c>
      <c r="D12" s="499" t="s">
        <v>153</v>
      </c>
      <c r="E12" s="500" t="s">
        <v>153</v>
      </c>
      <c r="F12" s="501" t="s">
        <v>153</v>
      </c>
      <c r="G12" s="502" t="s">
        <v>153</v>
      </c>
      <c r="H12" s="500" t="s">
        <v>153</v>
      </c>
      <c r="I12" s="500" t="s">
        <v>153</v>
      </c>
      <c r="J12" s="500" t="s">
        <v>153</v>
      </c>
      <c r="K12" s="500" t="s">
        <v>153</v>
      </c>
      <c r="L12" s="503" t="s">
        <v>153</v>
      </c>
      <c r="M12" s="498"/>
      <c r="N12" s="659"/>
      <c r="O12" s="660"/>
      <c r="P12" s="507"/>
      <c r="Q12" s="508"/>
      <c r="R12" s="509"/>
      <c r="S12" s="510"/>
      <c r="T12" s="661"/>
      <c r="U12" s="662"/>
      <c r="V12" s="510"/>
      <c r="W12" s="662"/>
      <c r="X12" s="510"/>
      <c r="Y12" s="510"/>
      <c r="Z12" s="510"/>
      <c r="AA12" s="510"/>
      <c r="AB12" s="662"/>
      <c r="AC12" s="662"/>
      <c r="AD12" s="511"/>
      <c r="AE12" s="512" t="s">
        <v>172</v>
      </c>
      <c r="AF12" s="513">
        <f>AC38</f>
        <v>582</v>
      </c>
      <c r="AG12" s="514"/>
    </row>
    <row r="13" spans="1:34" s="464" customFormat="1" x14ac:dyDescent="0.3">
      <c r="A13" s="515">
        <v>240</v>
      </c>
      <c r="B13" s="516">
        <v>0</v>
      </c>
      <c r="C13" s="504">
        <v>10</v>
      </c>
      <c r="D13" s="517" t="s">
        <v>153</v>
      </c>
      <c r="E13" s="518" t="s">
        <v>153</v>
      </c>
      <c r="F13" s="519" t="s">
        <v>153</v>
      </c>
      <c r="G13" s="520" t="s">
        <v>153</v>
      </c>
      <c r="H13" s="518" t="s">
        <v>153</v>
      </c>
      <c r="I13" s="518" t="s">
        <v>153</v>
      </c>
      <c r="J13" s="518" t="s">
        <v>153</v>
      </c>
      <c r="K13" s="518" t="s">
        <v>153</v>
      </c>
      <c r="L13" s="521" t="s">
        <v>153</v>
      </c>
      <c r="M13" s="504">
        <v>966</v>
      </c>
      <c r="N13" s="522">
        <f>C12</f>
        <v>0</v>
      </c>
      <c r="O13" s="523">
        <f t="shared" ref="O13:O18" si="0">(C13+C14-10)/2</f>
        <v>10</v>
      </c>
      <c r="P13" s="524">
        <f>(A13-B13)/M13</f>
        <v>0.2484472049689441</v>
      </c>
      <c r="Q13" s="525">
        <f>(P13*(O13-N13))/100</f>
        <v>2.4844720496894408E-2</v>
      </c>
      <c r="R13" s="526">
        <f>SUM(Q$13:Q13)</f>
        <v>2.4844720496894408E-2</v>
      </c>
      <c r="S13" s="527">
        <f>R13/O13*100</f>
        <v>0.24844720496894407</v>
      </c>
      <c r="T13" s="663"/>
      <c r="U13" s="527"/>
      <c r="V13" s="527"/>
      <c r="W13" s="527"/>
      <c r="X13" s="527"/>
      <c r="Y13" s="527"/>
      <c r="Z13" s="527">
        <f>(U13+W13+Y13)*98.5</f>
        <v>0</v>
      </c>
      <c r="AA13" s="527">
        <f>(A13-(Z13/0.9))/M13</f>
        <v>0.2484472049689441</v>
      </c>
      <c r="AB13" s="527"/>
      <c r="AC13" s="527"/>
      <c r="AD13" s="528"/>
      <c r="AE13" s="529" t="s">
        <v>154</v>
      </c>
      <c r="AF13" s="530"/>
      <c r="AG13" s="477"/>
    </row>
    <row r="14" spans="1:34" s="464" customFormat="1" x14ac:dyDescent="0.3">
      <c r="A14" s="515">
        <v>355</v>
      </c>
      <c r="B14" s="516">
        <v>0</v>
      </c>
      <c r="C14" s="504">
        <v>20</v>
      </c>
      <c r="D14" s="517" t="s">
        <v>153</v>
      </c>
      <c r="E14" s="518" t="s">
        <v>153</v>
      </c>
      <c r="F14" s="519" t="s">
        <v>153</v>
      </c>
      <c r="G14" s="520" t="s">
        <v>153</v>
      </c>
      <c r="H14" s="518" t="s">
        <v>153</v>
      </c>
      <c r="I14" s="518" t="s">
        <v>153</v>
      </c>
      <c r="J14" s="518" t="s">
        <v>153</v>
      </c>
      <c r="K14" s="518" t="s">
        <v>153</v>
      </c>
      <c r="L14" s="521" t="s">
        <v>153</v>
      </c>
      <c r="M14" s="504">
        <v>966</v>
      </c>
      <c r="N14" s="522">
        <f t="shared" ref="N14:N19" si="1">(C13+C14-10)/2</f>
        <v>10</v>
      </c>
      <c r="O14" s="523">
        <f t="shared" si="0"/>
        <v>20</v>
      </c>
      <c r="P14" s="524">
        <f t="shared" ref="P14:P19" si="2">(A14-B14)/M14</f>
        <v>0.36749482401656314</v>
      </c>
      <c r="Q14" s="525">
        <f t="shared" ref="Q14:Q19" si="3">(P14*(O14-N14))/100</f>
        <v>3.6749482401656312E-2</v>
      </c>
      <c r="R14" s="526">
        <f>SUM(Q$13:Q14)</f>
        <v>6.1594202898550721E-2</v>
      </c>
      <c r="S14" s="527">
        <f t="shared" ref="S14:S19" si="4">R14/O14*100</f>
        <v>0.3079710144927536</v>
      </c>
      <c r="T14" s="663"/>
      <c r="U14" s="527"/>
      <c r="V14" s="527"/>
      <c r="W14" s="527"/>
      <c r="X14" s="527"/>
      <c r="Y14" s="527"/>
      <c r="Z14" s="527">
        <f t="shared" ref="Z14:Z19" si="5">(U14+W14+Y14)*98.5</f>
        <v>0</v>
      </c>
      <c r="AA14" s="527">
        <f t="shared" ref="AA14:AA19" si="6">(A14-(Z14/0.9))/M14</f>
        <v>0.36749482401656314</v>
      </c>
      <c r="AB14" s="527"/>
      <c r="AC14" s="527"/>
      <c r="AD14" s="528"/>
      <c r="AE14" s="529" t="s">
        <v>154</v>
      </c>
      <c r="AF14" s="530"/>
      <c r="AG14" s="477"/>
    </row>
    <row r="15" spans="1:34" s="464" customFormat="1" x14ac:dyDescent="0.3">
      <c r="A15" s="515">
        <v>320</v>
      </c>
      <c r="B15" s="516">
        <v>0</v>
      </c>
      <c r="C15" s="504">
        <v>30</v>
      </c>
      <c r="D15" s="517" t="s">
        <v>153</v>
      </c>
      <c r="E15" s="518" t="s">
        <v>153</v>
      </c>
      <c r="F15" s="519" t="s">
        <v>153</v>
      </c>
      <c r="G15" s="520" t="s">
        <v>153</v>
      </c>
      <c r="H15" s="518" t="s">
        <v>153</v>
      </c>
      <c r="I15" s="518" t="s">
        <v>153</v>
      </c>
      <c r="J15" s="518" t="s">
        <v>153</v>
      </c>
      <c r="K15" s="518" t="s">
        <v>153</v>
      </c>
      <c r="L15" s="521" t="s">
        <v>153</v>
      </c>
      <c r="M15" s="504">
        <v>966</v>
      </c>
      <c r="N15" s="522">
        <f t="shared" si="1"/>
        <v>20</v>
      </c>
      <c r="O15" s="523">
        <f t="shared" si="0"/>
        <v>30</v>
      </c>
      <c r="P15" s="524">
        <f t="shared" si="2"/>
        <v>0.33126293995859213</v>
      </c>
      <c r="Q15" s="525">
        <f t="shared" si="3"/>
        <v>3.3126293995859209E-2</v>
      </c>
      <c r="R15" s="526">
        <f>SUM(Q$13:Q15)</f>
        <v>9.4720496894409922E-2</v>
      </c>
      <c r="S15" s="527">
        <f t="shared" si="4"/>
        <v>0.31573498964803309</v>
      </c>
      <c r="T15" s="663"/>
      <c r="U15" s="527"/>
      <c r="V15" s="527"/>
      <c r="W15" s="527"/>
      <c r="X15" s="527"/>
      <c r="Y15" s="527"/>
      <c r="Z15" s="527">
        <f t="shared" si="5"/>
        <v>0</v>
      </c>
      <c r="AA15" s="527">
        <f t="shared" si="6"/>
        <v>0.33126293995859213</v>
      </c>
      <c r="AB15" s="527"/>
      <c r="AC15" s="527"/>
      <c r="AD15" s="528"/>
      <c r="AE15" s="529" t="s">
        <v>154</v>
      </c>
      <c r="AF15" s="531"/>
      <c r="AG15" s="477"/>
    </row>
    <row r="16" spans="1:34" s="464" customFormat="1" x14ac:dyDescent="0.3">
      <c r="A16" s="532">
        <v>340</v>
      </c>
      <c r="B16" s="516">
        <v>0</v>
      </c>
      <c r="C16" s="504">
        <v>40</v>
      </c>
      <c r="D16" s="517" t="s">
        <v>153</v>
      </c>
      <c r="E16" s="518" t="s">
        <v>153</v>
      </c>
      <c r="F16" s="519" t="s">
        <v>153</v>
      </c>
      <c r="G16" s="520" t="s">
        <v>153</v>
      </c>
      <c r="H16" s="518" t="s">
        <v>153</v>
      </c>
      <c r="I16" s="518" t="s">
        <v>153</v>
      </c>
      <c r="J16" s="518" t="s">
        <v>153</v>
      </c>
      <c r="K16" s="518" t="s">
        <v>153</v>
      </c>
      <c r="L16" s="521" t="s">
        <v>153</v>
      </c>
      <c r="M16" s="504">
        <v>966</v>
      </c>
      <c r="N16" s="522">
        <f t="shared" si="1"/>
        <v>30</v>
      </c>
      <c r="O16" s="523">
        <f t="shared" si="0"/>
        <v>40</v>
      </c>
      <c r="P16" s="524">
        <f t="shared" si="2"/>
        <v>0.35196687370600416</v>
      </c>
      <c r="Q16" s="525">
        <f t="shared" si="3"/>
        <v>3.5196687370600416E-2</v>
      </c>
      <c r="R16" s="526">
        <f>SUM(Q$13:Q16)</f>
        <v>0.12991718426501034</v>
      </c>
      <c r="S16" s="527">
        <f t="shared" si="4"/>
        <v>0.32479296066252583</v>
      </c>
      <c r="T16" s="663"/>
      <c r="U16" s="527"/>
      <c r="V16" s="527"/>
      <c r="W16" s="527"/>
      <c r="X16" s="527"/>
      <c r="Y16" s="527"/>
      <c r="Z16" s="527">
        <f t="shared" si="5"/>
        <v>0</v>
      </c>
      <c r="AA16" s="527">
        <f t="shared" si="6"/>
        <v>0.35196687370600416</v>
      </c>
      <c r="AB16" s="527"/>
      <c r="AC16" s="527"/>
      <c r="AD16" s="528"/>
      <c r="AE16" s="529" t="s">
        <v>154</v>
      </c>
      <c r="AF16" s="530"/>
      <c r="AG16" s="477"/>
    </row>
    <row r="17" spans="1:35" s="464" customFormat="1" x14ac:dyDescent="0.3">
      <c r="A17" s="532">
        <v>340</v>
      </c>
      <c r="B17" s="516">
        <v>0</v>
      </c>
      <c r="C17" s="504">
        <v>50</v>
      </c>
      <c r="D17" s="517" t="s">
        <v>153</v>
      </c>
      <c r="E17" s="518" t="s">
        <v>153</v>
      </c>
      <c r="F17" s="519" t="s">
        <v>153</v>
      </c>
      <c r="G17" s="520" t="s">
        <v>153</v>
      </c>
      <c r="H17" s="518" t="s">
        <v>153</v>
      </c>
      <c r="I17" s="518" t="s">
        <v>153</v>
      </c>
      <c r="J17" s="518" t="s">
        <v>153</v>
      </c>
      <c r="K17" s="518" t="s">
        <v>153</v>
      </c>
      <c r="L17" s="521" t="s">
        <v>153</v>
      </c>
      <c r="M17" s="504">
        <v>966</v>
      </c>
      <c r="N17" s="522">
        <f t="shared" si="1"/>
        <v>40</v>
      </c>
      <c r="O17" s="523">
        <f t="shared" si="0"/>
        <v>50</v>
      </c>
      <c r="P17" s="524">
        <f t="shared" si="2"/>
        <v>0.35196687370600416</v>
      </c>
      <c r="Q17" s="525">
        <f t="shared" si="3"/>
        <v>3.5196687370600416E-2</v>
      </c>
      <c r="R17" s="526">
        <f>SUM(Q$13:Q17)</f>
        <v>0.16511387163561075</v>
      </c>
      <c r="S17" s="527">
        <f t="shared" si="4"/>
        <v>0.33022774327122151</v>
      </c>
      <c r="T17" s="663"/>
      <c r="U17" s="527"/>
      <c r="V17" s="527"/>
      <c r="W17" s="527"/>
      <c r="X17" s="527"/>
      <c r="Y17" s="527"/>
      <c r="Z17" s="527">
        <f t="shared" si="5"/>
        <v>0</v>
      </c>
      <c r="AA17" s="527">
        <f t="shared" si="6"/>
        <v>0.35196687370600416</v>
      </c>
      <c r="AB17" s="527"/>
      <c r="AC17" s="527"/>
      <c r="AD17" s="528" t="s">
        <v>155</v>
      </c>
      <c r="AE17" s="529" t="s">
        <v>154</v>
      </c>
      <c r="AF17" s="530"/>
      <c r="AG17" s="462"/>
    </row>
    <row r="18" spans="1:35" s="464" customFormat="1" x14ac:dyDescent="0.3">
      <c r="A18" s="532">
        <v>375</v>
      </c>
      <c r="B18" s="516">
        <v>0</v>
      </c>
      <c r="C18" s="504">
        <v>60</v>
      </c>
      <c r="D18" s="517" t="s">
        <v>153</v>
      </c>
      <c r="E18" s="518" t="s">
        <v>153</v>
      </c>
      <c r="F18" s="519" t="s">
        <v>153</v>
      </c>
      <c r="G18" s="520" t="s">
        <v>153</v>
      </c>
      <c r="H18" s="518" t="s">
        <v>153</v>
      </c>
      <c r="I18" s="518" t="s">
        <v>153</v>
      </c>
      <c r="J18" s="518" t="s">
        <v>153</v>
      </c>
      <c r="K18" s="518" t="s">
        <v>153</v>
      </c>
      <c r="L18" s="521" t="s">
        <v>153</v>
      </c>
      <c r="M18" s="504">
        <v>966</v>
      </c>
      <c r="N18" s="522">
        <f t="shared" si="1"/>
        <v>50</v>
      </c>
      <c r="O18" s="523">
        <f t="shared" si="0"/>
        <v>60</v>
      </c>
      <c r="P18" s="524">
        <f t="shared" si="2"/>
        <v>0.38819875776397517</v>
      </c>
      <c r="Q18" s="525">
        <f t="shared" si="3"/>
        <v>3.8819875776397519E-2</v>
      </c>
      <c r="R18" s="526">
        <f>SUM(Q$13:Q18)</f>
        <v>0.20393374741200826</v>
      </c>
      <c r="S18" s="527">
        <f t="shared" si="4"/>
        <v>0.33988957902001377</v>
      </c>
      <c r="T18" s="663"/>
      <c r="U18" s="527"/>
      <c r="V18" s="527"/>
      <c r="W18" s="527"/>
      <c r="X18" s="527"/>
      <c r="Y18" s="527"/>
      <c r="Z18" s="527">
        <f t="shared" si="5"/>
        <v>0</v>
      </c>
      <c r="AA18" s="527">
        <f t="shared" si="6"/>
        <v>0.38819875776397517</v>
      </c>
      <c r="AB18" s="527"/>
      <c r="AC18" s="527"/>
      <c r="AD18" s="533"/>
      <c r="AE18" s="529" t="s">
        <v>154</v>
      </c>
      <c r="AF18" s="530"/>
      <c r="AG18" s="462"/>
    </row>
    <row r="19" spans="1:35" s="464" customFormat="1" ht="10.199999999999999" customHeight="1" x14ac:dyDescent="0.3">
      <c r="A19" s="532">
        <v>340</v>
      </c>
      <c r="B19" s="516">
        <v>0</v>
      </c>
      <c r="C19" s="504">
        <v>70</v>
      </c>
      <c r="D19" s="517" t="s">
        <v>153</v>
      </c>
      <c r="E19" s="518" t="s">
        <v>153</v>
      </c>
      <c r="F19" s="519" t="s">
        <v>153</v>
      </c>
      <c r="G19" s="520" t="s">
        <v>153</v>
      </c>
      <c r="H19" s="518" t="s">
        <v>153</v>
      </c>
      <c r="I19" s="518" t="s">
        <v>153</v>
      </c>
      <c r="J19" s="518" t="s">
        <v>153</v>
      </c>
      <c r="K19" s="518" t="s">
        <v>153</v>
      </c>
      <c r="L19" s="521" t="s">
        <v>153</v>
      </c>
      <c r="M19" s="504">
        <v>966</v>
      </c>
      <c r="N19" s="522">
        <f t="shared" si="1"/>
        <v>60</v>
      </c>
      <c r="O19" s="523">
        <f>(C19+C25-D25)/2</f>
        <v>70.25</v>
      </c>
      <c r="P19" s="524">
        <f t="shared" si="2"/>
        <v>0.35196687370600416</v>
      </c>
      <c r="Q19" s="525">
        <f t="shared" si="3"/>
        <v>3.607660455486543E-2</v>
      </c>
      <c r="R19" s="526">
        <f>SUM(Q$13:Q19)</f>
        <v>0.2400103519668737</v>
      </c>
      <c r="S19" s="527">
        <f t="shared" si="4"/>
        <v>0.34165174657206221</v>
      </c>
      <c r="T19" s="663"/>
      <c r="U19" s="527"/>
      <c r="V19" s="527"/>
      <c r="W19" s="527"/>
      <c r="X19" s="527"/>
      <c r="Y19" s="527"/>
      <c r="Z19" s="527">
        <f t="shared" si="5"/>
        <v>0</v>
      </c>
      <c r="AA19" s="527">
        <f t="shared" si="6"/>
        <v>0.35196687370600416</v>
      </c>
      <c r="AB19" s="527"/>
      <c r="AC19" s="527"/>
      <c r="AD19" s="533"/>
      <c r="AE19" s="529" t="s">
        <v>154</v>
      </c>
      <c r="AF19" s="530"/>
      <c r="AG19" s="534"/>
    </row>
    <row r="20" spans="1:35" s="464" customFormat="1" x14ac:dyDescent="0.3">
      <c r="A20" s="532"/>
      <c r="B20" s="516"/>
      <c r="C20" s="504"/>
      <c r="D20" s="517"/>
      <c r="E20" s="518"/>
      <c r="F20" s="519"/>
      <c r="G20" s="520"/>
      <c r="H20" s="518"/>
      <c r="I20" s="518"/>
      <c r="J20" s="518"/>
      <c r="K20" s="518"/>
      <c r="L20" s="521"/>
      <c r="M20" s="504"/>
      <c r="N20" s="522"/>
      <c r="O20" s="523"/>
      <c r="P20" s="524"/>
      <c r="Q20" s="525"/>
      <c r="R20" s="526"/>
      <c r="S20" s="527"/>
      <c r="T20" s="663"/>
      <c r="U20" s="527"/>
      <c r="V20" s="527"/>
      <c r="W20" s="527"/>
      <c r="X20" s="527"/>
      <c r="Y20" s="527"/>
      <c r="Z20" s="527"/>
      <c r="AA20" s="527"/>
      <c r="AB20" s="527"/>
      <c r="AC20" s="527"/>
      <c r="AD20" s="528"/>
      <c r="AE20" s="529" t="s">
        <v>154</v>
      </c>
      <c r="AF20" s="530"/>
      <c r="AG20" s="535"/>
    </row>
    <row r="21" spans="1:35" s="537" customFormat="1" x14ac:dyDescent="0.3">
      <c r="A21" s="532"/>
      <c r="B21" s="516"/>
      <c r="C21" s="504"/>
      <c r="D21" s="517"/>
      <c r="E21" s="518"/>
      <c r="F21" s="519"/>
      <c r="G21" s="520"/>
      <c r="H21" s="518"/>
      <c r="I21" s="518"/>
      <c r="J21" s="518"/>
      <c r="K21" s="518"/>
      <c r="L21" s="521"/>
      <c r="M21" s="504"/>
      <c r="N21" s="522"/>
      <c r="O21" s="523"/>
      <c r="P21" s="524"/>
      <c r="Q21" s="525"/>
      <c r="R21" s="526"/>
      <c r="S21" s="527"/>
      <c r="T21" s="663"/>
      <c r="U21" s="527"/>
      <c r="V21" s="527"/>
      <c r="W21" s="527"/>
      <c r="X21" s="527"/>
      <c r="Y21" s="527"/>
      <c r="Z21" s="527"/>
      <c r="AA21" s="527"/>
      <c r="AB21" s="527"/>
      <c r="AC21" s="527"/>
      <c r="AD21" s="536"/>
      <c r="AE21" s="529" t="s">
        <v>154</v>
      </c>
      <c r="AF21" s="530"/>
      <c r="AG21" s="535"/>
    </row>
    <row r="22" spans="1:35" s="537" customFormat="1" x14ac:dyDescent="0.3">
      <c r="A22" s="532"/>
      <c r="B22" s="516"/>
      <c r="C22" s="504"/>
      <c r="D22" s="517"/>
      <c r="E22" s="518"/>
      <c r="F22" s="519"/>
      <c r="G22" s="520"/>
      <c r="H22" s="518"/>
      <c r="I22" s="518"/>
      <c r="J22" s="518"/>
      <c r="K22" s="518"/>
      <c r="L22" s="521"/>
      <c r="M22" s="504"/>
      <c r="N22" s="522"/>
      <c r="O22" s="523"/>
      <c r="P22" s="524"/>
      <c r="Q22" s="525"/>
      <c r="R22" s="526"/>
      <c r="S22" s="527"/>
      <c r="T22" s="663"/>
      <c r="U22" s="527"/>
      <c r="V22" s="527"/>
      <c r="W22" s="527"/>
      <c r="X22" s="527"/>
      <c r="Y22" s="527"/>
      <c r="Z22" s="527"/>
      <c r="AA22" s="527"/>
      <c r="AB22" s="527"/>
      <c r="AC22" s="527"/>
      <c r="AD22" s="538"/>
      <c r="AE22" s="529" t="s">
        <v>154</v>
      </c>
      <c r="AF22" s="539"/>
      <c r="AG22" s="535"/>
    </row>
    <row r="23" spans="1:35" s="537" customFormat="1" ht="10.8" thickBot="1" x14ac:dyDescent="0.35">
      <c r="A23" s="540"/>
      <c r="B23" s="541"/>
      <c r="C23" s="542"/>
      <c r="D23" s="543"/>
      <c r="E23" s="542"/>
      <c r="F23" s="544"/>
      <c r="G23" s="545"/>
      <c r="H23" s="542"/>
      <c r="I23" s="542"/>
      <c r="J23" s="542"/>
      <c r="K23" s="542"/>
      <c r="L23" s="546"/>
      <c r="M23" s="542"/>
      <c r="N23" s="547"/>
      <c r="O23" s="548"/>
      <c r="P23" s="549"/>
      <c r="Q23" s="550"/>
      <c r="R23" s="551"/>
      <c r="S23" s="552"/>
      <c r="T23" s="664"/>
      <c r="U23" s="552"/>
      <c r="V23" s="552"/>
      <c r="W23" s="552"/>
      <c r="X23" s="552"/>
      <c r="Y23" s="552"/>
      <c r="Z23" s="552"/>
      <c r="AA23" s="552"/>
      <c r="AB23" s="552"/>
      <c r="AC23" s="552"/>
      <c r="AD23" s="553"/>
      <c r="AE23" s="529" t="s">
        <v>154</v>
      </c>
      <c r="AF23" s="554"/>
      <c r="AG23" s="555"/>
    </row>
    <row r="24" spans="1:35" s="537" customFormat="1" x14ac:dyDescent="0.3">
      <c r="A24" s="556" t="s">
        <v>156</v>
      </c>
      <c r="B24" s="516"/>
      <c r="C24" s="504"/>
      <c r="D24" s="557"/>
      <c r="E24" s="504"/>
      <c r="F24" s="558"/>
      <c r="G24" s="559"/>
      <c r="H24" s="504"/>
      <c r="I24" s="504"/>
      <c r="J24" s="504"/>
      <c r="K24" s="504"/>
      <c r="L24" s="560"/>
      <c r="M24" s="504"/>
      <c r="N24" s="522"/>
      <c r="O24" s="523"/>
      <c r="P24" s="524"/>
      <c r="Q24" s="525"/>
      <c r="R24" s="526"/>
      <c r="S24" s="527"/>
      <c r="T24" s="527"/>
      <c r="U24" s="527"/>
      <c r="V24" s="527"/>
      <c r="W24" s="527"/>
      <c r="X24" s="527"/>
      <c r="Y24" s="527"/>
      <c r="Z24" s="527"/>
      <c r="AA24" s="527"/>
      <c r="AB24" s="527"/>
      <c r="AC24" s="527"/>
      <c r="AD24" s="538"/>
      <c r="AE24" s="529" t="s">
        <v>154</v>
      </c>
      <c r="AF24" s="554"/>
      <c r="AG24" s="555"/>
    </row>
    <row r="25" spans="1:35" s="537" customFormat="1" x14ac:dyDescent="0.3">
      <c r="A25" s="532">
        <v>270</v>
      </c>
      <c r="B25" s="516">
        <v>0</v>
      </c>
      <c r="C25" s="504">
        <f>C26-D26</f>
        <v>94.5</v>
      </c>
      <c r="D25" s="561">
        <v>24</v>
      </c>
      <c r="E25" s="562"/>
      <c r="F25" s="563"/>
      <c r="G25" s="564">
        <f t="shared" ref="G25:G55" si="7">AVERAGE(D25:F25)</f>
        <v>24</v>
      </c>
      <c r="H25" s="562">
        <v>5.7</v>
      </c>
      <c r="I25" s="562"/>
      <c r="J25" s="562"/>
      <c r="K25" s="562"/>
      <c r="L25" s="565">
        <f t="shared" ref="L25:L55" si="8">AVERAGE(H25:K25)</f>
        <v>5.7</v>
      </c>
      <c r="M25" s="504">
        <f>G25*    PI()* (L25/2)^2</f>
        <v>612.42207189079431</v>
      </c>
      <c r="N25" s="522">
        <f>(C19+C25-D25)/2</f>
        <v>70.25</v>
      </c>
      <c r="O25" s="523">
        <f>(C25+C26-D26)/2</f>
        <v>94.5</v>
      </c>
      <c r="P25" s="524">
        <f>(A25-B25)/M25</f>
        <v>0.44087241853710618</v>
      </c>
      <c r="Q25" s="525">
        <f>(P25*(O25-N25))/100</f>
        <v>0.10691156149524826</v>
      </c>
      <c r="R25" s="526">
        <f>SUM(Q$13:Q25)</f>
        <v>0.34692191346212198</v>
      </c>
      <c r="S25" s="527">
        <f t="shared" ref="S25:S55" si="9">R25/O25*100</f>
        <v>0.36711313593875344</v>
      </c>
      <c r="T25" s="527"/>
      <c r="U25" s="527"/>
      <c r="V25" s="527"/>
      <c r="W25" s="527"/>
      <c r="X25" s="527"/>
      <c r="Y25" s="527"/>
      <c r="Z25" s="527">
        <f>(U25+W25+Y25)*    PI()* (L25/2)^2</f>
        <v>0</v>
      </c>
      <c r="AA25" s="527">
        <f t="shared" ref="AA25:AA41" si="10">(A25-(Z25/0.9))/(M25-Z25)</f>
        <v>0.44087241853710618</v>
      </c>
      <c r="AB25" s="527"/>
      <c r="AC25" s="527"/>
      <c r="AD25" s="538"/>
      <c r="AE25" s="529" t="s">
        <v>154</v>
      </c>
      <c r="AF25" s="554"/>
      <c r="AG25" s="555"/>
    </row>
    <row r="26" spans="1:35" s="537" customFormat="1" x14ac:dyDescent="0.3">
      <c r="A26" s="532">
        <v>500</v>
      </c>
      <c r="B26" s="516">
        <v>0</v>
      </c>
      <c r="C26" s="504">
        <f>C27-D27</f>
        <v>150</v>
      </c>
      <c r="D26" s="561">
        <v>55.5</v>
      </c>
      <c r="E26" s="562"/>
      <c r="F26" s="563"/>
      <c r="G26" s="564">
        <f t="shared" si="7"/>
        <v>55.5</v>
      </c>
      <c r="H26" s="562">
        <v>5.7</v>
      </c>
      <c r="I26" s="562"/>
      <c r="J26" s="562"/>
      <c r="K26" s="562"/>
      <c r="L26" s="565">
        <f t="shared" si="8"/>
        <v>5.7</v>
      </c>
      <c r="M26" s="504">
        <f t="shared" ref="M26:M55" si="11">G26*    PI()* (L26/2)^2</f>
        <v>1416.2260412474618</v>
      </c>
      <c r="N26" s="522">
        <f>(C25+C26-D26)/2</f>
        <v>94.5</v>
      </c>
      <c r="O26" s="523">
        <f t="shared" ref="O26:O68" si="12">(C26+C27-D27)/2</f>
        <v>150</v>
      </c>
      <c r="P26" s="524">
        <f>(A26-B26)/M26</f>
        <v>0.35305098581550043</v>
      </c>
      <c r="Q26" s="525">
        <f t="shared" ref="Q26:Q55" si="13">(P26*(O26-N26))/100</f>
        <v>0.19594329712760275</v>
      </c>
      <c r="R26" s="526">
        <f>SUM(Q$13:Q26)</f>
        <v>0.5428652105897247</v>
      </c>
      <c r="S26" s="527">
        <f t="shared" si="9"/>
        <v>0.36191014039314978</v>
      </c>
      <c r="T26" s="527"/>
      <c r="U26" s="527"/>
      <c r="V26" s="527"/>
      <c r="W26" s="527"/>
      <c r="X26" s="527"/>
      <c r="Y26" s="527"/>
      <c r="Z26" s="527">
        <f t="shared" ref="Z26:Z69" si="14">(U26+W26+Y26)*    PI()* (L26/2)^2</f>
        <v>0</v>
      </c>
      <c r="AA26" s="527">
        <f t="shared" si="10"/>
        <v>0.35305098581550043</v>
      </c>
      <c r="AB26" s="527"/>
      <c r="AC26" s="527"/>
      <c r="AD26" s="538"/>
      <c r="AE26" s="529" t="s">
        <v>154</v>
      </c>
      <c r="AF26" s="530"/>
      <c r="AG26" s="555"/>
    </row>
    <row r="27" spans="1:35" s="537" customFormat="1" x14ac:dyDescent="0.3">
      <c r="A27" s="532">
        <v>400</v>
      </c>
      <c r="B27" s="516">
        <v>0</v>
      </c>
      <c r="C27" s="504">
        <f>206-20</f>
        <v>186</v>
      </c>
      <c r="D27" s="561">
        <v>36</v>
      </c>
      <c r="E27" s="562"/>
      <c r="F27" s="563"/>
      <c r="G27" s="564">
        <f t="shared" si="7"/>
        <v>36</v>
      </c>
      <c r="H27" s="562">
        <v>5.7</v>
      </c>
      <c r="I27" s="562"/>
      <c r="J27" s="562"/>
      <c r="K27" s="562"/>
      <c r="L27" s="565">
        <f t="shared" si="8"/>
        <v>5.7</v>
      </c>
      <c r="M27" s="504">
        <f>G27*    PI()* (L27/2)*(L27/2)</f>
        <v>918.63310783619147</v>
      </c>
      <c r="N27" s="522">
        <f t="shared" ref="N27:N69" si="15">(C26+C27-D27)/2</f>
        <v>150</v>
      </c>
      <c r="O27" s="523">
        <f t="shared" si="12"/>
        <v>184.75</v>
      </c>
      <c r="P27" s="524">
        <f t="shared" ref="P27:P55" si="16">(A27-B27)/M27</f>
        <v>0.43542954917245053</v>
      </c>
      <c r="Q27" s="525">
        <f t="shared" si="13"/>
        <v>0.15131176833742654</v>
      </c>
      <c r="R27" s="526">
        <f>SUM(Q$13:Q27)</f>
        <v>0.69417697892715124</v>
      </c>
      <c r="S27" s="527">
        <f t="shared" si="9"/>
        <v>0.37573855422308594</v>
      </c>
      <c r="T27" s="527"/>
      <c r="U27" s="527"/>
      <c r="V27" s="527"/>
      <c r="W27" s="527"/>
      <c r="X27" s="527"/>
      <c r="Y27" s="527"/>
      <c r="Z27" s="527">
        <f t="shared" si="14"/>
        <v>0</v>
      </c>
      <c r="AA27" s="527">
        <f t="shared" si="10"/>
        <v>0.43542954917245053</v>
      </c>
      <c r="AB27" s="527"/>
      <c r="AC27" s="527"/>
      <c r="AD27" s="538"/>
      <c r="AE27" s="529" t="s">
        <v>154</v>
      </c>
      <c r="AF27" s="530"/>
      <c r="AG27" s="555"/>
    </row>
    <row r="28" spans="1:35" s="537" customFormat="1" x14ac:dyDescent="0.3">
      <c r="A28" s="532">
        <v>535</v>
      </c>
      <c r="B28" s="516">
        <v>0</v>
      </c>
      <c r="C28" s="504">
        <f>252-20</f>
        <v>232</v>
      </c>
      <c r="D28" s="561">
        <v>48.5</v>
      </c>
      <c r="E28" s="562"/>
      <c r="F28" s="563"/>
      <c r="G28" s="564">
        <f t="shared" si="7"/>
        <v>48.5</v>
      </c>
      <c r="H28" s="562">
        <v>5.7</v>
      </c>
      <c r="I28" s="562"/>
      <c r="J28" s="562"/>
      <c r="K28" s="562"/>
      <c r="L28" s="565">
        <f t="shared" si="8"/>
        <v>5.7</v>
      </c>
      <c r="M28" s="504">
        <f t="shared" si="11"/>
        <v>1237.6029369459802</v>
      </c>
      <c r="N28" s="522">
        <f t="shared" si="15"/>
        <v>184.75</v>
      </c>
      <c r="O28" s="523">
        <f t="shared" si="12"/>
        <v>231.5</v>
      </c>
      <c r="P28" s="524">
        <f t="shared" si="16"/>
        <v>0.43228727407532974</v>
      </c>
      <c r="Q28" s="525">
        <f t="shared" si="13"/>
        <v>0.20209430063021663</v>
      </c>
      <c r="R28" s="526">
        <f>SUM(Q$13:Q28)</f>
        <v>0.89627127955736785</v>
      </c>
      <c r="S28" s="527">
        <f t="shared" si="9"/>
        <v>0.38715822011117401</v>
      </c>
      <c r="T28" s="527"/>
      <c r="U28" s="527"/>
      <c r="V28" s="527"/>
      <c r="W28" s="527"/>
      <c r="X28" s="527"/>
      <c r="Y28" s="527"/>
      <c r="Z28" s="527">
        <f t="shared" si="14"/>
        <v>0</v>
      </c>
      <c r="AA28" s="527">
        <f t="shared" si="10"/>
        <v>0.43228727407532974</v>
      </c>
      <c r="AB28" s="527"/>
      <c r="AC28" s="527"/>
      <c r="AD28" s="538"/>
      <c r="AE28" s="529" t="s">
        <v>154</v>
      </c>
      <c r="AF28" s="530"/>
      <c r="AG28" s="555"/>
    </row>
    <row r="29" spans="1:35" x14ac:dyDescent="0.2">
      <c r="A29" s="532">
        <v>200</v>
      </c>
      <c r="B29" s="516">
        <v>0</v>
      </c>
      <c r="C29" s="504">
        <f>C30-D30</f>
        <v>249</v>
      </c>
      <c r="D29" s="561">
        <v>18</v>
      </c>
      <c r="E29" s="562"/>
      <c r="F29" s="563"/>
      <c r="G29" s="564">
        <f t="shared" si="7"/>
        <v>18</v>
      </c>
      <c r="H29" s="562">
        <v>5.7</v>
      </c>
      <c r="I29" s="562"/>
      <c r="J29" s="562"/>
      <c r="K29" s="562"/>
      <c r="L29" s="565">
        <f t="shared" si="8"/>
        <v>5.7</v>
      </c>
      <c r="M29" s="504">
        <f t="shared" si="11"/>
        <v>459.31655391809574</v>
      </c>
      <c r="N29" s="522">
        <f t="shared" si="15"/>
        <v>231.5</v>
      </c>
      <c r="O29" s="523">
        <f t="shared" si="12"/>
        <v>249</v>
      </c>
      <c r="P29" s="524">
        <f t="shared" si="16"/>
        <v>0.43542954917245053</v>
      </c>
      <c r="Q29" s="525">
        <f t="shared" si="13"/>
        <v>7.6200171105178849E-2</v>
      </c>
      <c r="R29" s="526">
        <f>SUM(Q$13:Q29)</f>
        <v>0.9724714506625467</v>
      </c>
      <c r="S29" s="527">
        <f t="shared" si="9"/>
        <v>0.39055078339861315</v>
      </c>
      <c r="T29" s="527"/>
      <c r="U29" s="527"/>
      <c r="V29" s="527"/>
      <c r="W29" s="527"/>
      <c r="X29" s="527"/>
      <c r="Y29" s="527"/>
      <c r="Z29" s="527">
        <f t="shared" si="14"/>
        <v>0</v>
      </c>
      <c r="AA29" s="527">
        <f t="shared" si="10"/>
        <v>0.43542954917245053</v>
      </c>
      <c r="AB29" s="527"/>
      <c r="AC29" s="527"/>
      <c r="AD29" s="538"/>
      <c r="AE29" s="529" t="s">
        <v>154</v>
      </c>
      <c r="AF29" s="530"/>
      <c r="AG29" s="555"/>
      <c r="AH29" s="537"/>
      <c r="AI29" s="537"/>
    </row>
    <row r="30" spans="1:35" x14ac:dyDescent="0.2">
      <c r="A30" s="532">
        <v>710</v>
      </c>
      <c r="B30" s="516">
        <v>0</v>
      </c>
      <c r="C30" s="504">
        <f>329-20</f>
        <v>309</v>
      </c>
      <c r="D30" s="561">
        <v>60</v>
      </c>
      <c r="E30" s="562"/>
      <c r="F30" s="563"/>
      <c r="G30" s="564">
        <f t="shared" si="7"/>
        <v>60</v>
      </c>
      <c r="H30" s="562">
        <v>5.7</v>
      </c>
      <c r="I30" s="562"/>
      <c r="J30" s="562"/>
      <c r="K30" s="562"/>
      <c r="L30" s="565">
        <f t="shared" si="8"/>
        <v>5.7</v>
      </c>
      <c r="M30" s="504">
        <f t="shared" si="11"/>
        <v>1531.0551797269857</v>
      </c>
      <c r="N30" s="522">
        <f t="shared" si="15"/>
        <v>249</v>
      </c>
      <c r="O30" s="523">
        <f t="shared" si="12"/>
        <v>307.25</v>
      </c>
      <c r="P30" s="524">
        <f t="shared" si="16"/>
        <v>0.46373246986865985</v>
      </c>
      <c r="Q30" s="525">
        <f t="shared" si="13"/>
        <v>0.27012416369849435</v>
      </c>
      <c r="R30" s="526">
        <f>SUM(Q$13:Q30)</f>
        <v>1.242595614361041</v>
      </c>
      <c r="S30" s="527">
        <f t="shared" si="9"/>
        <v>0.40442493551213704</v>
      </c>
      <c r="T30" s="527"/>
      <c r="U30" s="527"/>
      <c r="V30" s="527"/>
      <c r="W30" s="527"/>
      <c r="X30" s="527"/>
      <c r="Y30" s="527"/>
      <c r="Z30" s="527">
        <f t="shared" si="14"/>
        <v>0</v>
      </c>
      <c r="AA30" s="527">
        <f t="shared" si="10"/>
        <v>0.46373246986865985</v>
      </c>
      <c r="AB30" s="527"/>
      <c r="AC30" s="527"/>
      <c r="AD30" s="538"/>
      <c r="AE30" s="529" t="s">
        <v>154</v>
      </c>
      <c r="AF30" s="530"/>
      <c r="AG30" s="555"/>
      <c r="AH30" s="537"/>
      <c r="AI30" s="537"/>
    </row>
    <row r="31" spans="1:35" x14ac:dyDescent="0.2">
      <c r="A31" s="532">
        <v>445</v>
      </c>
      <c r="B31" s="516">
        <v>0</v>
      </c>
      <c r="C31" s="504">
        <f>C32-D32</f>
        <v>344</v>
      </c>
      <c r="D31" s="561">
        <v>38.5</v>
      </c>
      <c r="E31" s="562"/>
      <c r="F31" s="563"/>
      <c r="G31" s="564">
        <f t="shared" si="7"/>
        <v>38.5</v>
      </c>
      <c r="H31" s="562">
        <v>5.7</v>
      </c>
      <c r="I31" s="562"/>
      <c r="J31" s="562"/>
      <c r="K31" s="562"/>
      <c r="L31" s="565">
        <f t="shared" si="8"/>
        <v>5.7</v>
      </c>
      <c r="M31" s="504">
        <f t="shared" si="11"/>
        <v>982.4270736581492</v>
      </c>
      <c r="N31" s="522">
        <f t="shared" si="15"/>
        <v>307.25</v>
      </c>
      <c r="O31" s="523">
        <f t="shared" si="12"/>
        <v>344</v>
      </c>
      <c r="P31" s="524">
        <f t="shared" si="16"/>
        <v>0.4529598297235492</v>
      </c>
      <c r="Q31" s="525">
        <f t="shared" si="13"/>
        <v>0.16646273742340434</v>
      </c>
      <c r="R31" s="526">
        <f>SUM(Q$13:Q31)</f>
        <v>1.4090583517844455</v>
      </c>
      <c r="S31" s="527">
        <f t="shared" si="9"/>
        <v>0.4096099859838504</v>
      </c>
      <c r="T31" s="527"/>
      <c r="U31" s="527"/>
      <c r="V31" s="527"/>
      <c r="W31" s="527"/>
      <c r="X31" s="527"/>
      <c r="Y31" s="527"/>
      <c r="Z31" s="527">
        <f t="shared" si="14"/>
        <v>0</v>
      </c>
      <c r="AA31" s="527">
        <f t="shared" si="10"/>
        <v>0.4529598297235492</v>
      </c>
      <c r="AB31" s="527"/>
      <c r="AC31" s="527"/>
      <c r="AD31" s="538"/>
      <c r="AE31" s="529" t="s">
        <v>154</v>
      </c>
      <c r="AF31" s="530"/>
      <c r="AG31" s="555"/>
      <c r="AH31" s="537"/>
      <c r="AI31" s="537"/>
    </row>
    <row r="32" spans="1:35" x14ac:dyDescent="0.2">
      <c r="A32" s="532">
        <v>510</v>
      </c>
      <c r="B32" s="516">
        <v>0</v>
      </c>
      <c r="C32" s="504">
        <f>403-20</f>
        <v>383</v>
      </c>
      <c r="D32" s="561">
        <v>39</v>
      </c>
      <c r="E32" s="562"/>
      <c r="F32" s="563"/>
      <c r="G32" s="564">
        <f t="shared" si="7"/>
        <v>39</v>
      </c>
      <c r="H32" s="562">
        <v>5.7</v>
      </c>
      <c r="I32" s="562"/>
      <c r="J32" s="562"/>
      <c r="K32" s="562"/>
      <c r="L32" s="565">
        <f t="shared" si="8"/>
        <v>5.7</v>
      </c>
      <c r="M32" s="504">
        <f t="shared" si="11"/>
        <v>995.18586682254067</v>
      </c>
      <c r="N32" s="522">
        <f t="shared" si="15"/>
        <v>344</v>
      </c>
      <c r="O32" s="523">
        <f t="shared" si="12"/>
        <v>383.25</v>
      </c>
      <c r="P32" s="524">
        <f t="shared" si="16"/>
        <v>0.51246708479526881</v>
      </c>
      <c r="Q32" s="525">
        <f t="shared" si="13"/>
        <v>0.201143330782143</v>
      </c>
      <c r="R32" s="526">
        <f>SUM(Q$13:Q32)</f>
        <v>1.6102016825665886</v>
      </c>
      <c r="S32" s="527">
        <f t="shared" si="9"/>
        <v>0.42014394848443276</v>
      </c>
      <c r="T32" s="527"/>
      <c r="U32" s="527"/>
      <c r="V32" s="527"/>
      <c r="W32" s="527"/>
      <c r="X32" s="527"/>
      <c r="Y32" s="527"/>
      <c r="Z32" s="527">
        <f t="shared" si="14"/>
        <v>0</v>
      </c>
      <c r="AA32" s="527">
        <f t="shared" si="10"/>
        <v>0.51246708479526881</v>
      </c>
      <c r="AB32" s="527"/>
      <c r="AC32" s="527"/>
      <c r="AD32" s="538"/>
      <c r="AE32" s="529" t="s">
        <v>154</v>
      </c>
      <c r="AF32" s="530"/>
      <c r="AG32" s="555"/>
      <c r="AH32" s="537"/>
      <c r="AI32" s="537"/>
    </row>
    <row r="33" spans="1:36" x14ac:dyDescent="0.2">
      <c r="A33" s="532">
        <v>950</v>
      </c>
      <c r="B33" s="516">
        <v>0</v>
      </c>
      <c r="C33" s="504">
        <f>C34-D34</f>
        <v>456</v>
      </c>
      <c r="D33" s="561">
        <v>72.5</v>
      </c>
      <c r="E33" s="562"/>
      <c r="F33" s="563"/>
      <c r="G33" s="564">
        <f t="shared" si="7"/>
        <v>72.5</v>
      </c>
      <c r="H33" s="562">
        <v>5.7</v>
      </c>
      <c r="I33" s="562"/>
      <c r="J33" s="562"/>
      <c r="K33" s="562"/>
      <c r="L33" s="565">
        <f t="shared" si="8"/>
        <v>5.7</v>
      </c>
      <c r="M33" s="504">
        <f t="shared" si="11"/>
        <v>1850.0250088367745</v>
      </c>
      <c r="N33" s="522">
        <f t="shared" si="15"/>
        <v>383.25</v>
      </c>
      <c r="O33" s="523">
        <f t="shared" si="12"/>
        <v>456</v>
      </c>
      <c r="P33" s="524">
        <f t="shared" si="16"/>
        <v>0.513506571782683</v>
      </c>
      <c r="Q33" s="525">
        <f t="shared" si="13"/>
        <v>0.37357603097190184</v>
      </c>
      <c r="R33" s="526">
        <f>SUM(Q$13:Q33)</f>
        <v>1.9837777135384904</v>
      </c>
      <c r="S33" s="527">
        <f t="shared" si="9"/>
        <v>0.43503897226721283</v>
      </c>
      <c r="T33" s="527"/>
      <c r="U33" s="527"/>
      <c r="V33" s="527"/>
      <c r="W33" s="527"/>
      <c r="X33" s="527"/>
      <c r="Y33" s="527"/>
      <c r="Z33" s="527">
        <f t="shared" si="14"/>
        <v>0</v>
      </c>
      <c r="AA33" s="527">
        <f t="shared" si="10"/>
        <v>0.513506571782683</v>
      </c>
      <c r="AB33" s="527"/>
      <c r="AC33" s="527"/>
      <c r="AD33" s="538"/>
      <c r="AE33" s="529" t="s">
        <v>154</v>
      </c>
      <c r="AF33" s="530"/>
      <c r="AG33" s="555"/>
      <c r="AH33" s="537"/>
      <c r="AI33" s="537"/>
    </row>
    <row r="34" spans="1:36" x14ac:dyDescent="0.2">
      <c r="A34" s="532">
        <v>60</v>
      </c>
      <c r="B34" s="516">
        <v>0</v>
      </c>
      <c r="C34" s="504">
        <f>481-20</f>
        <v>461</v>
      </c>
      <c r="D34" s="561">
        <v>5</v>
      </c>
      <c r="E34" s="562"/>
      <c r="F34" s="563"/>
      <c r="G34" s="564">
        <f t="shared" si="7"/>
        <v>5</v>
      </c>
      <c r="H34" s="562">
        <v>5.7</v>
      </c>
      <c r="I34" s="562"/>
      <c r="J34" s="562"/>
      <c r="K34" s="562"/>
      <c r="L34" s="565">
        <f t="shared" si="8"/>
        <v>5.7</v>
      </c>
      <c r="M34" s="504">
        <f t="shared" si="11"/>
        <v>127.58793164391548</v>
      </c>
      <c r="N34" s="522">
        <f t="shared" si="15"/>
        <v>456</v>
      </c>
      <c r="O34" s="523">
        <f t="shared" si="12"/>
        <v>461</v>
      </c>
      <c r="P34" s="524">
        <f t="shared" si="16"/>
        <v>0.4702639131062466</v>
      </c>
      <c r="Q34" s="525">
        <f t="shared" si="13"/>
        <v>2.3513195655312333E-2</v>
      </c>
      <c r="R34" s="526">
        <f>SUM(Q$13:Q34)</f>
        <v>2.0072909091938027</v>
      </c>
      <c r="S34" s="527">
        <f t="shared" si="9"/>
        <v>0.43542102151709383</v>
      </c>
      <c r="T34" s="527"/>
      <c r="U34" s="527"/>
      <c r="V34" s="527"/>
      <c r="W34" s="527"/>
      <c r="X34" s="527"/>
      <c r="Y34" s="527"/>
      <c r="Z34" s="527">
        <f t="shared" si="14"/>
        <v>0</v>
      </c>
      <c r="AA34" s="527">
        <f t="shared" si="10"/>
        <v>0.4702639131062466</v>
      </c>
      <c r="AB34" s="527"/>
      <c r="AC34" s="527"/>
      <c r="AD34" s="538"/>
      <c r="AE34" s="529"/>
      <c r="AF34" s="530"/>
      <c r="AG34" s="567"/>
    </row>
    <row r="35" spans="1:36" x14ac:dyDescent="0.2">
      <c r="A35" s="532">
        <v>460</v>
      </c>
      <c r="B35" s="516">
        <v>0</v>
      </c>
      <c r="C35" s="504">
        <f>C36-D36</f>
        <v>496</v>
      </c>
      <c r="D35" s="561">
        <v>35</v>
      </c>
      <c r="E35" s="562"/>
      <c r="F35" s="563"/>
      <c r="G35" s="564">
        <f t="shared" si="7"/>
        <v>35</v>
      </c>
      <c r="H35" s="562">
        <v>5.7</v>
      </c>
      <c r="I35" s="562"/>
      <c r="J35" s="562"/>
      <c r="K35" s="562"/>
      <c r="L35" s="565">
        <f t="shared" si="8"/>
        <v>5.7</v>
      </c>
      <c r="M35" s="504">
        <f t="shared" si="11"/>
        <v>893.11552150740829</v>
      </c>
      <c r="N35" s="522">
        <f t="shared" si="15"/>
        <v>461</v>
      </c>
      <c r="O35" s="523">
        <f t="shared" si="12"/>
        <v>496</v>
      </c>
      <c r="P35" s="524">
        <f t="shared" si="16"/>
        <v>0.51505095244969867</v>
      </c>
      <c r="Q35" s="525">
        <f t="shared" si="13"/>
        <v>0.18026783335739452</v>
      </c>
      <c r="R35" s="526">
        <f>SUM(Q$13:Q35)</f>
        <v>2.1875587425511971</v>
      </c>
      <c r="S35" s="527">
        <f t="shared" si="9"/>
        <v>0.4410400690627414</v>
      </c>
      <c r="T35" s="527"/>
      <c r="U35" s="527"/>
      <c r="V35" s="527"/>
      <c r="W35" s="527"/>
      <c r="X35" s="527"/>
      <c r="Y35" s="527"/>
      <c r="Z35" s="527">
        <f t="shared" si="14"/>
        <v>0</v>
      </c>
      <c r="AA35" s="527">
        <f t="shared" si="10"/>
        <v>0.51505095244969867</v>
      </c>
      <c r="AB35" s="527"/>
      <c r="AC35" s="527"/>
      <c r="AD35" s="538"/>
      <c r="AE35" s="529"/>
      <c r="AF35" s="530"/>
      <c r="AG35" s="568"/>
      <c r="AH35" s="569"/>
      <c r="AI35" s="570"/>
      <c r="AJ35" s="569"/>
    </row>
    <row r="36" spans="1:36" x14ac:dyDescent="0.2">
      <c r="A36" s="532">
        <v>380</v>
      </c>
      <c r="B36" s="516">
        <v>0</v>
      </c>
      <c r="C36" s="504">
        <f>546-20</f>
        <v>526</v>
      </c>
      <c r="D36" s="561">
        <v>30</v>
      </c>
      <c r="E36" s="562"/>
      <c r="F36" s="563"/>
      <c r="G36" s="564">
        <f t="shared" si="7"/>
        <v>30</v>
      </c>
      <c r="H36" s="562">
        <v>5.7</v>
      </c>
      <c r="I36" s="562"/>
      <c r="J36" s="562"/>
      <c r="K36" s="562"/>
      <c r="L36" s="565">
        <f t="shared" si="8"/>
        <v>5.7</v>
      </c>
      <c r="M36" s="504">
        <f t="shared" si="11"/>
        <v>765.52758986349284</v>
      </c>
      <c r="N36" s="522">
        <f t="shared" si="15"/>
        <v>496</v>
      </c>
      <c r="O36" s="523">
        <f t="shared" si="12"/>
        <v>524.75</v>
      </c>
      <c r="P36" s="524">
        <f t="shared" si="16"/>
        <v>0.49638968605659367</v>
      </c>
      <c r="Q36" s="525">
        <f t="shared" si="13"/>
        <v>0.14271203474127067</v>
      </c>
      <c r="R36" s="526">
        <f>SUM(Q$13:Q36)</f>
        <v>2.3302707772924678</v>
      </c>
      <c r="S36" s="527">
        <f t="shared" si="9"/>
        <v>0.44407256356216634</v>
      </c>
      <c r="T36" s="527"/>
      <c r="U36" s="527"/>
      <c r="V36" s="527"/>
      <c r="W36" s="527"/>
      <c r="X36" s="527"/>
      <c r="Y36" s="527"/>
      <c r="Z36" s="527">
        <f t="shared" si="14"/>
        <v>0</v>
      </c>
      <c r="AA36" s="527">
        <f t="shared" si="10"/>
        <v>0.49638968605659367</v>
      </c>
      <c r="AB36" s="527"/>
      <c r="AC36" s="527"/>
      <c r="AD36" s="538" t="s">
        <v>168</v>
      </c>
      <c r="AE36" s="529"/>
      <c r="AF36" s="530"/>
      <c r="AG36" s="568"/>
      <c r="AH36" s="569"/>
      <c r="AI36" s="571"/>
      <c r="AJ36" s="569"/>
    </row>
    <row r="37" spans="1:36" ht="12" customHeight="1" x14ac:dyDescent="0.2">
      <c r="A37" s="532">
        <v>400</v>
      </c>
      <c r="B37" s="516">
        <v>0</v>
      </c>
      <c r="C37" s="504">
        <f>C38-D38</f>
        <v>555</v>
      </c>
      <c r="D37" s="561">
        <v>31.5</v>
      </c>
      <c r="E37" s="562"/>
      <c r="F37" s="563"/>
      <c r="G37" s="564">
        <f t="shared" si="7"/>
        <v>31.5</v>
      </c>
      <c r="H37" s="562">
        <v>5.7</v>
      </c>
      <c r="I37" s="562"/>
      <c r="J37" s="562"/>
      <c r="K37" s="562"/>
      <c r="L37" s="565">
        <f t="shared" si="8"/>
        <v>5.7</v>
      </c>
      <c r="M37" s="504">
        <f t="shared" si="11"/>
        <v>803.80396935666761</v>
      </c>
      <c r="N37" s="522">
        <f t="shared" si="15"/>
        <v>524.75</v>
      </c>
      <c r="O37" s="523">
        <f t="shared" si="12"/>
        <v>555</v>
      </c>
      <c r="P37" s="524">
        <f t="shared" si="16"/>
        <v>0.49763377048280061</v>
      </c>
      <c r="Q37" s="525">
        <f t="shared" si="13"/>
        <v>0.15053421557104718</v>
      </c>
      <c r="R37" s="526">
        <f>SUM(Q$13:Q37)</f>
        <v>2.480804992863515</v>
      </c>
      <c r="S37" s="527">
        <f t="shared" si="9"/>
        <v>0.44699189060603872</v>
      </c>
      <c r="T37" s="527"/>
      <c r="U37" s="527"/>
      <c r="V37" s="527"/>
      <c r="W37" s="527"/>
      <c r="X37" s="527"/>
      <c r="Y37" s="527"/>
      <c r="Z37" s="527">
        <f t="shared" si="14"/>
        <v>0</v>
      </c>
      <c r="AA37" s="527">
        <f t="shared" si="10"/>
        <v>0.49763377048280061</v>
      </c>
      <c r="AB37" s="527"/>
      <c r="AC37" s="527"/>
      <c r="AD37" s="538"/>
      <c r="AE37" s="529"/>
      <c r="AF37" s="530"/>
      <c r="AG37" s="572"/>
      <c r="AH37" s="569"/>
      <c r="AI37" s="569"/>
      <c r="AJ37" s="569"/>
    </row>
    <row r="38" spans="1:36" x14ac:dyDescent="0.2">
      <c r="A38" s="532">
        <v>310</v>
      </c>
      <c r="B38" s="516">
        <v>0</v>
      </c>
      <c r="C38" s="504">
        <f>C39-D39</f>
        <v>582</v>
      </c>
      <c r="D38" s="561">
        <v>27</v>
      </c>
      <c r="E38" s="562"/>
      <c r="F38" s="563"/>
      <c r="G38" s="564">
        <f t="shared" si="7"/>
        <v>27</v>
      </c>
      <c r="H38" s="562">
        <v>5.7</v>
      </c>
      <c r="I38" s="562"/>
      <c r="J38" s="562"/>
      <c r="K38" s="562"/>
      <c r="L38" s="565">
        <f t="shared" si="8"/>
        <v>5.7</v>
      </c>
      <c r="M38" s="504">
        <f t="shared" si="11"/>
        <v>688.97483087714352</v>
      </c>
      <c r="N38" s="522">
        <f t="shared" si="15"/>
        <v>555</v>
      </c>
      <c r="O38" s="523">
        <f t="shared" si="12"/>
        <v>582</v>
      </c>
      <c r="P38" s="524">
        <f t="shared" si="16"/>
        <v>0.44994386747819898</v>
      </c>
      <c r="Q38" s="525">
        <f t="shared" si="13"/>
        <v>0.12148484421911374</v>
      </c>
      <c r="R38" s="526">
        <f>SUM(Q$13:Q38)</f>
        <v>2.6022898370826288</v>
      </c>
      <c r="S38" s="527">
        <f t="shared" si="9"/>
        <v>0.447128837986706</v>
      </c>
      <c r="T38" s="527"/>
      <c r="U38" s="527"/>
      <c r="V38" s="527"/>
      <c r="W38" s="527"/>
      <c r="X38" s="527"/>
      <c r="Y38" s="527"/>
      <c r="Z38" s="527">
        <f t="shared" si="14"/>
        <v>0</v>
      </c>
      <c r="AA38" s="527">
        <f t="shared" si="10"/>
        <v>0.44994386747819898</v>
      </c>
      <c r="AB38" s="527">
        <v>0</v>
      </c>
      <c r="AC38" s="527">
        <v>582</v>
      </c>
      <c r="AD38" s="538" t="s">
        <v>185</v>
      </c>
      <c r="AE38" s="529"/>
      <c r="AF38" s="530"/>
      <c r="AG38" s="573"/>
      <c r="AH38" s="574"/>
    </row>
    <row r="39" spans="1:36" x14ac:dyDescent="0.2">
      <c r="A39" s="532">
        <v>320</v>
      </c>
      <c r="B39" s="516">
        <v>0</v>
      </c>
      <c r="C39" s="504">
        <f>624-20</f>
        <v>604</v>
      </c>
      <c r="D39" s="561">
        <v>22</v>
      </c>
      <c r="E39" s="562"/>
      <c r="F39" s="563"/>
      <c r="G39" s="564">
        <f t="shared" si="7"/>
        <v>22</v>
      </c>
      <c r="H39" s="562">
        <v>5.7</v>
      </c>
      <c r="I39" s="562"/>
      <c r="J39" s="562"/>
      <c r="K39" s="562"/>
      <c r="L39" s="565">
        <f t="shared" si="8"/>
        <v>5.7</v>
      </c>
      <c r="M39" s="504">
        <f t="shared" si="11"/>
        <v>561.38689923322806</v>
      </c>
      <c r="N39" s="522">
        <f t="shared" si="15"/>
        <v>582</v>
      </c>
      <c r="O39" s="523">
        <f t="shared" si="12"/>
        <v>604.5</v>
      </c>
      <c r="P39" s="524">
        <f t="shared" si="16"/>
        <v>0.57001686437120802</v>
      </c>
      <c r="Q39" s="525">
        <f t="shared" si="13"/>
        <v>0.12825379448352181</v>
      </c>
      <c r="R39" s="526">
        <f>SUM(Q$13:Q39)</f>
        <v>2.7305436315661504</v>
      </c>
      <c r="S39" s="527">
        <f t="shared" si="9"/>
        <v>0.45170283400598027</v>
      </c>
      <c r="T39" s="527"/>
      <c r="U39" s="527"/>
      <c r="V39" s="527"/>
      <c r="W39" s="527"/>
      <c r="X39" s="527"/>
      <c r="Y39" s="527"/>
      <c r="Z39" s="527">
        <f t="shared" si="14"/>
        <v>0</v>
      </c>
      <c r="AA39" s="527">
        <f t="shared" si="10"/>
        <v>0.57001686437120802</v>
      </c>
      <c r="AB39" s="527"/>
      <c r="AC39" s="527"/>
      <c r="AD39" s="538"/>
      <c r="AE39" s="529"/>
      <c r="AF39" s="530"/>
      <c r="AG39" s="574"/>
      <c r="AH39" s="574"/>
    </row>
    <row r="40" spans="1:36" x14ac:dyDescent="0.2">
      <c r="A40" s="532">
        <v>555</v>
      </c>
      <c r="B40" s="516">
        <v>0</v>
      </c>
      <c r="C40" s="504">
        <f>C41-D41</f>
        <v>646</v>
      </c>
      <c r="D40" s="561">
        <v>41</v>
      </c>
      <c r="E40" s="562"/>
      <c r="F40" s="563"/>
      <c r="G40" s="564">
        <f t="shared" si="7"/>
        <v>41</v>
      </c>
      <c r="H40" s="562">
        <v>5.7</v>
      </c>
      <c r="I40" s="562"/>
      <c r="J40" s="562"/>
      <c r="K40" s="562"/>
      <c r="L40" s="565">
        <f t="shared" si="8"/>
        <v>5.7</v>
      </c>
      <c r="M40" s="504">
        <f t="shared" si="11"/>
        <v>1046.2210394801068</v>
      </c>
      <c r="N40" s="522">
        <f t="shared" si="15"/>
        <v>604.5</v>
      </c>
      <c r="O40" s="523">
        <f t="shared" si="12"/>
        <v>646</v>
      </c>
      <c r="P40" s="524">
        <f t="shared" si="16"/>
        <v>0.53048063368692455</v>
      </c>
      <c r="Q40" s="525">
        <f t="shared" si="13"/>
        <v>0.22014946298007371</v>
      </c>
      <c r="R40" s="526">
        <f>SUM(Q$13:Q40)</f>
        <v>2.950693094546224</v>
      </c>
      <c r="S40" s="527">
        <f t="shared" si="9"/>
        <v>0.45676363692666005</v>
      </c>
      <c r="T40" s="527"/>
      <c r="U40" s="527"/>
      <c r="V40" s="527"/>
      <c r="W40" s="527"/>
      <c r="X40" s="527"/>
      <c r="Y40" s="527"/>
      <c r="Z40" s="527">
        <f t="shared" si="14"/>
        <v>0</v>
      </c>
      <c r="AA40" s="527">
        <f t="shared" si="10"/>
        <v>0.53048063368692455</v>
      </c>
      <c r="AB40" s="527"/>
      <c r="AC40" s="527"/>
      <c r="AD40" s="538"/>
      <c r="AE40" s="529"/>
      <c r="AF40" s="530"/>
    </row>
    <row r="41" spans="1:36" x14ac:dyDescent="0.2">
      <c r="A41" s="532">
        <v>615</v>
      </c>
      <c r="B41" s="516">
        <v>0</v>
      </c>
      <c r="C41" s="504">
        <f>706-20</f>
        <v>686</v>
      </c>
      <c r="D41" s="561">
        <v>40</v>
      </c>
      <c r="E41" s="562"/>
      <c r="F41" s="563"/>
      <c r="G41" s="564">
        <f t="shared" si="7"/>
        <v>40</v>
      </c>
      <c r="H41" s="562">
        <v>5.7</v>
      </c>
      <c r="I41" s="562"/>
      <c r="J41" s="562"/>
      <c r="K41" s="562"/>
      <c r="L41" s="565">
        <f t="shared" si="8"/>
        <v>5.7</v>
      </c>
      <c r="M41" s="504">
        <f t="shared" si="11"/>
        <v>1020.7034531513239</v>
      </c>
      <c r="N41" s="522">
        <f t="shared" si="15"/>
        <v>646</v>
      </c>
      <c r="O41" s="523">
        <f t="shared" si="12"/>
        <v>685.5</v>
      </c>
      <c r="P41" s="524">
        <f t="shared" si="16"/>
        <v>0.6025256386673784</v>
      </c>
      <c r="Q41" s="525">
        <f t="shared" si="13"/>
        <v>0.23799762727361448</v>
      </c>
      <c r="R41" s="526">
        <f>SUM(Q$13:Q41)</f>
        <v>3.1886907218198384</v>
      </c>
      <c r="S41" s="527">
        <f t="shared" si="9"/>
        <v>0.46516276029465187</v>
      </c>
      <c r="T41" s="650"/>
      <c r="U41" s="668"/>
      <c r="V41" s="459"/>
      <c r="W41" s="650"/>
      <c r="X41" s="668"/>
      <c r="Y41" s="668"/>
      <c r="Z41" s="527">
        <f t="shared" si="14"/>
        <v>0</v>
      </c>
      <c r="AA41" s="527">
        <f t="shared" si="10"/>
        <v>0.6025256386673784</v>
      </c>
      <c r="AB41" s="527"/>
      <c r="AC41" s="527"/>
      <c r="AD41" s="538"/>
      <c r="AE41" s="529"/>
      <c r="AF41" s="530"/>
    </row>
    <row r="42" spans="1:36" x14ac:dyDescent="0.2">
      <c r="A42" s="532">
        <v>555</v>
      </c>
      <c r="B42" s="516">
        <v>0</v>
      </c>
      <c r="C42" s="504">
        <f>C43-D43</f>
        <v>725.5</v>
      </c>
      <c r="D42" s="561">
        <v>40.5</v>
      </c>
      <c r="E42" s="562"/>
      <c r="F42" s="563"/>
      <c r="G42" s="564">
        <f t="shared" si="7"/>
        <v>40.5</v>
      </c>
      <c r="H42" s="562">
        <v>5.7</v>
      </c>
      <c r="I42" s="562"/>
      <c r="J42" s="562"/>
      <c r="K42" s="562"/>
      <c r="L42" s="565">
        <f t="shared" si="8"/>
        <v>5.7</v>
      </c>
      <c r="M42" s="504">
        <f t="shared" si="11"/>
        <v>1033.4622463157154</v>
      </c>
      <c r="N42" s="522">
        <f t="shared" si="15"/>
        <v>685.5</v>
      </c>
      <c r="O42" s="523">
        <f t="shared" si="12"/>
        <v>725.5</v>
      </c>
      <c r="P42" s="524">
        <f t="shared" si="16"/>
        <v>0.53702977731268897</v>
      </c>
      <c r="Q42" s="525">
        <f t="shared" si="13"/>
        <v>0.21481191092507557</v>
      </c>
      <c r="R42" s="526">
        <f>SUM(Q$13:Q42)</f>
        <v>3.4035026327449138</v>
      </c>
      <c r="S42" s="527">
        <f t="shared" si="9"/>
        <v>0.46912510444450911</v>
      </c>
      <c r="T42" s="527">
        <v>25</v>
      </c>
      <c r="U42" s="527">
        <v>1</v>
      </c>
      <c r="V42" s="527"/>
      <c r="W42" s="527"/>
      <c r="X42" s="527"/>
      <c r="Y42" s="527"/>
      <c r="Z42" s="527">
        <f t="shared" si="14"/>
        <v>25.517586328783096</v>
      </c>
      <c r="AA42" s="527">
        <f>(A42-(Z42/0.9))/(M42-Z42)</f>
        <v>0.52249607265956444</v>
      </c>
      <c r="AB42" s="527"/>
      <c r="AC42" s="527"/>
      <c r="AD42" s="538"/>
      <c r="AE42" s="529"/>
      <c r="AF42" s="530"/>
    </row>
    <row r="43" spans="1:36" x14ac:dyDescent="0.2">
      <c r="A43" s="532">
        <v>690</v>
      </c>
      <c r="B43" s="516">
        <v>0</v>
      </c>
      <c r="C43" s="504">
        <f>789-20</f>
        <v>769</v>
      </c>
      <c r="D43" s="561">
        <v>43.5</v>
      </c>
      <c r="E43" s="562"/>
      <c r="F43" s="563"/>
      <c r="G43" s="564">
        <f t="shared" si="7"/>
        <v>43.5</v>
      </c>
      <c r="H43" s="562">
        <v>5.7</v>
      </c>
      <c r="I43" s="562"/>
      <c r="J43" s="562"/>
      <c r="K43" s="562"/>
      <c r="L43" s="565">
        <f t="shared" si="8"/>
        <v>5.7</v>
      </c>
      <c r="M43" s="504">
        <f t="shared" si="11"/>
        <v>1110.0150053020645</v>
      </c>
      <c r="N43" s="522">
        <f t="shared" si="15"/>
        <v>725.5</v>
      </c>
      <c r="O43" s="523">
        <f t="shared" si="12"/>
        <v>768</v>
      </c>
      <c r="P43" s="524">
        <f t="shared" si="16"/>
        <v>0.62161321847377426</v>
      </c>
      <c r="Q43" s="525">
        <f t="shared" si="13"/>
        <v>0.26418561785135408</v>
      </c>
      <c r="R43" s="526">
        <f>SUM(Q$13:Q43)</f>
        <v>3.6676882505962678</v>
      </c>
      <c r="S43" s="527">
        <f t="shared" si="9"/>
        <v>0.47756357429638902</v>
      </c>
      <c r="T43" s="527">
        <v>1</v>
      </c>
      <c r="U43" s="527">
        <v>2</v>
      </c>
      <c r="V43" s="527">
        <v>11</v>
      </c>
      <c r="W43" s="527">
        <v>1</v>
      </c>
      <c r="X43" s="527"/>
      <c r="Y43" s="527"/>
      <c r="Z43" s="527">
        <f t="shared" si="14"/>
        <v>76.552758986349289</v>
      </c>
      <c r="AA43" s="527">
        <f t="shared" ref="AA43:AA69" si="17">(A43-(Z43/0.9))/(M43-Z43)</f>
        <v>0.58535411531545312</v>
      </c>
      <c r="AB43" s="527"/>
      <c r="AC43" s="527"/>
      <c r="AD43" s="538"/>
      <c r="AE43" s="529"/>
      <c r="AF43" s="530"/>
    </row>
    <row r="44" spans="1:36" x14ac:dyDescent="0.2">
      <c r="A44" s="532">
        <v>650</v>
      </c>
      <c r="B44" s="516">
        <v>0</v>
      </c>
      <c r="C44" s="504">
        <f>C45-D45</f>
        <v>808</v>
      </c>
      <c r="D44" s="561">
        <v>41</v>
      </c>
      <c r="E44" s="562"/>
      <c r="F44" s="563"/>
      <c r="G44" s="564">
        <f t="shared" si="7"/>
        <v>41</v>
      </c>
      <c r="H44" s="562">
        <v>5.7</v>
      </c>
      <c r="I44" s="562"/>
      <c r="J44" s="562"/>
      <c r="K44" s="562"/>
      <c r="L44" s="565">
        <f t="shared" si="8"/>
        <v>5.7</v>
      </c>
      <c r="M44" s="504">
        <f t="shared" si="11"/>
        <v>1046.2210394801068</v>
      </c>
      <c r="N44" s="522">
        <f t="shared" si="15"/>
        <v>768</v>
      </c>
      <c r="O44" s="523">
        <f t="shared" si="12"/>
        <v>808</v>
      </c>
      <c r="P44" s="524">
        <f t="shared" si="16"/>
        <v>0.62128362503874046</v>
      </c>
      <c r="Q44" s="525">
        <f t="shared" si="13"/>
        <v>0.24851345001549618</v>
      </c>
      <c r="R44" s="526">
        <f>SUM(Q$13:Q44)</f>
        <v>3.9162017006117642</v>
      </c>
      <c r="S44" s="527">
        <f t="shared" si="9"/>
        <v>0.48467842829353519</v>
      </c>
      <c r="T44" s="527">
        <v>9</v>
      </c>
      <c r="U44" s="527">
        <v>1</v>
      </c>
      <c r="V44" s="527">
        <v>29.5</v>
      </c>
      <c r="W44" s="527">
        <v>3</v>
      </c>
      <c r="X44" s="527"/>
      <c r="Y44" s="527"/>
      <c r="Z44" s="527">
        <f t="shared" si="14"/>
        <v>102.07034531513239</v>
      </c>
      <c r="AA44" s="527">
        <f t="shared" si="17"/>
        <v>0.5683293022201058</v>
      </c>
      <c r="AB44" s="527"/>
      <c r="AC44" s="527"/>
      <c r="AD44" s="538"/>
      <c r="AE44" s="529"/>
      <c r="AF44" s="530"/>
    </row>
    <row r="45" spans="1:36" x14ac:dyDescent="0.2">
      <c r="A45" s="532">
        <v>690</v>
      </c>
      <c r="B45" s="516">
        <v>0</v>
      </c>
      <c r="C45" s="504">
        <f>871-20</f>
        <v>851</v>
      </c>
      <c r="D45" s="561">
        <v>43</v>
      </c>
      <c r="E45" s="562"/>
      <c r="F45" s="563"/>
      <c r="G45" s="564">
        <f t="shared" si="7"/>
        <v>43</v>
      </c>
      <c r="H45" s="562">
        <v>5.7</v>
      </c>
      <c r="I45" s="562"/>
      <c r="J45" s="562"/>
      <c r="K45" s="562"/>
      <c r="L45" s="565">
        <f t="shared" si="8"/>
        <v>5.7</v>
      </c>
      <c r="M45" s="504">
        <f t="shared" si="11"/>
        <v>1097.2562121376732</v>
      </c>
      <c r="N45" s="522">
        <f t="shared" si="15"/>
        <v>808</v>
      </c>
      <c r="O45" s="523">
        <f t="shared" si="12"/>
        <v>852.75</v>
      </c>
      <c r="P45" s="524">
        <f t="shared" si="16"/>
        <v>0.6288412791537018</v>
      </c>
      <c r="Q45" s="525">
        <f t="shared" si="13"/>
        <v>0.28140647242128158</v>
      </c>
      <c r="R45" s="526">
        <f>SUM(Q$13:Q45)</f>
        <v>4.1976081730330455</v>
      </c>
      <c r="S45" s="527">
        <f t="shared" si="9"/>
        <v>0.49224370249581301</v>
      </c>
      <c r="T45" s="527">
        <v>30</v>
      </c>
      <c r="U45" s="527">
        <v>2</v>
      </c>
      <c r="V45" s="527"/>
      <c r="W45" s="527"/>
      <c r="X45" s="527"/>
      <c r="Y45" s="527"/>
      <c r="Z45" s="527">
        <f t="shared" si="14"/>
        <v>51.035172657566193</v>
      </c>
      <c r="AA45" s="527">
        <f t="shared" si="17"/>
        <v>0.60531592149724278</v>
      </c>
      <c r="AB45" s="527"/>
      <c r="AC45" s="527"/>
      <c r="AD45" s="538"/>
      <c r="AE45" s="529"/>
      <c r="AF45" s="530"/>
    </row>
    <row r="46" spans="1:36" x14ac:dyDescent="0.2">
      <c r="A46" s="532">
        <v>800</v>
      </c>
      <c r="B46" s="516">
        <v>0</v>
      </c>
      <c r="C46" s="504">
        <f>C47-D47</f>
        <v>903.5</v>
      </c>
      <c r="D46" s="561">
        <v>49</v>
      </c>
      <c r="E46" s="562"/>
      <c r="F46" s="563"/>
      <c r="G46" s="564">
        <f t="shared" si="7"/>
        <v>49</v>
      </c>
      <c r="H46" s="562">
        <v>5.7</v>
      </c>
      <c r="I46" s="562"/>
      <c r="J46" s="562"/>
      <c r="K46" s="562"/>
      <c r="L46" s="565">
        <f t="shared" si="8"/>
        <v>5.7</v>
      </c>
      <c r="M46" s="504">
        <f t="shared" si="11"/>
        <v>1250.3617301103716</v>
      </c>
      <c r="N46" s="522">
        <f t="shared" si="15"/>
        <v>852.75</v>
      </c>
      <c r="O46" s="523">
        <f t="shared" si="12"/>
        <v>903.5</v>
      </c>
      <c r="P46" s="524">
        <f t="shared" si="16"/>
        <v>0.63981484776360087</v>
      </c>
      <c r="Q46" s="525">
        <f t="shared" si="13"/>
        <v>0.3247060352400275</v>
      </c>
      <c r="R46" s="526">
        <f>SUM(Q$13:Q46)</f>
        <v>4.5223142082730732</v>
      </c>
      <c r="S46" s="527">
        <f t="shared" si="9"/>
        <v>0.50053283987527097</v>
      </c>
      <c r="T46" s="527">
        <v>2</v>
      </c>
      <c r="U46" s="527">
        <v>1</v>
      </c>
      <c r="V46" s="527">
        <v>12</v>
      </c>
      <c r="W46" s="527">
        <v>3</v>
      </c>
      <c r="X46" s="527"/>
      <c r="Y46" s="527"/>
      <c r="Z46" s="527">
        <f t="shared" si="14"/>
        <v>102.07034531513239</v>
      </c>
      <c r="AA46" s="527">
        <f t="shared" si="17"/>
        <v>0.59792184657715552</v>
      </c>
      <c r="AB46" s="527"/>
      <c r="AC46" s="527"/>
      <c r="AD46" s="538"/>
      <c r="AE46" s="529"/>
      <c r="AF46" s="530"/>
    </row>
    <row r="47" spans="1:36" x14ac:dyDescent="0.2">
      <c r="A47" s="532">
        <v>500</v>
      </c>
      <c r="B47" s="516">
        <v>0</v>
      </c>
      <c r="C47" s="504">
        <f>954-20</f>
        <v>934</v>
      </c>
      <c r="D47" s="561">
        <v>30.5</v>
      </c>
      <c r="E47" s="562"/>
      <c r="F47" s="563"/>
      <c r="G47" s="564">
        <f t="shared" si="7"/>
        <v>30.5</v>
      </c>
      <c r="H47" s="562">
        <v>5.7</v>
      </c>
      <c r="I47" s="562"/>
      <c r="J47" s="562"/>
      <c r="K47" s="562"/>
      <c r="L47" s="565">
        <f t="shared" si="8"/>
        <v>5.7</v>
      </c>
      <c r="M47" s="504">
        <f t="shared" si="11"/>
        <v>778.28638302788443</v>
      </c>
      <c r="N47" s="522">
        <f t="shared" si="15"/>
        <v>903.5</v>
      </c>
      <c r="O47" s="523">
        <f t="shared" si="12"/>
        <v>933.5</v>
      </c>
      <c r="P47" s="524">
        <f t="shared" si="16"/>
        <v>0.642437039762632</v>
      </c>
      <c r="Q47" s="525">
        <f t="shared" si="13"/>
        <v>0.19273111192878961</v>
      </c>
      <c r="R47" s="526">
        <f>SUM(Q$13:Q47)</f>
        <v>4.7150453202018632</v>
      </c>
      <c r="S47" s="527">
        <f t="shared" si="9"/>
        <v>0.50509323194449529</v>
      </c>
      <c r="T47" s="527">
        <v>9</v>
      </c>
      <c r="U47" s="527">
        <v>0.5</v>
      </c>
      <c r="V47" s="527"/>
      <c r="W47" s="527"/>
      <c r="X47" s="527"/>
      <c r="Y47" s="527"/>
      <c r="Z47" s="527">
        <f t="shared" si="14"/>
        <v>12.758793164391548</v>
      </c>
      <c r="AA47" s="527">
        <f t="shared" si="17"/>
        <v>0.63462580524015733</v>
      </c>
      <c r="AB47" s="527"/>
      <c r="AC47" s="527"/>
      <c r="AD47" s="538"/>
      <c r="AE47" s="529"/>
      <c r="AF47" s="530"/>
    </row>
    <row r="48" spans="1:36" x14ac:dyDescent="0.2">
      <c r="A48" s="532">
        <v>620</v>
      </c>
      <c r="B48" s="516">
        <v>0</v>
      </c>
      <c r="C48" s="504">
        <f>C49-D49</f>
        <v>972</v>
      </c>
      <c r="D48" s="561">
        <v>39</v>
      </c>
      <c r="E48" s="562"/>
      <c r="F48" s="563"/>
      <c r="G48" s="564">
        <f t="shared" si="7"/>
        <v>39</v>
      </c>
      <c r="H48" s="562">
        <v>5.7</v>
      </c>
      <c r="I48" s="562"/>
      <c r="J48" s="562"/>
      <c r="K48" s="562"/>
      <c r="L48" s="565">
        <f t="shared" si="8"/>
        <v>5.7</v>
      </c>
      <c r="M48" s="504">
        <f t="shared" si="11"/>
        <v>995.18586682254067</v>
      </c>
      <c r="N48" s="522">
        <f t="shared" si="15"/>
        <v>933.5</v>
      </c>
      <c r="O48" s="523">
        <f t="shared" si="12"/>
        <v>972</v>
      </c>
      <c r="P48" s="524">
        <f t="shared" si="16"/>
        <v>0.62299920112366003</v>
      </c>
      <c r="Q48" s="525">
        <f t="shared" si="13"/>
        <v>0.23985469243260912</v>
      </c>
      <c r="R48" s="526">
        <f>SUM(Q$13:Q48)</f>
        <v>4.9549000126344724</v>
      </c>
      <c r="S48" s="527">
        <f t="shared" si="9"/>
        <v>0.50976337578543951</v>
      </c>
      <c r="T48" s="527"/>
      <c r="U48" s="527"/>
      <c r="V48" s="527"/>
      <c r="W48" s="527"/>
      <c r="X48" s="527"/>
      <c r="Y48" s="527"/>
      <c r="Z48" s="527">
        <f t="shared" si="14"/>
        <v>0</v>
      </c>
      <c r="AA48" s="527">
        <f t="shared" si="17"/>
        <v>0.62299920112366003</v>
      </c>
      <c r="AB48" s="527"/>
      <c r="AC48" s="527"/>
      <c r="AD48" s="538"/>
      <c r="AE48" s="529"/>
      <c r="AF48" s="530"/>
    </row>
    <row r="49" spans="1:36" x14ac:dyDescent="0.2">
      <c r="A49" s="532">
        <v>700</v>
      </c>
      <c r="B49" s="516">
        <v>0</v>
      </c>
      <c r="C49" s="504">
        <f>1035-20</f>
        <v>1015</v>
      </c>
      <c r="D49" s="561">
        <v>43</v>
      </c>
      <c r="E49" s="562"/>
      <c r="F49" s="563"/>
      <c r="G49" s="564">
        <f t="shared" si="7"/>
        <v>43</v>
      </c>
      <c r="H49" s="562">
        <v>5.7</v>
      </c>
      <c r="I49" s="562"/>
      <c r="J49" s="562"/>
      <c r="K49" s="562"/>
      <c r="L49" s="565">
        <f t="shared" si="8"/>
        <v>5.7</v>
      </c>
      <c r="M49" s="504">
        <f t="shared" si="11"/>
        <v>1097.2562121376732</v>
      </c>
      <c r="N49" s="522">
        <f t="shared" si="15"/>
        <v>972</v>
      </c>
      <c r="O49" s="523">
        <f t="shared" si="12"/>
        <v>1015.2500000000001</v>
      </c>
      <c r="P49" s="524">
        <f t="shared" si="16"/>
        <v>0.63795492088056704</v>
      </c>
      <c r="Q49" s="525">
        <f t="shared" si="13"/>
        <v>0.27591550328084596</v>
      </c>
      <c r="R49" s="526">
        <f>SUM(Q$13:Q49)</f>
        <v>5.2308155159153182</v>
      </c>
      <c r="S49" s="527">
        <f t="shared" si="9"/>
        <v>0.51522437979958802</v>
      </c>
      <c r="T49" s="527">
        <v>0</v>
      </c>
      <c r="U49" s="527">
        <v>1</v>
      </c>
      <c r="V49" s="527"/>
      <c r="W49" s="527"/>
      <c r="X49" s="527"/>
      <c r="Y49" s="527"/>
      <c r="Z49" s="527">
        <f t="shared" si="14"/>
        <v>25.517586328783096</v>
      </c>
      <c r="AA49" s="527">
        <f t="shared" si="17"/>
        <v>0.62668929730364942</v>
      </c>
      <c r="AB49" s="527"/>
      <c r="AC49" s="527"/>
      <c r="AD49" s="538"/>
      <c r="AE49" s="529"/>
      <c r="AF49" s="530"/>
    </row>
    <row r="50" spans="1:36" x14ac:dyDescent="0.2">
      <c r="A50" s="532">
        <v>655</v>
      </c>
      <c r="B50" s="516">
        <v>0</v>
      </c>
      <c r="C50" s="504">
        <f>C51-D51</f>
        <v>1052.8</v>
      </c>
      <c r="D50" s="561">
        <v>37.299999999999997</v>
      </c>
      <c r="E50" s="562"/>
      <c r="F50" s="563"/>
      <c r="G50" s="564">
        <f t="shared" si="7"/>
        <v>37.299999999999997</v>
      </c>
      <c r="H50" s="562">
        <v>5.7</v>
      </c>
      <c r="I50" s="562"/>
      <c r="J50" s="562"/>
      <c r="K50" s="562"/>
      <c r="L50" s="565">
        <f t="shared" si="8"/>
        <v>5.7</v>
      </c>
      <c r="M50" s="504">
        <f t="shared" si="11"/>
        <v>951.80597006360949</v>
      </c>
      <c r="N50" s="522">
        <f t="shared" si="15"/>
        <v>1015.2500000000001</v>
      </c>
      <c r="O50" s="523">
        <f t="shared" si="12"/>
        <v>1052.8000000000002</v>
      </c>
      <c r="P50" s="524">
        <f t="shared" si="16"/>
        <v>0.68816546712375226</v>
      </c>
      <c r="Q50" s="525">
        <f t="shared" si="13"/>
        <v>0.25840613290496944</v>
      </c>
      <c r="R50" s="526">
        <f>SUM(Q$13:Q50)</f>
        <v>5.4892216488202878</v>
      </c>
      <c r="S50" s="527">
        <f t="shared" si="9"/>
        <v>0.52139263381651657</v>
      </c>
      <c r="T50" s="527">
        <v>28.5</v>
      </c>
      <c r="U50" s="527">
        <v>8</v>
      </c>
      <c r="V50" s="527"/>
      <c r="W50" s="527"/>
      <c r="X50" s="527"/>
      <c r="Y50" s="527"/>
      <c r="Z50" s="527">
        <f t="shared" si="14"/>
        <v>204.14069063026477</v>
      </c>
      <c r="AA50" s="527">
        <f t="shared" si="17"/>
        <v>0.5726854278097977</v>
      </c>
      <c r="AB50" s="527"/>
      <c r="AC50" s="527"/>
      <c r="AD50" s="538"/>
      <c r="AE50" s="529"/>
      <c r="AF50" s="530"/>
    </row>
    <row r="51" spans="1:36" x14ac:dyDescent="0.2">
      <c r="A51" s="532">
        <v>570</v>
      </c>
      <c r="B51" s="516">
        <v>0</v>
      </c>
      <c r="C51" s="504">
        <f>1108-20</f>
        <v>1088</v>
      </c>
      <c r="D51" s="561">
        <v>35.200000000000003</v>
      </c>
      <c r="E51" s="562"/>
      <c r="F51" s="563"/>
      <c r="G51" s="564">
        <f t="shared" si="7"/>
        <v>35.200000000000003</v>
      </c>
      <c r="H51" s="562">
        <v>5.7</v>
      </c>
      <c r="I51" s="562"/>
      <c r="J51" s="562"/>
      <c r="K51" s="562"/>
      <c r="L51" s="565">
        <f t="shared" si="8"/>
        <v>5.7</v>
      </c>
      <c r="M51" s="504">
        <f t="shared" si="11"/>
        <v>898.21903877316515</v>
      </c>
      <c r="N51" s="522">
        <f t="shared" si="15"/>
        <v>1052.8000000000002</v>
      </c>
      <c r="O51" s="523">
        <f t="shared" si="12"/>
        <v>1086.4000000000001</v>
      </c>
      <c r="P51" s="524">
        <f t="shared" si="16"/>
        <v>0.6345890872882588</v>
      </c>
      <c r="Q51" s="525">
        <f t="shared" si="13"/>
        <v>0.21322193332885436</v>
      </c>
      <c r="R51" s="526">
        <f>SUM(Q$13:Q51)</f>
        <v>5.7024435821491419</v>
      </c>
      <c r="S51" s="527">
        <f t="shared" si="9"/>
        <v>0.52489355505791058</v>
      </c>
      <c r="T51" s="527">
        <v>16</v>
      </c>
      <c r="U51" s="527">
        <v>1</v>
      </c>
      <c r="V51" s="527">
        <v>30</v>
      </c>
      <c r="W51" s="527">
        <v>0.5</v>
      </c>
      <c r="X51" s="527"/>
      <c r="Y51" s="527"/>
      <c r="Z51" s="527">
        <f t="shared" si="14"/>
        <v>38.276379493174645</v>
      </c>
      <c r="AA51" s="527">
        <f t="shared" si="17"/>
        <v>0.61337890818635143</v>
      </c>
      <c r="AB51" s="527"/>
      <c r="AC51" s="527"/>
      <c r="AD51" s="538"/>
      <c r="AE51" s="529"/>
      <c r="AF51" s="530"/>
    </row>
    <row r="52" spans="1:36" ht="10.8" thickBot="1" x14ac:dyDescent="0.25">
      <c r="A52" s="532">
        <v>680</v>
      </c>
      <c r="B52" s="516">
        <v>0</v>
      </c>
      <c r="C52" s="504">
        <f>C53-D53</f>
        <v>1127.5</v>
      </c>
      <c r="D52" s="561">
        <v>42.7</v>
      </c>
      <c r="E52" s="562"/>
      <c r="F52" s="563"/>
      <c r="G52" s="564">
        <f t="shared" si="7"/>
        <v>42.7</v>
      </c>
      <c r="H52" s="562">
        <v>5.7</v>
      </c>
      <c r="I52" s="562"/>
      <c r="J52" s="562"/>
      <c r="K52" s="562"/>
      <c r="L52" s="565">
        <f t="shared" si="8"/>
        <v>5.7</v>
      </c>
      <c r="M52" s="504">
        <f t="shared" si="11"/>
        <v>1089.6009362390382</v>
      </c>
      <c r="N52" s="522">
        <f t="shared" si="15"/>
        <v>1086.4000000000001</v>
      </c>
      <c r="O52" s="523">
        <f t="shared" si="12"/>
        <v>1127.5</v>
      </c>
      <c r="P52" s="524">
        <f t="shared" si="16"/>
        <v>0.62408169576941386</v>
      </c>
      <c r="Q52" s="525">
        <f t="shared" si="13"/>
        <v>0.25649757696122849</v>
      </c>
      <c r="R52" s="526">
        <f>SUM(Q$13:Q52)</f>
        <v>5.9589411591103705</v>
      </c>
      <c r="S52" s="527">
        <f t="shared" si="9"/>
        <v>0.52850919371267147</v>
      </c>
      <c r="T52" s="527">
        <v>0.5</v>
      </c>
      <c r="U52" s="527">
        <v>5</v>
      </c>
      <c r="V52" s="527"/>
      <c r="W52" s="527"/>
      <c r="X52" s="527"/>
      <c r="Y52" s="527"/>
      <c r="Z52" s="527">
        <f t="shared" si="14"/>
        <v>127.58793164391548</v>
      </c>
      <c r="AA52" s="527">
        <f t="shared" si="17"/>
        <v>0.55948893511401632</v>
      </c>
      <c r="AB52" s="527"/>
      <c r="AC52" s="527"/>
      <c r="AD52" s="538" t="s">
        <v>166</v>
      </c>
      <c r="AE52" s="529"/>
      <c r="AF52" s="575"/>
    </row>
    <row r="53" spans="1:36" x14ac:dyDescent="0.2">
      <c r="A53" s="532">
        <v>720</v>
      </c>
      <c r="B53" s="516">
        <v>0</v>
      </c>
      <c r="C53" s="504">
        <f>1188-20</f>
        <v>1168</v>
      </c>
      <c r="D53" s="561">
        <v>40.5</v>
      </c>
      <c r="E53" s="562"/>
      <c r="F53" s="563"/>
      <c r="G53" s="564">
        <f t="shared" si="7"/>
        <v>40.5</v>
      </c>
      <c r="H53" s="562">
        <v>5.7</v>
      </c>
      <c r="I53" s="562"/>
      <c r="J53" s="562"/>
      <c r="K53" s="562"/>
      <c r="L53" s="565">
        <f t="shared" si="8"/>
        <v>5.7</v>
      </c>
      <c r="M53" s="504">
        <f t="shared" si="11"/>
        <v>1033.4622463157154</v>
      </c>
      <c r="N53" s="522">
        <f t="shared" si="15"/>
        <v>1127.5</v>
      </c>
      <c r="O53" s="523">
        <f t="shared" si="12"/>
        <v>1168.75</v>
      </c>
      <c r="P53" s="524">
        <f t="shared" si="16"/>
        <v>0.69668727867592084</v>
      </c>
      <c r="Q53" s="525">
        <f t="shared" si="13"/>
        <v>0.28738350245381733</v>
      </c>
      <c r="R53" s="526">
        <f>SUM(Q$13:Q53)</f>
        <v>6.2463246615641879</v>
      </c>
      <c r="S53" s="527">
        <f t="shared" si="9"/>
        <v>0.53444489082902136</v>
      </c>
      <c r="T53" s="527">
        <v>35</v>
      </c>
      <c r="U53" s="527">
        <v>4.5</v>
      </c>
      <c r="V53" s="527"/>
      <c r="W53" s="527"/>
      <c r="X53" s="527"/>
      <c r="Y53" s="527"/>
      <c r="Z53" s="527">
        <f t="shared" si="14"/>
        <v>114.82913847952393</v>
      </c>
      <c r="AA53" s="527">
        <f t="shared" si="17"/>
        <v>0.64488429962152216</v>
      </c>
      <c r="AB53" s="527"/>
      <c r="AC53" s="527"/>
      <c r="AD53" s="538"/>
      <c r="AE53" s="576" t="s">
        <v>157</v>
      </c>
      <c r="AF53" s="577">
        <f>AVERAGE(AF12:AF52)</f>
        <v>582</v>
      </c>
    </row>
    <row r="54" spans="1:36" x14ac:dyDescent="0.2">
      <c r="A54" s="532">
        <v>595</v>
      </c>
      <c r="B54" s="516">
        <v>0</v>
      </c>
      <c r="C54" s="504">
        <f>C55-D55</f>
        <v>1201.5999999999999</v>
      </c>
      <c r="D54" s="561">
        <v>32.1</v>
      </c>
      <c r="E54" s="562"/>
      <c r="F54" s="563"/>
      <c r="G54" s="564">
        <f t="shared" si="7"/>
        <v>32.1</v>
      </c>
      <c r="H54" s="562">
        <v>5.7</v>
      </c>
      <c r="I54" s="562"/>
      <c r="J54" s="562"/>
      <c r="K54" s="562"/>
      <c r="L54" s="565">
        <f t="shared" si="8"/>
        <v>5.7</v>
      </c>
      <c r="M54" s="504">
        <f t="shared" si="11"/>
        <v>819.1145211539374</v>
      </c>
      <c r="N54" s="522">
        <f t="shared" si="15"/>
        <v>1168.75</v>
      </c>
      <c r="O54" s="523">
        <f t="shared" si="12"/>
        <v>1201.5999999999999</v>
      </c>
      <c r="P54" s="524">
        <f t="shared" si="16"/>
        <v>0.72639415446058342</v>
      </c>
      <c r="Q54" s="525">
        <f t="shared" si="13"/>
        <v>0.23862047974030098</v>
      </c>
      <c r="R54" s="526">
        <f>SUM(Q$13:Q54)</f>
        <v>6.4849451413044887</v>
      </c>
      <c r="S54" s="527">
        <f t="shared" si="9"/>
        <v>0.53969250510190492</v>
      </c>
      <c r="T54" s="527"/>
      <c r="U54" s="527">
        <v>6</v>
      </c>
      <c r="V54" s="527">
        <v>16</v>
      </c>
      <c r="W54" s="527">
        <v>1</v>
      </c>
      <c r="X54" s="527">
        <v>27.5</v>
      </c>
      <c r="Y54" s="527">
        <v>2</v>
      </c>
      <c r="Z54" s="527">
        <f t="shared" si="14"/>
        <v>229.65827695904787</v>
      </c>
      <c r="AA54" s="527">
        <f t="shared" si="17"/>
        <v>0.57650443109024785</v>
      </c>
      <c r="AB54" s="527"/>
      <c r="AC54" s="527"/>
      <c r="AD54" s="538"/>
      <c r="AE54" s="403" t="s">
        <v>158</v>
      </c>
      <c r="AF54" s="575" t="e">
        <f>STDEV(AF12:AF52)</f>
        <v>#DIV/0!</v>
      </c>
      <c r="AG54" s="578"/>
      <c r="AH54" s="578"/>
    </row>
    <row r="55" spans="1:36" x14ac:dyDescent="0.2">
      <c r="A55" s="532">
        <v>685</v>
      </c>
      <c r="B55" s="516">
        <v>0</v>
      </c>
      <c r="C55" s="504">
        <f>1255-20</f>
        <v>1235</v>
      </c>
      <c r="D55" s="561">
        <v>33.4</v>
      </c>
      <c r="E55" s="562"/>
      <c r="F55" s="563"/>
      <c r="G55" s="564">
        <f t="shared" si="7"/>
        <v>33.4</v>
      </c>
      <c r="H55" s="562">
        <v>5.7</v>
      </c>
      <c r="I55" s="562"/>
      <c r="J55" s="562"/>
      <c r="K55" s="562"/>
      <c r="L55" s="565">
        <f t="shared" si="8"/>
        <v>5.7</v>
      </c>
      <c r="M55" s="504">
        <f t="shared" si="11"/>
        <v>852.28738338135543</v>
      </c>
      <c r="N55" s="522">
        <f t="shared" si="15"/>
        <v>1201.5999999999999</v>
      </c>
      <c r="O55" s="523">
        <f t="shared" si="12"/>
        <v>1234.8999999999999</v>
      </c>
      <c r="P55" s="524">
        <f t="shared" si="16"/>
        <v>0.80371951217010706</v>
      </c>
      <c r="Q55" s="525">
        <f t="shared" si="13"/>
        <v>0.2676385975526453</v>
      </c>
      <c r="R55" s="526">
        <f>SUM(Q$13:Q55)</f>
        <v>6.7525837388571341</v>
      </c>
      <c r="S55" s="527">
        <f t="shared" si="9"/>
        <v>0.54681219036821882</v>
      </c>
      <c r="T55" s="527">
        <v>7</v>
      </c>
      <c r="U55" s="527">
        <v>2</v>
      </c>
      <c r="V55" s="527">
        <v>15.5</v>
      </c>
      <c r="W55" s="527">
        <v>2.5</v>
      </c>
      <c r="X55" s="527">
        <v>19</v>
      </c>
      <c r="Y55" s="527">
        <v>2.5</v>
      </c>
      <c r="Z55" s="527">
        <f t="shared" si="14"/>
        <v>178.62310430148167</v>
      </c>
      <c r="AA55" s="527">
        <f t="shared" si="17"/>
        <v>0.72221416396605298</v>
      </c>
      <c r="AB55" s="527"/>
      <c r="AC55" s="527"/>
      <c r="AD55" s="538"/>
      <c r="AE55" s="403" t="s">
        <v>160</v>
      </c>
      <c r="AF55" s="575" t="e">
        <f>AF54/SQRT(COUNT(AF12:AF52))</f>
        <v>#DIV/0!</v>
      </c>
      <c r="AG55" s="573"/>
      <c r="AH55" s="578"/>
      <c r="AI55" s="578"/>
      <c r="AJ55" s="578"/>
    </row>
    <row r="56" spans="1:36" x14ac:dyDescent="0.2">
      <c r="A56" s="532">
        <v>560</v>
      </c>
      <c r="B56" s="516">
        <v>0</v>
      </c>
      <c r="C56" s="504">
        <f>C57-D57</f>
        <v>1265.5999999999999</v>
      </c>
      <c r="D56" s="561">
        <v>30.8</v>
      </c>
      <c r="E56" s="562"/>
      <c r="F56" s="563"/>
      <c r="G56" s="564">
        <f t="shared" ref="G56:G69" si="18">AVERAGE(D56:F56)</f>
        <v>30.8</v>
      </c>
      <c r="H56" s="562">
        <v>5.7</v>
      </c>
      <c r="I56" s="562"/>
      <c r="J56" s="562"/>
      <c r="K56" s="562"/>
      <c r="L56" s="565">
        <f t="shared" ref="L56:L69" si="19">AVERAGE(H56:K56)</f>
        <v>5.7</v>
      </c>
      <c r="M56" s="504">
        <f t="shared" ref="M56:M69" si="20">G56*    PI()* (L56/2)^2</f>
        <v>785.94165892651938</v>
      </c>
      <c r="N56" s="522">
        <f t="shared" si="15"/>
        <v>1234.8999999999999</v>
      </c>
      <c r="O56" s="523">
        <f t="shared" si="12"/>
        <v>1265.5999999999999</v>
      </c>
      <c r="P56" s="524">
        <f t="shared" ref="P56:P69" si="21">(A56-B56)/M56</f>
        <v>0.71252108046400997</v>
      </c>
      <c r="Q56" s="525">
        <f t="shared" ref="Q56:Q69" si="22">(P56*(O56-N56))/100</f>
        <v>0.21874397170245138</v>
      </c>
      <c r="R56" s="526">
        <f>SUM(Q$13:Q56)</f>
        <v>6.9713277105595859</v>
      </c>
      <c r="S56" s="527">
        <f t="shared" ref="S56:S69" si="23">R56/O56*100</f>
        <v>0.55083183553726189</v>
      </c>
      <c r="T56" s="527">
        <v>17.5</v>
      </c>
      <c r="U56" s="527">
        <v>0.5</v>
      </c>
      <c r="V56" s="527">
        <v>22.5</v>
      </c>
      <c r="W56" s="527">
        <v>1.5</v>
      </c>
      <c r="X56" s="527"/>
      <c r="Y56" s="527"/>
      <c r="Z56" s="527">
        <f t="shared" si="14"/>
        <v>51.035172657566193</v>
      </c>
      <c r="AA56" s="527">
        <f t="shared" si="17"/>
        <v>0.68484121722462798</v>
      </c>
      <c r="AB56" s="527"/>
      <c r="AC56" s="527"/>
      <c r="AD56" s="538"/>
      <c r="AE56" s="403" t="s">
        <v>161</v>
      </c>
      <c r="AF56" s="575">
        <f>MAX(AF12:AF52)</f>
        <v>582</v>
      </c>
      <c r="AG56" s="573"/>
    </row>
    <row r="57" spans="1:36" ht="10.8" thickBot="1" x14ac:dyDescent="0.25">
      <c r="A57" s="532">
        <v>765</v>
      </c>
      <c r="B57" s="516">
        <v>0</v>
      </c>
      <c r="C57" s="504">
        <f>C58-D58</f>
        <v>1305.0999999999999</v>
      </c>
      <c r="D57" s="561">
        <v>39.5</v>
      </c>
      <c r="E57" s="562"/>
      <c r="F57" s="563"/>
      <c r="G57" s="564">
        <f t="shared" si="18"/>
        <v>39.5</v>
      </c>
      <c r="H57" s="562">
        <v>5.7</v>
      </c>
      <c r="I57" s="562"/>
      <c r="J57" s="562"/>
      <c r="K57" s="562"/>
      <c r="L57" s="565">
        <f t="shared" si="19"/>
        <v>5.7</v>
      </c>
      <c r="M57" s="504">
        <f t="shared" si="20"/>
        <v>1007.9446599869324</v>
      </c>
      <c r="N57" s="522">
        <f t="shared" si="15"/>
        <v>1265.5999999999999</v>
      </c>
      <c r="O57" s="523">
        <f t="shared" si="12"/>
        <v>1305.0999999999999</v>
      </c>
      <c r="P57" s="524">
        <f t="shared" si="21"/>
        <v>0.75897023950691689</v>
      </c>
      <c r="Q57" s="525">
        <f t="shared" si="22"/>
        <v>0.29979324460523216</v>
      </c>
      <c r="R57" s="526">
        <f>SUM(Q$13:Q57)</f>
        <v>7.2711209551648182</v>
      </c>
      <c r="S57" s="527">
        <f t="shared" si="23"/>
        <v>0.5571313274971128</v>
      </c>
      <c r="T57" s="527">
        <v>0</v>
      </c>
      <c r="U57" s="527">
        <v>9</v>
      </c>
      <c r="V57" s="527">
        <v>13.5</v>
      </c>
      <c r="W57" s="527">
        <v>0.5</v>
      </c>
      <c r="X57" s="527"/>
      <c r="Y57" s="527"/>
      <c r="Z57" s="527">
        <f t="shared" si="14"/>
        <v>242.4170701234394</v>
      </c>
      <c r="AA57" s="527">
        <f t="shared" si="17"/>
        <v>0.64745896349892218</v>
      </c>
      <c r="AB57" s="527"/>
      <c r="AC57" s="527"/>
      <c r="AD57" s="538"/>
      <c r="AE57" s="615" t="s">
        <v>162</v>
      </c>
      <c r="AF57" s="616">
        <f>MIN(AF12:AF52)</f>
        <v>582</v>
      </c>
      <c r="AG57" s="578"/>
    </row>
    <row r="58" spans="1:36" x14ac:dyDescent="0.2">
      <c r="A58" s="532">
        <v>520</v>
      </c>
      <c r="B58" s="516">
        <v>0</v>
      </c>
      <c r="C58" s="504">
        <f>C59-D59</f>
        <v>1335.8</v>
      </c>
      <c r="D58" s="561">
        <v>30.7</v>
      </c>
      <c r="E58" s="562"/>
      <c r="F58" s="563"/>
      <c r="G58" s="564">
        <f t="shared" si="18"/>
        <v>30.7</v>
      </c>
      <c r="H58" s="562">
        <v>5.7</v>
      </c>
      <c r="I58" s="562"/>
      <c r="J58" s="562"/>
      <c r="K58" s="562"/>
      <c r="L58" s="565">
        <f t="shared" si="19"/>
        <v>5.7</v>
      </c>
      <c r="M58" s="504">
        <f t="shared" si="20"/>
        <v>783.38990029364095</v>
      </c>
      <c r="N58" s="522">
        <f t="shared" si="15"/>
        <v>1305.0999999999999</v>
      </c>
      <c r="O58" s="523">
        <f t="shared" si="12"/>
        <v>1335.8000000000002</v>
      </c>
      <c r="P58" s="524">
        <f t="shared" si="21"/>
        <v>0.66378185346158591</v>
      </c>
      <c r="Q58" s="525">
        <f t="shared" si="22"/>
        <v>0.20378102901270867</v>
      </c>
      <c r="R58" s="526">
        <f>SUM(Q$13:Q58)</f>
        <v>7.474901984177527</v>
      </c>
      <c r="S58" s="527">
        <f t="shared" si="23"/>
        <v>0.55958242133384684</v>
      </c>
      <c r="T58" s="527">
        <v>8.5</v>
      </c>
      <c r="U58" s="527">
        <v>6.5</v>
      </c>
      <c r="V58" s="527"/>
      <c r="W58" s="527"/>
      <c r="X58" s="527"/>
      <c r="Y58" s="527"/>
      <c r="Z58" s="527">
        <f t="shared" si="14"/>
        <v>165.86431113709014</v>
      </c>
      <c r="AA58" s="527">
        <f t="shared" si="17"/>
        <v>0.54363143301853167</v>
      </c>
      <c r="AB58" s="527"/>
      <c r="AC58" s="527"/>
      <c r="AD58" s="538"/>
    </row>
    <row r="59" spans="1:36" x14ac:dyDescent="0.2">
      <c r="A59" s="532">
        <v>610</v>
      </c>
      <c r="B59" s="516">
        <v>0</v>
      </c>
      <c r="C59" s="504">
        <f>1384-20</f>
        <v>1364</v>
      </c>
      <c r="D59" s="561">
        <v>28.2</v>
      </c>
      <c r="E59" s="562"/>
      <c r="F59" s="563"/>
      <c r="G59" s="564">
        <f t="shared" si="18"/>
        <v>28.2</v>
      </c>
      <c r="H59" s="562">
        <v>5.7</v>
      </c>
      <c r="I59" s="562"/>
      <c r="J59" s="562"/>
      <c r="K59" s="562"/>
      <c r="L59" s="565">
        <f t="shared" si="19"/>
        <v>5.7</v>
      </c>
      <c r="M59" s="504">
        <f t="shared" si="20"/>
        <v>719.59593447168334</v>
      </c>
      <c r="N59" s="522">
        <f t="shared" si="15"/>
        <v>1335.8000000000002</v>
      </c>
      <c r="O59" s="523">
        <f t="shared" si="12"/>
        <v>1362.0500000000002</v>
      </c>
      <c r="P59" s="524">
        <f t="shared" si="21"/>
        <v>0.8476979521123239</v>
      </c>
      <c r="Q59" s="525">
        <f t="shared" si="22"/>
        <v>0.22252071242948504</v>
      </c>
      <c r="R59" s="526">
        <f>SUM(Q$13:Q59)</f>
        <v>7.6974226966070125</v>
      </c>
      <c r="S59" s="527">
        <f t="shared" si="23"/>
        <v>0.56513510492324159</v>
      </c>
      <c r="T59" s="527">
        <v>8</v>
      </c>
      <c r="U59" s="527">
        <v>4</v>
      </c>
      <c r="V59" s="527"/>
      <c r="W59" s="527"/>
      <c r="X59" s="527"/>
      <c r="Y59" s="527"/>
      <c r="Z59" s="527">
        <f t="shared" si="14"/>
        <v>102.07034531513239</v>
      </c>
      <c r="AA59" s="527">
        <f t="shared" si="17"/>
        <v>0.80415858698855747</v>
      </c>
      <c r="AB59" s="527"/>
      <c r="AC59" s="527"/>
      <c r="AD59" s="538"/>
    </row>
    <row r="60" spans="1:36" x14ac:dyDescent="0.2">
      <c r="A60" s="532">
        <v>595</v>
      </c>
      <c r="B60" s="516">
        <v>0</v>
      </c>
      <c r="C60" s="504">
        <f>C61-D61</f>
        <v>1391.8</v>
      </c>
      <c r="D60" s="561">
        <v>31.7</v>
      </c>
      <c r="E60" s="562"/>
      <c r="F60" s="563"/>
      <c r="G60" s="564">
        <f t="shared" si="18"/>
        <v>31.7</v>
      </c>
      <c r="H60" s="562">
        <v>5.7</v>
      </c>
      <c r="I60" s="562"/>
      <c r="J60" s="562"/>
      <c r="K60" s="562"/>
      <c r="L60" s="565">
        <f t="shared" si="19"/>
        <v>5.7</v>
      </c>
      <c r="M60" s="504">
        <f t="shared" si="20"/>
        <v>808.90748662242413</v>
      </c>
      <c r="N60" s="522">
        <f t="shared" si="15"/>
        <v>1362.0500000000002</v>
      </c>
      <c r="O60" s="523">
        <f t="shared" si="12"/>
        <v>1391.8000000000002</v>
      </c>
      <c r="P60" s="524">
        <f t="shared" si="21"/>
        <v>0.73556001129920279</v>
      </c>
      <c r="Q60" s="525">
        <f t="shared" si="22"/>
        <v>0.21882910336151284</v>
      </c>
      <c r="R60" s="526">
        <f>SUM(Q$13:Q60)</f>
        <v>7.9162517999685251</v>
      </c>
      <c r="S60" s="527">
        <f t="shared" si="23"/>
        <v>0.56877797097057936</v>
      </c>
      <c r="T60" s="527">
        <v>15.5</v>
      </c>
      <c r="U60" s="527">
        <v>0.5</v>
      </c>
      <c r="V60" s="527">
        <v>22.5</v>
      </c>
      <c r="W60" s="527">
        <v>4</v>
      </c>
      <c r="X60" s="527"/>
      <c r="Y60" s="527"/>
      <c r="Z60" s="527">
        <f t="shared" si="14"/>
        <v>114.82913847952393</v>
      </c>
      <c r="AA60" s="527">
        <f t="shared" si="17"/>
        <v>0.67342839552149747</v>
      </c>
      <c r="AB60" s="527"/>
      <c r="AC60" s="527"/>
      <c r="AD60" s="538"/>
    </row>
    <row r="61" spans="1:36" x14ac:dyDescent="0.2">
      <c r="A61" s="532">
        <v>770</v>
      </c>
      <c r="B61" s="516">
        <v>0</v>
      </c>
      <c r="C61" s="504">
        <f>1453-20</f>
        <v>1433</v>
      </c>
      <c r="D61" s="561">
        <v>41.2</v>
      </c>
      <c r="E61" s="562"/>
      <c r="F61" s="563"/>
      <c r="G61" s="564">
        <f t="shared" si="18"/>
        <v>41.2</v>
      </c>
      <c r="H61" s="562">
        <v>5.7</v>
      </c>
      <c r="I61" s="562"/>
      <c r="J61" s="562"/>
      <c r="K61" s="562"/>
      <c r="L61" s="565">
        <f t="shared" si="19"/>
        <v>5.7</v>
      </c>
      <c r="M61" s="504">
        <f t="shared" si="20"/>
        <v>1051.3245567458637</v>
      </c>
      <c r="N61" s="522">
        <f t="shared" si="15"/>
        <v>1391.8000000000002</v>
      </c>
      <c r="O61" s="523">
        <f t="shared" si="12"/>
        <v>1434.15</v>
      </c>
      <c r="P61" s="524">
        <f t="shared" si="21"/>
        <v>0.73240941159346651</v>
      </c>
      <c r="Q61" s="525">
        <f t="shared" si="22"/>
        <v>0.31017538580983239</v>
      </c>
      <c r="R61" s="526">
        <f>SUM(Q$13:Q61)</f>
        <v>8.2264271857783573</v>
      </c>
      <c r="S61" s="527">
        <f t="shared" si="23"/>
        <v>0.57360995612581367</v>
      </c>
      <c r="T61" s="527">
        <v>1.5</v>
      </c>
      <c r="U61" s="527">
        <v>1</v>
      </c>
      <c r="V61" s="527">
        <v>10</v>
      </c>
      <c r="W61" s="527">
        <v>4</v>
      </c>
      <c r="X61" s="527"/>
      <c r="Y61" s="527"/>
      <c r="Z61" s="527">
        <f t="shared" si="14"/>
        <v>127.58793164391548</v>
      </c>
      <c r="AA61" s="527">
        <f t="shared" si="17"/>
        <v>0.68010254701920614</v>
      </c>
      <c r="AB61" s="527"/>
      <c r="AC61" s="527"/>
      <c r="AD61" s="538"/>
    </row>
    <row r="62" spans="1:36" x14ac:dyDescent="0.2">
      <c r="A62" s="532">
        <v>325</v>
      </c>
      <c r="B62" s="516">
        <v>0</v>
      </c>
      <c r="C62" s="504">
        <f>C63-D63</f>
        <v>1452.8</v>
      </c>
      <c r="D62" s="561">
        <v>17.5</v>
      </c>
      <c r="E62" s="562"/>
      <c r="F62" s="563"/>
      <c r="G62" s="564">
        <f t="shared" si="18"/>
        <v>17.5</v>
      </c>
      <c r="H62" s="562">
        <v>5.7</v>
      </c>
      <c r="I62" s="562"/>
      <c r="J62" s="562"/>
      <c r="K62" s="562"/>
      <c r="L62" s="565">
        <f t="shared" si="19"/>
        <v>5.7</v>
      </c>
      <c r="M62" s="504">
        <f t="shared" si="20"/>
        <v>446.55776075370414</v>
      </c>
      <c r="N62" s="522">
        <f t="shared" si="15"/>
        <v>1434.15</v>
      </c>
      <c r="O62" s="523">
        <f t="shared" si="12"/>
        <v>1452.8000000000002</v>
      </c>
      <c r="P62" s="524">
        <f t="shared" si="21"/>
        <v>0.72778938933109594</v>
      </c>
      <c r="Q62" s="525">
        <f t="shared" si="22"/>
        <v>0.13573272111025006</v>
      </c>
      <c r="R62" s="526">
        <f>SUM(Q$13:Q62)</f>
        <v>8.362159906888607</v>
      </c>
      <c r="S62" s="527">
        <f t="shared" si="23"/>
        <v>0.57558920063935892</v>
      </c>
      <c r="T62" s="527">
        <v>2</v>
      </c>
      <c r="U62" s="527">
        <v>3</v>
      </c>
      <c r="V62" s="527"/>
      <c r="W62" s="527"/>
      <c r="X62" s="527"/>
      <c r="Y62" s="527"/>
      <c r="Z62" s="527">
        <f t="shared" si="14"/>
        <v>76.552758986349289</v>
      </c>
      <c r="AA62" s="527">
        <f t="shared" si="17"/>
        <v>0.64848144689385145</v>
      </c>
      <c r="AB62" s="527"/>
      <c r="AC62" s="527"/>
      <c r="AD62" s="538"/>
    </row>
    <row r="63" spans="1:36" x14ac:dyDescent="0.2">
      <c r="A63" s="532">
        <v>385</v>
      </c>
      <c r="B63" s="516">
        <v>0</v>
      </c>
      <c r="C63" s="504">
        <f>1490-20</f>
        <v>1470</v>
      </c>
      <c r="D63" s="561">
        <v>17.2</v>
      </c>
      <c r="E63" s="562"/>
      <c r="F63" s="563"/>
      <c r="G63" s="564">
        <f t="shared" si="18"/>
        <v>17.2</v>
      </c>
      <c r="H63" s="562">
        <v>5.7</v>
      </c>
      <c r="I63" s="562"/>
      <c r="J63" s="562"/>
      <c r="K63" s="562"/>
      <c r="L63" s="565">
        <f t="shared" si="19"/>
        <v>5.7</v>
      </c>
      <c r="M63" s="504">
        <f t="shared" si="20"/>
        <v>438.90248485506925</v>
      </c>
      <c r="N63" s="522">
        <f t="shared" si="15"/>
        <v>1452.8000000000002</v>
      </c>
      <c r="O63" s="523">
        <f t="shared" si="12"/>
        <v>1469.6000000000001</v>
      </c>
      <c r="P63" s="524">
        <f t="shared" si="21"/>
        <v>0.8771880162107798</v>
      </c>
      <c r="Q63" s="525">
        <f t="shared" si="22"/>
        <v>0.1473675867234106</v>
      </c>
      <c r="R63" s="526">
        <f>SUM(Q$13:Q63)</f>
        <v>8.5095274936120173</v>
      </c>
      <c r="S63" s="527">
        <f t="shared" si="23"/>
        <v>0.57903698241780188</v>
      </c>
      <c r="T63" s="527"/>
      <c r="U63" s="527"/>
      <c r="V63" s="527"/>
      <c r="W63" s="527"/>
      <c r="X63" s="527"/>
      <c r="Y63" s="527"/>
      <c r="Z63" s="527">
        <f t="shared" si="14"/>
        <v>0</v>
      </c>
      <c r="AA63" s="527">
        <f t="shared" si="17"/>
        <v>0.8771880162107798</v>
      </c>
      <c r="AB63" s="527"/>
      <c r="AC63" s="527"/>
      <c r="AD63" s="538"/>
    </row>
    <row r="64" spans="1:36" x14ac:dyDescent="0.2">
      <c r="A64" s="532">
        <v>715</v>
      </c>
      <c r="B64" s="516">
        <v>0</v>
      </c>
      <c r="C64" s="504">
        <f>C65-D65</f>
        <v>1507.8</v>
      </c>
      <c r="D64" s="561">
        <v>38.6</v>
      </c>
      <c r="E64" s="562"/>
      <c r="F64" s="563"/>
      <c r="G64" s="564">
        <f t="shared" si="18"/>
        <v>38.6</v>
      </c>
      <c r="H64" s="562">
        <v>5.7</v>
      </c>
      <c r="I64" s="562"/>
      <c r="J64" s="562"/>
      <c r="K64" s="562"/>
      <c r="L64" s="565">
        <f t="shared" si="19"/>
        <v>5.7</v>
      </c>
      <c r="M64" s="504">
        <f t="shared" si="20"/>
        <v>984.97883229102752</v>
      </c>
      <c r="N64" s="522">
        <f t="shared" si="15"/>
        <v>1469.6000000000001</v>
      </c>
      <c r="O64" s="523">
        <f t="shared" si="12"/>
        <v>1507.8000000000002</v>
      </c>
      <c r="P64" s="524">
        <f t="shared" si="21"/>
        <v>0.72590392459189623</v>
      </c>
      <c r="Q64" s="525">
        <f t="shared" si="22"/>
        <v>0.27729529919410473</v>
      </c>
      <c r="R64" s="526">
        <f>SUM(Q$13:Q64)</f>
        <v>8.786822792806122</v>
      </c>
      <c r="S64" s="527">
        <f t="shared" si="23"/>
        <v>0.58275784539104136</v>
      </c>
      <c r="U64" s="668"/>
      <c r="V64" s="651"/>
      <c r="X64" s="663"/>
      <c r="Y64" s="527"/>
      <c r="Z64" s="527">
        <f t="shared" si="14"/>
        <v>0</v>
      </c>
      <c r="AA64" s="527">
        <f t="shared" si="17"/>
        <v>0.72590392459189623</v>
      </c>
      <c r="AB64" s="527"/>
      <c r="AC64" s="527"/>
      <c r="AD64" s="538" t="s">
        <v>166</v>
      </c>
    </row>
    <row r="65" spans="1:30" x14ac:dyDescent="0.2">
      <c r="A65" s="532">
        <v>720</v>
      </c>
      <c r="B65" s="516">
        <v>0</v>
      </c>
      <c r="C65" s="504">
        <f>1568-20</f>
        <v>1548</v>
      </c>
      <c r="D65" s="561">
        <v>40.200000000000003</v>
      </c>
      <c r="E65" s="562"/>
      <c r="F65" s="563"/>
      <c r="G65" s="564">
        <f t="shared" si="18"/>
        <v>40.200000000000003</v>
      </c>
      <c r="H65" s="562">
        <v>5.7</v>
      </c>
      <c r="I65" s="562"/>
      <c r="J65" s="562"/>
      <c r="K65" s="562"/>
      <c r="L65" s="565">
        <f t="shared" si="19"/>
        <v>5.7</v>
      </c>
      <c r="M65" s="504">
        <f t="shared" si="20"/>
        <v>1025.8069704170805</v>
      </c>
      <c r="N65" s="522">
        <f t="shared" si="15"/>
        <v>1507.8000000000002</v>
      </c>
      <c r="O65" s="523">
        <f t="shared" si="12"/>
        <v>1546.05</v>
      </c>
      <c r="P65" s="524">
        <f t="shared" si="21"/>
        <v>0.70188643747200985</v>
      </c>
      <c r="Q65" s="525">
        <f t="shared" si="22"/>
        <v>0.2684715623330422</v>
      </c>
      <c r="R65" s="526">
        <f>SUM(Q$13:Q65)</f>
        <v>9.0552943551391643</v>
      </c>
      <c r="S65" s="527">
        <f t="shared" si="23"/>
        <v>0.58570514246881822</v>
      </c>
      <c r="T65" s="527">
        <v>4</v>
      </c>
      <c r="U65" s="527">
        <v>0.5</v>
      </c>
      <c r="V65" s="527">
        <v>8</v>
      </c>
      <c r="W65" s="527">
        <v>3.5</v>
      </c>
      <c r="X65" s="527"/>
      <c r="Y65" s="527"/>
      <c r="Z65" s="527">
        <f t="shared" si="14"/>
        <v>102.07034531513239</v>
      </c>
      <c r="AA65" s="527">
        <f t="shared" si="17"/>
        <v>0.65666824148978864</v>
      </c>
      <c r="AB65" s="527"/>
      <c r="AC65" s="527"/>
      <c r="AD65" s="538"/>
    </row>
    <row r="66" spans="1:30" x14ac:dyDescent="0.2">
      <c r="A66" s="532">
        <v>720</v>
      </c>
      <c r="B66" s="516">
        <v>0</v>
      </c>
      <c r="C66" s="504">
        <f>C67-D67</f>
        <v>1584.4</v>
      </c>
      <c r="D66" s="561">
        <v>40.299999999999997</v>
      </c>
      <c r="E66" s="562"/>
      <c r="F66" s="563"/>
      <c r="G66" s="564">
        <f t="shared" si="18"/>
        <v>40.299999999999997</v>
      </c>
      <c r="H66" s="562">
        <v>5.7</v>
      </c>
      <c r="I66" s="562"/>
      <c r="J66" s="562"/>
      <c r="K66" s="562"/>
      <c r="L66" s="565">
        <f t="shared" si="19"/>
        <v>5.7</v>
      </c>
      <c r="M66" s="504">
        <f t="shared" si="20"/>
        <v>1028.3587290499588</v>
      </c>
      <c r="N66" s="522">
        <f t="shared" si="15"/>
        <v>1546.05</v>
      </c>
      <c r="O66" s="523">
        <f t="shared" si="12"/>
        <v>1584.4</v>
      </c>
      <c r="P66" s="524">
        <f t="shared" si="21"/>
        <v>0.7001447837810123</v>
      </c>
      <c r="Q66" s="525">
        <f t="shared" si="22"/>
        <v>0.26850552458001919</v>
      </c>
      <c r="R66" s="526">
        <f>SUM(Q$13:Q66)</f>
        <v>9.3237998797191839</v>
      </c>
      <c r="S66" s="527">
        <f t="shared" si="23"/>
        <v>0.58847512495071841</v>
      </c>
      <c r="T66" s="527">
        <v>0.5</v>
      </c>
      <c r="U66" s="527">
        <v>4.5</v>
      </c>
      <c r="V66" s="527">
        <v>6.5</v>
      </c>
      <c r="W66" s="527">
        <v>2</v>
      </c>
      <c r="X66" s="527"/>
      <c r="Y66" s="527"/>
      <c r="Z66" s="527">
        <f t="shared" si="14"/>
        <v>165.86431113709014</v>
      </c>
      <c r="AA66" s="527">
        <f t="shared" si="17"/>
        <v>0.62111279775599326</v>
      </c>
      <c r="AB66" s="527"/>
      <c r="AC66" s="527"/>
      <c r="AD66" s="538"/>
    </row>
    <row r="67" spans="1:30" x14ac:dyDescent="0.2">
      <c r="A67" s="532">
        <v>620</v>
      </c>
      <c r="B67" s="516">
        <v>0</v>
      </c>
      <c r="C67" s="504">
        <f>1636-20</f>
        <v>1616</v>
      </c>
      <c r="D67" s="561">
        <v>31.6</v>
      </c>
      <c r="E67" s="562"/>
      <c r="F67" s="563"/>
      <c r="G67" s="564">
        <f t="shared" si="18"/>
        <v>31.6</v>
      </c>
      <c r="H67" s="562">
        <v>5.7</v>
      </c>
      <c r="I67" s="562"/>
      <c r="J67" s="562"/>
      <c r="K67" s="562"/>
      <c r="L67" s="565">
        <f t="shared" si="19"/>
        <v>5.7</v>
      </c>
      <c r="M67" s="504">
        <f t="shared" si="20"/>
        <v>806.35572798954593</v>
      </c>
      <c r="N67" s="522">
        <f t="shared" si="15"/>
        <v>1584.4</v>
      </c>
      <c r="O67" s="523">
        <f t="shared" si="12"/>
        <v>1616</v>
      </c>
      <c r="P67" s="524">
        <f t="shared" si="21"/>
        <v>0.76889141910831449</v>
      </c>
      <c r="Q67" s="525">
        <f t="shared" si="22"/>
        <v>0.24296968843822669</v>
      </c>
      <c r="R67" s="526">
        <f>SUM(Q$13:Q67)</f>
        <v>9.5667695681574099</v>
      </c>
      <c r="S67" s="527">
        <f t="shared" si="23"/>
        <v>0.59200306733647334</v>
      </c>
      <c r="T67" s="527"/>
      <c r="U67" s="527"/>
      <c r="V67" s="527"/>
      <c r="W67" s="527"/>
      <c r="X67" s="527"/>
      <c r="Y67" s="527"/>
      <c r="Z67" s="527">
        <f t="shared" si="14"/>
        <v>0</v>
      </c>
      <c r="AA67" s="527">
        <f t="shared" si="17"/>
        <v>0.76889141910831449</v>
      </c>
      <c r="AB67" s="527"/>
      <c r="AC67" s="527"/>
      <c r="AD67" s="538"/>
    </row>
    <row r="68" spans="1:30" x14ac:dyDescent="0.2">
      <c r="A68" s="532">
        <v>660</v>
      </c>
      <c r="B68" s="516">
        <v>0</v>
      </c>
      <c r="C68" s="504">
        <f>C69-D69</f>
        <v>1649.6</v>
      </c>
      <c r="D68" s="561">
        <v>33.6</v>
      </c>
      <c r="E68" s="562"/>
      <c r="F68" s="563"/>
      <c r="G68" s="564">
        <f t="shared" si="18"/>
        <v>33.6</v>
      </c>
      <c r="H68" s="562">
        <v>5.7</v>
      </c>
      <c r="I68" s="562"/>
      <c r="J68" s="562"/>
      <c r="K68" s="562"/>
      <c r="L68" s="565">
        <f t="shared" si="19"/>
        <v>5.7</v>
      </c>
      <c r="M68" s="504">
        <f t="shared" si="20"/>
        <v>857.39090064711206</v>
      </c>
      <c r="N68" s="522">
        <f t="shared" si="15"/>
        <v>1616</v>
      </c>
      <c r="O68" s="523">
        <f t="shared" si="12"/>
        <v>1649.6</v>
      </c>
      <c r="P68" s="524">
        <f t="shared" si="21"/>
        <v>0.76977723871558223</v>
      </c>
      <c r="Q68" s="525">
        <f t="shared" si="22"/>
        <v>0.25864515220843493</v>
      </c>
      <c r="R68" s="526">
        <f>SUM(Q$13:Q68)</f>
        <v>9.8254147203658455</v>
      </c>
      <c r="S68" s="527">
        <f t="shared" si="23"/>
        <v>0.59562407373701787</v>
      </c>
      <c r="T68" s="527">
        <v>6.5</v>
      </c>
      <c r="U68" s="527">
        <v>1</v>
      </c>
      <c r="V68" s="527">
        <v>30</v>
      </c>
      <c r="W68" s="527">
        <v>1</v>
      </c>
      <c r="X68" s="527"/>
      <c r="Y68" s="527"/>
      <c r="Z68" s="527">
        <f t="shared" si="14"/>
        <v>51.035172657566193</v>
      </c>
      <c r="AA68" s="527">
        <f t="shared" si="17"/>
        <v>0.74817382907029562</v>
      </c>
      <c r="AB68" s="527"/>
      <c r="AC68" s="527"/>
      <c r="AD68" s="538"/>
    </row>
    <row r="69" spans="1:30" x14ac:dyDescent="0.2">
      <c r="A69" s="532">
        <v>740</v>
      </c>
      <c r="B69" s="516">
        <v>0</v>
      </c>
      <c r="C69" s="504">
        <f>1708-20</f>
        <v>1688</v>
      </c>
      <c r="D69" s="561">
        <v>38.4</v>
      </c>
      <c r="E69" s="562"/>
      <c r="F69" s="563"/>
      <c r="G69" s="564">
        <f t="shared" si="18"/>
        <v>38.4</v>
      </c>
      <c r="H69" s="562">
        <v>5.7</v>
      </c>
      <c r="I69" s="562"/>
      <c r="J69" s="562"/>
      <c r="K69" s="562"/>
      <c r="L69" s="565">
        <f t="shared" si="19"/>
        <v>5.7</v>
      </c>
      <c r="M69" s="504">
        <f t="shared" si="20"/>
        <v>979.87531502527088</v>
      </c>
      <c r="N69" s="522">
        <f t="shared" si="15"/>
        <v>1649.6</v>
      </c>
      <c r="O69" s="523">
        <f>C69</f>
        <v>1688</v>
      </c>
      <c r="P69" s="524">
        <f t="shared" si="21"/>
        <v>0.75519812434596889</v>
      </c>
      <c r="Q69" s="525">
        <f t="shared" si="22"/>
        <v>0.28999607974885278</v>
      </c>
      <c r="R69" s="526">
        <f>SUM(Q$13:Q69)</f>
        <v>10.115410800114699</v>
      </c>
      <c r="S69" s="527">
        <f t="shared" si="23"/>
        <v>0.59925419431959115</v>
      </c>
      <c r="T69" s="527">
        <v>36</v>
      </c>
      <c r="U69" s="527">
        <v>0.5</v>
      </c>
      <c r="V69" s="527"/>
      <c r="W69" s="527"/>
      <c r="X69" s="527"/>
      <c r="Y69" s="527"/>
      <c r="Z69" s="527">
        <f t="shared" si="14"/>
        <v>12.758793164391548</v>
      </c>
      <c r="AA69" s="527">
        <f t="shared" si="17"/>
        <v>0.75050270235698291</v>
      </c>
      <c r="AB69" s="527"/>
      <c r="AC69" s="527"/>
      <c r="AD69" s="538" t="s">
        <v>192</v>
      </c>
    </row>
    <row r="70" spans="1:30" x14ac:dyDescent="0.2">
      <c r="A70" s="532"/>
      <c r="B70" s="516"/>
      <c r="C70" s="504"/>
      <c r="D70" s="561"/>
      <c r="E70" s="562"/>
      <c r="F70" s="563"/>
      <c r="G70" s="564"/>
      <c r="H70" s="562"/>
      <c r="I70" s="562"/>
      <c r="J70" s="562"/>
      <c r="K70" s="562"/>
      <c r="L70" s="565"/>
      <c r="M70" s="504"/>
      <c r="N70" s="522"/>
      <c r="O70" s="523"/>
      <c r="P70" s="524"/>
      <c r="Q70" s="525"/>
      <c r="R70" s="526"/>
      <c r="S70" s="527"/>
      <c r="T70" s="527"/>
      <c r="U70" s="527"/>
      <c r="V70" s="527"/>
      <c r="W70" s="527"/>
      <c r="X70" s="527"/>
      <c r="Y70" s="527"/>
      <c r="Z70" s="527"/>
      <c r="AA70" s="527"/>
      <c r="AB70" s="527"/>
      <c r="AC70" s="527"/>
      <c r="AD70" s="538"/>
    </row>
    <row r="71" spans="1:30" x14ac:dyDescent="0.2">
      <c r="A71" s="532"/>
      <c r="B71" s="516"/>
      <c r="C71" s="504"/>
      <c r="D71" s="561"/>
      <c r="E71" s="562"/>
      <c r="F71" s="563"/>
      <c r="G71" s="564"/>
      <c r="H71" s="562"/>
      <c r="I71" s="562"/>
      <c r="J71" s="562"/>
      <c r="K71" s="562"/>
      <c r="L71" s="565"/>
      <c r="M71" s="504"/>
      <c r="N71" s="522"/>
      <c r="O71" s="523"/>
      <c r="P71" s="524"/>
      <c r="Q71" s="525"/>
      <c r="R71" s="526"/>
      <c r="S71" s="527"/>
      <c r="T71" s="527"/>
      <c r="U71" s="527"/>
      <c r="V71" s="527"/>
      <c r="W71" s="527"/>
      <c r="X71" s="527"/>
      <c r="Y71" s="527"/>
      <c r="Z71" s="527"/>
      <c r="AA71" s="527"/>
      <c r="AB71" s="527"/>
      <c r="AC71" s="527"/>
      <c r="AD71" s="538"/>
    </row>
    <row r="72" spans="1:30" x14ac:dyDescent="0.2">
      <c r="A72" s="532"/>
      <c r="B72" s="516"/>
      <c r="C72" s="504"/>
      <c r="D72" s="561"/>
      <c r="E72" s="562"/>
      <c r="F72" s="563"/>
      <c r="G72" s="564"/>
      <c r="H72" s="562"/>
      <c r="I72" s="562"/>
      <c r="J72" s="562"/>
      <c r="K72" s="562"/>
      <c r="L72" s="565"/>
      <c r="M72" s="504"/>
      <c r="N72" s="522"/>
      <c r="O72" s="523"/>
      <c r="P72" s="524"/>
      <c r="Q72" s="525"/>
      <c r="R72" s="526"/>
      <c r="S72" s="527"/>
      <c r="T72" s="527"/>
      <c r="U72" s="527"/>
      <c r="V72" s="527"/>
      <c r="W72" s="527"/>
      <c r="X72" s="527"/>
      <c r="Y72" s="527"/>
      <c r="Z72" s="527"/>
      <c r="AA72" s="527"/>
      <c r="AB72" s="527"/>
      <c r="AC72" s="527"/>
      <c r="AD72" s="538"/>
    </row>
    <row r="73" spans="1:30" x14ac:dyDescent="0.2">
      <c r="A73" s="532"/>
      <c r="B73" s="516"/>
      <c r="C73" s="504"/>
      <c r="D73" s="561"/>
      <c r="E73" s="562"/>
      <c r="F73" s="563"/>
      <c r="G73" s="564"/>
      <c r="H73" s="562"/>
      <c r="I73" s="562"/>
      <c r="J73" s="562"/>
      <c r="K73" s="562"/>
      <c r="L73" s="565"/>
      <c r="M73" s="504"/>
      <c r="N73" s="522"/>
      <c r="O73" s="523"/>
      <c r="P73" s="524"/>
      <c r="Q73" s="525"/>
      <c r="R73" s="526"/>
      <c r="S73" s="527"/>
      <c r="T73" s="527"/>
      <c r="U73" s="527"/>
      <c r="V73" s="527"/>
      <c r="W73" s="527"/>
      <c r="X73" s="527"/>
      <c r="Y73" s="527"/>
      <c r="Z73" s="527"/>
      <c r="AA73" s="527"/>
      <c r="AB73" s="527"/>
      <c r="AC73" s="527"/>
      <c r="AD73" s="538"/>
    </row>
    <row r="74" spans="1:30" x14ac:dyDescent="0.2">
      <c r="A74" s="532"/>
      <c r="B74" s="516"/>
      <c r="C74" s="504"/>
      <c r="D74" s="561"/>
      <c r="E74" s="562"/>
      <c r="F74" s="563"/>
      <c r="G74" s="564"/>
      <c r="H74" s="562"/>
      <c r="I74" s="562"/>
      <c r="J74" s="562"/>
      <c r="K74" s="562"/>
      <c r="L74" s="565"/>
      <c r="M74" s="504"/>
      <c r="N74" s="522"/>
      <c r="O74" s="523"/>
      <c r="P74" s="524"/>
      <c r="Q74" s="525"/>
      <c r="R74" s="526"/>
      <c r="S74" s="527"/>
      <c r="T74" s="527"/>
      <c r="U74" s="527"/>
      <c r="V74" s="527"/>
      <c r="W74" s="527"/>
      <c r="X74" s="527"/>
      <c r="Y74" s="527"/>
      <c r="Z74" s="527"/>
      <c r="AA74" s="527"/>
      <c r="AB74" s="527"/>
      <c r="AC74" s="527"/>
      <c r="AD74" s="538"/>
    </row>
    <row r="75" spans="1:30" x14ac:dyDescent="0.2">
      <c r="A75" s="532"/>
      <c r="B75" s="516"/>
      <c r="C75" s="504"/>
      <c r="D75" s="561"/>
      <c r="E75" s="562"/>
      <c r="F75" s="563"/>
      <c r="G75" s="564"/>
      <c r="H75" s="562"/>
      <c r="I75" s="562"/>
      <c r="J75" s="562"/>
      <c r="K75" s="562"/>
      <c r="L75" s="565"/>
      <c r="M75" s="504"/>
      <c r="N75" s="522"/>
      <c r="O75" s="523"/>
      <c r="P75" s="524"/>
      <c r="Q75" s="525"/>
      <c r="R75" s="526"/>
      <c r="S75" s="527"/>
      <c r="T75" s="527"/>
      <c r="U75" s="527"/>
      <c r="V75" s="527"/>
      <c r="W75" s="527"/>
      <c r="X75" s="527"/>
      <c r="Y75" s="527"/>
      <c r="Z75" s="527"/>
      <c r="AA75" s="527"/>
      <c r="AB75" s="527"/>
      <c r="AC75" s="527"/>
      <c r="AD75" s="538"/>
    </row>
    <row r="76" spans="1:30" x14ac:dyDescent="0.2">
      <c r="A76" s="532"/>
      <c r="B76" s="516"/>
      <c r="C76" s="504"/>
      <c r="D76" s="561"/>
      <c r="E76" s="562"/>
      <c r="F76" s="563"/>
      <c r="G76" s="564"/>
      <c r="H76" s="562"/>
      <c r="I76" s="562"/>
      <c r="J76" s="562"/>
      <c r="K76" s="562"/>
      <c r="L76" s="565"/>
      <c r="M76" s="504"/>
      <c r="N76" s="522"/>
      <c r="O76" s="523"/>
      <c r="P76" s="524"/>
      <c r="Q76" s="525"/>
      <c r="R76" s="526"/>
      <c r="S76" s="527"/>
      <c r="T76" s="527"/>
      <c r="U76" s="527"/>
      <c r="V76" s="527"/>
      <c r="W76" s="527"/>
      <c r="X76" s="527"/>
      <c r="Y76" s="527"/>
      <c r="Z76" s="527"/>
      <c r="AA76" s="527"/>
      <c r="AB76" s="527"/>
      <c r="AC76" s="527"/>
      <c r="AD76" s="538"/>
    </row>
    <row r="77" spans="1:30" x14ac:dyDescent="0.2">
      <c r="A77" s="532"/>
      <c r="B77" s="516"/>
      <c r="C77" s="504"/>
      <c r="D77" s="561"/>
      <c r="E77" s="562"/>
      <c r="F77" s="563"/>
      <c r="G77" s="564"/>
      <c r="H77" s="562"/>
      <c r="I77" s="562"/>
      <c r="J77" s="562"/>
      <c r="K77" s="562"/>
      <c r="L77" s="565"/>
      <c r="M77" s="504"/>
      <c r="N77" s="522"/>
      <c r="O77" s="523"/>
      <c r="P77" s="524"/>
      <c r="Q77" s="525"/>
      <c r="R77" s="526"/>
      <c r="S77" s="527"/>
      <c r="T77" s="527"/>
      <c r="U77" s="527"/>
      <c r="V77" s="527"/>
      <c r="W77" s="527"/>
      <c r="X77" s="527"/>
      <c r="Y77" s="527"/>
      <c r="Z77" s="527"/>
      <c r="AA77" s="527"/>
      <c r="AB77" s="527"/>
      <c r="AC77" s="527"/>
      <c r="AD77" s="538"/>
    </row>
    <row r="78" spans="1:30" x14ac:dyDescent="0.2">
      <c r="A78" s="532"/>
      <c r="B78" s="516"/>
      <c r="C78" s="504"/>
      <c r="D78" s="561"/>
      <c r="E78" s="562"/>
      <c r="F78" s="563"/>
      <c r="G78" s="564"/>
      <c r="H78" s="562"/>
      <c r="I78" s="562"/>
      <c r="J78" s="562"/>
      <c r="K78" s="562"/>
      <c r="L78" s="565"/>
      <c r="M78" s="504"/>
      <c r="N78" s="522"/>
      <c r="O78" s="523"/>
      <c r="P78" s="524"/>
      <c r="Q78" s="525"/>
      <c r="R78" s="526"/>
      <c r="S78" s="527"/>
      <c r="T78" s="527"/>
      <c r="U78" s="527"/>
      <c r="V78" s="527"/>
      <c r="W78" s="527"/>
      <c r="X78" s="527"/>
      <c r="Y78" s="527"/>
      <c r="Z78" s="527"/>
      <c r="AA78" s="527"/>
      <c r="AB78" s="527"/>
      <c r="AC78" s="527"/>
      <c r="AD78" s="538"/>
    </row>
    <row r="79" spans="1:30" x14ac:dyDescent="0.2">
      <c r="A79" s="532"/>
      <c r="B79" s="516"/>
      <c r="C79" s="504"/>
      <c r="D79" s="561"/>
      <c r="E79" s="562"/>
      <c r="F79" s="563"/>
      <c r="G79" s="564"/>
      <c r="H79" s="562"/>
      <c r="I79" s="562"/>
      <c r="J79" s="562"/>
      <c r="K79" s="562"/>
      <c r="L79" s="565"/>
      <c r="M79" s="504"/>
      <c r="N79" s="522"/>
      <c r="O79" s="523"/>
      <c r="P79" s="524"/>
      <c r="Q79" s="525"/>
      <c r="R79" s="526"/>
      <c r="S79" s="527"/>
      <c r="T79" s="527"/>
      <c r="U79" s="527"/>
      <c r="V79" s="527"/>
      <c r="W79" s="527"/>
      <c r="X79" s="527"/>
      <c r="Y79" s="527"/>
      <c r="Z79" s="527"/>
      <c r="AA79" s="527"/>
      <c r="AB79" s="527"/>
      <c r="AC79" s="527"/>
      <c r="AD79" s="538"/>
    </row>
    <row r="80" spans="1:30" x14ac:dyDescent="0.2">
      <c r="A80" s="532"/>
      <c r="B80" s="516"/>
      <c r="C80" s="504"/>
      <c r="D80" s="561"/>
      <c r="E80" s="562"/>
      <c r="F80" s="563"/>
      <c r="G80" s="564"/>
      <c r="H80" s="562"/>
      <c r="I80" s="562"/>
      <c r="J80" s="562"/>
      <c r="K80" s="562"/>
      <c r="L80" s="565"/>
      <c r="M80" s="504"/>
      <c r="N80" s="522"/>
      <c r="O80" s="523"/>
      <c r="P80" s="524"/>
      <c r="Q80" s="525"/>
      <c r="R80" s="526"/>
      <c r="S80" s="527"/>
      <c r="T80" s="527"/>
      <c r="U80" s="527"/>
      <c r="V80" s="527"/>
      <c r="W80" s="527"/>
      <c r="X80" s="527"/>
      <c r="Y80" s="527"/>
      <c r="Z80" s="527"/>
      <c r="AA80" s="527"/>
      <c r="AB80" s="527"/>
      <c r="AC80" s="527"/>
      <c r="AD80" s="538"/>
    </row>
    <row r="81" spans="1:30" x14ac:dyDescent="0.2">
      <c r="A81" s="579" t="s">
        <v>159</v>
      </c>
      <c r="B81" s="580"/>
      <c r="C81" s="581"/>
      <c r="D81" s="581"/>
      <c r="E81" s="581"/>
      <c r="F81" s="581"/>
      <c r="G81" s="582"/>
      <c r="H81" s="581"/>
      <c r="I81" s="581"/>
      <c r="J81" s="581"/>
      <c r="K81" s="581"/>
      <c r="L81" s="583"/>
      <c r="M81" s="581"/>
      <c r="N81" s="584"/>
      <c r="O81" s="585"/>
      <c r="P81" s="586"/>
      <c r="Q81" s="587"/>
      <c r="R81" s="588"/>
      <c r="S81" s="589"/>
      <c r="T81" s="589"/>
      <c r="U81" s="589"/>
      <c r="V81" s="589"/>
      <c r="W81" s="589"/>
      <c r="X81" s="589"/>
      <c r="Y81" s="589"/>
      <c r="Z81" s="589"/>
      <c r="AA81" s="589"/>
      <c r="AB81" s="589"/>
      <c r="AC81" s="589"/>
      <c r="AD81" s="590"/>
    </row>
    <row r="82" spans="1:30" x14ac:dyDescent="0.2">
      <c r="A82" s="591"/>
      <c r="B82" s="592"/>
      <c r="C82" s="593"/>
      <c r="D82" s="593"/>
      <c r="E82" s="593"/>
      <c r="F82" s="593"/>
      <c r="G82" s="594"/>
      <c r="H82" s="593"/>
      <c r="I82" s="593"/>
      <c r="J82" s="593"/>
      <c r="K82" s="593"/>
      <c r="L82" s="595"/>
      <c r="M82" s="593"/>
      <c r="N82" s="596"/>
      <c r="O82" s="597"/>
      <c r="P82" s="598"/>
      <c r="Q82" s="599"/>
      <c r="R82" s="600"/>
      <c r="S82" s="601"/>
      <c r="T82" s="601"/>
      <c r="U82" s="601"/>
      <c r="V82" s="601"/>
      <c r="W82" s="601"/>
      <c r="X82" s="601"/>
      <c r="Y82" s="601"/>
      <c r="Z82" s="601"/>
      <c r="AA82" s="601"/>
      <c r="AB82" s="601"/>
      <c r="AC82" s="601"/>
      <c r="AD82" s="602"/>
    </row>
    <row r="83" spans="1:30" ht="10.8" thickBot="1" x14ac:dyDescent="0.25">
      <c r="A83" s="603"/>
      <c r="B83" s="604"/>
      <c r="C83" s="605"/>
      <c r="D83" s="605"/>
      <c r="E83" s="605"/>
      <c r="F83" s="605"/>
      <c r="G83" s="606"/>
      <c r="H83" s="605"/>
      <c r="I83" s="605"/>
      <c r="J83" s="605"/>
      <c r="K83" s="605"/>
      <c r="L83" s="607"/>
      <c r="M83" s="605"/>
      <c r="N83" s="608"/>
      <c r="O83" s="609"/>
      <c r="P83" s="610"/>
      <c r="Q83" s="611"/>
      <c r="R83" s="612"/>
      <c r="S83" s="613"/>
      <c r="T83" s="613"/>
      <c r="U83" s="613"/>
      <c r="V83" s="613"/>
      <c r="W83" s="613"/>
      <c r="X83" s="613"/>
      <c r="Y83" s="613"/>
      <c r="Z83" s="613"/>
      <c r="AA83" s="613"/>
      <c r="AB83" s="613"/>
      <c r="AC83" s="613"/>
      <c r="AD83" s="614"/>
    </row>
    <row r="84" spans="1:30" x14ac:dyDescent="0.2">
      <c r="A84" s="617"/>
      <c r="B84" s="617"/>
      <c r="C84" s="618"/>
      <c r="D84" s="619"/>
      <c r="E84" s="619"/>
      <c r="F84" s="619"/>
      <c r="G84" s="620"/>
      <c r="H84" s="621"/>
      <c r="I84" s="622"/>
      <c r="J84" s="623"/>
      <c r="K84" s="624"/>
      <c r="L84" s="625"/>
      <c r="M84" s="578"/>
      <c r="O84" s="566"/>
      <c r="P84" s="626"/>
    </row>
    <row r="85" spans="1:30" x14ac:dyDescent="0.2">
      <c r="A85" s="578"/>
      <c r="B85" s="578"/>
      <c r="C85" s="627"/>
      <c r="D85" s="627"/>
      <c r="E85" s="627"/>
      <c r="F85" s="627"/>
      <c r="G85" s="622"/>
      <c r="H85" s="621"/>
      <c r="I85" s="622"/>
      <c r="J85" s="623"/>
      <c r="K85" s="628"/>
      <c r="L85" s="625"/>
      <c r="M85" s="578"/>
      <c r="O85" s="566"/>
      <c r="P85" s="626"/>
    </row>
    <row r="86" spans="1:30" x14ac:dyDescent="0.2">
      <c r="A86" s="629"/>
      <c r="B86" s="629"/>
      <c r="C86" s="629"/>
      <c r="D86" s="629"/>
      <c r="E86" s="623"/>
      <c r="F86" s="630"/>
      <c r="G86" s="578"/>
      <c r="H86" s="566"/>
      <c r="I86" s="578"/>
      <c r="J86" s="566"/>
      <c r="K86" s="566"/>
      <c r="L86" s="578"/>
      <c r="M86" s="578"/>
      <c r="O86" s="566"/>
      <c r="P86" s="626"/>
    </row>
    <row r="87" spans="1:30" x14ac:dyDescent="0.2">
      <c r="A87" s="631"/>
      <c r="B87" s="631"/>
      <c r="C87" s="629"/>
      <c r="D87" s="629"/>
      <c r="E87" s="623"/>
      <c r="F87" s="630"/>
      <c r="G87" s="566"/>
      <c r="H87" s="566"/>
      <c r="I87" s="578"/>
      <c r="J87" s="566"/>
      <c r="K87" s="566"/>
      <c r="L87" s="578"/>
      <c r="M87" s="578"/>
      <c r="O87" s="566"/>
      <c r="P87" s="626"/>
    </row>
    <row r="88" spans="1:30" x14ac:dyDescent="0.2">
      <c r="A88" s="475"/>
      <c r="B88" s="475"/>
      <c r="C88" s="629"/>
      <c r="D88" s="629"/>
      <c r="E88" s="623"/>
      <c r="F88" s="630"/>
      <c r="G88" s="566"/>
      <c r="H88" s="566"/>
      <c r="I88" s="578"/>
      <c r="J88" s="566"/>
      <c r="K88" s="566"/>
      <c r="L88" s="578"/>
      <c r="M88" s="578"/>
      <c r="O88" s="566"/>
      <c r="P88" s="626"/>
    </row>
    <row r="89" spans="1:30" x14ac:dyDescent="0.2">
      <c r="A89" s="629"/>
      <c r="B89" s="629"/>
      <c r="C89" s="629"/>
      <c r="D89" s="629"/>
      <c r="E89" s="623"/>
      <c r="F89" s="630"/>
      <c r="G89" s="566"/>
      <c r="H89" s="566"/>
      <c r="I89" s="578"/>
      <c r="J89" s="566"/>
      <c r="K89" s="566"/>
      <c r="L89" s="578"/>
      <c r="M89" s="578"/>
      <c r="O89" s="566"/>
      <c r="P89" s="626"/>
    </row>
    <row r="90" spans="1:30" s="629" customFormat="1" x14ac:dyDescent="0.2">
      <c r="E90" s="623"/>
      <c r="F90" s="630"/>
      <c r="G90" s="566"/>
      <c r="H90" s="566"/>
      <c r="I90" s="578"/>
      <c r="J90" s="622"/>
      <c r="K90" s="566"/>
      <c r="L90" s="578"/>
      <c r="M90" s="578"/>
      <c r="N90" s="566"/>
      <c r="O90" s="566"/>
      <c r="P90" s="626"/>
      <c r="Q90" s="626"/>
      <c r="R90" s="626"/>
      <c r="S90" s="626"/>
      <c r="T90" s="626"/>
      <c r="U90" s="626"/>
      <c r="V90" s="626"/>
      <c r="W90" s="626"/>
      <c r="X90" s="626"/>
      <c r="Y90" s="626"/>
      <c r="Z90" s="626"/>
      <c r="AA90" s="626"/>
      <c r="AB90" s="626"/>
      <c r="AC90" s="626"/>
      <c r="AD90" s="566"/>
    </row>
    <row r="91" spans="1:30" s="629" customFormat="1" x14ac:dyDescent="0.2">
      <c r="E91" s="623"/>
      <c r="F91" s="630"/>
      <c r="G91" s="566"/>
      <c r="H91" s="566"/>
      <c r="I91" s="578"/>
      <c r="J91" s="622"/>
      <c r="K91" s="566"/>
      <c r="L91" s="578"/>
      <c r="M91" s="578"/>
      <c r="N91" s="566"/>
      <c r="O91" s="566"/>
      <c r="P91" s="626"/>
      <c r="Q91" s="626"/>
      <c r="R91" s="626"/>
      <c r="S91" s="626"/>
      <c r="T91" s="626"/>
      <c r="U91" s="626"/>
      <c r="V91" s="626"/>
      <c r="W91" s="626"/>
      <c r="X91" s="626"/>
      <c r="Y91" s="626"/>
      <c r="Z91" s="626"/>
      <c r="AA91" s="626"/>
      <c r="AB91" s="626"/>
      <c r="AC91" s="626"/>
      <c r="AD91" s="566"/>
    </row>
    <row r="92" spans="1:30" s="629" customFormat="1" x14ac:dyDescent="0.2">
      <c r="E92" s="623"/>
      <c r="F92" s="630"/>
      <c r="G92" s="566"/>
      <c r="H92" s="566"/>
      <c r="I92" s="578"/>
      <c r="J92" s="566"/>
      <c r="K92" s="566"/>
      <c r="L92" s="578"/>
      <c r="M92" s="578"/>
      <c r="N92" s="566"/>
      <c r="O92" s="566"/>
      <c r="P92" s="626"/>
      <c r="Q92" s="626"/>
      <c r="R92" s="626"/>
      <c r="S92" s="626"/>
      <c r="T92" s="626"/>
      <c r="U92" s="626"/>
      <c r="V92" s="626"/>
      <c r="W92" s="626"/>
      <c r="X92" s="626"/>
      <c r="Y92" s="626"/>
      <c r="Z92" s="626"/>
      <c r="AA92" s="626"/>
      <c r="AB92" s="626"/>
      <c r="AC92" s="626"/>
      <c r="AD92" s="566"/>
    </row>
    <row r="93" spans="1:30" s="629" customFormat="1" x14ac:dyDescent="0.2">
      <c r="E93" s="623"/>
      <c r="F93" s="630"/>
      <c r="G93" s="566"/>
      <c r="H93" s="566"/>
      <c r="I93" s="578"/>
      <c r="J93" s="566"/>
      <c r="K93" s="566"/>
      <c r="L93" s="578"/>
      <c r="M93" s="578"/>
      <c r="N93" s="566"/>
      <c r="O93" s="566"/>
      <c r="P93" s="626"/>
      <c r="Q93" s="626"/>
      <c r="R93" s="626"/>
      <c r="S93" s="626"/>
      <c r="T93" s="626"/>
      <c r="U93" s="626"/>
      <c r="V93" s="626"/>
      <c r="W93" s="626"/>
      <c r="X93" s="626"/>
      <c r="Y93" s="626"/>
      <c r="Z93" s="626"/>
      <c r="AA93" s="626"/>
      <c r="AB93" s="626"/>
      <c r="AC93" s="626"/>
      <c r="AD93" s="566"/>
    </row>
    <row r="94" spans="1:30" s="629" customFormat="1" x14ac:dyDescent="0.2">
      <c r="E94" s="623"/>
      <c r="F94" s="630"/>
      <c r="G94" s="566"/>
      <c r="H94" s="566"/>
      <c r="I94" s="578"/>
      <c r="J94" s="566"/>
      <c r="K94" s="566"/>
      <c r="L94" s="578"/>
      <c r="M94" s="578"/>
      <c r="N94" s="566"/>
      <c r="O94" s="566"/>
      <c r="P94" s="626"/>
      <c r="Q94" s="626"/>
      <c r="R94" s="626"/>
      <c r="S94" s="626"/>
      <c r="T94" s="626"/>
      <c r="U94" s="626"/>
      <c r="V94" s="626"/>
      <c r="W94" s="626"/>
      <c r="X94" s="626"/>
      <c r="Y94" s="626"/>
      <c r="Z94" s="626"/>
      <c r="AA94" s="626"/>
      <c r="AB94" s="626"/>
      <c r="AC94" s="626"/>
      <c r="AD94" s="566"/>
    </row>
    <row r="95" spans="1:30" s="629" customFormat="1" x14ac:dyDescent="0.2">
      <c r="E95" s="623"/>
      <c r="F95" s="630"/>
      <c r="G95" s="566"/>
      <c r="H95" s="566"/>
      <c r="I95" s="578"/>
      <c r="J95" s="566"/>
      <c r="K95" s="566"/>
      <c r="L95" s="578"/>
      <c r="M95" s="578"/>
      <c r="N95" s="566"/>
      <c r="O95" s="566"/>
      <c r="P95" s="626"/>
      <c r="Q95" s="626"/>
      <c r="R95" s="626"/>
      <c r="S95" s="626"/>
      <c r="T95" s="626"/>
      <c r="U95" s="626"/>
      <c r="V95" s="626"/>
      <c r="W95" s="626"/>
      <c r="X95" s="626"/>
      <c r="Y95" s="626"/>
      <c r="Z95" s="626"/>
      <c r="AA95" s="626"/>
      <c r="AB95" s="626"/>
      <c r="AC95" s="626"/>
      <c r="AD95" s="566"/>
    </row>
    <row r="96" spans="1:30" s="629" customFormat="1" x14ac:dyDescent="0.2">
      <c r="E96" s="623"/>
      <c r="F96" s="630"/>
      <c r="G96" s="566"/>
      <c r="H96" s="566"/>
      <c r="I96" s="578"/>
      <c r="J96" s="566"/>
      <c r="K96" s="566"/>
      <c r="L96" s="578"/>
      <c r="M96" s="578"/>
      <c r="N96" s="566"/>
      <c r="O96" s="566"/>
      <c r="P96" s="626"/>
      <c r="Q96" s="626"/>
      <c r="R96" s="626"/>
      <c r="S96" s="626"/>
      <c r="T96" s="626"/>
      <c r="U96" s="626"/>
      <c r="V96" s="626"/>
      <c r="W96" s="626"/>
      <c r="X96" s="626"/>
      <c r="Y96" s="626"/>
      <c r="Z96" s="626"/>
      <c r="AA96" s="626"/>
      <c r="AB96" s="626"/>
      <c r="AC96" s="626"/>
      <c r="AD96" s="566"/>
    </row>
    <row r="97" spans="5:30" s="629" customFormat="1" x14ac:dyDescent="0.2">
      <c r="E97" s="623"/>
      <c r="F97" s="630"/>
      <c r="G97" s="566"/>
      <c r="H97" s="566"/>
      <c r="I97" s="578"/>
      <c r="J97" s="566"/>
      <c r="K97" s="566"/>
      <c r="L97" s="578"/>
      <c r="M97" s="566"/>
      <c r="N97" s="566"/>
      <c r="O97" s="566"/>
      <c r="P97" s="626"/>
      <c r="Q97" s="626"/>
      <c r="R97" s="626"/>
      <c r="S97" s="626"/>
      <c r="T97" s="626"/>
      <c r="U97" s="626"/>
      <c r="V97" s="626"/>
      <c r="W97" s="626"/>
      <c r="X97" s="626"/>
      <c r="Y97" s="626"/>
      <c r="Z97" s="626"/>
      <c r="AA97" s="626"/>
      <c r="AB97" s="626"/>
      <c r="AC97" s="626"/>
      <c r="AD97" s="566"/>
    </row>
    <row r="98" spans="5:30" s="629" customFormat="1" x14ac:dyDescent="0.2">
      <c r="E98" s="623"/>
      <c r="F98" s="630"/>
      <c r="G98" s="566"/>
      <c r="H98" s="566"/>
      <c r="I98" s="578"/>
      <c r="J98" s="566"/>
      <c r="K98" s="566"/>
      <c r="L98" s="578"/>
      <c r="M98" s="566"/>
      <c r="N98" s="566"/>
      <c r="O98" s="566"/>
      <c r="P98" s="626"/>
      <c r="Q98" s="626"/>
      <c r="R98" s="626"/>
      <c r="S98" s="626"/>
      <c r="T98" s="626"/>
      <c r="U98" s="626"/>
      <c r="V98" s="626"/>
      <c r="W98" s="626"/>
      <c r="X98" s="626"/>
      <c r="Y98" s="626"/>
      <c r="Z98" s="626"/>
      <c r="AA98" s="626"/>
      <c r="AB98" s="626"/>
      <c r="AC98" s="626"/>
      <c r="AD98" s="566"/>
    </row>
    <row r="99" spans="5:30" s="629" customFormat="1" x14ac:dyDescent="0.2">
      <c r="E99" s="623"/>
      <c r="F99" s="630"/>
      <c r="G99" s="566"/>
      <c r="H99" s="566"/>
      <c r="I99" s="578"/>
      <c r="J99" s="566"/>
      <c r="K99" s="566"/>
      <c r="L99" s="566"/>
      <c r="M99" s="566"/>
      <c r="N99" s="566"/>
      <c r="O99" s="566"/>
      <c r="P99" s="626"/>
      <c r="Q99" s="626"/>
      <c r="R99" s="626"/>
      <c r="S99" s="626"/>
      <c r="T99" s="626"/>
      <c r="U99" s="626"/>
      <c r="V99" s="626"/>
      <c r="W99" s="626"/>
      <c r="X99" s="626"/>
      <c r="Y99" s="626"/>
      <c r="Z99" s="626"/>
      <c r="AA99" s="626"/>
      <c r="AB99" s="626"/>
      <c r="AC99" s="626"/>
      <c r="AD99" s="566"/>
    </row>
    <row r="100" spans="5:30" s="629" customFormat="1" x14ac:dyDescent="0.2">
      <c r="E100" s="623"/>
      <c r="F100" s="630"/>
      <c r="G100" s="566"/>
      <c r="H100" s="566"/>
      <c r="I100" s="578"/>
      <c r="J100" s="566"/>
      <c r="K100" s="566"/>
      <c r="L100" s="566"/>
      <c r="M100" s="566"/>
      <c r="N100" s="566"/>
      <c r="O100" s="566"/>
      <c r="P100" s="626"/>
      <c r="Q100" s="626"/>
      <c r="R100" s="626"/>
      <c r="S100" s="626"/>
      <c r="T100" s="626"/>
      <c r="U100" s="626"/>
      <c r="V100" s="626"/>
      <c r="W100" s="626"/>
      <c r="X100" s="626"/>
      <c r="Y100" s="626"/>
      <c r="Z100" s="626"/>
      <c r="AA100" s="626"/>
      <c r="AB100" s="626"/>
      <c r="AC100" s="626"/>
      <c r="AD100" s="566"/>
    </row>
    <row r="101" spans="5:30" s="629" customFormat="1" x14ac:dyDescent="0.2">
      <c r="E101" s="623"/>
      <c r="F101" s="630"/>
      <c r="G101" s="566"/>
      <c r="H101" s="566"/>
      <c r="I101" s="578"/>
      <c r="J101" s="566"/>
      <c r="K101" s="566"/>
      <c r="L101" s="566"/>
      <c r="M101" s="566"/>
      <c r="N101" s="566"/>
      <c r="O101" s="566"/>
      <c r="P101" s="626"/>
      <c r="Q101" s="626"/>
      <c r="R101" s="626"/>
      <c r="S101" s="626"/>
      <c r="T101" s="626"/>
      <c r="U101" s="626"/>
      <c r="V101" s="626"/>
      <c r="W101" s="626"/>
      <c r="X101" s="626"/>
      <c r="Y101" s="626"/>
      <c r="Z101" s="626"/>
      <c r="AA101" s="626"/>
      <c r="AB101" s="626"/>
      <c r="AC101" s="626"/>
      <c r="AD101" s="566"/>
    </row>
    <row r="102" spans="5:30" s="629" customFormat="1" x14ac:dyDescent="0.2">
      <c r="E102" s="623"/>
      <c r="F102" s="630"/>
      <c r="G102" s="566"/>
      <c r="H102" s="566"/>
      <c r="I102" s="578"/>
      <c r="J102" s="566"/>
      <c r="K102" s="566"/>
      <c r="L102" s="566"/>
      <c r="M102" s="566"/>
      <c r="N102" s="566"/>
      <c r="O102" s="566"/>
      <c r="P102" s="626"/>
      <c r="Q102" s="626"/>
      <c r="R102" s="626"/>
      <c r="S102" s="626"/>
      <c r="T102" s="626"/>
      <c r="U102" s="626"/>
      <c r="V102" s="626"/>
      <c r="W102" s="626"/>
      <c r="X102" s="626"/>
      <c r="Y102" s="626"/>
      <c r="Z102" s="626"/>
      <c r="AA102" s="626"/>
      <c r="AB102" s="626"/>
      <c r="AC102" s="626"/>
      <c r="AD102" s="566"/>
    </row>
    <row r="103" spans="5:30" s="629" customFormat="1" x14ac:dyDescent="0.2">
      <c r="E103" s="623"/>
      <c r="F103" s="630"/>
      <c r="G103" s="566"/>
      <c r="H103" s="566"/>
      <c r="I103" s="578"/>
      <c r="J103" s="566"/>
      <c r="K103" s="566"/>
      <c r="L103" s="566"/>
      <c r="M103" s="566"/>
      <c r="N103" s="566"/>
      <c r="O103" s="566"/>
      <c r="P103" s="626"/>
      <c r="Q103" s="626"/>
      <c r="R103" s="626"/>
      <c r="S103" s="626"/>
      <c r="T103" s="626"/>
      <c r="U103" s="626"/>
      <c r="V103" s="626"/>
      <c r="W103" s="626"/>
      <c r="X103" s="626"/>
      <c r="Y103" s="626"/>
      <c r="Z103" s="626"/>
      <c r="AA103" s="626"/>
      <c r="AB103" s="626"/>
      <c r="AC103" s="626"/>
      <c r="AD103" s="566"/>
    </row>
    <row r="104" spans="5:30" s="629" customFormat="1" x14ac:dyDescent="0.2">
      <c r="E104" s="623"/>
      <c r="F104" s="630"/>
      <c r="G104" s="566"/>
      <c r="H104" s="566"/>
      <c r="I104" s="578"/>
      <c r="J104" s="566"/>
      <c r="K104" s="566"/>
      <c r="L104" s="566"/>
      <c r="M104" s="566"/>
      <c r="N104" s="566"/>
      <c r="O104" s="566"/>
      <c r="P104" s="626"/>
      <c r="Q104" s="626"/>
      <c r="R104" s="626"/>
      <c r="S104" s="626"/>
      <c r="T104" s="626"/>
      <c r="U104" s="626"/>
      <c r="V104" s="626"/>
      <c r="W104" s="626"/>
      <c r="X104" s="626"/>
      <c r="Y104" s="626"/>
      <c r="Z104" s="626"/>
      <c r="AA104" s="626"/>
      <c r="AB104" s="626"/>
      <c r="AC104" s="626"/>
      <c r="AD104" s="566"/>
    </row>
    <row r="105" spans="5:30" s="629" customFormat="1" x14ac:dyDescent="0.2">
      <c r="E105" s="623"/>
      <c r="F105" s="630"/>
      <c r="G105" s="566"/>
      <c r="H105" s="566"/>
      <c r="I105" s="578"/>
      <c r="J105" s="566"/>
      <c r="K105" s="566"/>
      <c r="L105" s="566"/>
      <c r="M105" s="566"/>
      <c r="N105" s="566"/>
      <c r="O105" s="566"/>
      <c r="P105" s="626"/>
      <c r="Q105" s="626"/>
      <c r="R105" s="626"/>
      <c r="S105" s="626"/>
      <c r="T105" s="626"/>
      <c r="U105" s="626"/>
      <c r="V105" s="626"/>
      <c r="W105" s="626"/>
      <c r="X105" s="626"/>
      <c r="Y105" s="626"/>
      <c r="Z105" s="626"/>
      <c r="AA105" s="626"/>
      <c r="AB105" s="626"/>
      <c r="AC105" s="626"/>
      <c r="AD105" s="566"/>
    </row>
    <row r="106" spans="5:30" s="629" customFormat="1" x14ac:dyDescent="0.2">
      <c r="E106" s="623"/>
      <c r="F106" s="630"/>
      <c r="G106" s="566"/>
      <c r="H106" s="566"/>
      <c r="I106" s="578"/>
      <c r="J106" s="566"/>
      <c r="K106" s="566"/>
      <c r="L106" s="566"/>
      <c r="M106" s="566"/>
      <c r="N106" s="566"/>
      <c r="O106" s="566"/>
      <c r="P106" s="626"/>
      <c r="Q106" s="626"/>
      <c r="R106" s="626"/>
      <c r="S106" s="626"/>
      <c r="T106" s="626"/>
      <c r="U106" s="626"/>
      <c r="V106" s="626"/>
      <c r="W106" s="626"/>
      <c r="X106" s="626"/>
      <c r="Y106" s="626"/>
      <c r="Z106" s="626"/>
      <c r="AA106" s="626"/>
      <c r="AB106" s="626"/>
      <c r="AC106" s="626"/>
      <c r="AD106" s="566"/>
    </row>
    <row r="107" spans="5:30" s="629" customFormat="1" x14ac:dyDescent="0.2">
      <c r="E107" s="623"/>
      <c r="F107" s="630"/>
      <c r="G107" s="566"/>
      <c r="H107" s="566"/>
      <c r="I107" s="578"/>
      <c r="J107" s="566"/>
      <c r="K107" s="566"/>
      <c r="L107" s="566"/>
      <c r="M107" s="566"/>
      <c r="N107" s="566"/>
      <c r="O107" s="566"/>
      <c r="P107" s="626"/>
      <c r="Q107" s="626"/>
      <c r="R107" s="626"/>
      <c r="S107" s="626"/>
      <c r="T107" s="626"/>
      <c r="U107" s="626"/>
      <c r="V107" s="626"/>
      <c r="W107" s="626"/>
      <c r="X107" s="626"/>
      <c r="Y107" s="626"/>
      <c r="Z107" s="626"/>
      <c r="AA107" s="626"/>
      <c r="AB107" s="626"/>
      <c r="AC107" s="626"/>
      <c r="AD107" s="566"/>
    </row>
    <row r="108" spans="5:30" s="629" customFormat="1" x14ac:dyDescent="0.2">
      <c r="E108" s="623"/>
      <c r="F108" s="630"/>
      <c r="G108" s="566"/>
      <c r="H108" s="566"/>
      <c r="I108" s="578"/>
      <c r="J108" s="566"/>
      <c r="K108" s="566"/>
      <c r="L108" s="566"/>
      <c r="M108" s="566"/>
      <c r="N108" s="566"/>
      <c r="O108" s="566"/>
      <c r="P108" s="626"/>
      <c r="Q108" s="626"/>
      <c r="R108" s="626"/>
      <c r="S108" s="626"/>
      <c r="T108" s="626"/>
      <c r="U108" s="626"/>
      <c r="V108" s="626"/>
      <c r="W108" s="626"/>
      <c r="X108" s="626"/>
      <c r="Y108" s="626"/>
      <c r="Z108" s="626"/>
      <c r="AA108" s="626"/>
      <c r="AB108" s="626"/>
      <c r="AC108" s="626"/>
      <c r="AD108" s="566"/>
    </row>
    <row r="109" spans="5:30" s="629" customFormat="1" x14ac:dyDescent="0.2">
      <c r="E109" s="623"/>
      <c r="F109" s="630"/>
      <c r="G109" s="566"/>
      <c r="H109" s="566"/>
      <c r="I109" s="578"/>
      <c r="J109" s="566"/>
      <c r="K109" s="566"/>
      <c r="L109" s="566"/>
      <c r="M109" s="566"/>
      <c r="N109" s="566"/>
      <c r="O109" s="566"/>
      <c r="P109" s="626"/>
      <c r="Q109" s="626"/>
      <c r="R109" s="626"/>
      <c r="S109" s="626"/>
      <c r="T109" s="626"/>
      <c r="U109" s="626"/>
      <c r="V109" s="626"/>
      <c r="W109" s="626"/>
      <c r="X109" s="626"/>
      <c r="Y109" s="626"/>
      <c r="Z109" s="626"/>
      <c r="AA109" s="626"/>
      <c r="AB109" s="626"/>
      <c r="AC109" s="626"/>
      <c r="AD109" s="566"/>
    </row>
    <row r="110" spans="5:30" s="629" customFormat="1" x14ac:dyDescent="0.2">
      <c r="E110" s="623"/>
      <c r="F110" s="630"/>
      <c r="G110" s="626"/>
      <c r="H110" s="566"/>
      <c r="I110" s="578"/>
      <c r="J110" s="566"/>
      <c r="K110" s="566"/>
      <c r="L110" s="566"/>
      <c r="M110" s="566"/>
      <c r="N110" s="566"/>
      <c r="O110" s="566"/>
      <c r="P110" s="626"/>
      <c r="Q110" s="626"/>
      <c r="R110" s="626"/>
      <c r="S110" s="626"/>
      <c r="T110" s="626"/>
      <c r="U110" s="626"/>
      <c r="V110" s="626"/>
      <c r="W110" s="626"/>
      <c r="X110" s="626"/>
      <c r="Y110" s="626"/>
      <c r="Z110" s="626"/>
      <c r="AA110" s="626"/>
      <c r="AB110" s="626"/>
      <c r="AC110" s="626"/>
      <c r="AD110" s="566"/>
    </row>
    <row r="111" spans="5:30" s="629" customFormat="1" x14ac:dyDescent="0.2">
      <c r="E111" s="623"/>
      <c r="F111" s="630"/>
      <c r="G111" s="626"/>
      <c r="H111" s="566"/>
      <c r="I111" s="578"/>
      <c r="J111" s="566"/>
      <c r="K111" s="566"/>
      <c r="L111" s="566"/>
      <c r="M111" s="566"/>
      <c r="N111" s="566"/>
      <c r="O111" s="566"/>
      <c r="P111" s="626"/>
      <c r="Q111" s="626"/>
      <c r="R111" s="626"/>
      <c r="S111" s="626"/>
      <c r="T111" s="626"/>
      <c r="U111" s="626"/>
      <c r="V111" s="626"/>
      <c r="W111" s="626"/>
      <c r="X111" s="626"/>
      <c r="Y111" s="626"/>
      <c r="Z111" s="626"/>
      <c r="AA111" s="626"/>
      <c r="AB111" s="626"/>
      <c r="AC111" s="626"/>
      <c r="AD111" s="566"/>
    </row>
    <row r="112" spans="5:30" s="629" customFormat="1" x14ac:dyDescent="0.2">
      <c r="E112" s="623"/>
      <c r="F112" s="630"/>
      <c r="G112" s="626"/>
      <c r="H112" s="566"/>
      <c r="I112" s="578"/>
      <c r="J112" s="566"/>
      <c r="K112" s="566"/>
      <c r="L112" s="566"/>
      <c r="M112" s="566"/>
      <c r="N112" s="566"/>
      <c r="O112" s="566"/>
      <c r="P112" s="626"/>
      <c r="Q112" s="626"/>
      <c r="R112" s="626"/>
      <c r="S112" s="626"/>
      <c r="T112" s="626"/>
      <c r="U112" s="626"/>
      <c r="V112" s="626"/>
      <c r="W112" s="626"/>
      <c r="X112" s="626"/>
      <c r="Y112" s="626"/>
      <c r="Z112" s="626"/>
      <c r="AA112" s="626"/>
      <c r="AB112" s="626"/>
      <c r="AC112" s="626"/>
      <c r="AD112" s="566"/>
    </row>
    <row r="113" spans="5:30" s="629" customFormat="1" x14ac:dyDescent="0.2">
      <c r="E113" s="623"/>
      <c r="F113" s="630"/>
      <c r="G113" s="626"/>
      <c r="H113" s="566"/>
      <c r="I113" s="578"/>
      <c r="J113" s="566"/>
      <c r="K113" s="566"/>
      <c r="L113" s="566"/>
      <c r="M113" s="566"/>
      <c r="N113" s="566"/>
      <c r="O113" s="566"/>
      <c r="P113" s="626"/>
      <c r="Q113" s="626"/>
      <c r="R113" s="626"/>
      <c r="S113" s="626"/>
      <c r="T113" s="626"/>
      <c r="U113" s="626"/>
      <c r="V113" s="626"/>
      <c r="W113" s="626"/>
      <c r="X113" s="626"/>
      <c r="Y113" s="626"/>
      <c r="Z113" s="626"/>
      <c r="AA113" s="626"/>
      <c r="AB113" s="626"/>
      <c r="AC113" s="626"/>
      <c r="AD113" s="566"/>
    </row>
    <row r="114" spans="5:30" s="629" customFormat="1" x14ac:dyDescent="0.2">
      <c r="E114" s="623"/>
      <c r="F114" s="630"/>
      <c r="G114" s="566"/>
      <c r="H114" s="566"/>
      <c r="I114" s="578"/>
      <c r="J114" s="566"/>
      <c r="K114" s="566"/>
      <c r="L114" s="566"/>
      <c r="M114" s="566"/>
      <c r="N114" s="566"/>
      <c r="O114" s="566"/>
      <c r="P114" s="626"/>
      <c r="Q114" s="626"/>
      <c r="R114" s="626"/>
      <c r="S114" s="626"/>
      <c r="T114" s="626"/>
      <c r="U114" s="626"/>
      <c r="V114" s="626"/>
      <c r="W114" s="626"/>
      <c r="X114" s="626"/>
      <c r="Y114" s="626"/>
      <c r="Z114" s="626"/>
      <c r="AA114" s="626"/>
      <c r="AB114" s="626"/>
      <c r="AC114" s="626"/>
      <c r="AD114" s="566"/>
    </row>
    <row r="115" spans="5:30" s="629" customFormat="1" x14ac:dyDescent="0.2">
      <c r="E115" s="623"/>
      <c r="F115" s="630"/>
      <c r="G115" s="566"/>
      <c r="H115" s="566"/>
      <c r="I115" s="578"/>
      <c r="J115" s="566"/>
      <c r="K115" s="566"/>
      <c r="L115" s="566"/>
      <c r="M115" s="566"/>
      <c r="N115" s="566"/>
      <c r="O115" s="566"/>
      <c r="P115" s="626"/>
      <c r="Q115" s="626"/>
      <c r="R115" s="626"/>
      <c r="S115" s="626"/>
      <c r="T115" s="626"/>
      <c r="U115" s="626"/>
      <c r="V115" s="626"/>
      <c r="W115" s="626"/>
      <c r="X115" s="626"/>
      <c r="Y115" s="626"/>
      <c r="Z115" s="626"/>
      <c r="AA115" s="626"/>
      <c r="AB115" s="626"/>
      <c r="AC115" s="626"/>
      <c r="AD115" s="566"/>
    </row>
    <row r="116" spans="5:30" s="629" customFormat="1" x14ac:dyDescent="0.2">
      <c r="E116" s="623"/>
      <c r="F116" s="630"/>
      <c r="G116" s="566"/>
      <c r="H116" s="566"/>
      <c r="I116" s="578"/>
      <c r="J116" s="566"/>
      <c r="K116" s="566"/>
      <c r="L116" s="566"/>
      <c r="M116" s="566"/>
      <c r="N116" s="566"/>
      <c r="O116" s="566"/>
      <c r="P116" s="626"/>
      <c r="Q116" s="626"/>
      <c r="R116" s="632"/>
      <c r="S116" s="632"/>
      <c r="T116" s="632"/>
      <c r="U116" s="632"/>
      <c r="V116" s="632"/>
      <c r="W116" s="632"/>
      <c r="X116" s="632"/>
      <c r="Y116" s="632"/>
      <c r="Z116" s="632"/>
      <c r="AA116" s="632"/>
      <c r="AB116" s="632"/>
      <c r="AC116" s="632"/>
    </row>
    <row r="117" spans="5:30" s="629" customFormat="1" x14ac:dyDescent="0.2">
      <c r="E117" s="623"/>
      <c r="F117" s="630"/>
      <c r="G117" s="566"/>
      <c r="H117" s="566"/>
      <c r="I117" s="578"/>
      <c r="J117" s="566"/>
      <c r="K117" s="566"/>
      <c r="L117" s="566"/>
      <c r="M117" s="566"/>
      <c r="N117" s="566"/>
      <c r="O117" s="566"/>
      <c r="P117" s="626"/>
      <c r="Q117" s="626"/>
      <c r="R117" s="632"/>
      <c r="S117" s="632"/>
      <c r="T117" s="632"/>
      <c r="U117" s="632"/>
      <c r="V117" s="632"/>
      <c r="W117" s="632"/>
      <c r="X117" s="632"/>
      <c r="Y117" s="632"/>
      <c r="Z117" s="632"/>
      <c r="AA117" s="632"/>
      <c r="AB117" s="632"/>
      <c r="AC117" s="632"/>
    </row>
    <row r="118" spans="5:30" s="629" customFormat="1" x14ac:dyDescent="0.2">
      <c r="E118" s="623"/>
      <c r="F118" s="630"/>
      <c r="G118" s="566"/>
      <c r="H118" s="566"/>
      <c r="I118" s="578"/>
      <c r="J118" s="566"/>
      <c r="K118" s="566"/>
      <c r="L118" s="566"/>
      <c r="M118" s="566"/>
      <c r="N118" s="566"/>
      <c r="O118" s="566"/>
      <c r="P118" s="626"/>
      <c r="Q118" s="626"/>
      <c r="R118" s="632"/>
      <c r="S118" s="632"/>
      <c r="T118" s="632"/>
      <c r="U118" s="632"/>
      <c r="V118" s="632"/>
      <c r="W118" s="632"/>
      <c r="X118" s="632"/>
      <c r="Y118" s="632"/>
      <c r="Z118" s="632"/>
      <c r="AA118" s="632"/>
      <c r="AB118" s="632"/>
      <c r="AC118" s="632"/>
    </row>
    <row r="119" spans="5:30" s="629" customFormat="1" x14ac:dyDescent="0.2">
      <c r="E119" s="623"/>
      <c r="F119" s="630"/>
      <c r="G119" s="566"/>
      <c r="H119" s="566"/>
      <c r="I119" s="578"/>
      <c r="J119" s="566"/>
      <c r="K119" s="566"/>
      <c r="L119" s="566"/>
      <c r="M119" s="566"/>
      <c r="N119" s="566"/>
      <c r="O119" s="566"/>
      <c r="P119" s="626"/>
      <c r="Q119" s="626"/>
      <c r="R119" s="632"/>
      <c r="S119" s="632"/>
      <c r="T119" s="632"/>
      <c r="U119" s="632"/>
      <c r="V119" s="632"/>
      <c r="W119" s="632"/>
      <c r="X119" s="632"/>
      <c r="Y119" s="632"/>
      <c r="Z119" s="632"/>
      <c r="AA119" s="632"/>
      <c r="AB119" s="632"/>
      <c r="AC119" s="632"/>
    </row>
    <row r="120" spans="5:30" s="629" customFormat="1" x14ac:dyDescent="0.2">
      <c r="E120" s="623"/>
      <c r="F120" s="630"/>
      <c r="G120" s="566"/>
      <c r="H120" s="566"/>
      <c r="I120" s="578"/>
      <c r="J120" s="566"/>
      <c r="K120" s="566"/>
      <c r="L120" s="566"/>
      <c r="M120" s="566"/>
      <c r="N120" s="566"/>
      <c r="O120" s="566"/>
      <c r="P120" s="626"/>
      <c r="Q120" s="626"/>
      <c r="R120" s="632"/>
      <c r="S120" s="632"/>
      <c r="T120" s="632"/>
      <c r="U120" s="632"/>
      <c r="V120" s="632"/>
      <c r="W120" s="632"/>
      <c r="X120" s="632"/>
      <c r="Y120" s="632"/>
      <c r="Z120" s="632"/>
      <c r="AA120" s="632"/>
      <c r="AB120" s="632"/>
      <c r="AC120" s="632"/>
    </row>
    <row r="121" spans="5:30" s="629" customFormat="1" x14ac:dyDescent="0.2">
      <c r="E121" s="623"/>
      <c r="F121" s="630"/>
      <c r="G121" s="566"/>
      <c r="H121" s="566"/>
      <c r="I121" s="578"/>
      <c r="J121" s="566"/>
      <c r="K121" s="566"/>
      <c r="L121" s="566"/>
      <c r="M121" s="566"/>
      <c r="P121" s="632"/>
      <c r="Q121" s="632"/>
      <c r="R121" s="632"/>
      <c r="S121" s="632"/>
      <c r="T121" s="632"/>
      <c r="U121" s="632"/>
      <c r="V121" s="632"/>
      <c r="W121" s="632"/>
      <c r="X121" s="632"/>
      <c r="Y121" s="632"/>
      <c r="Z121" s="632"/>
      <c r="AA121" s="632"/>
      <c r="AB121" s="632"/>
      <c r="AC121" s="632"/>
    </row>
    <row r="122" spans="5:30" s="629" customFormat="1" x14ac:dyDescent="0.2">
      <c r="E122" s="623"/>
      <c r="F122" s="630"/>
      <c r="G122" s="566"/>
      <c r="H122" s="566"/>
      <c r="I122" s="578"/>
      <c r="J122" s="566"/>
      <c r="K122" s="566"/>
      <c r="L122" s="566"/>
      <c r="M122" s="566"/>
      <c r="P122" s="632"/>
      <c r="Q122" s="632"/>
      <c r="R122" s="632"/>
      <c r="S122" s="632"/>
      <c r="T122" s="632"/>
      <c r="U122" s="632"/>
      <c r="V122" s="632"/>
      <c r="W122" s="632"/>
      <c r="X122" s="632"/>
      <c r="Y122" s="632"/>
      <c r="Z122" s="632"/>
      <c r="AA122" s="632"/>
      <c r="AB122" s="632"/>
      <c r="AC122" s="632"/>
    </row>
    <row r="123" spans="5:30" s="629" customFormat="1" x14ac:dyDescent="0.2">
      <c r="E123" s="623"/>
      <c r="F123" s="630"/>
      <c r="G123" s="566"/>
      <c r="H123" s="566"/>
      <c r="I123" s="578"/>
      <c r="J123" s="566"/>
      <c r="K123" s="566"/>
      <c r="L123" s="566"/>
      <c r="M123" s="566"/>
      <c r="P123" s="632"/>
      <c r="Q123" s="632"/>
      <c r="R123" s="632"/>
      <c r="S123" s="632"/>
      <c r="T123" s="632"/>
      <c r="U123" s="632"/>
      <c r="V123" s="632"/>
      <c r="W123" s="632"/>
      <c r="X123" s="632"/>
      <c r="Y123" s="632"/>
      <c r="Z123" s="632"/>
      <c r="AA123" s="632"/>
      <c r="AB123" s="632"/>
      <c r="AC123" s="632"/>
    </row>
    <row r="124" spans="5:30" s="629" customFormat="1" x14ac:dyDescent="0.2">
      <c r="E124" s="623"/>
      <c r="F124" s="630"/>
      <c r="G124" s="566"/>
      <c r="H124" s="566"/>
      <c r="I124" s="578"/>
      <c r="J124" s="566"/>
      <c r="K124" s="566"/>
      <c r="L124" s="566"/>
      <c r="M124" s="566"/>
      <c r="P124" s="632"/>
      <c r="Q124" s="632"/>
      <c r="R124" s="632"/>
      <c r="S124" s="632"/>
      <c r="T124" s="632"/>
      <c r="U124" s="632"/>
      <c r="V124" s="632"/>
      <c r="W124" s="632"/>
      <c r="X124" s="632"/>
      <c r="Y124" s="632"/>
      <c r="Z124" s="632"/>
      <c r="AA124" s="632"/>
      <c r="AB124" s="632"/>
      <c r="AC124" s="632"/>
    </row>
    <row r="125" spans="5:30" s="629" customFormat="1" x14ac:dyDescent="0.2">
      <c r="E125" s="623"/>
      <c r="F125" s="630"/>
      <c r="G125" s="566"/>
      <c r="H125" s="566"/>
      <c r="I125" s="578"/>
      <c r="J125" s="566"/>
      <c r="K125" s="566"/>
      <c r="L125" s="566"/>
      <c r="M125" s="566"/>
      <c r="P125" s="632"/>
      <c r="Q125" s="632"/>
      <c r="R125" s="632"/>
      <c r="S125" s="632"/>
      <c r="T125" s="632"/>
      <c r="U125" s="632"/>
      <c r="V125" s="632"/>
      <c r="W125" s="632"/>
      <c r="X125" s="632"/>
      <c r="Y125" s="632"/>
      <c r="Z125" s="632"/>
      <c r="AA125" s="632"/>
      <c r="AB125" s="632"/>
      <c r="AC125" s="632"/>
    </row>
    <row r="126" spans="5:30" s="629" customFormat="1" x14ac:dyDescent="0.2">
      <c r="E126" s="623"/>
      <c r="F126" s="630"/>
      <c r="G126" s="566"/>
      <c r="H126" s="566"/>
      <c r="I126" s="578"/>
      <c r="J126" s="566"/>
      <c r="K126" s="566"/>
      <c r="L126" s="566"/>
      <c r="M126" s="566"/>
      <c r="P126" s="632"/>
      <c r="Q126" s="632"/>
      <c r="R126" s="632"/>
      <c r="S126" s="632"/>
      <c r="T126" s="632"/>
      <c r="U126" s="632"/>
      <c r="V126" s="632"/>
      <c r="W126" s="632"/>
      <c r="X126" s="632"/>
      <c r="Y126" s="632"/>
      <c r="Z126" s="632"/>
      <c r="AA126" s="632"/>
      <c r="AB126" s="632"/>
      <c r="AC126" s="632"/>
    </row>
    <row r="127" spans="5:30" s="629" customFormat="1" x14ac:dyDescent="0.2">
      <c r="E127" s="623"/>
      <c r="F127" s="630"/>
      <c r="G127" s="566"/>
      <c r="H127" s="566"/>
      <c r="I127" s="578"/>
      <c r="J127" s="566"/>
      <c r="K127" s="566"/>
      <c r="L127" s="566"/>
      <c r="M127" s="566"/>
      <c r="P127" s="632"/>
      <c r="Q127" s="632"/>
      <c r="R127" s="632"/>
      <c r="S127" s="632"/>
      <c r="T127" s="632"/>
      <c r="U127" s="632"/>
      <c r="V127" s="632"/>
      <c r="W127" s="632"/>
      <c r="X127" s="632"/>
      <c r="Y127" s="632"/>
      <c r="Z127" s="632"/>
      <c r="AA127" s="632"/>
      <c r="AB127" s="632"/>
      <c r="AC127" s="632"/>
    </row>
    <row r="128" spans="5:30" s="629" customFormat="1" x14ac:dyDescent="0.2">
      <c r="E128" s="623"/>
      <c r="F128" s="630"/>
      <c r="G128" s="566"/>
      <c r="H128" s="566"/>
      <c r="I128" s="578"/>
      <c r="J128" s="566"/>
      <c r="K128" s="566"/>
      <c r="L128" s="566"/>
      <c r="M128" s="566"/>
      <c r="P128" s="632"/>
      <c r="Q128" s="632"/>
      <c r="R128" s="632"/>
      <c r="S128" s="632"/>
      <c r="T128" s="632"/>
      <c r="U128" s="632"/>
      <c r="V128" s="632"/>
      <c r="W128" s="632"/>
      <c r="X128" s="632"/>
      <c r="Y128" s="632"/>
      <c r="Z128" s="632"/>
      <c r="AA128" s="632"/>
      <c r="AB128" s="632"/>
      <c r="AC128" s="632"/>
    </row>
    <row r="129" spans="5:29" s="629" customFormat="1" x14ac:dyDescent="0.2">
      <c r="E129" s="623"/>
      <c r="F129" s="630"/>
      <c r="G129" s="566"/>
      <c r="H129" s="566"/>
      <c r="I129" s="578"/>
      <c r="J129" s="566"/>
      <c r="K129" s="566"/>
      <c r="L129" s="566"/>
      <c r="M129" s="566"/>
      <c r="P129" s="632"/>
      <c r="Q129" s="632"/>
      <c r="R129" s="632"/>
      <c r="S129" s="632"/>
      <c r="T129" s="632"/>
      <c r="U129" s="632"/>
      <c r="V129" s="632"/>
      <c r="W129" s="632"/>
      <c r="X129" s="632"/>
      <c r="Y129" s="632"/>
      <c r="Z129" s="632"/>
      <c r="AA129" s="632"/>
      <c r="AB129" s="632"/>
      <c r="AC129" s="632"/>
    </row>
    <row r="130" spans="5:29" s="629" customFormat="1" x14ac:dyDescent="0.2">
      <c r="E130" s="623"/>
      <c r="F130" s="630"/>
      <c r="G130" s="566"/>
      <c r="H130" s="566"/>
      <c r="I130" s="578"/>
      <c r="J130" s="566"/>
      <c r="K130" s="566"/>
      <c r="L130" s="566"/>
      <c r="M130" s="566"/>
      <c r="P130" s="632"/>
      <c r="Q130" s="632"/>
      <c r="R130" s="632"/>
      <c r="S130" s="632"/>
      <c r="T130" s="632"/>
      <c r="U130" s="632"/>
      <c r="V130" s="632"/>
      <c r="W130" s="632"/>
      <c r="X130" s="632"/>
      <c r="Y130" s="632"/>
      <c r="Z130" s="632"/>
      <c r="AA130" s="632"/>
      <c r="AB130" s="632"/>
      <c r="AC130" s="632"/>
    </row>
    <row r="131" spans="5:29" s="629" customFormat="1" x14ac:dyDescent="0.2">
      <c r="E131" s="623"/>
      <c r="F131" s="630"/>
      <c r="G131" s="566"/>
      <c r="H131" s="566"/>
      <c r="I131" s="578"/>
      <c r="J131" s="566"/>
      <c r="K131" s="566"/>
      <c r="L131" s="566"/>
      <c r="M131" s="566"/>
      <c r="P131" s="632"/>
      <c r="Q131" s="632"/>
      <c r="R131" s="632"/>
      <c r="S131" s="632"/>
      <c r="T131" s="632"/>
      <c r="U131" s="632"/>
      <c r="V131" s="632"/>
      <c r="W131" s="632"/>
      <c r="X131" s="632"/>
      <c r="Y131" s="632"/>
      <c r="Z131" s="632"/>
      <c r="AA131" s="632"/>
      <c r="AB131" s="632"/>
      <c r="AC131" s="632"/>
    </row>
    <row r="132" spans="5:29" s="629" customFormat="1" x14ac:dyDescent="0.2">
      <c r="E132" s="623"/>
      <c r="F132" s="630"/>
      <c r="G132" s="566"/>
      <c r="H132" s="566"/>
      <c r="I132" s="578"/>
      <c r="J132" s="566"/>
      <c r="K132" s="566"/>
      <c r="L132" s="566"/>
      <c r="M132" s="566"/>
      <c r="P132" s="632"/>
      <c r="Q132" s="632"/>
      <c r="R132" s="632"/>
      <c r="S132" s="632"/>
      <c r="T132" s="632"/>
      <c r="U132" s="632"/>
      <c r="V132" s="632"/>
      <c r="W132" s="632"/>
      <c r="X132" s="632"/>
      <c r="Y132" s="632"/>
      <c r="Z132" s="632"/>
      <c r="AA132" s="632"/>
      <c r="AB132" s="632"/>
      <c r="AC132" s="632"/>
    </row>
    <row r="133" spans="5:29" s="629" customFormat="1" x14ac:dyDescent="0.2">
      <c r="E133" s="623"/>
      <c r="F133" s="630"/>
      <c r="G133" s="566"/>
      <c r="H133" s="566"/>
      <c r="I133" s="578"/>
      <c r="J133" s="566"/>
      <c r="K133" s="566"/>
      <c r="L133" s="566"/>
      <c r="M133" s="566"/>
      <c r="P133" s="632"/>
      <c r="Q133" s="632"/>
      <c r="R133" s="632"/>
      <c r="S133" s="632"/>
      <c r="T133" s="632"/>
      <c r="U133" s="632"/>
      <c r="V133" s="632"/>
      <c r="W133" s="632"/>
      <c r="X133" s="632"/>
      <c r="Y133" s="632"/>
      <c r="Z133" s="632"/>
      <c r="AA133" s="632"/>
      <c r="AB133" s="632"/>
      <c r="AC133" s="632"/>
    </row>
    <row r="134" spans="5:29" s="629" customFormat="1" x14ac:dyDescent="0.2">
      <c r="E134" s="623"/>
      <c r="F134" s="630"/>
      <c r="G134" s="566"/>
      <c r="H134" s="566"/>
      <c r="I134" s="578"/>
      <c r="J134" s="566"/>
      <c r="K134" s="566"/>
      <c r="L134" s="566"/>
      <c r="M134" s="566"/>
      <c r="P134" s="632"/>
      <c r="Q134" s="632"/>
      <c r="R134" s="632"/>
      <c r="S134" s="632"/>
      <c r="T134" s="632"/>
      <c r="U134" s="632"/>
      <c r="V134" s="632"/>
      <c r="W134" s="632"/>
      <c r="X134" s="632"/>
      <c r="Y134" s="632"/>
      <c r="Z134" s="632"/>
      <c r="AA134" s="632"/>
      <c r="AB134" s="632"/>
      <c r="AC134" s="632"/>
    </row>
    <row r="135" spans="5:29" s="629" customFormat="1" x14ac:dyDescent="0.2">
      <c r="E135" s="623"/>
      <c r="F135" s="630"/>
      <c r="G135" s="566"/>
      <c r="H135" s="566"/>
      <c r="I135" s="578"/>
      <c r="J135" s="566"/>
      <c r="K135" s="566"/>
      <c r="L135" s="566"/>
      <c r="M135" s="566"/>
      <c r="P135" s="632"/>
      <c r="Q135" s="632"/>
      <c r="R135" s="632"/>
      <c r="S135" s="632"/>
      <c r="T135" s="632"/>
      <c r="U135" s="632"/>
      <c r="V135" s="632"/>
      <c r="W135" s="632"/>
      <c r="X135" s="632"/>
      <c r="Y135" s="632"/>
      <c r="Z135" s="632"/>
      <c r="AA135" s="632"/>
      <c r="AB135" s="632"/>
      <c r="AC135" s="632"/>
    </row>
    <row r="136" spans="5:29" s="629" customFormat="1" x14ac:dyDescent="0.2">
      <c r="E136" s="623"/>
      <c r="F136" s="630"/>
      <c r="G136" s="566"/>
      <c r="H136" s="566"/>
      <c r="I136" s="578"/>
      <c r="J136" s="566"/>
      <c r="K136" s="566"/>
      <c r="L136" s="566"/>
      <c r="P136" s="632"/>
      <c r="Q136" s="632"/>
      <c r="R136" s="632"/>
      <c r="S136" s="632"/>
      <c r="T136" s="632"/>
      <c r="U136" s="632"/>
      <c r="V136" s="632"/>
      <c r="W136" s="632"/>
      <c r="X136" s="632"/>
      <c r="Y136" s="632"/>
      <c r="Z136" s="632"/>
      <c r="AA136" s="632"/>
      <c r="AB136" s="632"/>
      <c r="AC136" s="632"/>
    </row>
    <row r="137" spans="5:29" s="629" customFormat="1" x14ac:dyDescent="0.2">
      <c r="E137" s="623"/>
      <c r="F137" s="630"/>
      <c r="G137" s="566"/>
      <c r="H137" s="566"/>
      <c r="I137" s="578"/>
      <c r="J137" s="566"/>
      <c r="K137" s="566"/>
      <c r="L137" s="566"/>
      <c r="P137" s="632"/>
      <c r="Q137" s="632"/>
      <c r="R137" s="632"/>
      <c r="S137" s="632"/>
      <c r="T137" s="632"/>
      <c r="U137" s="632"/>
      <c r="V137" s="632"/>
      <c r="W137" s="632"/>
      <c r="X137" s="632"/>
      <c r="Y137" s="632"/>
      <c r="Z137" s="632"/>
      <c r="AA137" s="632"/>
      <c r="AB137" s="632"/>
      <c r="AC137" s="632"/>
    </row>
    <row r="138" spans="5:29" s="629" customFormat="1" x14ac:dyDescent="0.2">
      <c r="E138" s="623"/>
      <c r="F138" s="630"/>
      <c r="G138" s="566"/>
      <c r="H138" s="566"/>
      <c r="I138" s="578"/>
      <c r="J138" s="566"/>
      <c r="K138" s="566"/>
      <c r="L138" s="566"/>
      <c r="P138" s="632"/>
      <c r="Q138" s="632"/>
      <c r="R138" s="632"/>
      <c r="S138" s="632"/>
      <c r="T138" s="632"/>
      <c r="U138" s="632"/>
      <c r="V138" s="632"/>
      <c r="W138" s="632"/>
      <c r="X138" s="632"/>
      <c r="Y138" s="632"/>
      <c r="Z138" s="632"/>
      <c r="AA138" s="632"/>
      <c r="AB138" s="632"/>
      <c r="AC138" s="632"/>
    </row>
    <row r="139" spans="5:29" s="629" customFormat="1" x14ac:dyDescent="0.2">
      <c r="E139" s="623"/>
      <c r="F139" s="630"/>
      <c r="G139" s="566"/>
      <c r="H139" s="566"/>
      <c r="I139" s="578"/>
      <c r="J139" s="566"/>
      <c r="K139" s="566"/>
      <c r="L139" s="566"/>
      <c r="P139" s="632"/>
      <c r="Q139" s="632"/>
      <c r="R139" s="632"/>
      <c r="S139" s="632"/>
      <c r="T139" s="632"/>
      <c r="U139" s="632"/>
      <c r="V139" s="632"/>
      <c r="W139" s="632"/>
      <c r="X139" s="632"/>
      <c r="Y139" s="632"/>
      <c r="Z139" s="632"/>
      <c r="AA139" s="632"/>
      <c r="AB139" s="632"/>
      <c r="AC139" s="632"/>
    </row>
    <row r="140" spans="5:29" s="629" customFormat="1" x14ac:dyDescent="0.2">
      <c r="E140" s="623"/>
      <c r="F140" s="630"/>
      <c r="G140" s="566"/>
      <c r="H140" s="566"/>
      <c r="I140" s="578"/>
      <c r="J140" s="566"/>
      <c r="K140" s="566"/>
      <c r="L140" s="566"/>
      <c r="P140" s="632"/>
      <c r="Q140" s="632"/>
      <c r="R140" s="632"/>
      <c r="S140" s="632"/>
      <c r="T140" s="632"/>
      <c r="U140" s="632"/>
      <c r="V140" s="632"/>
      <c r="W140" s="632"/>
      <c r="X140" s="632"/>
      <c r="Y140" s="632"/>
      <c r="Z140" s="632"/>
      <c r="AA140" s="632"/>
      <c r="AB140" s="632"/>
      <c r="AC140" s="632"/>
    </row>
    <row r="141" spans="5:29" s="629" customFormat="1" x14ac:dyDescent="0.2">
      <c r="E141" s="623"/>
      <c r="F141" s="630"/>
      <c r="G141" s="566"/>
      <c r="H141" s="566"/>
      <c r="I141" s="578"/>
      <c r="J141" s="566"/>
      <c r="K141" s="566"/>
      <c r="L141" s="566"/>
      <c r="P141" s="632"/>
      <c r="Q141" s="632"/>
      <c r="R141" s="632"/>
      <c r="S141" s="632"/>
      <c r="T141" s="632"/>
      <c r="U141" s="632"/>
      <c r="V141" s="632"/>
      <c r="W141" s="632"/>
      <c r="X141" s="632"/>
      <c r="Y141" s="632"/>
      <c r="Z141" s="632"/>
      <c r="AA141" s="632"/>
      <c r="AB141" s="632"/>
      <c r="AC141" s="632"/>
    </row>
    <row r="142" spans="5:29" s="629" customFormat="1" x14ac:dyDescent="0.2">
      <c r="E142" s="623"/>
      <c r="F142" s="630"/>
      <c r="G142" s="566"/>
      <c r="H142" s="566"/>
      <c r="I142" s="578"/>
      <c r="J142" s="566"/>
      <c r="K142" s="566"/>
      <c r="L142" s="566"/>
      <c r="P142" s="632"/>
      <c r="Q142" s="632"/>
      <c r="R142" s="632"/>
      <c r="S142" s="632"/>
      <c r="T142" s="632"/>
      <c r="U142" s="632"/>
      <c r="V142" s="632"/>
      <c r="W142" s="632"/>
      <c r="X142" s="632"/>
      <c r="Y142" s="632"/>
      <c r="Z142" s="632"/>
      <c r="AA142" s="632"/>
      <c r="AB142" s="632"/>
      <c r="AC142" s="632"/>
    </row>
    <row r="143" spans="5:29" s="629" customFormat="1" x14ac:dyDescent="0.2">
      <c r="E143" s="623"/>
      <c r="F143" s="630"/>
      <c r="G143" s="566"/>
      <c r="H143" s="566"/>
      <c r="I143" s="578"/>
      <c r="J143" s="566"/>
      <c r="K143" s="566"/>
      <c r="L143" s="566"/>
      <c r="P143" s="632"/>
      <c r="Q143" s="632"/>
      <c r="R143" s="632"/>
      <c r="S143" s="632"/>
      <c r="T143" s="632"/>
      <c r="U143" s="632"/>
      <c r="V143" s="632"/>
      <c r="W143" s="632"/>
      <c r="X143" s="632"/>
      <c r="Y143" s="632"/>
      <c r="Z143" s="632"/>
      <c r="AA143" s="632"/>
      <c r="AB143" s="632"/>
      <c r="AC143" s="632"/>
    </row>
    <row r="144" spans="5:29" s="629" customFormat="1" x14ac:dyDescent="0.2">
      <c r="E144" s="623"/>
      <c r="F144" s="630"/>
      <c r="G144" s="566"/>
      <c r="H144" s="566"/>
      <c r="I144" s="578"/>
      <c r="J144" s="566"/>
      <c r="K144" s="566"/>
      <c r="L144" s="566"/>
      <c r="P144" s="632"/>
      <c r="Q144" s="632"/>
      <c r="R144" s="632"/>
      <c r="S144" s="632"/>
      <c r="T144" s="632"/>
      <c r="U144" s="632"/>
      <c r="V144" s="632"/>
      <c r="W144" s="632"/>
      <c r="X144" s="632"/>
      <c r="Y144" s="632"/>
      <c r="Z144" s="632"/>
      <c r="AA144" s="632"/>
      <c r="AB144" s="632"/>
      <c r="AC144" s="632"/>
    </row>
    <row r="145" spans="1:30" s="629" customFormat="1" x14ac:dyDescent="0.2">
      <c r="E145" s="623"/>
      <c r="F145" s="630"/>
      <c r="G145" s="566"/>
      <c r="H145" s="566"/>
      <c r="I145" s="578"/>
      <c r="J145" s="566"/>
      <c r="K145" s="566"/>
      <c r="L145" s="566"/>
      <c r="P145" s="632"/>
      <c r="Q145" s="632"/>
      <c r="R145" s="632"/>
      <c r="S145" s="632"/>
      <c r="T145" s="632"/>
      <c r="U145" s="632"/>
      <c r="V145" s="632"/>
      <c r="W145" s="632"/>
      <c r="X145" s="632"/>
      <c r="Y145" s="632"/>
      <c r="Z145" s="632"/>
      <c r="AA145" s="632"/>
      <c r="AB145" s="632"/>
      <c r="AC145" s="632"/>
    </row>
    <row r="146" spans="1:30" s="629" customFormat="1" x14ac:dyDescent="0.2">
      <c r="E146" s="623"/>
      <c r="F146" s="630"/>
      <c r="G146" s="566"/>
      <c r="H146" s="566"/>
      <c r="I146" s="578"/>
      <c r="J146" s="566"/>
      <c r="K146" s="566"/>
      <c r="L146" s="566"/>
      <c r="P146" s="632"/>
      <c r="Q146" s="632"/>
      <c r="R146" s="632"/>
      <c r="S146" s="632"/>
      <c r="T146" s="632"/>
      <c r="U146" s="632"/>
      <c r="V146" s="632"/>
      <c r="W146" s="632"/>
      <c r="X146" s="632"/>
      <c r="Y146" s="632"/>
      <c r="Z146" s="632"/>
      <c r="AA146" s="632"/>
      <c r="AB146" s="632"/>
      <c r="AC146" s="632"/>
    </row>
    <row r="147" spans="1:30" x14ac:dyDescent="0.2">
      <c r="A147" s="629"/>
      <c r="B147" s="629"/>
      <c r="C147" s="629"/>
      <c r="D147" s="629"/>
      <c r="E147" s="623"/>
      <c r="F147" s="630"/>
      <c r="G147" s="566"/>
      <c r="H147" s="566"/>
      <c r="I147" s="578"/>
      <c r="J147" s="566"/>
      <c r="K147" s="566"/>
      <c r="L147" s="566"/>
      <c r="M147" s="629"/>
      <c r="N147" s="629"/>
      <c r="O147" s="629"/>
      <c r="P147" s="632"/>
      <c r="Q147" s="632"/>
      <c r="R147" s="632"/>
      <c r="S147" s="632"/>
      <c r="T147" s="632"/>
      <c r="U147" s="632"/>
      <c r="V147" s="632"/>
      <c r="W147" s="632"/>
      <c r="X147" s="632"/>
      <c r="Y147" s="632"/>
      <c r="Z147" s="632"/>
      <c r="AA147" s="632"/>
      <c r="AB147" s="632"/>
      <c r="AC147" s="632"/>
      <c r="AD147" s="629"/>
    </row>
    <row r="148" spans="1:30" x14ac:dyDescent="0.2">
      <c r="A148" s="629"/>
      <c r="B148" s="629"/>
      <c r="C148" s="629"/>
      <c r="D148" s="629"/>
      <c r="E148" s="623"/>
      <c r="F148" s="630"/>
      <c r="G148" s="566"/>
      <c r="H148" s="566"/>
      <c r="I148" s="578"/>
      <c r="J148" s="566"/>
      <c r="K148" s="566"/>
      <c r="L148" s="566"/>
      <c r="M148" s="629"/>
      <c r="N148" s="629"/>
      <c r="O148" s="629"/>
      <c r="P148" s="632"/>
      <c r="Q148" s="632"/>
      <c r="R148" s="632"/>
      <c r="S148" s="632"/>
      <c r="T148" s="632"/>
      <c r="U148" s="632"/>
      <c r="V148" s="632"/>
      <c r="W148" s="632"/>
      <c r="X148" s="632"/>
      <c r="Y148" s="632"/>
      <c r="Z148" s="632"/>
      <c r="AA148" s="632"/>
      <c r="AB148" s="632"/>
      <c r="AC148" s="632"/>
      <c r="AD148" s="629"/>
    </row>
    <row r="149" spans="1:30" x14ac:dyDescent="0.2">
      <c r="A149" s="629"/>
      <c r="B149" s="629"/>
      <c r="C149" s="629"/>
      <c r="D149" s="629"/>
      <c r="E149" s="623"/>
      <c r="F149" s="630"/>
      <c r="G149" s="566"/>
      <c r="H149" s="566"/>
      <c r="I149" s="578"/>
      <c r="J149" s="566"/>
      <c r="K149" s="566"/>
      <c r="L149" s="566"/>
      <c r="M149" s="629"/>
      <c r="N149" s="629"/>
      <c r="O149" s="629"/>
      <c r="P149" s="632"/>
      <c r="Q149" s="632"/>
      <c r="R149" s="632"/>
      <c r="S149" s="632"/>
      <c r="T149" s="632"/>
      <c r="U149" s="632"/>
      <c r="V149" s="632"/>
      <c r="W149" s="632"/>
      <c r="X149" s="632"/>
      <c r="Y149" s="632"/>
      <c r="Z149" s="632"/>
      <c r="AA149" s="632"/>
      <c r="AB149" s="632"/>
      <c r="AC149" s="632"/>
      <c r="AD149" s="629"/>
    </row>
    <row r="150" spans="1:30" x14ac:dyDescent="0.2">
      <c r="A150" s="629"/>
      <c r="B150" s="629"/>
      <c r="C150" s="629"/>
      <c r="D150" s="629"/>
      <c r="E150" s="623"/>
      <c r="F150" s="630"/>
      <c r="G150" s="566"/>
      <c r="H150" s="566"/>
      <c r="I150" s="578"/>
      <c r="J150" s="566"/>
      <c r="K150" s="566"/>
      <c r="L150" s="566"/>
      <c r="M150" s="629"/>
      <c r="N150" s="629"/>
      <c r="O150" s="629"/>
      <c r="P150" s="632"/>
      <c r="Q150" s="632"/>
      <c r="R150" s="632"/>
      <c r="S150" s="632"/>
      <c r="T150" s="632"/>
      <c r="U150" s="632"/>
      <c r="V150" s="632"/>
      <c r="W150" s="632"/>
      <c r="X150" s="632"/>
      <c r="Y150" s="632"/>
      <c r="Z150" s="632"/>
      <c r="AA150" s="632"/>
      <c r="AB150" s="632"/>
      <c r="AC150" s="632"/>
      <c r="AD150" s="629"/>
    </row>
    <row r="151" spans="1:30" x14ac:dyDescent="0.2">
      <c r="A151" s="629"/>
      <c r="B151" s="629"/>
      <c r="C151" s="629"/>
      <c r="D151" s="629"/>
      <c r="E151" s="623"/>
      <c r="F151" s="630"/>
      <c r="G151" s="566"/>
      <c r="H151" s="566"/>
      <c r="I151" s="578"/>
      <c r="J151" s="566"/>
      <c r="K151" s="566"/>
      <c r="L151" s="566"/>
      <c r="M151" s="629"/>
      <c r="N151" s="629"/>
      <c r="O151" s="629"/>
      <c r="P151" s="632"/>
      <c r="Q151" s="632"/>
      <c r="R151" s="632"/>
      <c r="S151" s="632"/>
      <c r="T151" s="632"/>
      <c r="U151" s="632"/>
      <c r="V151" s="632"/>
      <c r="W151" s="632"/>
      <c r="X151" s="632"/>
      <c r="Y151" s="632"/>
      <c r="Z151" s="632"/>
      <c r="AA151" s="632"/>
      <c r="AB151" s="632"/>
      <c r="AC151" s="632"/>
      <c r="AD151" s="629"/>
    </row>
    <row r="152" spans="1:30" x14ac:dyDescent="0.2">
      <c r="A152" s="629"/>
      <c r="B152" s="629"/>
      <c r="C152" s="629"/>
      <c r="D152" s="629"/>
      <c r="E152" s="623"/>
      <c r="F152" s="630"/>
      <c r="G152" s="566"/>
      <c r="H152" s="566"/>
      <c r="I152" s="578"/>
      <c r="J152" s="566"/>
      <c r="K152" s="566"/>
      <c r="L152" s="566"/>
      <c r="M152" s="629"/>
      <c r="N152" s="629"/>
      <c r="O152" s="629"/>
      <c r="P152" s="632"/>
      <c r="Q152" s="632"/>
      <c r="R152" s="632"/>
      <c r="S152" s="632"/>
      <c r="T152" s="632"/>
      <c r="U152" s="632"/>
      <c r="V152" s="632"/>
      <c r="W152" s="632"/>
      <c r="X152" s="632"/>
      <c r="Y152" s="632"/>
      <c r="Z152" s="632"/>
      <c r="AA152" s="632"/>
      <c r="AB152" s="632"/>
      <c r="AC152" s="632"/>
      <c r="AD152" s="629"/>
    </row>
    <row r="153" spans="1:30" x14ac:dyDescent="0.2">
      <c r="A153" s="629"/>
      <c r="B153" s="629"/>
      <c r="C153" s="629"/>
      <c r="D153" s="629"/>
      <c r="E153" s="623"/>
      <c r="F153" s="630"/>
      <c r="G153" s="566"/>
      <c r="H153" s="566"/>
      <c r="I153" s="578"/>
      <c r="J153" s="566"/>
      <c r="K153" s="566"/>
      <c r="L153" s="566"/>
      <c r="M153" s="629"/>
      <c r="N153" s="629"/>
      <c r="O153" s="629"/>
      <c r="P153" s="632"/>
      <c r="Q153" s="632"/>
      <c r="R153" s="632"/>
      <c r="S153" s="632"/>
      <c r="T153" s="632"/>
      <c r="U153" s="632"/>
      <c r="V153" s="632"/>
      <c r="W153" s="632"/>
      <c r="X153" s="632"/>
      <c r="Y153" s="632"/>
      <c r="Z153" s="632"/>
      <c r="AA153" s="632"/>
      <c r="AB153" s="632"/>
      <c r="AC153" s="632"/>
      <c r="AD153" s="629"/>
    </row>
    <row r="154" spans="1:30" x14ac:dyDescent="0.2">
      <c r="A154" s="629"/>
      <c r="B154" s="629"/>
      <c r="C154" s="629"/>
      <c r="D154" s="629"/>
      <c r="E154" s="623"/>
      <c r="F154" s="630"/>
      <c r="G154" s="566"/>
      <c r="H154" s="566"/>
      <c r="I154" s="578"/>
      <c r="J154" s="566"/>
      <c r="K154" s="566"/>
      <c r="L154" s="566"/>
      <c r="M154" s="629"/>
      <c r="N154" s="629"/>
      <c r="O154" s="629"/>
      <c r="P154" s="632"/>
      <c r="Q154" s="632"/>
      <c r="R154" s="632"/>
      <c r="S154" s="632"/>
      <c r="T154" s="632"/>
      <c r="U154" s="632"/>
      <c r="V154" s="632"/>
      <c r="W154" s="632"/>
      <c r="X154" s="632"/>
      <c r="Y154" s="632"/>
      <c r="Z154" s="632"/>
      <c r="AA154" s="632"/>
      <c r="AB154" s="632"/>
      <c r="AC154" s="632"/>
      <c r="AD154" s="629"/>
    </row>
    <row r="155" spans="1:30" x14ac:dyDescent="0.2">
      <c r="A155" s="629"/>
      <c r="B155" s="629"/>
      <c r="C155" s="629"/>
      <c r="D155" s="629"/>
      <c r="E155" s="623"/>
      <c r="F155" s="630"/>
      <c r="G155" s="566"/>
      <c r="H155" s="566"/>
      <c r="I155" s="578"/>
      <c r="J155" s="566"/>
      <c r="K155" s="566"/>
      <c r="L155" s="566"/>
      <c r="M155" s="629"/>
      <c r="N155" s="629"/>
      <c r="O155" s="629"/>
      <c r="P155" s="632"/>
      <c r="Q155" s="632"/>
      <c r="R155" s="632"/>
      <c r="S155" s="632"/>
      <c r="T155" s="632"/>
      <c r="U155" s="632"/>
      <c r="V155" s="632"/>
      <c r="W155" s="632"/>
      <c r="X155" s="632"/>
      <c r="Y155" s="632"/>
      <c r="Z155" s="632"/>
      <c r="AA155" s="632"/>
      <c r="AB155" s="632"/>
      <c r="AC155" s="632"/>
      <c r="AD155" s="629"/>
    </row>
    <row r="156" spans="1:30" x14ac:dyDescent="0.2">
      <c r="A156" s="629"/>
      <c r="B156" s="629"/>
      <c r="C156" s="629"/>
      <c r="D156" s="629"/>
      <c r="E156" s="623"/>
      <c r="F156" s="630"/>
      <c r="G156" s="566"/>
      <c r="H156" s="566"/>
      <c r="I156" s="578"/>
      <c r="J156" s="566"/>
      <c r="K156" s="566"/>
      <c r="L156" s="566"/>
      <c r="M156" s="629"/>
      <c r="N156" s="629"/>
      <c r="O156" s="629"/>
      <c r="P156" s="632"/>
      <c r="Q156" s="632"/>
      <c r="R156" s="632"/>
      <c r="S156" s="632"/>
      <c r="T156" s="632"/>
      <c r="U156" s="632"/>
      <c r="V156" s="632"/>
      <c r="W156" s="632"/>
      <c r="X156" s="632"/>
      <c r="Y156" s="632"/>
      <c r="Z156" s="632"/>
      <c r="AA156" s="632"/>
      <c r="AB156" s="632"/>
      <c r="AC156" s="632"/>
      <c r="AD156" s="629"/>
    </row>
    <row r="157" spans="1:30" x14ac:dyDescent="0.2">
      <c r="A157" s="629"/>
      <c r="B157" s="629"/>
      <c r="C157" s="629"/>
      <c r="D157" s="629"/>
      <c r="E157" s="623"/>
      <c r="F157" s="630"/>
      <c r="G157" s="566"/>
      <c r="H157" s="566"/>
      <c r="I157" s="578"/>
      <c r="J157" s="566"/>
      <c r="K157" s="566"/>
      <c r="L157" s="566"/>
      <c r="M157" s="629"/>
      <c r="N157" s="629"/>
      <c r="O157" s="629"/>
      <c r="P157" s="632"/>
      <c r="Q157" s="632"/>
      <c r="R157" s="632"/>
      <c r="S157" s="632"/>
      <c r="T157" s="632"/>
      <c r="U157" s="632"/>
      <c r="V157" s="632"/>
      <c r="W157" s="632"/>
      <c r="X157" s="632"/>
      <c r="Y157" s="632"/>
      <c r="Z157" s="632"/>
      <c r="AA157" s="632"/>
      <c r="AB157" s="632"/>
      <c r="AC157" s="632"/>
      <c r="AD157" s="629"/>
    </row>
    <row r="158" spans="1:30" x14ac:dyDescent="0.2">
      <c r="A158" s="629"/>
      <c r="B158" s="629"/>
      <c r="C158" s="629"/>
      <c r="D158" s="629"/>
      <c r="E158" s="623"/>
      <c r="F158" s="630"/>
      <c r="G158" s="566"/>
      <c r="H158" s="566"/>
      <c r="I158" s="578"/>
      <c r="J158" s="566"/>
      <c r="K158" s="566"/>
      <c r="L158" s="566"/>
      <c r="M158" s="629"/>
      <c r="N158" s="629"/>
      <c r="O158" s="629"/>
      <c r="P158" s="632"/>
      <c r="Q158" s="632"/>
      <c r="R158" s="632"/>
      <c r="S158" s="632"/>
      <c r="T158" s="632"/>
      <c r="U158" s="632"/>
      <c r="V158" s="632"/>
      <c r="W158" s="632"/>
      <c r="X158" s="632"/>
      <c r="Y158" s="632"/>
      <c r="Z158" s="632"/>
      <c r="AA158" s="632"/>
      <c r="AB158" s="632"/>
      <c r="AC158" s="632"/>
      <c r="AD158" s="629"/>
    </row>
    <row r="159" spans="1:30" x14ac:dyDescent="0.2">
      <c r="A159" s="629"/>
      <c r="B159" s="629"/>
      <c r="C159" s="629"/>
      <c r="D159" s="629"/>
      <c r="E159" s="623"/>
      <c r="F159" s="630"/>
      <c r="G159" s="566"/>
      <c r="H159" s="566"/>
      <c r="I159" s="578"/>
      <c r="J159" s="566"/>
      <c r="K159" s="566"/>
      <c r="L159" s="566"/>
      <c r="M159" s="629"/>
      <c r="N159" s="629"/>
      <c r="O159" s="629"/>
      <c r="P159" s="632"/>
      <c r="Q159" s="632"/>
      <c r="R159" s="632"/>
      <c r="S159" s="632"/>
      <c r="T159" s="632"/>
      <c r="U159" s="632"/>
      <c r="V159" s="632"/>
      <c r="W159" s="632"/>
      <c r="X159" s="632"/>
      <c r="Y159" s="632"/>
      <c r="Z159" s="632"/>
      <c r="AA159" s="632"/>
      <c r="AB159" s="632"/>
      <c r="AC159" s="632"/>
      <c r="AD159" s="629"/>
    </row>
    <row r="160" spans="1:30" x14ac:dyDescent="0.2">
      <c r="A160" s="629"/>
      <c r="B160" s="629"/>
      <c r="C160" s="629"/>
      <c r="D160" s="629"/>
      <c r="E160" s="623"/>
      <c r="F160" s="630"/>
      <c r="G160" s="566"/>
      <c r="H160" s="566"/>
      <c r="I160" s="578"/>
      <c r="J160" s="566"/>
      <c r="K160" s="566"/>
      <c r="L160" s="566"/>
      <c r="M160" s="629"/>
      <c r="N160" s="629"/>
      <c r="O160" s="629"/>
      <c r="P160" s="632"/>
      <c r="Q160" s="632"/>
      <c r="R160" s="632"/>
      <c r="S160" s="632"/>
      <c r="T160" s="632"/>
      <c r="U160" s="632"/>
      <c r="V160" s="632"/>
      <c r="W160" s="632"/>
      <c r="X160" s="632"/>
      <c r="Y160" s="632"/>
      <c r="Z160" s="632"/>
      <c r="AA160" s="632"/>
      <c r="AB160" s="632"/>
      <c r="AC160" s="632"/>
      <c r="AD160" s="629"/>
    </row>
    <row r="161" spans="1:30" x14ac:dyDescent="0.2">
      <c r="A161" s="629"/>
      <c r="B161" s="629"/>
      <c r="C161" s="629"/>
      <c r="D161" s="629"/>
      <c r="E161" s="623"/>
      <c r="F161" s="630"/>
      <c r="G161" s="566"/>
      <c r="H161" s="566"/>
      <c r="I161" s="578"/>
      <c r="J161" s="566"/>
      <c r="K161" s="566"/>
      <c r="L161" s="566"/>
      <c r="M161" s="629"/>
      <c r="N161" s="629"/>
      <c r="O161" s="629"/>
      <c r="P161" s="632"/>
      <c r="Q161" s="632"/>
      <c r="R161" s="632"/>
      <c r="S161" s="632"/>
      <c r="T161" s="632"/>
      <c r="U161" s="632"/>
      <c r="V161" s="632"/>
      <c r="W161" s="632"/>
      <c r="X161" s="632"/>
      <c r="Y161" s="632"/>
      <c r="Z161" s="632"/>
      <c r="AA161" s="632"/>
      <c r="AB161" s="632"/>
      <c r="AC161" s="632"/>
      <c r="AD161" s="629"/>
    </row>
    <row r="162" spans="1:30" x14ac:dyDescent="0.2">
      <c r="A162" s="629"/>
      <c r="B162" s="629"/>
      <c r="C162" s="629"/>
      <c r="D162" s="629"/>
      <c r="E162" s="623"/>
      <c r="F162" s="630"/>
      <c r="G162" s="566"/>
      <c r="H162" s="566"/>
      <c r="I162" s="578"/>
      <c r="J162" s="566"/>
      <c r="K162" s="566"/>
      <c r="L162" s="566"/>
      <c r="M162" s="629"/>
      <c r="N162" s="629"/>
      <c r="O162" s="629"/>
      <c r="P162" s="632"/>
      <c r="Q162" s="632"/>
      <c r="R162" s="632"/>
      <c r="S162" s="632"/>
      <c r="T162" s="632"/>
      <c r="U162" s="632"/>
      <c r="V162" s="632"/>
      <c r="W162" s="632"/>
      <c r="X162" s="632"/>
      <c r="Y162" s="632"/>
      <c r="Z162" s="632"/>
      <c r="AA162" s="632"/>
      <c r="AB162" s="632"/>
      <c r="AC162" s="632"/>
      <c r="AD162" s="629"/>
    </row>
    <row r="163" spans="1:30" x14ac:dyDescent="0.2">
      <c r="A163" s="629"/>
      <c r="B163" s="629"/>
      <c r="C163" s="629"/>
      <c r="D163" s="629"/>
      <c r="E163" s="623"/>
      <c r="F163" s="630"/>
      <c r="G163" s="566"/>
      <c r="H163" s="566"/>
      <c r="I163" s="578"/>
      <c r="J163" s="566"/>
      <c r="K163" s="566"/>
      <c r="L163" s="566"/>
      <c r="M163" s="629"/>
      <c r="N163" s="629"/>
      <c r="O163" s="629"/>
      <c r="P163" s="632"/>
      <c r="Q163" s="632"/>
      <c r="R163" s="632"/>
      <c r="S163" s="632"/>
      <c r="T163" s="632"/>
      <c r="U163" s="632"/>
      <c r="V163" s="632"/>
      <c r="W163" s="632"/>
      <c r="X163" s="632"/>
      <c r="Y163" s="632"/>
      <c r="Z163" s="632"/>
      <c r="AA163" s="632"/>
      <c r="AB163" s="632"/>
      <c r="AC163" s="632"/>
      <c r="AD163" s="629"/>
    </row>
    <row r="164" spans="1:30" x14ac:dyDescent="0.2">
      <c r="A164" s="629"/>
      <c r="B164" s="629"/>
      <c r="C164" s="629"/>
      <c r="D164" s="629"/>
      <c r="E164" s="623"/>
      <c r="F164" s="630"/>
      <c r="G164" s="566"/>
      <c r="H164" s="566"/>
      <c r="I164" s="578"/>
      <c r="J164" s="566"/>
      <c r="K164" s="566"/>
      <c r="L164" s="566"/>
      <c r="M164" s="629"/>
      <c r="N164" s="629"/>
      <c r="O164" s="629"/>
      <c r="P164" s="632"/>
      <c r="Q164" s="632"/>
      <c r="R164" s="632"/>
      <c r="S164" s="632"/>
      <c r="T164" s="632"/>
      <c r="U164" s="632"/>
      <c r="V164" s="632"/>
      <c r="W164" s="632"/>
      <c r="X164" s="632"/>
      <c r="Y164" s="632"/>
      <c r="Z164" s="632"/>
      <c r="AA164" s="632"/>
      <c r="AB164" s="632"/>
      <c r="AC164" s="632"/>
      <c r="AD164" s="629"/>
    </row>
    <row r="165" spans="1:30" x14ac:dyDescent="0.2">
      <c r="A165" s="629"/>
      <c r="B165" s="629"/>
      <c r="C165" s="629"/>
      <c r="D165" s="629"/>
      <c r="E165" s="623"/>
      <c r="F165" s="630"/>
      <c r="G165" s="566"/>
      <c r="H165" s="566"/>
      <c r="I165" s="578"/>
      <c r="J165" s="566"/>
      <c r="K165" s="566"/>
      <c r="L165" s="566"/>
      <c r="M165" s="629"/>
      <c r="N165" s="629"/>
      <c r="O165" s="629"/>
      <c r="P165" s="632"/>
      <c r="Q165" s="632"/>
      <c r="R165" s="632"/>
      <c r="S165" s="632"/>
      <c r="T165" s="632"/>
      <c r="U165" s="632"/>
      <c r="V165" s="632"/>
      <c r="W165" s="632"/>
      <c r="X165" s="632"/>
      <c r="Y165" s="632"/>
      <c r="Z165" s="632"/>
      <c r="AA165" s="632"/>
      <c r="AB165" s="632"/>
      <c r="AC165" s="632"/>
      <c r="AD165" s="629"/>
    </row>
    <row r="166" spans="1:30" x14ac:dyDescent="0.2">
      <c r="A166" s="629"/>
      <c r="B166" s="629"/>
      <c r="C166" s="629"/>
      <c r="D166" s="629"/>
      <c r="E166" s="623"/>
      <c r="F166" s="630"/>
      <c r="G166" s="566"/>
      <c r="H166" s="566"/>
      <c r="I166" s="578"/>
      <c r="J166" s="566"/>
      <c r="K166" s="566"/>
      <c r="L166" s="566"/>
      <c r="M166" s="629"/>
      <c r="N166" s="629"/>
      <c r="O166" s="629"/>
      <c r="P166" s="632"/>
      <c r="Q166" s="632"/>
      <c r="R166" s="632"/>
      <c r="S166" s="632"/>
      <c r="T166" s="632"/>
      <c r="U166" s="632"/>
      <c r="V166" s="632"/>
      <c r="W166" s="632"/>
      <c r="X166" s="632"/>
      <c r="Y166" s="632"/>
      <c r="Z166" s="632"/>
      <c r="AA166" s="632"/>
      <c r="AB166" s="632"/>
      <c r="AC166" s="632"/>
      <c r="AD166" s="629"/>
    </row>
    <row r="167" spans="1:30" x14ac:dyDescent="0.2">
      <c r="A167" s="629"/>
      <c r="B167" s="629"/>
      <c r="C167" s="629"/>
      <c r="D167" s="629"/>
      <c r="E167" s="623"/>
      <c r="F167" s="630"/>
      <c r="G167" s="566"/>
      <c r="H167" s="566"/>
      <c r="I167" s="578"/>
      <c r="J167" s="566"/>
      <c r="K167" s="566"/>
      <c r="L167" s="566"/>
      <c r="M167" s="629"/>
      <c r="N167" s="629"/>
      <c r="O167" s="629"/>
      <c r="P167" s="632"/>
      <c r="Q167" s="632"/>
      <c r="R167" s="632"/>
      <c r="S167" s="632"/>
      <c r="T167" s="632"/>
      <c r="U167" s="632"/>
      <c r="V167" s="632"/>
      <c r="W167" s="632"/>
      <c r="X167" s="632"/>
      <c r="Y167" s="632"/>
      <c r="Z167" s="632"/>
      <c r="AA167" s="632"/>
      <c r="AB167" s="632"/>
      <c r="AC167" s="632"/>
      <c r="AD167" s="629"/>
    </row>
    <row r="168" spans="1:30" x14ac:dyDescent="0.2">
      <c r="A168" s="629"/>
      <c r="B168" s="629"/>
      <c r="C168" s="629"/>
      <c r="D168" s="629"/>
      <c r="E168" s="623"/>
      <c r="F168" s="630"/>
      <c r="G168" s="566"/>
      <c r="H168" s="566"/>
      <c r="I168" s="578"/>
      <c r="J168" s="566"/>
      <c r="K168" s="566"/>
      <c r="L168" s="566"/>
      <c r="M168" s="629"/>
      <c r="N168" s="629"/>
      <c r="O168" s="629"/>
      <c r="P168" s="632"/>
      <c r="Q168" s="632"/>
      <c r="R168" s="632"/>
      <c r="S168" s="632"/>
      <c r="T168" s="632"/>
      <c r="U168" s="632"/>
      <c r="V168" s="632"/>
      <c r="W168" s="632"/>
      <c r="X168" s="632"/>
      <c r="Y168" s="632"/>
      <c r="Z168" s="632"/>
      <c r="AA168" s="632"/>
      <c r="AB168" s="632"/>
      <c r="AC168" s="632"/>
      <c r="AD168" s="629"/>
    </row>
    <row r="169" spans="1:30" x14ac:dyDescent="0.2">
      <c r="A169" s="629"/>
      <c r="B169" s="629"/>
      <c r="C169" s="629"/>
      <c r="D169" s="629"/>
      <c r="E169" s="623"/>
      <c r="F169" s="630"/>
      <c r="G169" s="566"/>
      <c r="H169" s="566"/>
      <c r="I169" s="578"/>
      <c r="J169" s="566"/>
      <c r="K169" s="566"/>
      <c r="L169" s="566"/>
      <c r="M169" s="629"/>
      <c r="N169" s="629"/>
      <c r="O169" s="629"/>
      <c r="P169" s="632"/>
      <c r="Q169" s="632"/>
      <c r="R169" s="632"/>
      <c r="S169" s="632"/>
      <c r="T169" s="632"/>
      <c r="U169" s="632"/>
      <c r="V169" s="632"/>
      <c r="W169" s="632"/>
      <c r="X169" s="632"/>
      <c r="Y169" s="632"/>
      <c r="Z169" s="632"/>
      <c r="AA169" s="632"/>
      <c r="AB169" s="632"/>
      <c r="AC169" s="632"/>
      <c r="AD169" s="629"/>
    </row>
    <row r="170" spans="1:30" x14ac:dyDescent="0.2">
      <c r="A170" s="629"/>
      <c r="B170" s="629"/>
      <c r="C170" s="629"/>
      <c r="D170" s="629"/>
      <c r="E170" s="623"/>
      <c r="F170" s="630"/>
      <c r="G170" s="566"/>
      <c r="H170" s="566"/>
      <c r="I170" s="578"/>
      <c r="J170" s="566"/>
      <c r="K170" s="566"/>
      <c r="L170" s="566"/>
      <c r="M170" s="629"/>
      <c r="N170" s="629"/>
      <c r="O170" s="629"/>
      <c r="P170" s="632"/>
      <c r="Q170" s="632"/>
      <c r="R170" s="632"/>
      <c r="S170" s="632"/>
      <c r="T170" s="632"/>
      <c r="U170" s="632"/>
      <c r="V170" s="632"/>
      <c r="W170" s="632"/>
      <c r="X170" s="632"/>
      <c r="Y170" s="632"/>
      <c r="Z170" s="632"/>
      <c r="AA170" s="632"/>
      <c r="AB170" s="632"/>
      <c r="AC170" s="632"/>
      <c r="AD170" s="629"/>
    </row>
    <row r="171" spans="1:30" x14ac:dyDescent="0.2">
      <c r="A171" s="629"/>
      <c r="B171" s="629"/>
      <c r="C171" s="629"/>
      <c r="D171" s="629"/>
      <c r="E171" s="623"/>
      <c r="F171" s="630"/>
      <c r="G171" s="566"/>
      <c r="H171" s="566"/>
      <c r="I171" s="578"/>
      <c r="J171" s="566"/>
      <c r="K171" s="566"/>
      <c r="L171" s="566"/>
      <c r="M171" s="629"/>
      <c r="N171" s="629"/>
      <c r="O171" s="629"/>
      <c r="P171" s="632"/>
      <c r="Q171" s="632"/>
      <c r="R171" s="632"/>
      <c r="S171" s="632"/>
      <c r="T171" s="632"/>
      <c r="U171" s="632"/>
      <c r="V171" s="632"/>
      <c r="W171" s="632"/>
      <c r="X171" s="632"/>
      <c r="Y171" s="632"/>
      <c r="Z171" s="632"/>
      <c r="AA171" s="632"/>
      <c r="AB171" s="632"/>
      <c r="AC171" s="632"/>
      <c r="AD171" s="629"/>
    </row>
    <row r="172" spans="1:30" x14ac:dyDescent="0.2">
      <c r="A172" s="629"/>
      <c r="B172" s="629"/>
      <c r="C172" s="629"/>
      <c r="D172" s="629"/>
      <c r="E172" s="623"/>
      <c r="F172" s="630"/>
      <c r="G172" s="566"/>
      <c r="H172" s="566"/>
      <c r="I172" s="578"/>
      <c r="J172" s="566"/>
      <c r="K172" s="566"/>
      <c r="L172" s="566"/>
      <c r="M172" s="629"/>
      <c r="N172" s="629"/>
      <c r="O172" s="629"/>
      <c r="P172" s="632"/>
      <c r="Q172" s="632"/>
      <c r="R172" s="632"/>
      <c r="S172" s="632"/>
      <c r="T172" s="632"/>
      <c r="U172" s="632"/>
      <c r="V172" s="632"/>
      <c r="W172" s="632"/>
      <c r="X172" s="632"/>
      <c r="Y172" s="632"/>
      <c r="Z172" s="632"/>
      <c r="AA172" s="632"/>
      <c r="AB172" s="632"/>
      <c r="AC172" s="632"/>
      <c r="AD172" s="629"/>
    </row>
    <row r="173" spans="1:30" x14ac:dyDescent="0.2">
      <c r="A173" s="629"/>
      <c r="B173" s="629"/>
      <c r="C173" s="629"/>
      <c r="D173" s="629"/>
      <c r="E173" s="623"/>
      <c r="F173" s="630"/>
      <c r="G173" s="566"/>
      <c r="H173" s="566"/>
      <c r="I173" s="578"/>
      <c r="J173" s="566"/>
      <c r="K173" s="566"/>
      <c r="L173" s="566"/>
      <c r="M173" s="629"/>
      <c r="N173" s="629"/>
      <c r="O173" s="629"/>
      <c r="P173" s="632"/>
      <c r="Q173" s="632"/>
    </row>
    <row r="174" spans="1:30" x14ac:dyDescent="0.2">
      <c r="A174" s="629"/>
      <c r="B174" s="629"/>
      <c r="C174" s="629"/>
      <c r="D174" s="629"/>
      <c r="E174" s="623"/>
      <c r="F174" s="630"/>
      <c r="G174" s="566"/>
      <c r="H174" s="566"/>
      <c r="I174" s="578"/>
      <c r="J174" s="566"/>
      <c r="K174" s="566"/>
      <c r="L174" s="566"/>
      <c r="M174" s="629"/>
      <c r="N174" s="629"/>
      <c r="O174" s="629"/>
      <c r="P174" s="632"/>
      <c r="Q174" s="632"/>
    </row>
    <row r="175" spans="1:30" x14ac:dyDescent="0.2">
      <c r="A175" s="629"/>
      <c r="B175" s="629"/>
      <c r="C175" s="629"/>
      <c r="D175" s="629"/>
      <c r="E175" s="623"/>
      <c r="F175" s="630"/>
      <c r="G175" s="566"/>
      <c r="H175" s="566"/>
      <c r="I175" s="578"/>
      <c r="J175" s="566"/>
      <c r="K175" s="566"/>
      <c r="L175" s="566"/>
      <c r="M175" s="629"/>
      <c r="N175" s="629"/>
      <c r="O175" s="629"/>
      <c r="P175" s="632"/>
      <c r="Q175" s="632"/>
    </row>
    <row r="176" spans="1:30" x14ac:dyDescent="0.2">
      <c r="A176" s="629"/>
      <c r="B176" s="629"/>
      <c r="C176" s="629"/>
      <c r="D176" s="629"/>
      <c r="E176" s="623"/>
      <c r="F176" s="630"/>
      <c r="G176" s="566"/>
      <c r="H176" s="566"/>
      <c r="I176" s="578"/>
      <c r="J176" s="566"/>
      <c r="K176" s="566"/>
      <c r="L176" s="566"/>
      <c r="M176" s="629"/>
      <c r="N176" s="629"/>
      <c r="O176" s="629"/>
      <c r="P176" s="632"/>
      <c r="Q176" s="632"/>
    </row>
    <row r="177" spans="1:17" x14ac:dyDescent="0.2">
      <c r="A177" s="629"/>
      <c r="B177" s="629"/>
      <c r="C177" s="629"/>
      <c r="D177" s="629"/>
      <c r="E177" s="623"/>
      <c r="F177" s="630"/>
      <c r="G177" s="566"/>
      <c r="H177" s="566"/>
      <c r="I177" s="578"/>
      <c r="J177" s="566"/>
      <c r="K177" s="566"/>
      <c r="L177" s="566"/>
      <c r="M177" s="629"/>
      <c r="N177" s="629"/>
      <c r="O177" s="629"/>
      <c r="P177" s="632"/>
      <c r="Q177" s="632"/>
    </row>
    <row r="178" spans="1:17" x14ac:dyDescent="0.2">
      <c r="A178" s="629"/>
      <c r="B178" s="629"/>
      <c r="C178" s="629"/>
      <c r="D178" s="629"/>
      <c r="E178" s="623"/>
      <c r="F178" s="630"/>
      <c r="G178" s="566"/>
      <c r="H178" s="566"/>
      <c r="I178" s="578"/>
      <c r="J178" s="566"/>
      <c r="K178" s="566"/>
      <c r="L178" s="566"/>
      <c r="M178" s="629"/>
    </row>
    <row r="179" spans="1:17" x14ac:dyDescent="0.2">
      <c r="A179" s="629"/>
      <c r="B179" s="629"/>
      <c r="C179" s="629"/>
      <c r="D179" s="629"/>
      <c r="E179" s="623"/>
      <c r="F179" s="630"/>
      <c r="G179" s="566"/>
      <c r="H179" s="566"/>
      <c r="I179" s="578"/>
      <c r="J179" s="566"/>
      <c r="K179" s="566"/>
      <c r="L179" s="566"/>
      <c r="M179" s="629"/>
    </row>
    <row r="180" spans="1:17" x14ac:dyDescent="0.2">
      <c r="A180" s="629"/>
      <c r="B180" s="629"/>
      <c r="C180" s="629"/>
      <c r="D180" s="629"/>
      <c r="E180" s="623"/>
      <c r="F180" s="630"/>
      <c r="G180" s="566"/>
      <c r="H180" s="566"/>
      <c r="I180" s="578"/>
      <c r="J180" s="566"/>
      <c r="K180" s="566"/>
      <c r="L180" s="566"/>
      <c r="M180" s="629"/>
    </row>
    <row r="181" spans="1:17" x14ac:dyDescent="0.2">
      <c r="A181" s="629"/>
      <c r="B181" s="629"/>
      <c r="C181" s="629"/>
      <c r="D181" s="629"/>
      <c r="E181" s="623"/>
      <c r="F181" s="630"/>
      <c r="G181" s="566"/>
      <c r="H181" s="566"/>
      <c r="I181" s="578"/>
      <c r="J181" s="566"/>
      <c r="K181" s="566"/>
      <c r="L181" s="566"/>
      <c r="M181" s="629"/>
    </row>
    <row r="182" spans="1:17" x14ac:dyDescent="0.2">
      <c r="J182" s="566"/>
      <c r="K182" s="566"/>
      <c r="L182" s="566"/>
      <c r="M182" s="629"/>
    </row>
    <row r="183" spans="1:17" x14ac:dyDescent="0.2">
      <c r="J183" s="566"/>
      <c r="K183" s="566"/>
      <c r="L183" s="566"/>
      <c r="M183" s="629"/>
    </row>
    <row r="184" spans="1:17" x14ac:dyDescent="0.2">
      <c r="J184" s="566"/>
      <c r="K184" s="566"/>
      <c r="L184" s="566"/>
      <c r="M184" s="629"/>
    </row>
    <row r="185" spans="1:17" x14ac:dyDescent="0.2">
      <c r="J185" s="566"/>
      <c r="K185" s="566"/>
      <c r="L185" s="566"/>
      <c r="M185" s="629"/>
    </row>
    <row r="186" spans="1:17" x14ac:dyDescent="0.2">
      <c r="J186" s="566"/>
      <c r="K186" s="566"/>
      <c r="L186" s="566"/>
      <c r="M186" s="629"/>
    </row>
    <row r="187" spans="1:17" x14ac:dyDescent="0.2">
      <c r="J187" s="566"/>
      <c r="K187" s="566"/>
      <c r="L187" s="566"/>
      <c r="M187" s="629"/>
    </row>
    <row r="188" spans="1:17" x14ac:dyDescent="0.2">
      <c r="K188" s="566"/>
      <c r="L188" s="566"/>
      <c r="M188" s="629"/>
    </row>
    <row r="189" spans="1:17" x14ac:dyDescent="0.2">
      <c r="K189" s="566"/>
      <c r="L189" s="566"/>
      <c r="M189" s="629"/>
    </row>
    <row r="190" spans="1:17" x14ac:dyDescent="0.2">
      <c r="K190" s="566"/>
      <c r="L190" s="566"/>
      <c r="M190" s="629"/>
    </row>
    <row r="191" spans="1:17" x14ac:dyDescent="0.2">
      <c r="L191" s="566"/>
      <c r="M191" s="629"/>
    </row>
    <row r="192" spans="1:17" x14ac:dyDescent="0.2">
      <c r="L192" s="566"/>
      <c r="M192" s="629"/>
    </row>
    <row r="193" spans="12:12" x14ac:dyDescent="0.2">
      <c r="L193" s="566"/>
    </row>
    <row r="194" spans="12:12" x14ac:dyDescent="0.2">
      <c r="L194" s="566"/>
    </row>
    <row r="195" spans="12:12" x14ac:dyDescent="0.2">
      <c r="L195" s="566"/>
    </row>
  </sheetData>
  <mergeCells count="7">
    <mergeCell ref="AB7:AC7"/>
    <mergeCell ref="AE7:AF7"/>
    <mergeCell ref="D9:F9"/>
    <mergeCell ref="H9:K9"/>
    <mergeCell ref="A7:L7"/>
    <mergeCell ref="R7:S7"/>
    <mergeCell ref="T7:AA7"/>
  </mergeCells>
  <conditionalFormatting sqref="P84:P100 AJ9:AJ57">
    <cfRule type="aboveAverage" dxfId="3" priority="1" aboveAverage="0" stdDev="1"/>
    <cfRule type="aboveAverage" dxfId="2" priority="2" stdDev="1"/>
  </conditionalFormatting>
  <dataValidations disablePrompts="1" count="1">
    <dataValidation type="list" allowBlank="1" showInputMessage="1" showErrorMessage="1" sqref="B5" xr:uid="{E874B8C0-C7E6-4544-B7A7-26B3E0545D23}">
      <formula1>$AL$5:$AL$8</formula1>
    </dataValidation>
  </dataValidations>
  <pageMargins left="0.7" right="0.7" top="0.75" bottom="0.75" header="0.3" footer="0.3"/>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8E62-BB68-4C59-AB7C-DEB878C78AE2}">
  <dimension ref="A1:Z169"/>
  <sheetViews>
    <sheetView workbookViewId="0">
      <selection activeCell="C29" sqref="C29"/>
    </sheetView>
  </sheetViews>
  <sheetFormatPr defaultColWidth="7.88671875" defaultRowHeight="10.199999999999999" x14ac:dyDescent="0.2"/>
  <cols>
    <col min="1" max="1" width="15.6640625" style="566" bestFit="1" customWidth="1"/>
    <col min="2" max="2" width="9.5546875" style="566" bestFit="1" customWidth="1"/>
    <col min="3" max="3" width="5.109375" style="633" customWidth="1"/>
    <col min="4" max="6" width="7.6640625" style="633" customWidth="1"/>
    <col min="7" max="7" width="12" style="629" bestFit="1" customWidth="1"/>
    <col min="8" max="8" width="9.33203125" style="632" customWidth="1"/>
    <col min="9" max="10" width="8.44140625" style="629" bestFit="1" customWidth="1"/>
    <col min="11" max="11" width="8.44140625" style="623" bestFit="1" customWidth="1"/>
    <col min="12" max="12" width="13.6640625" style="630" bestFit="1" customWidth="1"/>
    <col min="13" max="13" width="6.33203125" style="566" bestFit="1" customWidth="1"/>
    <col min="14" max="14" width="5.6640625" style="566" bestFit="1" customWidth="1"/>
    <col min="15" max="15" width="5.88671875" style="578" bestFit="1" customWidth="1"/>
    <col min="16" max="16" width="5.88671875" style="459" bestFit="1" customWidth="1"/>
    <col min="17" max="17" width="14" style="626" bestFit="1" customWidth="1"/>
    <col min="18" max="18" width="6" style="626" bestFit="1" customWidth="1"/>
    <col min="19" max="19" width="8.6640625" style="626" bestFit="1" customWidth="1"/>
    <col min="20" max="21" width="17.33203125" style="566" bestFit="1" customWidth="1"/>
    <col min="22" max="22" width="9.33203125" style="566" bestFit="1" customWidth="1"/>
    <col min="23" max="27" width="5.33203125" style="566" customWidth="1"/>
    <col min="28" max="28" width="17" style="566" customWidth="1"/>
    <col min="29" max="16384" width="7.88671875" style="566"/>
  </cols>
  <sheetData>
    <row r="1" spans="1:24" s="402" customFormat="1" ht="13.2" x14ac:dyDescent="0.25">
      <c r="A1" s="394" t="s">
        <v>108</v>
      </c>
      <c r="B1" s="395" t="s">
        <v>163</v>
      </c>
      <c r="C1" s="396"/>
      <c r="D1" s="395"/>
      <c r="E1" s="397"/>
      <c r="F1" s="397"/>
      <c r="G1" s="398"/>
      <c r="H1" s="399" t="s">
        <v>109</v>
      </c>
      <c r="I1" s="400">
        <f>C35</f>
        <v>585</v>
      </c>
      <c r="J1" s="401"/>
      <c r="K1" s="395"/>
      <c r="L1" s="395"/>
      <c r="N1" s="403"/>
      <c r="P1" s="404"/>
      <c r="Q1" s="404"/>
      <c r="R1" s="404"/>
      <c r="S1" s="404"/>
    </row>
    <row r="2" spans="1:24" s="402" customFormat="1" ht="13.2" x14ac:dyDescent="0.25">
      <c r="A2" s="405" t="s">
        <v>110</v>
      </c>
      <c r="B2" s="395" t="s">
        <v>212</v>
      </c>
      <c r="C2" s="406"/>
      <c r="D2" s="395"/>
      <c r="E2" s="407"/>
      <c r="F2" s="407"/>
      <c r="G2" s="408"/>
      <c r="H2" s="409" t="s">
        <v>111</v>
      </c>
      <c r="I2" s="410">
        <f>V12</f>
        <v>564</v>
      </c>
      <c r="J2" s="411"/>
      <c r="K2" s="395"/>
      <c r="L2" s="395"/>
      <c r="N2" s="412"/>
      <c r="P2" s="404"/>
      <c r="Q2" s="404"/>
      <c r="R2" s="404"/>
      <c r="S2" s="404"/>
    </row>
    <row r="3" spans="1:24" s="416" customFormat="1" ht="11.25" customHeight="1" x14ac:dyDescent="0.25">
      <c r="A3" s="413" t="s">
        <v>112</v>
      </c>
      <c r="B3" s="665">
        <v>45407</v>
      </c>
      <c r="C3" s="406"/>
      <c r="D3" s="407"/>
      <c r="E3" s="407"/>
      <c r="F3" s="407"/>
      <c r="G3" s="408"/>
      <c r="H3" s="413" t="s">
        <v>113</v>
      </c>
      <c r="I3" s="415">
        <f>V53/100</f>
        <v>5.64</v>
      </c>
      <c r="J3" s="411"/>
      <c r="K3" s="395"/>
      <c r="L3" s="395"/>
      <c r="N3" s="417"/>
      <c r="P3" s="418"/>
      <c r="Q3" s="418"/>
      <c r="R3" s="418"/>
      <c r="S3" s="418"/>
    </row>
    <row r="4" spans="1:24" s="402" customFormat="1" ht="13.2" x14ac:dyDescent="0.25">
      <c r="A4" s="413" t="s">
        <v>114</v>
      </c>
      <c r="B4" s="414" t="s">
        <v>202</v>
      </c>
      <c r="C4" s="406"/>
      <c r="D4" s="407"/>
      <c r="E4" s="407"/>
      <c r="F4" s="407"/>
      <c r="G4" s="408"/>
      <c r="H4" s="413" t="s">
        <v>115</v>
      </c>
      <c r="I4" s="419">
        <f>S34</f>
        <v>0.43435865086108216</v>
      </c>
      <c r="J4" s="411"/>
      <c r="K4" s="395"/>
      <c r="L4" s="395"/>
      <c r="M4" s="403"/>
      <c r="N4" s="403"/>
      <c r="P4" s="404"/>
      <c r="Q4" s="404"/>
      <c r="R4" s="404"/>
      <c r="S4" s="404"/>
    </row>
    <row r="5" spans="1:24" s="423" customFormat="1" ht="13.2" x14ac:dyDescent="0.25">
      <c r="A5" s="405" t="s">
        <v>116</v>
      </c>
      <c r="B5" s="420" t="s">
        <v>117</v>
      </c>
      <c r="C5" s="406"/>
      <c r="D5" s="407"/>
      <c r="E5" s="407"/>
      <c r="F5" s="407"/>
      <c r="G5" s="408"/>
      <c r="H5" s="413"/>
      <c r="I5" s="421"/>
      <c r="J5" s="411"/>
      <c r="K5" s="395"/>
      <c r="L5" s="395"/>
      <c r="M5" s="422"/>
      <c r="N5" s="422"/>
      <c r="P5" s="424"/>
      <c r="Q5" s="424"/>
      <c r="R5" s="424"/>
      <c r="S5" s="424"/>
    </row>
    <row r="6" spans="1:24" s="422" customFormat="1" ht="13.8" thickBot="1" x14ac:dyDescent="0.25">
      <c r="A6" s="425"/>
      <c r="B6" s="426"/>
      <c r="C6" s="427"/>
      <c r="D6" s="428"/>
      <c r="E6" s="428"/>
      <c r="F6" s="428"/>
      <c r="G6" s="429"/>
      <c r="H6" s="430"/>
      <c r="I6" s="431"/>
      <c r="J6" s="429"/>
      <c r="K6" s="426"/>
      <c r="L6" s="426"/>
      <c r="M6" s="432"/>
      <c r="P6" s="433"/>
      <c r="Q6" s="433"/>
      <c r="R6" s="433"/>
      <c r="S6" s="433"/>
    </row>
    <row r="7" spans="1:24" s="423" customFormat="1" ht="13.2" customHeight="1" x14ac:dyDescent="0.2">
      <c r="A7" s="888" t="s">
        <v>118</v>
      </c>
      <c r="B7" s="889"/>
      <c r="C7" s="889"/>
      <c r="D7" s="889"/>
      <c r="E7" s="889"/>
      <c r="F7" s="889"/>
      <c r="G7" s="889"/>
      <c r="H7" s="889"/>
      <c r="I7" s="889"/>
      <c r="J7" s="889"/>
      <c r="K7" s="889"/>
      <c r="L7" s="889"/>
      <c r="M7" s="890" t="s">
        <v>119</v>
      </c>
      <c r="N7" s="891"/>
      <c r="O7" s="892"/>
      <c r="P7" s="434" t="s">
        <v>120</v>
      </c>
      <c r="Q7" s="435"/>
      <c r="R7" s="434" t="s">
        <v>121</v>
      </c>
      <c r="S7" s="434"/>
      <c r="T7" s="436"/>
      <c r="U7" s="886" t="s">
        <v>122</v>
      </c>
      <c r="V7" s="887"/>
      <c r="W7" s="422"/>
      <c r="X7" s="422"/>
    </row>
    <row r="8" spans="1:24" s="453" customFormat="1" x14ac:dyDescent="0.2">
      <c r="A8" s="437"/>
      <c r="B8" s="432"/>
      <c r="C8" s="438"/>
      <c r="D8" s="439"/>
      <c r="E8" s="440"/>
      <c r="F8" s="441"/>
      <c r="G8" s="442"/>
      <c r="H8" s="443"/>
      <c r="I8" s="443"/>
      <c r="J8" s="443"/>
      <c r="K8" s="443"/>
      <c r="L8" s="444"/>
      <c r="M8" s="445"/>
      <c r="N8" s="446"/>
      <c r="O8" s="447"/>
      <c r="P8" s="448"/>
      <c r="Q8" s="449"/>
      <c r="R8" s="448"/>
      <c r="S8" s="448"/>
      <c r="T8" s="450"/>
      <c r="U8" s="451"/>
      <c r="V8" s="451"/>
      <c r="W8" s="452"/>
    </row>
    <row r="9" spans="1:24" s="464" customFormat="1" ht="13.2" customHeight="1" x14ac:dyDescent="0.2">
      <c r="A9" s="454"/>
      <c r="B9" s="422"/>
      <c r="C9" s="455"/>
      <c r="D9" s="893" t="s">
        <v>123</v>
      </c>
      <c r="E9" s="894"/>
      <c r="F9" s="895"/>
      <c r="G9" s="456"/>
      <c r="H9" s="896" t="s">
        <v>124</v>
      </c>
      <c r="I9" s="897"/>
      <c r="J9" s="897"/>
      <c r="K9" s="898"/>
      <c r="L9" s="666"/>
      <c r="M9" s="458"/>
      <c r="N9" s="446" t="s">
        <v>125</v>
      </c>
      <c r="O9" s="447"/>
      <c r="P9" s="448"/>
      <c r="Q9" s="449"/>
      <c r="R9" s="459"/>
      <c r="S9" s="459"/>
      <c r="T9" s="450"/>
      <c r="U9" s="460"/>
      <c r="V9" s="461"/>
      <c r="W9" s="462"/>
      <c r="X9" s="463"/>
    </row>
    <row r="10" spans="1:24" s="464" customFormat="1" x14ac:dyDescent="0.2">
      <c r="A10" s="465" t="s">
        <v>126</v>
      </c>
      <c r="B10" s="466" t="s">
        <v>51</v>
      </c>
      <c r="C10" s="467" t="s">
        <v>127</v>
      </c>
      <c r="D10" s="468" t="s">
        <v>128</v>
      </c>
      <c r="E10" s="469" t="s">
        <v>129</v>
      </c>
      <c r="F10" s="470" t="s">
        <v>130</v>
      </c>
      <c r="G10" s="456" t="s">
        <v>131</v>
      </c>
      <c r="H10" s="667" t="s">
        <v>132</v>
      </c>
      <c r="I10" s="667" t="s">
        <v>133</v>
      </c>
      <c r="J10" s="667" t="s">
        <v>134</v>
      </c>
      <c r="K10" s="667" t="s">
        <v>135</v>
      </c>
      <c r="L10" s="666" t="s">
        <v>136</v>
      </c>
      <c r="M10" s="472" t="s">
        <v>137</v>
      </c>
      <c r="N10" s="473" t="s">
        <v>138</v>
      </c>
      <c r="O10" s="474" t="s">
        <v>139</v>
      </c>
      <c r="P10" s="475" t="s">
        <v>140</v>
      </c>
      <c r="Q10" s="449" t="s">
        <v>141</v>
      </c>
      <c r="R10" s="475" t="s">
        <v>141</v>
      </c>
      <c r="S10" s="475" t="s">
        <v>140</v>
      </c>
      <c r="T10" s="476" t="s">
        <v>142</v>
      </c>
      <c r="U10" s="460" t="s">
        <v>143</v>
      </c>
      <c r="V10" s="460" t="s">
        <v>144</v>
      </c>
      <c r="W10" s="477"/>
    </row>
    <row r="11" spans="1:24" s="464" customFormat="1" ht="12" thickBot="1" x14ac:dyDescent="0.25">
      <c r="A11" s="478" t="s">
        <v>145</v>
      </c>
      <c r="B11" s="479" t="s">
        <v>145</v>
      </c>
      <c r="C11" s="480" t="s">
        <v>146</v>
      </c>
      <c r="D11" s="481" t="s">
        <v>147</v>
      </c>
      <c r="E11" s="482" t="s">
        <v>147</v>
      </c>
      <c r="F11" s="483" t="s">
        <v>147</v>
      </c>
      <c r="G11" s="484" t="s">
        <v>147</v>
      </c>
      <c r="H11" s="485" t="s">
        <v>147</v>
      </c>
      <c r="I11" s="485" t="s">
        <v>147</v>
      </c>
      <c r="J11" s="485" t="s">
        <v>147</v>
      </c>
      <c r="K11" s="485" t="s">
        <v>147</v>
      </c>
      <c r="L11" s="486" t="s">
        <v>147</v>
      </c>
      <c r="M11" s="487" t="s">
        <v>148</v>
      </c>
      <c r="N11" s="488" t="s">
        <v>146</v>
      </c>
      <c r="O11" s="489" t="s">
        <v>146</v>
      </c>
      <c r="P11" s="490" t="s">
        <v>149</v>
      </c>
      <c r="Q11" s="491" t="s">
        <v>150</v>
      </c>
      <c r="R11" s="492" t="s">
        <v>36</v>
      </c>
      <c r="S11" s="492" t="s">
        <v>151</v>
      </c>
      <c r="T11" s="493"/>
      <c r="U11" s="494"/>
      <c r="V11" s="495" t="s">
        <v>147</v>
      </c>
      <c r="W11" s="477"/>
    </row>
    <row r="12" spans="1:24" s="464" customFormat="1" x14ac:dyDescent="0.3">
      <c r="A12" s="496" t="s">
        <v>152</v>
      </c>
      <c r="B12" s="497"/>
      <c r="C12" s="498">
        <v>0</v>
      </c>
      <c r="D12" s="499" t="s">
        <v>153</v>
      </c>
      <c r="E12" s="500" t="s">
        <v>153</v>
      </c>
      <c r="F12" s="501" t="s">
        <v>153</v>
      </c>
      <c r="G12" s="502" t="s">
        <v>153</v>
      </c>
      <c r="H12" s="500" t="s">
        <v>153</v>
      </c>
      <c r="I12" s="500" t="s">
        <v>153</v>
      </c>
      <c r="J12" s="500" t="s">
        <v>153</v>
      </c>
      <c r="K12" s="500" t="s">
        <v>153</v>
      </c>
      <c r="L12" s="503" t="s">
        <v>153</v>
      </c>
      <c r="M12" s="504"/>
      <c r="N12" s="505"/>
      <c r="O12" s="506"/>
      <c r="P12" s="507"/>
      <c r="Q12" s="508"/>
      <c r="R12" s="509"/>
      <c r="S12" s="510"/>
      <c r="T12" s="511"/>
      <c r="U12" s="512" t="s">
        <v>172</v>
      </c>
      <c r="V12" s="513">
        <v>564</v>
      </c>
      <c r="W12" s="514"/>
    </row>
    <row r="13" spans="1:24" s="464" customFormat="1" x14ac:dyDescent="0.3">
      <c r="A13" s="515">
        <v>280</v>
      </c>
      <c r="B13" s="516">
        <v>0</v>
      </c>
      <c r="C13" s="504">
        <v>10</v>
      </c>
      <c r="D13" s="517" t="s">
        <v>153</v>
      </c>
      <c r="E13" s="518" t="s">
        <v>153</v>
      </c>
      <c r="F13" s="519" t="s">
        <v>153</v>
      </c>
      <c r="G13" s="520" t="s">
        <v>153</v>
      </c>
      <c r="H13" s="518" t="s">
        <v>153</v>
      </c>
      <c r="I13" s="518" t="s">
        <v>153</v>
      </c>
      <c r="J13" s="518" t="s">
        <v>153</v>
      </c>
      <c r="K13" s="518" t="s">
        <v>153</v>
      </c>
      <c r="L13" s="521" t="s">
        <v>153</v>
      </c>
      <c r="M13" s="504">
        <v>966</v>
      </c>
      <c r="N13" s="522">
        <f>C12</f>
        <v>0</v>
      </c>
      <c r="O13" s="523">
        <f>(C13+C14-10)/2</f>
        <v>10</v>
      </c>
      <c r="P13" s="524">
        <f t="shared" ref="P13:P18" si="0">(A13-B13)/M13</f>
        <v>0.28985507246376813</v>
      </c>
      <c r="Q13" s="525">
        <f t="shared" ref="Q13:Q18" si="1">(P13*(O13-N13))/100</f>
        <v>2.8985507246376812E-2</v>
      </c>
      <c r="R13" s="526">
        <f>SUM(Q$13:Q13)</f>
        <v>2.8985507246376812E-2</v>
      </c>
      <c r="S13" s="527">
        <f t="shared" ref="S13:S18" si="2">R13/O13*100</f>
        <v>0.28985507246376813</v>
      </c>
      <c r="T13" s="528"/>
      <c r="U13" s="529" t="s">
        <v>154</v>
      </c>
      <c r="V13" s="530"/>
      <c r="W13" s="477"/>
    </row>
    <row r="14" spans="1:24" s="464" customFormat="1" x14ac:dyDescent="0.3">
      <c r="A14" s="515">
        <v>315</v>
      </c>
      <c r="B14" s="516">
        <v>0</v>
      </c>
      <c r="C14" s="504">
        <v>20</v>
      </c>
      <c r="D14" s="517" t="s">
        <v>153</v>
      </c>
      <c r="E14" s="518" t="s">
        <v>153</v>
      </c>
      <c r="F14" s="519" t="s">
        <v>153</v>
      </c>
      <c r="G14" s="520" t="s">
        <v>153</v>
      </c>
      <c r="H14" s="518" t="s">
        <v>153</v>
      </c>
      <c r="I14" s="518" t="s">
        <v>153</v>
      </c>
      <c r="J14" s="518" t="s">
        <v>153</v>
      </c>
      <c r="K14" s="518" t="s">
        <v>153</v>
      </c>
      <c r="L14" s="521" t="s">
        <v>153</v>
      </c>
      <c r="M14" s="504">
        <v>966</v>
      </c>
      <c r="N14" s="522">
        <f>(C13+C14-10)/2</f>
        <v>10</v>
      </c>
      <c r="O14" s="523">
        <f>(C14+C15-10)/2</f>
        <v>20</v>
      </c>
      <c r="P14" s="524">
        <f t="shared" si="0"/>
        <v>0.32608695652173914</v>
      </c>
      <c r="Q14" s="525">
        <f t="shared" si="1"/>
        <v>3.2608695652173919E-2</v>
      </c>
      <c r="R14" s="526">
        <f>SUM(Q$13:Q14)</f>
        <v>6.1594202898550734E-2</v>
      </c>
      <c r="S14" s="527">
        <f t="shared" si="2"/>
        <v>0.30797101449275366</v>
      </c>
      <c r="T14" s="528"/>
      <c r="U14" s="529" t="s">
        <v>154</v>
      </c>
      <c r="V14" s="530"/>
      <c r="W14" s="477"/>
    </row>
    <row r="15" spans="1:24" s="464" customFormat="1" x14ac:dyDescent="0.3">
      <c r="A15" s="515">
        <v>350</v>
      </c>
      <c r="B15" s="516">
        <v>0</v>
      </c>
      <c r="C15" s="504">
        <v>30</v>
      </c>
      <c r="D15" s="517" t="s">
        <v>153</v>
      </c>
      <c r="E15" s="518" t="s">
        <v>153</v>
      </c>
      <c r="F15" s="519" t="s">
        <v>153</v>
      </c>
      <c r="G15" s="520" t="s">
        <v>153</v>
      </c>
      <c r="H15" s="518" t="s">
        <v>153</v>
      </c>
      <c r="I15" s="518" t="s">
        <v>153</v>
      </c>
      <c r="J15" s="518" t="s">
        <v>153</v>
      </c>
      <c r="K15" s="518" t="s">
        <v>153</v>
      </c>
      <c r="L15" s="521" t="s">
        <v>153</v>
      </c>
      <c r="M15" s="504">
        <v>966</v>
      </c>
      <c r="N15" s="522">
        <f>(C14+C15-10)/2</f>
        <v>20</v>
      </c>
      <c r="O15" s="523">
        <f>(C15+C16-10)/2</f>
        <v>30</v>
      </c>
      <c r="P15" s="524">
        <f t="shared" si="0"/>
        <v>0.36231884057971014</v>
      </c>
      <c r="Q15" s="525">
        <f t="shared" si="1"/>
        <v>3.6231884057971016E-2</v>
      </c>
      <c r="R15" s="526">
        <f>SUM(Q$13:Q15)</f>
        <v>9.7826086956521757E-2</v>
      </c>
      <c r="S15" s="527">
        <f t="shared" si="2"/>
        <v>0.32608695652173919</v>
      </c>
      <c r="T15" s="528"/>
      <c r="U15" s="529" t="s">
        <v>154</v>
      </c>
      <c r="V15" s="531"/>
      <c r="W15" s="477"/>
    </row>
    <row r="16" spans="1:24" s="464" customFormat="1" x14ac:dyDescent="0.3">
      <c r="A16" s="532">
        <v>270</v>
      </c>
      <c r="B16" s="516">
        <v>0</v>
      </c>
      <c r="C16" s="504">
        <v>40</v>
      </c>
      <c r="D16" s="517" t="s">
        <v>153</v>
      </c>
      <c r="E16" s="518" t="s">
        <v>153</v>
      </c>
      <c r="F16" s="519" t="s">
        <v>153</v>
      </c>
      <c r="G16" s="520" t="s">
        <v>153</v>
      </c>
      <c r="H16" s="518" t="s">
        <v>153</v>
      </c>
      <c r="I16" s="518" t="s">
        <v>153</v>
      </c>
      <c r="J16" s="518" t="s">
        <v>153</v>
      </c>
      <c r="K16" s="518" t="s">
        <v>153</v>
      </c>
      <c r="L16" s="521" t="s">
        <v>153</v>
      </c>
      <c r="M16" s="504">
        <v>966</v>
      </c>
      <c r="N16" s="522">
        <f>(C15+C16-10)/2</f>
        <v>30</v>
      </c>
      <c r="O16" s="523">
        <f>(C16+C17-10)/2</f>
        <v>40</v>
      </c>
      <c r="P16" s="524">
        <f t="shared" si="0"/>
        <v>0.27950310559006208</v>
      </c>
      <c r="Q16" s="525">
        <f t="shared" si="1"/>
        <v>2.7950310559006208E-2</v>
      </c>
      <c r="R16" s="526">
        <f>SUM(Q$13:Q16)</f>
        <v>0.12577639751552797</v>
      </c>
      <c r="S16" s="527">
        <f t="shared" si="2"/>
        <v>0.31444099378881996</v>
      </c>
      <c r="T16" s="528"/>
      <c r="U16" s="529" t="s">
        <v>154</v>
      </c>
      <c r="V16" s="530"/>
      <c r="W16" s="477"/>
    </row>
    <row r="17" spans="1:25" s="464" customFormat="1" x14ac:dyDescent="0.3">
      <c r="A17" s="532">
        <v>300</v>
      </c>
      <c r="B17" s="516">
        <v>0</v>
      </c>
      <c r="C17" s="504">
        <v>50</v>
      </c>
      <c r="D17" s="517" t="s">
        <v>153</v>
      </c>
      <c r="E17" s="518" t="s">
        <v>153</v>
      </c>
      <c r="F17" s="519" t="s">
        <v>153</v>
      </c>
      <c r="G17" s="520" t="s">
        <v>153</v>
      </c>
      <c r="H17" s="518" t="s">
        <v>153</v>
      </c>
      <c r="I17" s="518" t="s">
        <v>153</v>
      </c>
      <c r="J17" s="518" t="s">
        <v>153</v>
      </c>
      <c r="K17" s="518" t="s">
        <v>153</v>
      </c>
      <c r="L17" s="521" t="s">
        <v>153</v>
      </c>
      <c r="M17" s="504">
        <v>966</v>
      </c>
      <c r="N17" s="522">
        <f>(C16+C17-10)/2</f>
        <v>40</v>
      </c>
      <c r="O17" s="523">
        <f>(C17+C18-10)/2</f>
        <v>50</v>
      </c>
      <c r="P17" s="524">
        <f t="shared" si="0"/>
        <v>0.3105590062111801</v>
      </c>
      <c r="Q17" s="525">
        <f t="shared" si="1"/>
        <v>3.1055900621118009E-2</v>
      </c>
      <c r="R17" s="526">
        <f>SUM(Q$13:Q17)</f>
        <v>0.15683229813664598</v>
      </c>
      <c r="S17" s="527">
        <f t="shared" si="2"/>
        <v>0.31366459627329196</v>
      </c>
      <c r="T17" s="528" t="s">
        <v>155</v>
      </c>
      <c r="U17" s="529" t="s">
        <v>154</v>
      </c>
      <c r="V17" s="530"/>
      <c r="W17" s="462"/>
    </row>
    <row r="18" spans="1:25" s="464" customFormat="1" x14ac:dyDescent="0.3">
      <c r="A18" s="532">
        <v>340</v>
      </c>
      <c r="B18" s="516">
        <v>0</v>
      </c>
      <c r="C18" s="504">
        <v>60</v>
      </c>
      <c r="D18" s="517" t="s">
        <v>153</v>
      </c>
      <c r="E18" s="518" t="s">
        <v>153</v>
      </c>
      <c r="F18" s="519" t="s">
        <v>153</v>
      </c>
      <c r="G18" s="520" t="s">
        <v>153</v>
      </c>
      <c r="H18" s="518" t="s">
        <v>153</v>
      </c>
      <c r="I18" s="518" t="s">
        <v>153</v>
      </c>
      <c r="J18" s="518" t="s">
        <v>153</v>
      </c>
      <c r="K18" s="518" t="s">
        <v>153</v>
      </c>
      <c r="L18" s="521" t="s">
        <v>153</v>
      </c>
      <c r="M18" s="504">
        <v>966</v>
      </c>
      <c r="N18" s="522">
        <f>(C17+C18-10)/2</f>
        <v>50</v>
      </c>
      <c r="O18" s="523">
        <f>(C18+C25-G25)/2</f>
        <v>64.8</v>
      </c>
      <c r="P18" s="524">
        <f t="shared" si="0"/>
        <v>0.35196687370600416</v>
      </c>
      <c r="Q18" s="525">
        <f t="shared" si="1"/>
        <v>5.2091097308488606E-2</v>
      </c>
      <c r="R18" s="526">
        <f>SUM(Q$13:Q18)</f>
        <v>0.20892339544513458</v>
      </c>
      <c r="S18" s="527">
        <f t="shared" si="2"/>
        <v>0.32241264729187435</v>
      </c>
      <c r="T18" s="533"/>
      <c r="U18" s="529" t="s">
        <v>154</v>
      </c>
      <c r="V18" s="530"/>
      <c r="W18" s="462"/>
    </row>
    <row r="19" spans="1:25" s="464" customFormat="1" ht="10.199999999999999" customHeight="1" x14ac:dyDescent="0.3">
      <c r="A19" s="532"/>
      <c r="B19" s="516"/>
      <c r="C19" s="504"/>
      <c r="D19" s="517"/>
      <c r="E19" s="518"/>
      <c r="F19" s="519"/>
      <c r="G19" s="520"/>
      <c r="H19" s="518"/>
      <c r="I19" s="518"/>
      <c r="J19" s="518"/>
      <c r="K19" s="518"/>
      <c r="L19" s="521"/>
      <c r="M19" s="504"/>
      <c r="N19" s="522"/>
      <c r="O19" s="523"/>
      <c r="P19" s="524"/>
      <c r="Q19" s="525"/>
      <c r="R19" s="526"/>
      <c r="S19" s="527"/>
      <c r="T19" s="533"/>
      <c r="U19" s="529" t="s">
        <v>154</v>
      </c>
      <c r="V19" s="530"/>
      <c r="W19" s="534"/>
    </row>
    <row r="20" spans="1:25" s="464" customFormat="1" x14ac:dyDescent="0.3">
      <c r="A20" s="532"/>
      <c r="B20" s="516"/>
      <c r="C20" s="504"/>
      <c r="D20" s="517"/>
      <c r="E20" s="518"/>
      <c r="F20" s="519"/>
      <c r="G20" s="520"/>
      <c r="H20" s="518"/>
      <c r="I20" s="518"/>
      <c r="J20" s="518"/>
      <c r="K20" s="518"/>
      <c r="L20" s="521"/>
      <c r="M20" s="504"/>
      <c r="N20" s="522"/>
      <c r="O20" s="523"/>
      <c r="P20" s="524"/>
      <c r="Q20" s="525"/>
      <c r="R20" s="526"/>
      <c r="S20" s="527"/>
      <c r="T20" s="528"/>
      <c r="U20" s="529" t="s">
        <v>154</v>
      </c>
      <c r="V20" s="530"/>
      <c r="W20" s="535"/>
    </row>
    <row r="21" spans="1:25" s="537" customFormat="1" x14ac:dyDescent="0.3">
      <c r="A21" s="532"/>
      <c r="B21" s="516"/>
      <c r="C21" s="504"/>
      <c r="D21" s="517"/>
      <c r="E21" s="518"/>
      <c r="F21" s="519"/>
      <c r="G21" s="520"/>
      <c r="H21" s="518"/>
      <c r="I21" s="518"/>
      <c r="J21" s="518"/>
      <c r="K21" s="518"/>
      <c r="L21" s="521"/>
      <c r="M21" s="504"/>
      <c r="N21" s="522"/>
      <c r="O21" s="523"/>
      <c r="P21" s="524"/>
      <c r="Q21" s="525"/>
      <c r="R21" s="526"/>
      <c r="S21" s="527"/>
      <c r="T21" s="536"/>
      <c r="U21" s="529" t="s">
        <v>154</v>
      </c>
      <c r="V21" s="530"/>
      <c r="W21" s="535"/>
    </row>
    <row r="22" spans="1:25" s="537" customFormat="1" x14ac:dyDescent="0.3">
      <c r="A22" s="532"/>
      <c r="B22" s="516"/>
      <c r="C22" s="504"/>
      <c r="D22" s="517"/>
      <c r="E22" s="518"/>
      <c r="F22" s="519"/>
      <c r="G22" s="520"/>
      <c r="H22" s="518"/>
      <c r="I22" s="518"/>
      <c r="J22" s="518"/>
      <c r="K22" s="518"/>
      <c r="L22" s="521"/>
      <c r="M22" s="504"/>
      <c r="N22" s="522"/>
      <c r="O22" s="523"/>
      <c r="P22" s="524"/>
      <c r="Q22" s="525"/>
      <c r="R22" s="526"/>
      <c r="S22" s="527"/>
      <c r="T22" s="538"/>
      <c r="U22" s="529" t="s">
        <v>154</v>
      </c>
      <c r="V22" s="539"/>
      <c r="W22" s="535"/>
    </row>
    <row r="23" spans="1:25" s="537" customFormat="1" ht="10.8" thickBot="1" x14ac:dyDescent="0.35">
      <c r="A23" s="540"/>
      <c r="B23" s="541"/>
      <c r="C23" s="542"/>
      <c r="D23" s="543"/>
      <c r="E23" s="542"/>
      <c r="F23" s="544"/>
      <c r="G23" s="545"/>
      <c r="H23" s="542"/>
      <c r="I23" s="542"/>
      <c r="J23" s="542"/>
      <c r="K23" s="542"/>
      <c r="L23" s="546"/>
      <c r="M23" s="542"/>
      <c r="N23" s="547"/>
      <c r="O23" s="548"/>
      <c r="P23" s="549"/>
      <c r="Q23" s="550"/>
      <c r="R23" s="551"/>
      <c r="S23" s="552"/>
      <c r="T23" s="553"/>
      <c r="U23" s="529" t="s">
        <v>154</v>
      </c>
      <c r="V23" s="554"/>
      <c r="W23" s="555"/>
    </row>
    <row r="24" spans="1:25" s="537" customFormat="1" x14ac:dyDescent="0.3">
      <c r="A24" s="556" t="s">
        <v>156</v>
      </c>
      <c r="B24" s="516"/>
      <c r="C24" s="504"/>
      <c r="D24" s="557"/>
      <c r="E24" s="504"/>
      <c r="F24" s="558"/>
      <c r="G24" s="559"/>
      <c r="H24" s="504"/>
      <c r="I24" s="504"/>
      <c r="J24" s="504"/>
      <c r="K24" s="504"/>
      <c r="L24" s="560"/>
      <c r="M24" s="504"/>
      <c r="N24" s="522"/>
      <c r="O24" s="523"/>
      <c r="P24" s="524"/>
      <c r="Q24" s="525"/>
      <c r="R24" s="526"/>
      <c r="S24" s="527"/>
      <c r="T24" s="538"/>
      <c r="U24" s="529" t="s">
        <v>154</v>
      </c>
      <c r="V24" s="554"/>
      <c r="W24" s="555"/>
    </row>
    <row r="25" spans="1:25" s="537" customFormat="1" x14ac:dyDescent="0.3">
      <c r="A25" s="532">
        <v>785</v>
      </c>
      <c r="B25" s="516">
        <v>0</v>
      </c>
      <c r="C25" s="504">
        <f>168-20</f>
        <v>148</v>
      </c>
      <c r="D25" s="561">
        <v>78.400000000000006</v>
      </c>
      <c r="E25" s="562"/>
      <c r="F25" s="563"/>
      <c r="G25" s="564">
        <f t="shared" ref="G25:G35" si="3">AVERAGE(D25:F25)</f>
        <v>78.400000000000006</v>
      </c>
      <c r="H25" s="562">
        <v>5.7</v>
      </c>
      <c r="I25" s="562"/>
      <c r="J25" s="562"/>
      <c r="K25" s="562"/>
      <c r="L25" s="565">
        <f t="shared" ref="L25:L35" si="4">AVERAGE(H25:K25)</f>
        <v>5.7</v>
      </c>
      <c r="M25" s="504">
        <f>G25*    PI()* (L25/2)^2</f>
        <v>2000.5787681765951</v>
      </c>
      <c r="N25" s="522">
        <f>(C18+C25-G25)/2</f>
        <v>64.8</v>
      </c>
      <c r="O25" s="523">
        <f>(C25+C26-G26)/2</f>
        <v>147.19999999999999</v>
      </c>
      <c r="P25" s="524">
        <f>(A25-B25)/M25</f>
        <v>0.39238644960502073</v>
      </c>
      <c r="Q25" s="525">
        <f t="shared" ref="Q25:Q34" si="5">(P25*(O25-N25))/100</f>
        <v>0.32332643447453707</v>
      </c>
      <c r="R25" s="526">
        <f>SUM(Q$13:Q25)</f>
        <v>0.53224982991967162</v>
      </c>
      <c r="S25" s="527">
        <f t="shared" ref="S25:S35" si="6">R25/O25*100</f>
        <v>0.36158276489108132</v>
      </c>
      <c r="T25" s="538"/>
      <c r="U25" s="529" t="s">
        <v>154</v>
      </c>
      <c r="V25" s="554"/>
      <c r="W25" s="555"/>
    </row>
    <row r="26" spans="1:25" s="537" customFormat="1" x14ac:dyDescent="0.3">
      <c r="A26" s="532">
        <v>330</v>
      </c>
      <c r="B26" s="516">
        <v>0</v>
      </c>
      <c r="C26" s="504">
        <f>199-20</f>
        <v>179</v>
      </c>
      <c r="D26" s="561">
        <v>32.6</v>
      </c>
      <c r="E26" s="562"/>
      <c r="F26" s="563"/>
      <c r="G26" s="564">
        <f t="shared" si="3"/>
        <v>32.6</v>
      </c>
      <c r="H26" s="562">
        <v>5.7</v>
      </c>
      <c r="I26" s="562"/>
      <c r="J26" s="562"/>
      <c r="K26" s="562"/>
      <c r="L26" s="565">
        <f t="shared" si="4"/>
        <v>5.7</v>
      </c>
      <c r="M26" s="504">
        <f t="shared" ref="M26:M35" si="7">G26*    PI()* (L26/2)^2</f>
        <v>831.87331431832899</v>
      </c>
      <c r="N26" s="522">
        <f>(C25+C26-G26)/2</f>
        <v>147.19999999999999</v>
      </c>
      <c r="O26" s="523">
        <f>(C26+C27-G27)/2</f>
        <v>179.65</v>
      </c>
      <c r="P26" s="524">
        <f>(A26-B26)/M26</f>
        <v>0.39669501872459451</v>
      </c>
      <c r="Q26" s="525">
        <f t="shared" si="5"/>
        <v>0.12872753357613098</v>
      </c>
      <c r="R26" s="526">
        <f>SUM(Q$13:Q26)</f>
        <v>0.66097736349580261</v>
      </c>
      <c r="S26" s="527">
        <f t="shared" si="6"/>
        <v>0.36792505621809218</v>
      </c>
      <c r="T26" s="538"/>
      <c r="U26" s="529" t="s">
        <v>154</v>
      </c>
      <c r="V26" s="530"/>
      <c r="W26" s="555"/>
    </row>
    <row r="27" spans="1:25" s="537" customFormat="1" x14ac:dyDescent="0.3">
      <c r="A27" s="532">
        <v>950</v>
      </c>
      <c r="B27" s="516">
        <v>0</v>
      </c>
      <c r="C27" s="504">
        <f>286-20</f>
        <v>266</v>
      </c>
      <c r="D27" s="561">
        <v>85.7</v>
      </c>
      <c r="E27" s="562"/>
      <c r="F27" s="563"/>
      <c r="G27" s="564">
        <f t="shared" si="3"/>
        <v>85.7</v>
      </c>
      <c r="H27" s="562">
        <v>5.7</v>
      </c>
      <c r="I27" s="562"/>
      <c r="J27" s="562"/>
      <c r="K27" s="562"/>
      <c r="L27" s="565">
        <f t="shared" si="4"/>
        <v>5.7</v>
      </c>
      <c r="M27" s="504">
        <f t="shared" si="7"/>
        <v>2186.8571483767114</v>
      </c>
      <c r="N27" s="522">
        <f>(C26+C27-G27)/2</f>
        <v>179.65</v>
      </c>
      <c r="O27" s="523">
        <f t="shared" ref="O27:O34" si="8">(C27+C28-G28)/2</f>
        <v>262.3</v>
      </c>
      <c r="P27" s="524">
        <f t="shared" ref="P27:P35" si="9">(A27-B27)/M27</f>
        <v>0.43441337752910758</v>
      </c>
      <c r="Q27" s="525">
        <f t="shared" si="5"/>
        <v>0.35904265652780742</v>
      </c>
      <c r="R27" s="526">
        <f>SUM(Q$13:Q27)</f>
        <v>1.02002002002361</v>
      </c>
      <c r="S27" s="527">
        <f t="shared" si="6"/>
        <v>0.38887534122135342</v>
      </c>
      <c r="T27" s="538"/>
      <c r="U27" s="529" t="s">
        <v>154</v>
      </c>
      <c r="V27" s="530"/>
      <c r="W27" s="555"/>
    </row>
    <row r="28" spans="1:25" s="537" customFormat="1" x14ac:dyDescent="0.3">
      <c r="A28" s="532">
        <v>610</v>
      </c>
      <c r="B28" s="516">
        <v>0</v>
      </c>
      <c r="C28" s="504">
        <f>C29-D29</f>
        <v>311.5</v>
      </c>
      <c r="D28" s="561">
        <v>52.9</v>
      </c>
      <c r="E28" s="562"/>
      <c r="F28" s="563"/>
      <c r="G28" s="564">
        <f t="shared" si="3"/>
        <v>52.9</v>
      </c>
      <c r="H28" s="562">
        <v>5.7</v>
      </c>
      <c r="I28" s="562"/>
      <c r="J28" s="562"/>
      <c r="K28" s="562"/>
      <c r="L28" s="565">
        <f t="shared" si="4"/>
        <v>5.7</v>
      </c>
      <c r="M28" s="504">
        <f t="shared" si="7"/>
        <v>1349.8803167926258</v>
      </c>
      <c r="N28" s="522">
        <f t="shared" ref="N28:N35" si="10">(C27+C28-G28)/2</f>
        <v>262.3</v>
      </c>
      <c r="O28" s="523">
        <f t="shared" si="8"/>
        <v>311.5</v>
      </c>
      <c r="P28" s="524">
        <f t="shared" si="9"/>
        <v>0.45189191398048273</v>
      </c>
      <c r="Q28" s="525">
        <f t="shared" si="5"/>
        <v>0.22233082167839743</v>
      </c>
      <c r="R28" s="526">
        <f>SUM(Q$13:Q28)</f>
        <v>1.2423508417020075</v>
      </c>
      <c r="S28" s="527">
        <f t="shared" si="6"/>
        <v>0.39882852061059632</v>
      </c>
      <c r="T28" s="538"/>
      <c r="U28" s="529" t="s">
        <v>154</v>
      </c>
      <c r="V28" s="530"/>
      <c r="W28" s="555"/>
    </row>
    <row r="29" spans="1:25" x14ac:dyDescent="0.2">
      <c r="A29" s="532">
        <v>360</v>
      </c>
      <c r="B29" s="516">
        <v>0</v>
      </c>
      <c r="C29" s="504">
        <f>363-20</f>
        <v>343</v>
      </c>
      <c r="D29" s="561">
        <v>31.5</v>
      </c>
      <c r="E29" s="562"/>
      <c r="F29" s="563"/>
      <c r="G29" s="564">
        <f t="shared" si="3"/>
        <v>31.5</v>
      </c>
      <c r="H29" s="562">
        <v>5.7</v>
      </c>
      <c r="I29" s="562"/>
      <c r="J29" s="562"/>
      <c r="K29" s="562"/>
      <c r="L29" s="565">
        <f t="shared" si="4"/>
        <v>5.7</v>
      </c>
      <c r="M29" s="504">
        <f t="shared" si="7"/>
        <v>803.80396935666761</v>
      </c>
      <c r="N29" s="522">
        <f t="shared" si="10"/>
        <v>311.5</v>
      </c>
      <c r="O29" s="523">
        <f t="shared" si="8"/>
        <v>345</v>
      </c>
      <c r="P29" s="524">
        <f t="shared" si="9"/>
        <v>0.44787039343452051</v>
      </c>
      <c r="Q29" s="525">
        <f t="shared" si="5"/>
        <v>0.15003658180056437</v>
      </c>
      <c r="R29" s="526">
        <f>SUM(Q$13:Q29)</f>
        <v>1.3923874235025719</v>
      </c>
      <c r="S29" s="527">
        <f t="shared" si="6"/>
        <v>0.40359055753697737</v>
      </c>
      <c r="T29" s="538"/>
      <c r="U29" s="529" t="s">
        <v>154</v>
      </c>
      <c r="V29" s="530"/>
      <c r="W29" s="555"/>
      <c r="X29" s="537"/>
      <c r="Y29" s="537"/>
    </row>
    <row r="30" spans="1:25" x14ac:dyDescent="0.2">
      <c r="A30" s="532">
        <v>600</v>
      </c>
      <c r="B30" s="516">
        <v>0</v>
      </c>
      <c r="C30" s="504">
        <f>C31-D31</f>
        <v>396.9</v>
      </c>
      <c r="D30" s="561">
        <v>49.9</v>
      </c>
      <c r="E30" s="562"/>
      <c r="F30" s="563"/>
      <c r="G30" s="564">
        <f t="shared" si="3"/>
        <v>49.9</v>
      </c>
      <c r="H30" s="562">
        <v>5.7</v>
      </c>
      <c r="I30" s="562"/>
      <c r="J30" s="562"/>
      <c r="K30" s="562"/>
      <c r="L30" s="565">
        <f t="shared" si="4"/>
        <v>5.7</v>
      </c>
      <c r="M30" s="504">
        <f t="shared" si="7"/>
        <v>1273.3275578062764</v>
      </c>
      <c r="N30" s="522">
        <f t="shared" si="10"/>
        <v>345</v>
      </c>
      <c r="O30" s="523">
        <f t="shared" si="8"/>
        <v>396.9</v>
      </c>
      <c r="P30" s="524">
        <f t="shared" si="9"/>
        <v>0.47120632575776211</v>
      </c>
      <c r="Q30" s="525">
        <f t="shared" si="5"/>
        <v>0.24455608306827842</v>
      </c>
      <c r="R30" s="526">
        <f>SUM(Q$13:Q30)</f>
        <v>1.6369435065708504</v>
      </c>
      <c r="S30" s="527">
        <f t="shared" si="6"/>
        <v>0.4124322263972916</v>
      </c>
      <c r="T30" s="538"/>
      <c r="U30" s="529" t="s">
        <v>154</v>
      </c>
      <c r="V30" s="530"/>
      <c r="W30" s="555"/>
      <c r="X30" s="537"/>
      <c r="Y30" s="537"/>
    </row>
    <row r="31" spans="1:25" x14ac:dyDescent="0.2">
      <c r="A31" s="532">
        <v>535</v>
      </c>
      <c r="B31" s="516">
        <v>0</v>
      </c>
      <c r="C31" s="504">
        <f>458-20</f>
        <v>438</v>
      </c>
      <c r="D31" s="561">
        <v>41.1</v>
      </c>
      <c r="E31" s="562"/>
      <c r="F31" s="563"/>
      <c r="G31" s="564">
        <f t="shared" si="3"/>
        <v>41.1</v>
      </c>
      <c r="H31" s="562">
        <v>5.7</v>
      </c>
      <c r="I31" s="562"/>
      <c r="J31" s="562"/>
      <c r="K31" s="562"/>
      <c r="L31" s="565">
        <f t="shared" si="4"/>
        <v>5.7</v>
      </c>
      <c r="M31" s="504">
        <f t="shared" si="7"/>
        <v>1048.7727981129854</v>
      </c>
      <c r="N31" s="522">
        <f t="shared" si="10"/>
        <v>396.9</v>
      </c>
      <c r="O31" s="523">
        <f t="shared" si="8"/>
        <v>437.75</v>
      </c>
      <c r="P31" s="524">
        <f t="shared" si="9"/>
        <v>0.51012001928597306</v>
      </c>
      <c r="Q31" s="525">
        <f t="shared" si="5"/>
        <v>0.20838402787832011</v>
      </c>
      <c r="R31" s="526">
        <f>SUM(Q$13:Q31)</f>
        <v>1.8453275344491704</v>
      </c>
      <c r="S31" s="527">
        <f t="shared" si="6"/>
        <v>0.42154826600780593</v>
      </c>
      <c r="T31" s="538"/>
      <c r="U31" s="529" t="s">
        <v>154</v>
      </c>
      <c r="V31" s="530"/>
      <c r="W31" s="555"/>
      <c r="X31" s="537"/>
      <c r="Y31" s="537"/>
    </row>
    <row r="32" spans="1:25" x14ac:dyDescent="0.2">
      <c r="A32" s="532">
        <v>635</v>
      </c>
      <c r="B32" s="516">
        <v>0</v>
      </c>
      <c r="C32" s="504">
        <f>C33-D33</f>
        <v>485.9</v>
      </c>
      <c r="D32" s="561">
        <v>48.4</v>
      </c>
      <c r="E32" s="562"/>
      <c r="F32" s="563"/>
      <c r="G32" s="564">
        <f t="shared" si="3"/>
        <v>48.4</v>
      </c>
      <c r="H32" s="562">
        <v>5.7</v>
      </c>
      <c r="I32" s="562"/>
      <c r="J32" s="562"/>
      <c r="K32" s="562"/>
      <c r="L32" s="565">
        <f t="shared" si="4"/>
        <v>5.7</v>
      </c>
      <c r="M32" s="504">
        <f t="shared" si="7"/>
        <v>1235.0511783131019</v>
      </c>
      <c r="N32" s="522">
        <f t="shared" si="10"/>
        <v>437.75</v>
      </c>
      <c r="O32" s="523">
        <f t="shared" si="8"/>
        <v>485.9</v>
      </c>
      <c r="P32" s="524">
        <f t="shared" si="9"/>
        <v>0.51414873419846174</v>
      </c>
      <c r="Q32" s="525">
        <f t="shared" si="5"/>
        <v>0.24756261551655923</v>
      </c>
      <c r="R32" s="526">
        <f>SUM(Q$13:Q32)</f>
        <v>2.0928901499657298</v>
      </c>
      <c r="S32" s="527">
        <f t="shared" si="6"/>
        <v>0.4307244597583309</v>
      </c>
      <c r="T32" s="538"/>
      <c r="U32" s="529" t="s">
        <v>154</v>
      </c>
      <c r="V32" s="530"/>
      <c r="W32" s="555"/>
      <c r="X32" s="537"/>
      <c r="Y32" s="537"/>
    </row>
    <row r="33" spans="1:26" x14ac:dyDescent="0.2">
      <c r="A33" s="532">
        <v>295</v>
      </c>
      <c r="B33" s="516">
        <v>0</v>
      </c>
      <c r="C33" s="504">
        <f>531-20</f>
        <v>511</v>
      </c>
      <c r="D33" s="561">
        <v>25.1</v>
      </c>
      <c r="E33" s="562"/>
      <c r="F33" s="563"/>
      <c r="G33" s="564">
        <f t="shared" si="3"/>
        <v>25.1</v>
      </c>
      <c r="H33" s="562">
        <v>5.7</v>
      </c>
      <c r="I33" s="562"/>
      <c r="J33" s="562"/>
      <c r="K33" s="562"/>
      <c r="L33" s="565">
        <f t="shared" si="4"/>
        <v>5.7</v>
      </c>
      <c r="M33" s="504">
        <f t="shared" si="7"/>
        <v>640.4914168524557</v>
      </c>
      <c r="N33" s="522">
        <f t="shared" si="10"/>
        <v>485.9</v>
      </c>
      <c r="O33" s="523">
        <f t="shared" si="8"/>
        <v>512.1</v>
      </c>
      <c r="P33" s="524">
        <f t="shared" si="9"/>
        <v>0.46058384583779133</v>
      </c>
      <c r="Q33" s="525">
        <f t="shared" si="5"/>
        <v>0.12067296760950154</v>
      </c>
      <c r="R33" s="526">
        <f>SUM(Q$13:Q33)</f>
        <v>2.2135631175752315</v>
      </c>
      <c r="S33" s="527">
        <f t="shared" si="6"/>
        <v>0.43225212215880326</v>
      </c>
      <c r="T33" s="538"/>
      <c r="U33" s="529" t="s">
        <v>154</v>
      </c>
      <c r="V33" s="530"/>
      <c r="W33" s="555"/>
      <c r="X33" s="537"/>
      <c r="Y33" s="537"/>
    </row>
    <row r="34" spans="1:26" x14ac:dyDescent="0.2">
      <c r="A34" s="532">
        <v>590</v>
      </c>
      <c r="B34" s="516">
        <v>0</v>
      </c>
      <c r="C34" s="504">
        <f>C35-D35</f>
        <v>564</v>
      </c>
      <c r="D34" s="561">
        <v>50.8</v>
      </c>
      <c r="E34" s="562"/>
      <c r="F34" s="563"/>
      <c r="G34" s="564">
        <f t="shared" si="3"/>
        <v>50.8</v>
      </c>
      <c r="H34" s="562">
        <v>5.7</v>
      </c>
      <c r="I34" s="562"/>
      <c r="J34" s="562"/>
      <c r="K34" s="562"/>
      <c r="L34" s="565">
        <f t="shared" si="4"/>
        <v>5.7</v>
      </c>
      <c r="M34" s="504">
        <f t="shared" si="7"/>
        <v>1296.2933855021813</v>
      </c>
      <c r="N34" s="522">
        <f t="shared" si="10"/>
        <v>512.1</v>
      </c>
      <c r="O34" s="523">
        <f t="shared" si="8"/>
        <v>564</v>
      </c>
      <c r="P34" s="524">
        <f t="shared" si="9"/>
        <v>0.45514387915466781</v>
      </c>
      <c r="Q34" s="525">
        <f t="shared" si="5"/>
        <v>0.23621967328127247</v>
      </c>
      <c r="R34" s="526">
        <f>SUM(Q$13:Q34)</f>
        <v>2.4497827908565037</v>
      </c>
      <c r="S34" s="527">
        <f t="shared" si="6"/>
        <v>0.43435865086108216</v>
      </c>
      <c r="T34" s="538" t="s">
        <v>213</v>
      </c>
      <c r="U34" s="529"/>
      <c r="V34" s="530"/>
      <c r="W34" s="567"/>
    </row>
    <row r="35" spans="1:26" x14ac:dyDescent="0.2">
      <c r="A35" s="532">
        <v>290</v>
      </c>
      <c r="B35" s="516">
        <v>0</v>
      </c>
      <c r="C35" s="504">
        <f>605-20</f>
        <v>585</v>
      </c>
      <c r="D35" s="561">
        <v>21</v>
      </c>
      <c r="E35" s="562"/>
      <c r="F35" s="563"/>
      <c r="G35" s="564">
        <f t="shared" si="3"/>
        <v>21</v>
      </c>
      <c r="H35" s="562">
        <v>5.7</v>
      </c>
      <c r="I35" s="562"/>
      <c r="J35" s="562"/>
      <c r="K35" s="562"/>
      <c r="L35" s="565">
        <f t="shared" si="4"/>
        <v>5.7</v>
      </c>
      <c r="M35" s="504">
        <f t="shared" si="7"/>
        <v>535.869312904445</v>
      </c>
      <c r="N35" s="522">
        <f t="shared" si="10"/>
        <v>564</v>
      </c>
      <c r="O35" s="523">
        <f>C35</f>
        <v>585</v>
      </c>
      <c r="P35" s="524">
        <f t="shared" si="9"/>
        <v>0.54117672540004569</v>
      </c>
      <c r="Q35" s="525" t="s">
        <v>155</v>
      </c>
      <c r="R35" s="526">
        <f>SUM(Q$13:Q35)</f>
        <v>2.4497827908565037</v>
      </c>
      <c r="S35" s="527">
        <f t="shared" si="6"/>
        <v>0.41876628903529978</v>
      </c>
      <c r="T35" s="538" t="s">
        <v>72</v>
      </c>
      <c r="U35" s="529"/>
      <c r="V35" s="530"/>
      <c r="W35" s="568"/>
      <c r="X35" s="569"/>
      <c r="Y35" s="570"/>
      <c r="Z35" s="569"/>
    </row>
    <row r="36" spans="1:26" x14ac:dyDescent="0.2">
      <c r="A36" s="532"/>
      <c r="B36" s="516"/>
      <c r="C36" s="504"/>
      <c r="D36" s="561"/>
      <c r="E36" s="562"/>
      <c r="F36" s="563"/>
      <c r="G36" s="564"/>
      <c r="H36" s="562"/>
      <c r="I36" s="562"/>
      <c r="J36" s="562"/>
      <c r="K36" s="562"/>
      <c r="L36" s="565"/>
      <c r="M36" s="504"/>
      <c r="N36" s="522"/>
      <c r="O36" s="523"/>
      <c r="P36" s="524"/>
      <c r="Q36" s="525"/>
      <c r="R36" s="526"/>
      <c r="S36" s="527"/>
      <c r="T36" s="538"/>
      <c r="U36" s="529"/>
      <c r="V36" s="530"/>
      <c r="W36" s="568"/>
      <c r="X36" s="569"/>
      <c r="Y36" s="571"/>
      <c r="Z36" s="569"/>
    </row>
    <row r="37" spans="1:26" x14ac:dyDescent="0.2">
      <c r="A37" s="532"/>
      <c r="B37" s="516"/>
      <c r="C37" s="504"/>
      <c r="D37" s="561"/>
      <c r="E37" s="562"/>
      <c r="F37" s="563"/>
      <c r="G37" s="564"/>
      <c r="H37" s="562"/>
      <c r="I37" s="562"/>
      <c r="J37" s="562"/>
      <c r="K37" s="562"/>
      <c r="L37" s="565"/>
      <c r="M37" s="504"/>
      <c r="N37" s="522"/>
      <c r="O37" s="523"/>
      <c r="P37" s="524"/>
      <c r="Q37" s="525"/>
      <c r="R37" s="526"/>
      <c r="S37" s="527"/>
      <c r="T37" s="538"/>
      <c r="U37" s="529"/>
      <c r="V37" s="530"/>
      <c r="W37" s="572"/>
      <c r="X37" s="569"/>
      <c r="Y37" s="569"/>
      <c r="Z37" s="569"/>
    </row>
    <row r="38" spans="1:26" x14ac:dyDescent="0.2">
      <c r="A38" s="532"/>
      <c r="B38" s="516"/>
      <c r="C38" s="504"/>
      <c r="D38" s="561"/>
      <c r="E38" s="562"/>
      <c r="F38" s="563"/>
      <c r="G38" s="564"/>
      <c r="H38" s="562"/>
      <c r="I38" s="562"/>
      <c r="J38" s="562"/>
      <c r="K38" s="562"/>
      <c r="L38" s="565"/>
      <c r="M38" s="504"/>
      <c r="N38" s="522"/>
      <c r="O38" s="523"/>
      <c r="P38" s="524"/>
      <c r="Q38" s="525"/>
      <c r="R38" s="526"/>
      <c r="S38" s="527"/>
      <c r="T38" s="538"/>
      <c r="U38" s="529"/>
      <c r="V38" s="530"/>
      <c r="W38" s="573"/>
      <c r="X38" s="574"/>
    </row>
    <row r="39" spans="1:26" x14ac:dyDescent="0.2">
      <c r="A39" s="532"/>
      <c r="B39" s="516"/>
      <c r="C39" s="504"/>
      <c r="D39" s="561"/>
      <c r="E39" s="562"/>
      <c r="F39" s="563"/>
      <c r="G39" s="564"/>
      <c r="H39" s="562"/>
      <c r="I39" s="562"/>
      <c r="J39" s="562"/>
      <c r="K39" s="562"/>
      <c r="L39" s="565"/>
      <c r="M39" s="504"/>
      <c r="N39" s="522"/>
      <c r="O39" s="523"/>
      <c r="P39" s="524"/>
      <c r="Q39" s="525"/>
      <c r="R39" s="526"/>
      <c r="S39" s="527"/>
      <c r="T39" s="538"/>
      <c r="U39" s="529"/>
      <c r="V39" s="530"/>
      <c r="W39" s="574"/>
      <c r="X39" s="574"/>
    </row>
    <row r="40" spans="1:26" x14ac:dyDescent="0.2">
      <c r="A40" s="532"/>
      <c r="B40" s="516"/>
      <c r="C40" s="504"/>
      <c r="D40" s="561"/>
      <c r="E40" s="562"/>
      <c r="F40" s="563"/>
      <c r="G40" s="564"/>
      <c r="H40" s="562"/>
      <c r="I40" s="562"/>
      <c r="J40" s="562"/>
      <c r="K40" s="562"/>
      <c r="L40" s="565"/>
      <c r="M40" s="504"/>
      <c r="N40" s="522"/>
      <c r="O40" s="523"/>
      <c r="P40" s="524"/>
      <c r="Q40" s="525"/>
      <c r="R40" s="526"/>
      <c r="S40" s="527"/>
      <c r="T40" s="538"/>
      <c r="U40" s="529"/>
      <c r="V40" s="530"/>
    </row>
    <row r="41" spans="1:26" x14ac:dyDescent="0.2">
      <c r="A41" s="532"/>
      <c r="B41" s="516"/>
      <c r="C41" s="504"/>
      <c r="D41" s="561"/>
      <c r="E41" s="562"/>
      <c r="F41" s="563"/>
      <c r="G41" s="564"/>
      <c r="H41" s="562"/>
      <c r="I41" s="562"/>
      <c r="J41" s="562"/>
      <c r="K41" s="562"/>
      <c r="L41" s="565"/>
      <c r="M41" s="504"/>
      <c r="N41" s="522"/>
      <c r="O41" s="523"/>
      <c r="P41" s="524"/>
      <c r="Q41" s="525"/>
      <c r="R41" s="526"/>
      <c r="S41" s="527"/>
      <c r="T41" s="538"/>
      <c r="U41" s="529"/>
      <c r="V41" s="530"/>
    </row>
    <row r="42" spans="1:26" x14ac:dyDescent="0.2">
      <c r="A42" s="532"/>
      <c r="B42" s="516"/>
      <c r="C42" s="504"/>
      <c r="D42" s="561"/>
      <c r="E42" s="562"/>
      <c r="F42" s="563"/>
      <c r="G42" s="564"/>
      <c r="H42" s="562"/>
      <c r="I42" s="562"/>
      <c r="J42" s="562"/>
      <c r="K42" s="562"/>
      <c r="L42" s="565"/>
      <c r="M42" s="504"/>
      <c r="N42" s="522"/>
      <c r="O42" s="523"/>
      <c r="P42" s="524"/>
      <c r="Q42" s="525"/>
      <c r="R42" s="526"/>
      <c r="S42" s="527"/>
      <c r="T42" s="538"/>
      <c r="U42" s="529"/>
      <c r="V42" s="530"/>
    </row>
    <row r="43" spans="1:26" x14ac:dyDescent="0.2">
      <c r="A43" s="532"/>
      <c r="B43" s="516"/>
      <c r="C43" s="504"/>
      <c r="D43" s="561"/>
      <c r="E43" s="562"/>
      <c r="F43" s="563"/>
      <c r="G43" s="564"/>
      <c r="H43" s="562"/>
      <c r="I43" s="562"/>
      <c r="J43" s="562"/>
      <c r="K43" s="562"/>
      <c r="L43" s="565"/>
      <c r="M43" s="504"/>
      <c r="N43" s="522"/>
      <c r="O43" s="523"/>
      <c r="P43" s="524"/>
      <c r="Q43" s="525"/>
      <c r="R43" s="526"/>
      <c r="S43" s="527"/>
      <c r="T43" s="538"/>
      <c r="U43" s="529"/>
      <c r="V43" s="530"/>
    </row>
    <row r="44" spans="1:26" x14ac:dyDescent="0.2">
      <c r="A44" s="532"/>
      <c r="B44" s="516"/>
      <c r="C44" s="504"/>
      <c r="D44" s="561"/>
      <c r="E44" s="562"/>
      <c r="F44" s="563"/>
      <c r="G44" s="564"/>
      <c r="H44" s="562"/>
      <c r="I44" s="562"/>
      <c r="J44" s="562"/>
      <c r="K44" s="562"/>
      <c r="L44" s="565"/>
      <c r="M44" s="504"/>
      <c r="N44" s="522"/>
      <c r="O44" s="523"/>
      <c r="P44" s="524"/>
      <c r="Q44" s="525"/>
      <c r="R44" s="526"/>
      <c r="S44" s="527"/>
      <c r="T44" s="538"/>
      <c r="U44" s="529"/>
      <c r="V44" s="530"/>
    </row>
    <row r="45" spans="1:26" x14ac:dyDescent="0.2">
      <c r="A45" s="532"/>
      <c r="B45" s="516"/>
      <c r="C45" s="504"/>
      <c r="D45" s="561"/>
      <c r="E45" s="562"/>
      <c r="F45" s="563"/>
      <c r="G45" s="564"/>
      <c r="H45" s="562"/>
      <c r="I45" s="562"/>
      <c r="J45" s="562"/>
      <c r="K45" s="562"/>
      <c r="L45" s="565"/>
      <c r="M45" s="504"/>
      <c r="N45" s="522"/>
      <c r="O45" s="523"/>
      <c r="P45" s="524"/>
      <c r="Q45" s="525"/>
      <c r="R45" s="526"/>
      <c r="S45" s="527"/>
      <c r="T45" s="538"/>
      <c r="U45" s="529"/>
      <c r="V45" s="530"/>
    </row>
    <row r="46" spans="1:26" x14ac:dyDescent="0.2">
      <c r="A46" s="532"/>
      <c r="B46" s="516"/>
      <c r="C46" s="504"/>
      <c r="D46" s="561"/>
      <c r="E46" s="562"/>
      <c r="F46" s="563"/>
      <c r="G46" s="564"/>
      <c r="H46" s="562"/>
      <c r="I46" s="562"/>
      <c r="J46" s="562"/>
      <c r="K46" s="562"/>
      <c r="L46" s="565"/>
      <c r="M46" s="504"/>
      <c r="N46" s="522"/>
      <c r="O46" s="523"/>
      <c r="P46" s="524"/>
      <c r="Q46" s="525"/>
      <c r="R46" s="526"/>
      <c r="S46" s="527"/>
      <c r="T46" s="538"/>
      <c r="U46" s="529"/>
      <c r="V46" s="530"/>
    </row>
    <row r="47" spans="1:26" x14ac:dyDescent="0.2">
      <c r="A47" s="532"/>
      <c r="B47" s="516"/>
      <c r="C47" s="504"/>
      <c r="D47" s="561"/>
      <c r="E47" s="562"/>
      <c r="F47" s="563"/>
      <c r="G47" s="564"/>
      <c r="H47" s="562"/>
      <c r="I47" s="562"/>
      <c r="J47" s="562"/>
      <c r="K47" s="562"/>
      <c r="L47" s="565"/>
      <c r="M47" s="504"/>
      <c r="N47" s="522"/>
      <c r="O47" s="523"/>
      <c r="P47" s="524"/>
      <c r="Q47" s="525"/>
      <c r="R47" s="526"/>
      <c r="S47" s="527"/>
      <c r="T47" s="538"/>
      <c r="U47" s="529"/>
      <c r="V47" s="530"/>
    </row>
    <row r="48" spans="1:26" x14ac:dyDescent="0.2">
      <c r="A48" s="532"/>
      <c r="B48" s="516"/>
      <c r="C48" s="504"/>
      <c r="D48" s="561"/>
      <c r="E48" s="562"/>
      <c r="F48" s="563"/>
      <c r="G48" s="564"/>
      <c r="H48" s="562"/>
      <c r="I48" s="562"/>
      <c r="J48" s="562"/>
      <c r="K48" s="562"/>
      <c r="L48" s="565"/>
      <c r="M48" s="504"/>
      <c r="N48" s="522"/>
      <c r="O48" s="523"/>
      <c r="P48" s="524"/>
      <c r="Q48" s="525"/>
      <c r="R48" s="526"/>
      <c r="S48" s="527"/>
      <c r="T48" s="538"/>
      <c r="U48" s="529"/>
      <c r="V48" s="530"/>
    </row>
    <row r="49" spans="1:26" x14ac:dyDescent="0.2">
      <c r="A49" s="532"/>
      <c r="B49" s="516"/>
      <c r="C49" s="504"/>
      <c r="D49" s="561"/>
      <c r="E49" s="562"/>
      <c r="F49" s="563"/>
      <c r="G49" s="564"/>
      <c r="H49" s="562"/>
      <c r="I49" s="562"/>
      <c r="J49" s="562"/>
      <c r="K49" s="562"/>
      <c r="L49" s="565"/>
      <c r="M49" s="504"/>
      <c r="N49" s="522"/>
      <c r="O49" s="523"/>
      <c r="P49" s="524"/>
      <c r="Q49" s="525"/>
      <c r="R49" s="526"/>
      <c r="S49" s="527"/>
      <c r="T49" s="538"/>
      <c r="U49" s="529"/>
      <c r="V49" s="530"/>
    </row>
    <row r="50" spans="1:26" x14ac:dyDescent="0.2">
      <c r="A50" s="532"/>
      <c r="B50" s="516"/>
      <c r="C50" s="504"/>
      <c r="D50" s="561"/>
      <c r="E50" s="562"/>
      <c r="F50" s="563"/>
      <c r="G50" s="564"/>
      <c r="H50" s="562"/>
      <c r="I50" s="562"/>
      <c r="J50" s="562"/>
      <c r="K50" s="562"/>
      <c r="L50" s="565"/>
      <c r="M50" s="504"/>
      <c r="N50" s="522"/>
      <c r="O50" s="523"/>
      <c r="P50" s="524"/>
      <c r="Q50" s="525"/>
      <c r="R50" s="526"/>
      <c r="S50" s="527"/>
      <c r="T50" s="538"/>
      <c r="U50" s="529"/>
      <c r="V50" s="530"/>
    </row>
    <row r="51" spans="1:26" x14ac:dyDescent="0.2">
      <c r="A51" s="532"/>
      <c r="B51" s="516"/>
      <c r="C51" s="504"/>
      <c r="D51" s="561"/>
      <c r="E51" s="562"/>
      <c r="F51" s="563"/>
      <c r="G51" s="564"/>
      <c r="H51" s="562"/>
      <c r="I51" s="562"/>
      <c r="J51" s="562"/>
      <c r="K51" s="562"/>
      <c r="L51" s="565"/>
      <c r="M51" s="504"/>
      <c r="N51" s="522"/>
      <c r="O51" s="523"/>
      <c r="P51" s="524"/>
      <c r="Q51" s="525"/>
      <c r="R51" s="526"/>
      <c r="S51" s="527"/>
      <c r="T51" s="538"/>
      <c r="U51" s="529"/>
      <c r="V51" s="530"/>
    </row>
    <row r="52" spans="1:26" ht="10.8" thickBot="1" x14ac:dyDescent="0.25">
      <c r="A52" s="532"/>
      <c r="B52" s="516"/>
      <c r="C52" s="504"/>
      <c r="D52" s="561"/>
      <c r="E52" s="562"/>
      <c r="F52" s="563"/>
      <c r="G52" s="564"/>
      <c r="H52" s="562"/>
      <c r="I52" s="562"/>
      <c r="J52" s="562"/>
      <c r="K52" s="562"/>
      <c r="L52" s="565"/>
      <c r="M52" s="504"/>
      <c r="N52" s="522"/>
      <c r="O52" s="523"/>
      <c r="P52" s="524"/>
      <c r="Q52" s="525"/>
      <c r="R52" s="526"/>
      <c r="S52" s="527"/>
      <c r="T52" s="538"/>
      <c r="U52" s="529"/>
      <c r="V52" s="575"/>
    </row>
    <row r="53" spans="1:26" x14ac:dyDescent="0.2">
      <c r="A53" s="532"/>
      <c r="B53" s="516"/>
      <c r="C53" s="504"/>
      <c r="D53" s="561"/>
      <c r="E53" s="562"/>
      <c r="F53" s="563"/>
      <c r="G53" s="564"/>
      <c r="H53" s="562"/>
      <c r="I53" s="562"/>
      <c r="J53" s="562"/>
      <c r="K53" s="562"/>
      <c r="L53" s="565"/>
      <c r="M53" s="504"/>
      <c r="N53" s="522"/>
      <c r="O53" s="523"/>
      <c r="P53" s="524"/>
      <c r="Q53" s="525"/>
      <c r="R53" s="526"/>
      <c r="S53" s="527"/>
      <c r="T53" s="538"/>
      <c r="U53" s="576" t="s">
        <v>157</v>
      </c>
      <c r="V53" s="577">
        <f>AVERAGE(V12:V52)</f>
        <v>564</v>
      </c>
    </row>
    <row r="54" spans="1:26" x14ac:dyDescent="0.2">
      <c r="A54" s="532"/>
      <c r="B54" s="516"/>
      <c r="C54" s="504"/>
      <c r="D54" s="561"/>
      <c r="E54" s="562"/>
      <c r="F54" s="563"/>
      <c r="G54" s="564"/>
      <c r="H54" s="562"/>
      <c r="I54" s="562"/>
      <c r="J54" s="562"/>
      <c r="K54" s="562"/>
      <c r="L54" s="565"/>
      <c r="M54" s="504"/>
      <c r="N54" s="522"/>
      <c r="O54" s="523"/>
      <c r="P54" s="524"/>
      <c r="Q54" s="525"/>
      <c r="R54" s="526"/>
      <c r="S54" s="527"/>
      <c r="T54" s="538"/>
      <c r="U54" s="403" t="s">
        <v>158</v>
      </c>
      <c r="V54" s="575" t="e">
        <f>STDEV(V12:V52)</f>
        <v>#DIV/0!</v>
      </c>
      <c r="W54" s="578"/>
      <c r="X54" s="578"/>
    </row>
    <row r="55" spans="1:26" x14ac:dyDescent="0.2">
      <c r="A55" s="579" t="s">
        <v>159</v>
      </c>
      <c r="B55" s="580"/>
      <c r="C55" s="581"/>
      <c r="D55" s="581"/>
      <c r="E55" s="581"/>
      <c r="F55" s="581"/>
      <c r="G55" s="582"/>
      <c r="H55" s="581"/>
      <c r="I55" s="581"/>
      <c r="J55" s="581"/>
      <c r="K55" s="581"/>
      <c r="L55" s="583"/>
      <c r="M55" s="581"/>
      <c r="N55" s="584"/>
      <c r="O55" s="585"/>
      <c r="P55" s="586"/>
      <c r="Q55" s="587"/>
      <c r="R55" s="588"/>
      <c r="S55" s="589"/>
      <c r="T55" s="590"/>
      <c r="U55" s="403" t="s">
        <v>160</v>
      </c>
      <c r="V55" s="575" t="e">
        <f>V54/SQRT(COUNT(V12:V51))</f>
        <v>#DIV/0!</v>
      </c>
      <c r="W55" s="573"/>
      <c r="X55" s="578"/>
      <c r="Y55" s="578"/>
      <c r="Z55" s="578"/>
    </row>
    <row r="56" spans="1:26" x14ac:dyDescent="0.2">
      <c r="A56" s="591"/>
      <c r="B56" s="592"/>
      <c r="C56" s="593"/>
      <c r="D56" s="593"/>
      <c r="E56" s="593"/>
      <c r="F56" s="593"/>
      <c r="G56" s="594"/>
      <c r="H56" s="593"/>
      <c r="I56" s="593"/>
      <c r="J56" s="593"/>
      <c r="K56" s="593"/>
      <c r="L56" s="595"/>
      <c r="M56" s="593"/>
      <c r="N56" s="596"/>
      <c r="O56" s="597"/>
      <c r="P56" s="598"/>
      <c r="Q56" s="599"/>
      <c r="R56" s="600"/>
      <c r="S56" s="601"/>
      <c r="T56" s="602"/>
      <c r="U56" s="403" t="s">
        <v>161</v>
      </c>
      <c r="V56" s="575">
        <f>MAX(V12:V52)</f>
        <v>564</v>
      </c>
      <c r="W56" s="573"/>
    </row>
    <row r="57" spans="1:26" ht="10.8" thickBot="1" x14ac:dyDescent="0.25">
      <c r="A57" s="603"/>
      <c r="B57" s="604"/>
      <c r="C57" s="605"/>
      <c r="D57" s="605"/>
      <c r="E57" s="605"/>
      <c r="F57" s="605"/>
      <c r="G57" s="606"/>
      <c r="H57" s="605"/>
      <c r="I57" s="605"/>
      <c r="J57" s="605"/>
      <c r="K57" s="605"/>
      <c r="L57" s="607"/>
      <c r="M57" s="605"/>
      <c r="N57" s="608"/>
      <c r="O57" s="609"/>
      <c r="P57" s="610"/>
      <c r="Q57" s="611"/>
      <c r="R57" s="612"/>
      <c r="S57" s="613"/>
      <c r="T57" s="614"/>
      <c r="U57" s="615" t="s">
        <v>162</v>
      </c>
      <c r="V57" s="616">
        <f>MIN(V12:V52)</f>
        <v>564</v>
      </c>
      <c r="W57" s="578"/>
    </row>
    <row r="58" spans="1:26" x14ac:dyDescent="0.2">
      <c r="A58" s="617"/>
      <c r="B58" s="617"/>
      <c r="C58" s="618"/>
      <c r="D58" s="619"/>
      <c r="E58" s="619"/>
      <c r="F58" s="619"/>
      <c r="G58" s="620"/>
      <c r="H58" s="621"/>
      <c r="I58" s="622"/>
      <c r="J58" s="623"/>
      <c r="K58" s="624"/>
      <c r="L58" s="625"/>
      <c r="M58" s="578"/>
      <c r="O58" s="566"/>
      <c r="P58" s="626"/>
    </row>
    <row r="59" spans="1:26" x14ac:dyDescent="0.2">
      <c r="A59" s="578"/>
      <c r="B59" s="578"/>
      <c r="C59" s="627"/>
      <c r="D59" s="627"/>
      <c r="E59" s="627"/>
      <c r="F59" s="627"/>
      <c r="G59" s="622"/>
      <c r="H59" s="621"/>
      <c r="I59" s="622"/>
      <c r="J59" s="623"/>
      <c r="K59" s="628"/>
      <c r="L59" s="625"/>
      <c r="M59" s="578"/>
      <c r="O59" s="566"/>
      <c r="P59" s="626"/>
    </row>
    <row r="60" spans="1:26" x14ac:dyDescent="0.2">
      <c r="A60" s="629"/>
      <c r="B60" s="629"/>
      <c r="C60" s="629"/>
      <c r="D60" s="629"/>
      <c r="E60" s="623"/>
      <c r="F60" s="630"/>
      <c r="G60" s="578"/>
      <c r="H60" s="566"/>
      <c r="I60" s="578"/>
      <c r="J60" s="566"/>
      <c r="K60" s="566"/>
      <c r="L60" s="578"/>
      <c r="M60" s="578"/>
      <c r="O60" s="566"/>
      <c r="P60" s="626"/>
    </row>
    <row r="61" spans="1:26" x14ac:dyDescent="0.2">
      <c r="A61" s="631"/>
      <c r="B61" s="631"/>
      <c r="C61" s="629"/>
      <c r="D61" s="629"/>
      <c r="E61" s="623"/>
      <c r="F61" s="630"/>
      <c r="G61" s="566"/>
      <c r="H61" s="566"/>
      <c r="I61" s="578"/>
      <c r="J61" s="566"/>
      <c r="K61" s="566"/>
      <c r="L61" s="578"/>
      <c r="M61" s="578"/>
      <c r="O61" s="566"/>
      <c r="P61" s="626"/>
    </row>
    <row r="62" spans="1:26" x14ac:dyDescent="0.2">
      <c r="A62" s="475"/>
      <c r="B62" s="475"/>
      <c r="C62" s="629"/>
      <c r="D62" s="629"/>
      <c r="E62" s="623"/>
      <c r="F62" s="630"/>
      <c r="G62" s="566"/>
      <c r="H62" s="566"/>
      <c r="I62" s="578"/>
      <c r="J62" s="566"/>
      <c r="K62" s="566"/>
      <c r="L62" s="578"/>
      <c r="M62" s="578"/>
      <c r="O62" s="566"/>
      <c r="P62" s="626"/>
    </row>
    <row r="63" spans="1:26" x14ac:dyDescent="0.2">
      <c r="A63" s="629"/>
      <c r="B63" s="629"/>
      <c r="C63" s="629"/>
      <c r="D63" s="629"/>
      <c r="E63" s="623"/>
      <c r="F63" s="630"/>
      <c r="G63" s="566"/>
      <c r="H63" s="566"/>
      <c r="I63" s="578"/>
      <c r="J63" s="566"/>
      <c r="K63" s="566"/>
      <c r="L63" s="578"/>
      <c r="M63" s="578"/>
      <c r="O63" s="566"/>
      <c r="P63" s="626"/>
    </row>
    <row r="64" spans="1:26" x14ac:dyDescent="0.2">
      <c r="A64" s="629"/>
      <c r="B64" s="629"/>
      <c r="C64" s="629"/>
      <c r="D64" s="629"/>
      <c r="E64" s="623"/>
      <c r="F64" s="630"/>
      <c r="G64" s="566"/>
      <c r="H64" s="566"/>
      <c r="I64" s="578"/>
      <c r="J64" s="622"/>
      <c r="K64" s="566"/>
      <c r="L64" s="578"/>
      <c r="M64" s="578"/>
      <c r="O64" s="566"/>
      <c r="P64" s="626"/>
    </row>
    <row r="65" spans="1:16" x14ac:dyDescent="0.2">
      <c r="A65" s="629"/>
      <c r="B65" s="629"/>
      <c r="C65" s="629"/>
      <c r="D65" s="629"/>
      <c r="E65" s="623"/>
      <c r="F65" s="630"/>
      <c r="G65" s="566"/>
      <c r="H65" s="566"/>
      <c r="I65" s="578"/>
      <c r="J65" s="622"/>
      <c r="K65" s="566"/>
      <c r="L65" s="578"/>
      <c r="M65" s="578"/>
      <c r="O65" s="566"/>
      <c r="P65" s="626"/>
    </row>
    <row r="66" spans="1:16" x14ac:dyDescent="0.2">
      <c r="A66" s="629"/>
      <c r="B66" s="629"/>
      <c r="C66" s="629"/>
      <c r="D66" s="629"/>
      <c r="E66" s="623"/>
      <c r="F66" s="630"/>
      <c r="G66" s="566"/>
      <c r="H66" s="566"/>
      <c r="I66" s="578"/>
      <c r="J66" s="566"/>
      <c r="K66" s="566"/>
      <c r="L66" s="578"/>
      <c r="M66" s="578"/>
      <c r="O66" s="566"/>
      <c r="P66" s="626"/>
    </row>
    <row r="67" spans="1:16" x14ac:dyDescent="0.2">
      <c r="A67" s="629"/>
      <c r="B67" s="629"/>
      <c r="C67" s="629"/>
      <c r="D67" s="629"/>
      <c r="E67" s="623"/>
      <c r="F67" s="630"/>
      <c r="G67" s="566"/>
      <c r="H67" s="566"/>
      <c r="I67" s="578"/>
      <c r="J67" s="566"/>
      <c r="K67" s="566"/>
      <c r="L67" s="578"/>
      <c r="M67" s="578"/>
      <c r="O67" s="566"/>
      <c r="P67" s="626"/>
    </row>
    <row r="68" spans="1:16" x14ac:dyDescent="0.2">
      <c r="A68" s="629"/>
      <c r="B68" s="629"/>
      <c r="C68" s="629"/>
      <c r="D68" s="629"/>
      <c r="E68" s="623"/>
      <c r="F68" s="630"/>
      <c r="G68" s="566"/>
      <c r="H68" s="566"/>
      <c r="I68" s="578"/>
      <c r="J68" s="566"/>
      <c r="K68" s="566"/>
      <c r="L68" s="578"/>
      <c r="M68" s="578"/>
      <c r="O68" s="566"/>
      <c r="P68" s="626"/>
    </row>
    <row r="69" spans="1:16" x14ac:dyDescent="0.2">
      <c r="A69" s="629"/>
      <c r="B69" s="629"/>
      <c r="C69" s="629"/>
      <c r="D69" s="629"/>
      <c r="E69" s="623"/>
      <c r="F69" s="630"/>
      <c r="G69" s="566"/>
      <c r="H69" s="566"/>
      <c r="I69" s="578"/>
      <c r="J69" s="566"/>
      <c r="K69" s="566"/>
      <c r="L69" s="578"/>
      <c r="M69" s="578"/>
      <c r="O69" s="566"/>
      <c r="P69" s="626"/>
    </row>
    <row r="70" spans="1:16" x14ac:dyDescent="0.2">
      <c r="A70" s="629"/>
      <c r="B70" s="629"/>
      <c r="C70" s="629"/>
      <c r="D70" s="629"/>
      <c r="E70" s="623"/>
      <c r="F70" s="630"/>
      <c r="G70" s="566"/>
      <c r="H70" s="566"/>
      <c r="I70" s="578"/>
      <c r="J70" s="566"/>
      <c r="K70" s="566"/>
      <c r="L70" s="578"/>
      <c r="M70" s="578"/>
      <c r="O70" s="566"/>
      <c r="P70" s="626"/>
    </row>
    <row r="71" spans="1:16" x14ac:dyDescent="0.2">
      <c r="A71" s="629"/>
      <c r="B71" s="629"/>
      <c r="C71" s="629"/>
      <c r="D71" s="629"/>
      <c r="E71" s="623"/>
      <c r="F71" s="630"/>
      <c r="G71" s="566"/>
      <c r="H71" s="566"/>
      <c r="I71" s="578"/>
      <c r="J71" s="566"/>
      <c r="K71" s="566"/>
      <c r="L71" s="578"/>
      <c r="O71" s="566"/>
      <c r="P71" s="626"/>
    </row>
    <row r="72" spans="1:16" x14ac:dyDescent="0.2">
      <c r="A72" s="629"/>
      <c r="B72" s="629"/>
      <c r="C72" s="629"/>
      <c r="D72" s="629"/>
      <c r="E72" s="623"/>
      <c r="F72" s="630"/>
      <c r="G72" s="566"/>
      <c r="H72" s="566"/>
      <c r="I72" s="578"/>
      <c r="J72" s="566"/>
      <c r="K72" s="566"/>
      <c r="L72" s="578"/>
      <c r="O72" s="566"/>
      <c r="P72" s="626"/>
    </row>
    <row r="73" spans="1:16" x14ac:dyDescent="0.2">
      <c r="A73" s="629"/>
      <c r="B73" s="629"/>
      <c r="C73" s="629"/>
      <c r="D73" s="629"/>
      <c r="E73" s="623"/>
      <c r="F73" s="630"/>
      <c r="G73" s="566"/>
      <c r="H73" s="566"/>
      <c r="I73" s="578"/>
      <c r="J73" s="566"/>
      <c r="K73" s="566"/>
      <c r="L73" s="566"/>
      <c r="O73" s="566"/>
      <c r="P73" s="626"/>
    </row>
    <row r="74" spans="1:16" x14ac:dyDescent="0.2">
      <c r="A74" s="629"/>
      <c r="B74" s="629"/>
      <c r="C74" s="629"/>
      <c r="D74" s="629"/>
      <c r="E74" s="623"/>
      <c r="F74" s="630"/>
      <c r="G74" s="566"/>
      <c r="H74" s="566"/>
      <c r="I74" s="578"/>
      <c r="J74" s="566"/>
      <c r="K74" s="566"/>
      <c r="L74" s="566"/>
      <c r="O74" s="566"/>
      <c r="P74" s="626"/>
    </row>
    <row r="75" spans="1:16" x14ac:dyDescent="0.2">
      <c r="A75" s="629"/>
      <c r="B75" s="629"/>
      <c r="C75" s="629"/>
      <c r="D75" s="629"/>
      <c r="E75" s="623"/>
      <c r="F75" s="630"/>
      <c r="G75" s="566"/>
      <c r="H75" s="566"/>
      <c r="I75" s="578"/>
      <c r="J75" s="566"/>
      <c r="K75" s="566"/>
      <c r="L75" s="566"/>
      <c r="O75" s="566"/>
      <c r="P75" s="626"/>
    </row>
    <row r="76" spans="1:16" x14ac:dyDescent="0.2">
      <c r="A76" s="629"/>
      <c r="B76" s="629"/>
      <c r="C76" s="629"/>
      <c r="D76" s="629"/>
      <c r="E76" s="623"/>
      <c r="F76" s="630"/>
      <c r="G76" s="566"/>
      <c r="H76" s="566"/>
      <c r="I76" s="578"/>
      <c r="J76" s="566"/>
      <c r="K76" s="566"/>
      <c r="L76" s="566"/>
      <c r="O76" s="566"/>
      <c r="P76" s="626"/>
    </row>
    <row r="77" spans="1:16" x14ac:dyDescent="0.2">
      <c r="A77" s="629"/>
      <c r="B77" s="629"/>
      <c r="C77" s="629"/>
      <c r="D77" s="629"/>
      <c r="E77" s="623"/>
      <c r="F77" s="630"/>
      <c r="G77" s="566"/>
      <c r="H77" s="566"/>
      <c r="I77" s="578"/>
      <c r="J77" s="566"/>
      <c r="K77" s="566"/>
      <c r="L77" s="566"/>
      <c r="O77" s="566"/>
      <c r="P77" s="626"/>
    </row>
    <row r="78" spans="1:16" x14ac:dyDescent="0.2">
      <c r="A78" s="629"/>
      <c r="B78" s="629"/>
      <c r="C78" s="629"/>
      <c r="D78" s="629"/>
      <c r="E78" s="623"/>
      <c r="F78" s="630"/>
      <c r="G78" s="566"/>
      <c r="H78" s="566"/>
      <c r="I78" s="578"/>
      <c r="J78" s="566"/>
      <c r="K78" s="566"/>
      <c r="L78" s="566"/>
      <c r="O78" s="566"/>
      <c r="P78" s="626"/>
    </row>
    <row r="79" spans="1:16" x14ac:dyDescent="0.2">
      <c r="A79" s="629"/>
      <c r="B79" s="629"/>
      <c r="C79" s="629"/>
      <c r="D79" s="629"/>
      <c r="E79" s="623"/>
      <c r="F79" s="630"/>
      <c r="G79" s="566"/>
      <c r="H79" s="566"/>
      <c r="I79" s="578"/>
      <c r="J79" s="566"/>
      <c r="K79" s="566"/>
      <c r="L79" s="566"/>
      <c r="O79" s="566"/>
      <c r="P79" s="626"/>
    </row>
    <row r="80" spans="1:16" x14ac:dyDescent="0.2">
      <c r="A80" s="629"/>
      <c r="B80" s="629"/>
      <c r="C80" s="629"/>
      <c r="D80" s="629"/>
      <c r="E80" s="623"/>
      <c r="F80" s="630"/>
      <c r="G80" s="566"/>
      <c r="H80" s="566"/>
      <c r="I80" s="578"/>
      <c r="J80" s="566"/>
      <c r="K80" s="566"/>
      <c r="L80" s="566"/>
      <c r="O80" s="566"/>
      <c r="P80" s="626"/>
    </row>
    <row r="81" spans="1:19" x14ac:dyDescent="0.2">
      <c r="A81" s="629"/>
      <c r="B81" s="629"/>
      <c r="C81" s="629"/>
      <c r="D81" s="629"/>
      <c r="E81" s="623"/>
      <c r="F81" s="630"/>
      <c r="G81" s="566"/>
      <c r="H81" s="566"/>
      <c r="I81" s="578"/>
      <c r="J81" s="566"/>
      <c r="K81" s="566"/>
      <c r="L81" s="566"/>
      <c r="O81" s="566"/>
      <c r="P81" s="626"/>
    </row>
    <row r="82" spans="1:19" x14ac:dyDescent="0.2">
      <c r="A82" s="629"/>
      <c r="B82" s="629"/>
      <c r="C82" s="629"/>
      <c r="D82" s="629"/>
      <c r="E82" s="623"/>
      <c r="F82" s="630"/>
      <c r="G82" s="566"/>
      <c r="H82" s="566"/>
      <c r="I82" s="578"/>
      <c r="J82" s="566"/>
      <c r="K82" s="566"/>
      <c r="L82" s="566"/>
      <c r="O82" s="566"/>
      <c r="P82" s="626"/>
    </row>
    <row r="83" spans="1:19" x14ac:dyDescent="0.2">
      <c r="A83" s="629"/>
      <c r="B83" s="629"/>
      <c r="C83" s="629"/>
      <c r="D83" s="629"/>
      <c r="E83" s="623"/>
      <c r="F83" s="630"/>
      <c r="G83" s="566"/>
      <c r="H83" s="566"/>
      <c r="I83" s="578"/>
      <c r="J83" s="566"/>
      <c r="K83" s="566"/>
      <c r="L83" s="566"/>
      <c r="O83" s="566"/>
      <c r="P83" s="626"/>
    </row>
    <row r="84" spans="1:19" x14ac:dyDescent="0.2">
      <c r="A84" s="629"/>
      <c r="B84" s="629"/>
      <c r="C84" s="629"/>
      <c r="D84" s="629"/>
      <c r="E84" s="623"/>
      <c r="F84" s="630"/>
      <c r="G84" s="626"/>
      <c r="H84" s="566"/>
      <c r="I84" s="578"/>
      <c r="J84" s="566"/>
      <c r="K84" s="566"/>
      <c r="L84" s="566"/>
      <c r="O84" s="566"/>
      <c r="P84" s="626"/>
    </row>
    <row r="85" spans="1:19" x14ac:dyDescent="0.2">
      <c r="A85" s="629"/>
      <c r="B85" s="629"/>
      <c r="C85" s="629"/>
      <c r="D85" s="629"/>
      <c r="E85" s="623"/>
      <c r="F85" s="630"/>
      <c r="G85" s="626"/>
      <c r="H85" s="566"/>
      <c r="I85" s="578"/>
      <c r="J85" s="566"/>
      <c r="K85" s="566"/>
      <c r="L85" s="566"/>
      <c r="O85" s="566"/>
      <c r="P85" s="626"/>
    </row>
    <row r="86" spans="1:19" x14ac:dyDescent="0.2">
      <c r="A86" s="629"/>
      <c r="B86" s="629"/>
      <c r="C86" s="629"/>
      <c r="D86" s="629"/>
      <c r="E86" s="623"/>
      <c r="F86" s="630"/>
      <c r="G86" s="626"/>
      <c r="H86" s="566"/>
      <c r="I86" s="578"/>
      <c r="J86" s="566"/>
      <c r="K86" s="566"/>
      <c r="L86" s="566"/>
      <c r="O86" s="566"/>
      <c r="P86" s="626"/>
    </row>
    <row r="87" spans="1:19" x14ac:dyDescent="0.2">
      <c r="A87" s="629"/>
      <c r="B87" s="629"/>
      <c r="C87" s="629"/>
      <c r="D87" s="629"/>
      <c r="E87" s="623"/>
      <c r="F87" s="630"/>
      <c r="G87" s="626"/>
      <c r="H87" s="566"/>
      <c r="I87" s="578"/>
      <c r="J87" s="566"/>
      <c r="K87" s="566"/>
      <c r="L87" s="566"/>
      <c r="O87" s="566"/>
      <c r="P87" s="626"/>
    </row>
    <row r="88" spans="1:19" x14ac:dyDescent="0.2">
      <c r="A88" s="629"/>
      <c r="B88" s="629"/>
      <c r="C88" s="629"/>
      <c r="D88" s="629"/>
      <c r="E88" s="623"/>
      <c r="F88" s="630"/>
      <c r="G88" s="566"/>
      <c r="H88" s="566"/>
      <c r="I88" s="578"/>
      <c r="J88" s="566"/>
      <c r="K88" s="566"/>
      <c r="L88" s="566"/>
      <c r="O88" s="566"/>
      <c r="P88" s="626"/>
    </row>
    <row r="89" spans="1:19" x14ac:dyDescent="0.2">
      <c r="A89" s="629"/>
      <c r="B89" s="629"/>
      <c r="C89" s="629"/>
      <c r="D89" s="629"/>
      <c r="E89" s="623"/>
      <c r="F89" s="630"/>
      <c r="G89" s="566"/>
      <c r="H89" s="566"/>
      <c r="I89" s="578"/>
      <c r="J89" s="566"/>
      <c r="K89" s="566"/>
      <c r="L89" s="566"/>
      <c r="O89" s="566"/>
      <c r="P89" s="626"/>
    </row>
    <row r="90" spans="1:19" s="629" customFormat="1" x14ac:dyDescent="0.2">
      <c r="E90" s="623"/>
      <c r="F90" s="630"/>
      <c r="G90" s="566"/>
      <c r="H90" s="566"/>
      <c r="I90" s="578"/>
      <c r="J90" s="566"/>
      <c r="K90" s="566"/>
      <c r="L90" s="566"/>
      <c r="M90" s="566"/>
      <c r="N90" s="566"/>
      <c r="O90" s="566"/>
      <c r="P90" s="626"/>
      <c r="Q90" s="626"/>
      <c r="R90" s="632"/>
      <c r="S90" s="632"/>
    </row>
    <row r="91" spans="1:19" s="629" customFormat="1" x14ac:dyDescent="0.2">
      <c r="E91" s="623"/>
      <c r="F91" s="630"/>
      <c r="G91" s="566"/>
      <c r="H91" s="566"/>
      <c r="I91" s="578"/>
      <c r="J91" s="566"/>
      <c r="K91" s="566"/>
      <c r="L91" s="566"/>
      <c r="M91" s="566"/>
      <c r="N91" s="566"/>
      <c r="O91" s="566"/>
      <c r="P91" s="626"/>
      <c r="Q91" s="626"/>
      <c r="R91" s="632"/>
      <c r="S91" s="632"/>
    </row>
    <row r="92" spans="1:19" s="629" customFormat="1" x14ac:dyDescent="0.2">
      <c r="E92" s="623"/>
      <c r="F92" s="630"/>
      <c r="G92" s="566"/>
      <c r="H92" s="566"/>
      <c r="I92" s="578"/>
      <c r="J92" s="566"/>
      <c r="K92" s="566"/>
      <c r="L92" s="566"/>
      <c r="M92" s="566"/>
      <c r="N92" s="566"/>
      <c r="O92" s="566"/>
      <c r="P92" s="626"/>
      <c r="Q92" s="626"/>
      <c r="R92" s="632"/>
      <c r="S92" s="632"/>
    </row>
    <row r="93" spans="1:19" s="629" customFormat="1" x14ac:dyDescent="0.2">
      <c r="E93" s="623"/>
      <c r="F93" s="630"/>
      <c r="G93" s="566"/>
      <c r="H93" s="566"/>
      <c r="I93" s="578"/>
      <c r="J93" s="566"/>
      <c r="K93" s="566"/>
      <c r="L93" s="566"/>
      <c r="M93" s="566"/>
      <c r="N93" s="566"/>
      <c r="O93" s="566"/>
      <c r="P93" s="626"/>
      <c r="Q93" s="626"/>
      <c r="R93" s="632"/>
      <c r="S93" s="632"/>
    </row>
    <row r="94" spans="1:19" s="629" customFormat="1" x14ac:dyDescent="0.2">
      <c r="E94" s="623"/>
      <c r="F94" s="630"/>
      <c r="G94" s="566"/>
      <c r="H94" s="566"/>
      <c r="I94" s="578"/>
      <c r="J94" s="566"/>
      <c r="K94" s="566"/>
      <c r="L94" s="566"/>
      <c r="M94" s="566"/>
      <c r="N94" s="566"/>
      <c r="O94" s="566"/>
      <c r="P94" s="626"/>
      <c r="Q94" s="626"/>
      <c r="R94" s="632"/>
      <c r="S94" s="632"/>
    </row>
    <row r="95" spans="1:19" s="629" customFormat="1" x14ac:dyDescent="0.2">
      <c r="E95" s="623"/>
      <c r="F95" s="630"/>
      <c r="G95" s="566"/>
      <c r="H95" s="566"/>
      <c r="I95" s="578"/>
      <c r="J95" s="566"/>
      <c r="K95" s="566"/>
      <c r="L95" s="566"/>
      <c r="M95" s="566"/>
      <c r="P95" s="632"/>
      <c r="Q95" s="632"/>
      <c r="R95" s="632"/>
      <c r="S95" s="632"/>
    </row>
    <row r="96" spans="1:19" s="629" customFormat="1" x14ac:dyDescent="0.2">
      <c r="E96" s="623"/>
      <c r="F96" s="630"/>
      <c r="G96" s="566"/>
      <c r="H96" s="566"/>
      <c r="I96" s="578"/>
      <c r="J96" s="566"/>
      <c r="K96" s="566"/>
      <c r="L96" s="566"/>
      <c r="M96" s="566"/>
      <c r="P96" s="632"/>
      <c r="Q96" s="632"/>
      <c r="R96" s="632"/>
      <c r="S96" s="632"/>
    </row>
    <row r="97" spans="5:19" s="629" customFormat="1" x14ac:dyDescent="0.2">
      <c r="E97" s="623"/>
      <c r="F97" s="630"/>
      <c r="G97" s="566"/>
      <c r="H97" s="566"/>
      <c r="I97" s="578"/>
      <c r="J97" s="566"/>
      <c r="K97" s="566"/>
      <c r="L97" s="566"/>
      <c r="M97" s="566"/>
      <c r="P97" s="632"/>
      <c r="Q97" s="632"/>
      <c r="R97" s="632"/>
      <c r="S97" s="632"/>
    </row>
    <row r="98" spans="5:19" s="629" customFormat="1" x14ac:dyDescent="0.2">
      <c r="E98" s="623"/>
      <c r="F98" s="630"/>
      <c r="G98" s="566"/>
      <c r="H98" s="566"/>
      <c r="I98" s="578"/>
      <c r="J98" s="566"/>
      <c r="K98" s="566"/>
      <c r="L98" s="566"/>
      <c r="M98" s="566"/>
      <c r="P98" s="632"/>
      <c r="Q98" s="632"/>
      <c r="R98" s="632"/>
      <c r="S98" s="632"/>
    </row>
    <row r="99" spans="5:19" s="629" customFormat="1" x14ac:dyDescent="0.2">
      <c r="E99" s="623"/>
      <c r="F99" s="630"/>
      <c r="G99" s="566"/>
      <c r="H99" s="566"/>
      <c r="I99" s="578"/>
      <c r="J99" s="566"/>
      <c r="K99" s="566"/>
      <c r="L99" s="566"/>
      <c r="M99" s="566"/>
      <c r="P99" s="632"/>
      <c r="Q99" s="632"/>
      <c r="R99" s="632"/>
      <c r="S99" s="632"/>
    </row>
    <row r="100" spans="5:19" s="629" customFormat="1" x14ac:dyDescent="0.2">
      <c r="E100" s="623"/>
      <c r="F100" s="630"/>
      <c r="G100" s="566"/>
      <c r="H100" s="566"/>
      <c r="I100" s="578"/>
      <c r="J100" s="566"/>
      <c r="K100" s="566"/>
      <c r="L100" s="566"/>
      <c r="M100" s="566"/>
      <c r="P100" s="632"/>
      <c r="Q100" s="632"/>
      <c r="R100" s="632"/>
      <c r="S100" s="632"/>
    </row>
    <row r="101" spans="5:19" s="629" customFormat="1" x14ac:dyDescent="0.2">
      <c r="E101" s="623"/>
      <c r="F101" s="630"/>
      <c r="G101" s="566"/>
      <c r="H101" s="566"/>
      <c r="I101" s="578"/>
      <c r="J101" s="566"/>
      <c r="K101" s="566"/>
      <c r="L101" s="566"/>
      <c r="M101" s="566"/>
      <c r="P101" s="632"/>
      <c r="Q101" s="632"/>
      <c r="R101" s="632"/>
      <c r="S101" s="632"/>
    </row>
    <row r="102" spans="5:19" s="629" customFormat="1" x14ac:dyDescent="0.2">
      <c r="E102" s="623"/>
      <c r="F102" s="630"/>
      <c r="G102" s="566"/>
      <c r="H102" s="566"/>
      <c r="I102" s="578"/>
      <c r="J102" s="566"/>
      <c r="K102" s="566"/>
      <c r="L102" s="566"/>
      <c r="M102" s="566"/>
      <c r="P102" s="632"/>
      <c r="Q102" s="632"/>
      <c r="R102" s="632"/>
      <c r="S102" s="632"/>
    </row>
    <row r="103" spans="5:19" s="629" customFormat="1" x14ac:dyDescent="0.2">
      <c r="E103" s="623"/>
      <c r="F103" s="630"/>
      <c r="G103" s="566"/>
      <c r="H103" s="566"/>
      <c r="I103" s="578"/>
      <c r="J103" s="566"/>
      <c r="K103" s="566"/>
      <c r="L103" s="566"/>
      <c r="M103" s="566"/>
      <c r="P103" s="632"/>
      <c r="Q103" s="632"/>
      <c r="R103" s="632"/>
      <c r="S103" s="632"/>
    </row>
    <row r="104" spans="5:19" s="629" customFormat="1" x14ac:dyDescent="0.2">
      <c r="E104" s="623"/>
      <c r="F104" s="630"/>
      <c r="G104" s="566"/>
      <c r="H104" s="566"/>
      <c r="I104" s="578"/>
      <c r="J104" s="566"/>
      <c r="K104" s="566"/>
      <c r="L104" s="566"/>
      <c r="M104" s="566"/>
      <c r="P104" s="632"/>
      <c r="Q104" s="632"/>
      <c r="R104" s="632"/>
      <c r="S104" s="632"/>
    </row>
    <row r="105" spans="5:19" s="629" customFormat="1" x14ac:dyDescent="0.2">
      <c r="E105" s="623"/>
      <c r="F105" s="630"/>
      <c r="G105" s="566"/>
      <c r="H105" s="566"/>
      <c r="I105" s="578"/>
      <c r="J105" s="566"/>
      <c r="K105" s="566"/>
      <c r="L105" s="566"/>
      <c r="M105" s="566"/>
      <c r="P105" s="632"/>
      <c r="Q105" s="632"/>
      <c r="R105" s="632"/>
      <c r="S105" s="632"/>
    </row>
    <row r="106" spans="5:19" s="629" customFormat="1" x14ac:dyDescent="0.2">
      <c r="E106" s="623"/>
      <c r="F106" s="630"/>
      <c r="G106" s="566"/>
      <c r="H106" s="566"/>
      <c r="I106" s="578"/>
      <c r="J106" s="566"/>
      <c r="K106" s="566"/>
      <c r="L106" s="566"/>
      <c r="M106" s="566"/>
      <c r="P106" s="632"/>
      <c r="Q106" s="632"/>
      <c r="R106" s="632"/>
      <c r="S106" s="632"/>
    </row>
    <row r="107" spans="5:19" s="629" customFormat="1" x14ac:dyDescent="0.2">
      <c r="E107" s="623"/>
      <c r="F107" s="630"/>
      <c r="G107" s="566"/>
      <c r="H107" s="566"/>
      <c r="I107" s="578"/>
      <c r="J107" s="566"/>
      <c r="K107" s="566"/>
      <c r="L107" s="566"/>
      <c r="M107" s="566"/>
      <c r="P107" s="632"/>
      <c r="Q107" s="632"/>
      <c r="R107" s="632"/>
      <c r="S107" s="632"/>
    </row>
    <row r="108" spans="5:19" s="629" customFormat="1" x14ac:dyDescent="0.2">
      <c r="E108" s="623"/>
      <c r="F108" s="630"/>
      <c r="G108" s="566"/>
      <c r="H108" s="566"/>
      <c r="I108" s="578"/>
      <c r="J108" s="566"/>
      <c r="K108" s="566"/>
      <c r="L108" s="566"/>
      <c r="M108" s="566"/>
      <c r="P108" s="632"/>
      <c r="Q108" s="632"/>
      <c r="R108" s="632"/>
      <c r="S108" s="632"/>
    </row>
    <row r="109" spans="5:19" s="629" customFormat="1" x14ac:dyDescent="0.2">
      <c r="E109" s="623"/>
      <c r="F109" s="630"/>
      <c r="G109" s="566"/>
      <c r="H109" s="566"/>
      <c r="I109" s="578"/>
      <c r="J109" s="566"/>
      <c r="K109" s="566"/>
      <c r="L109" s="566"/>
      <c r="M109" s="566"/>
      <c r="P109" s="632"/>
      <c r="Q109" s="632"/>
      <c r="R109" s="632"/>
      <c r="S109" s="632"/>
    </row>
    <row r="110" spans="5:19" s="629" customFormat="1" x14ac:dyDescent="0.2">
      <c r="E110" s="623"/>
      <c r="F110" s="630"/>
      <c r="G110" s="566"/>
      <c r="H110" s="566"/>
      <c r="I110" s="578"/>
      <c r="J110" s="566"/>
      <c r="K110" s="566"/>
      <c r="L110" s="566"/>
      <c r="P110" s="632"/>
      <c r="Q110" s="632"/>
      <c r="R110" s="632"/>
      <c r="S110" s="632"/>
    </row>
    <row r="111" spans="5:19" s="629" customFormat="1" x14ac:dyDescent="0.2">
      <c r="E111" s="623"/>
      <c r="F111" s="630"/>
      <c r="G111" s="566"/>
      <c r="H111" s="566"/>
      <c r="I111" s="578"/>
      <c r="J111" s="566"/>
      <c r="K111" s="566"/>
      <c r="L111" s="566"/>
      <c r="P111" s="632"/>
      <c r="Q111" s="632"/>
      <c r="R111" s="632"/>
      <c r="S111" s="632"/>
    </row>
    <row r="112" spans="5:19" s="629" customFormat="1" x14ac:dyDescent="0.2">
      <c r="E112" s="623"/>
      <c r="F112" s="630"/>
      <c r="G112" s="566"/>
      <c r="H112" s="566"/>
      <c r="I112" s="578"/>
      <c r="J112" s="566"/>
      <c r="K112" s="566"/>
      <c r="L112" s="566"/>
      <c r="P112" s="632"/>
      <c r="Q112" s="632"/>
      <c r="R112" s="632"/>
      <c r="S112" s="632"/>
    </row>
    <row r="113" spans="5:19" s="629" customFormat="1" x14ac:dyDescent="0.2">
      <c r="E113" s="623"/>
      <c r="F113" s="630"/>
      <c r="G113" s="566"/>
      <c r="H113" s="566"/>
      <c r="I113" s="578"/>
      <c r="J113" s="566"/>
      <c r="K113" s="566"/>
      <c r="L113" s="566"/>
      <c r="P113" s="632"/>
      <c r="Q113" s="632"/>
      <c r="R113" s="632"/>
      <c r="S113" s="632"/>
    </row>
    <row r="114" spans="5:19" s="629" customFormat="1" x14ac:dyDescent="0.2">
      <c r="E114" s="623"/>
      <c r="F114" s="630"/>
      <c r="G114" s="566"/>
      <c r="H114" s="566"/>
      <c r="I114" s="578"/>
      <c r="J114" s="566"/>
      <c r="K114" s="566"/>
      <c r="L114" s="566"/>
      <c r="P114" s="632"/>
      <c r="Q114" s="632"/>
      <c r="R114" s="632"/>
      <c r="S114" s="632"/>
    </row>
    <row r="115" spans="5:19" s="629" customFormat="1" x14ac:dyDescent="0.2">
      <c r="E115" s="623"/>
      <c r="F115" s="630"/>
      <c r="G115" s="566"/>
      <c r="H115" s="566"/>
      <c r="I115" s="578"/>
      <c r="J115" s="566"/>
      <c r="K115" s="566"/>
      <c r="L115" s="566"/>
      <c r="P115" s="632"/>
      <c r="Q115" s="632"/>
      <c r="R115" s="632"/>
      <c r="S115" s="632"/>
    </row>
    <row r="116" spans="5:19" s="629" customFormat="1" x14ac:dyDescent="0.2">
      <c r="E116" s="623"/>
      <c r="F116" s="630"/>
      <c r="G116" s="566"/>
      <c r="H116" s="566"/>
      <c r="I116" s="578"/>
      <c r="J116" s="566"/>
      <c r="K116" s="566"/>
      <c r="L116" s="566"/>
      <c r="P116" s="632"/>
      <c r="Q116" s="632"/>
      <c r="R116" s="632"/>
      <c r="S116" s="632"/>
    </row>
    <row r="117" spans="5:19" s="629" customFormat="1" x14ac:dyDescent="0.2">
      <c r="E117" s="623"/>
      <c r="F117" s="630"/>
      <c r="G117" s="566"/>
      <c r="H117" s="566"/>
      <c r="I117" s="578"/>
      <c r="J117" s="566"/>
      <c r="K117" s="566"/>
      <c r="L117" s="566"/>
      <c r="P117" s="632"/>
      <c r="Q117" s="632"/>
      <c r="R117" s="632"/>
      <c r="S117" s="632"/>
    </row>
    <row r="118" spans="5:19" s="629" customFormat="1" x14ac:dyDescent="0.2">
      <c r="E118" s="623"/>
      <c r="F118" s="630"/>
      <c r="G118" s="566"/>
      <c r="H118" s="566"/>
      <c r="I118" s="578"/>
      <c r="J118" s="566"/>
      <c r="K118" s="566"/>
      <c r="L118" s="566"/>
      <c r="P118" s="632"/>
      <c r="Q118" s="632"/>
      <c r="R118" s="632"/>
      <c r="S118" s="632"/>
    </row>
    <row r="119" spans="5:19" s="629" customFormat="1" x14ac:dyDescent="0.2">
      <c r="E119" s="623"/>
      <c r="F119" s="630"/>
      <c r="G119" s="566"/>
      <c r="H119" s="566"/>
      <c r="I119" s="578"/>
      <c r="J119" s="566"/>
      <c r="K119" s="566"/>
      <c r="L119" s="566"/>
      <c r="P119" s="632"/>
      <c r="Q119" s="632"/>
      <c r="R119" s="632"/>
      <c r="S119" s="632"/>
    </row>
    <row r="120" spans="5:19" s="629" customFormat="1" x14ac:dyDescent="0.2">
      <c r="E120" s="623"/>
      <c r="F120" s="630"/>
      <c r="G120" s="566"/>
      <c r="H120" s="566"/>
      <c r="I120" s="578"/>
      <c r="J120" s="566"/>
      <c r="K120" s="566"/>
      <c r="L120" s="566"/>
      <c r="P120" s="632"/>
      <c r="Q120" s="632"/>
      <c r="R120" s="632"/>
      <c r="S120" s="632"/>
    </row>
    <row r="121" spans="5:19" s="629" customFormat="1" x14ac:dyDescent="0.2">
      <c r="E121" s="623"/>
      <c r="F121" s="630"/>
      <c r="G121" s="566"/>
      <c r="H121" s="566"/>
      <c r="I121" s="578"/>
      <c r="J121" s="566"/>
      <c r="K121" s="566"/>
      <c r="L121" s="566"/>
      <c r="P121" s="632"/>
      <c r="Q121" s="632"/>
      <c r="R121" s="632"/>
      <c r="S121" s="632"/>
    </row>
    <row r="122" spans="5:19" s="629" customFormat="1" x14ac:dyDescent="0.2">
      <c r="E122" s="623"/>
      <c r="F122" s="630"/>
      <c r="G122" s="566"/>
      <c r="H122" s="566"/>
      <c r="I122" s="578"/>
      <c r="J122" s="566"/>
      <c r="K122" s="566"/>
      <c r="L122" s="566"/>
      <c r="P122" s="632"/>
      <c r="Q122" s="632"/>
      <c r="R122" s="632"/>
      <c r="S122" s="632"/>
    </row>
    <row r="123" spans="5:19" s="629" customFormat="1" x14ac:dyDescent="0.2">
      <c r="E123" s="623"/>
      <c r="F123" s="630"/>
      <c r="G123" s="566"/>
      <c r="H123" s="566"/>
      <c r="I123" s="578"/>
      <c r="J123" s="566"/>
      <c r="K123" s="566"/>
      <c r="L123" s="566"/>
      <c r="P123" s="632"/>
      <c r="Q123" s="632"/>
      <c r="R123" s="632"/>
      <c r="S123" s="632"/>
    </row>
    <row r="124" spans="5:19" s="629" customFormat="1" x14ac:dyDescent="0.2">
      <c r="E124" s="623"/>
      <c r="F124" s="630"/>
      <c r="G124" s="566"/>
      <c r="H124" s="566"/>
      <c r="I124" s="578"/>
      <c r="J124" s="566"/>
      <c r="K124" s="566"/>
      <c r="L124" s="566"/>
      <c r="P124" s="632"/>
      <c r="Q124" s="632"/>
      <c r="R124" s="632"/>
      <c r="S124" s="632"/>
    </row>
    <row r="125" spans="5:19" s="629" customFormat="1" x14ac:dyDescent="0.2">
      <c r="E125" s="623"/>
      <c r="F125" s="630"/>
      <c r="G125" s="566"/>
      <c r="H125" s="566"/>
      <c r="I125" s="578"/>
      <c r="J125" s="566"/>
      <c r="K125" s="566"/>
      <c r="L125" s="566"/>
      <c r="P125" s="632"/>
      <c r="Q125" s="632"/>
      <c r="R125" s="632"/>
      <c r="S125" s="632"/>
    </row>
    <row r="126" spans="5:19" s="629" customFormat="1" x14ac:dyDescent="0.2">
      <c r="E126" s="623"/>
      <c r="F126" s="630"/>
      <c r="G126" s="566"/>
      <c r="H126" s="566"/>
      <c r="I126" s="578"/>
      <c r="J126" s="566"/>
      <c r="K126" s="566"/>
      <c r="L126" s="566"/>
      <c r="P126" s="632"/>
      <c r="Q126" s="632"/>
      <c r="R126" s="632"/>
      <c r="S126" s="632"/>
    </row>
    <row r="127" spans="5:19" s="629" customFormat="1" x14ac:dyDescent="0.2">
      <c r="E127" s="623"/>
      <c r="F127" s="630"/>
      <c r="G127" s="566"/>
      <c r="H127" s="566"/>
      <c r="I127" s="578"/>
      <c r="J127" s="566"/>
      <c r="K127" s="566"/>
      <c r="L127" s="566"/>
      <c r="P127" s="632"/>
      <c r="Q127" s="632"/>
      <c r="R127" s="632"/>
      <c r="S127" s="632"/>
    </row>
    <row r="128" spans="5:19" s="629" customFormat="1" x14ac:dyDescent="0.2">
      <c r="E128" s="623"/>
      <c r="F128" s="630"/>
      <c r="G128" s="566"/>
      <c r="H128" s="566"/>
      <c r="I128" s="578"/>
      <c r="J128" s="566"/>
      <c r="K128" s="566"/>
      <c r="L128" s="566"/>
      <c r="P128" s="632"/>
      <c r="Q128" s="632"/>
      <c r="R128" s="632"/>
      <c r="S128" s="632"/>
    </row>
    <row r="129" spans="5:19" s="629" customFormat="1" x14ac:dyDescent="0.2">
      <c r="E129" s="623"/>
      <c r="F129" s="630"/>
      <c r="G129" s="566"/>
      <c r="H129" s="566"/>
      <c r="I129" s="578"/>
      <c r="J129" s="566"/>
      <c r="K129" s="566"/>
      <c r="L129" s="566"/>
      <c r="P129" s="632"/>
      <c r="Q129" s="632"/>
      <c r="R129" s="632"/>
      <c r="S129" s="632"/>
    </row>
    <row r="130" spans="5:19" s="629" customFormat="1" x14ac:dyDescent="0.2">
      <c r="E130" s="623"/>
      <c r="F130" s="630"/>
      <c r="G130" s="566"/>
      <c r="H130" s="566"/>
      <c r="I130" s="578"/>
      <c r="J130" s="566"/>
      <c r="K130" s="566"/>
      <c r="L130" s="566"/>
      <c r="P130" s="632"/>
      <c r="Q130" s="632"/>
      <c r="R130" s="632"/>
      <c r="S130" s="632"/>
    </row>
    <row r="131" spans="5:19" s="629" customFormat="1" x14ac:dyDescent="0.2">
      <c r="E131" s="623"/>
      <c r="F131" s="630"/>
      <c r="G131" s="566"/>
      <c r="H131" s="566"/>
      <c r="I131" s="578"/>
      <c r="J131" s="566"/>
      <c r="K131" s="566"/>
      <c r="L131" s="566"/>
      <c r="P131" s="632"/>
      <c r="Q131" s="632"/>
      <c r="R131" s="632"/>
      <c r="S131" s="632"/>
    </row>
    <row r="132" spans="5:19" s="629" customFormat="1" x14ac:dyDescent="0.2">
      <c r="E132" s="623"/>
      <c r="F132" s="630"/>
      <c r="G132" s="566"/>
      <c r="H132" s="566"/>
      <c r="I132" s="578"/>
      <c r="J132" s="566"/>
      <c r="K132" s="566"/>
      <c r="L132" s="566"/>
      <c r="P132" s="632"/>
      <c r="Q132" s="632"/>
      <c r="R132" s="632"/>
      <c r="S132" s="632"/>
    </row>
    <row r="133" spans="5:19" s="629" customFormat="1" x14ac:dyDescent="0.2">
      <c r="E133" s="623"/>
      <c r="F133" s="630"/>
      <c r="G133" s="566"/>
      <c r="H133" s="566"/>
      <c r="I133" s="578"/>
      <c r="J133" s="566"/>
      <c r="K133" s="566"/>
      <c r="L133" s="566"/>
      <c r="P133" s="632"/>
      <c r="Q133" s="632"/>
      <c r="R133" s="632"/>
      <c r="S133" s="632"/>
    </row>
    <row r="134" spans="5:19" s="629" customFormat="1" x14ac:dyDescent="0.2">
      <c r="E134" s="623"/>
      <c r="F134" s="630"/>
      <c r="G134" s="566"/>
      <c r="H134" s="566"/>
      <c r="I134" s="578"/>
      <c r="J134" s="566"/>
      <c r="K134" s="566"/>
      <c r="L134" s="566"/>
      <c r="P134" s="632"/>
      <c r="Q134" s="632"/>
      <c r="R134" s="632"/>
      <c r="S134" s="632"/>
    </row>
    <row r="135" spans="5:19" s="629" customFormat="1" x14ac:dyDescent="0.2">
      <c r="E135" s="623"/>
      <c r="F135" s="630"/>
      <c r="G135" s="566"/>
      <c r="H135" s="566"/>
      <c r="I135" s="578"/>
      <c r="J135" s="566"/>
      <c r="K135" s="566"/>
      <c r="L135" s="566"/>
      <c r="P135" s="632"/>
      <c r="Q135" s="632"/>
      <c r="R135" s="632"/>
      <c r="S135" s="632"/>
    </row>
    <row r="136" spans="5:19" s="629" customFormat="1" x14ac:dyDescent="0.2">
      <c r="E136" s="623"/>
      <c r="F136" s="630"/>
      <c r="G136" s="566"/>
      <c r="H136" s="566"/>
      <c r="I136" s="578"/>
      <c r="J136" s="566"/>
      <c r="K136" s="566"/>
      <c r="L136" s="566"/>
      <c r="P136" s="632"/>
      <c r="Q136" s="632"/>
      <c r="R136" s="632"/>
      <c r="S136" s="632"/>
    </row>
    <row r="137" spans="5:19" s="629" customFormat="1" x14ac:dyDescent="0.2">
      <c r="E137" s="623"/>
      <c r="F137" s="630"/>
      <c r="G137" s="566"/>
      <c r="H137" s="566"/>
      <c r="I137" s="578"/>
      <c r="J137" s="566"/>
      <c r="K137" s="566"/>
      <c r="L137" s="566"/>
      <c r="P137" s="632"/>
      <c r="Q137" s="632"/>
      <c r="R137" s="632"/>
      <c r="S137" s="632"/>
    </row>
    <row r="138" spans="5:19" s="629" customFormat="1" x14ac:dyDescent="0.2">
      <c r="E138" s="623"/>
      <c r="F138" s="630"/>
      <c r="G138" s="566"/>
      <c r="H138" s="566"/>
      <c r="I138" s="578"/>
      <c r="J138" s="566"/>
      <c r="K138" s="566"/>
      <c r="L138" s="566"/>
      <c r="P138" s="632"/>
      <c r="Q138" s="632"/>
      <c r="R138" s="632"/>
      <c r="S138" s="632"/>
    </row>
    <row r="139" spans="5:19" s="629" customFormat="1" x14ac:dyDescent="0.2">
      <c r="E139" s="623"/>
      <c r="F139" s="630"/>
      <c r="G139" s="566"/>
      <c r="H139" s="566"/>
      <c r="I139" s="578"/>
      <c r="J139" s="566"/>
      <c r="K139" s="566"/>
      <c r="L139" s="566"/>
      <c r="P139" s="632"/>
      <c r="Q139" s="632"/>
      <c r="R139" s="632"/>
      <c r="S139" s="632"/>
    </row>
    <row r="140" spans="5:19" s="629" customFormat="1" x14ac:dyDescent="0.2">
      <c r="E140" s="623"/>
      <c r="F140" s="630"/>
      <c r="G140" s="566"/>
      <c r="H140" s="566"/>
      <c r="I140" s="578"/>
      <c r="J140" s="566"/>
      <c r="K140" s="566"/>
      <c r="L140" s="566"/>
      <c r="P140" s="632"/>
      <c r="Q140" s="632"/>
      <c r="R140" s="632"/>
      <c r="S140" s="632"/>
    </row>
    <row r="141" spans="5:19" s="629" customFormat="1" x14ac:dyDescent="0.2">
      <c r="E141" s="623"/>
      <c r="F141" s="630"/>
      <c r="G141" s="566"/>
      <c r="H141" s="566"/>
      <c r="I141" s="578"/>
      <c r="J141" s="566"/>
      <c r="K141" s="566"/>
      <c r="L141" s="566"/>
      <c r="P141" s="632"/>
      <c r="Q141" s="632"/>
      <c r="R141" s="632"/>
      <c r="S141" s="632"/>
    </row>
    <row r="142" spans="5:19" s="629" customFormat="1" x14ac:dyDescent="0.2">
      <c r="E142" s="623"/>
      <c r="F142" s="630"/>
      <c r="G142" s="566"/>
      <c r="H142" s="566"/>
      <c r="I142" s="578"/>
      <c r="J142" s="566"/>
      <c r="K142" s="566"/>
      <c r="L142" s="566"/>
      <c r="P142" s="632"/>
      <c r="Q142" s="632"/>
      <c r="R142" s="632"/>
      <c r="S142" s="632"/>
    </row>
    <row r="143" spans="5:19" s="629" customFormat="1" x14ac:dyDescent="0.2">
      <c r="E143" s="623"/>
      <c r="F143" s="630"/>
      <c r="G143" s="566"/>
      <c r="H143" s="566"/>
      <c r="I143" s="578"/>
      <c r="J143" s="566"/>
      <c r="K143" s="566"/>
      <c r="L143" s="566"/>
      <c r="P143" s="632"/>
      <c r="Q143" s="632"/>
      <c r="R143" s="632"/>
      <c r="S143" s="632"/>
    </row>
    <row r="144" spans="5:19" s="629" customFormat="1" x14ac:dyDescent="0.2">
      <c r="E144" s="623"/>
      <c r="F144" s="630"/>
      <c r="G144" s="566"/>
      <c r="H144" s="566"/>
      <c r="I144" s="578"/>
      <c r="J144" s="566"/>
      <c r="K144" s="566"/>
      <c r="L144" s="566"/>
      <c r="P144" s="632"/>
      <c r="Q144" s="632"/>
      <c r="R144" s="632"/>
      <c r="S144" s="632"/>
    </row>
    <row r="145" spans="1:19" s="629" customFormat="1" x14ac:dyDescent="0.2">
      <c r="E145" s="623"/>
      <c r="F145" s="630"/>
      <c r="G145" s="566"/>
      <c r="H145" s="566"/>
      <c r="I145" s="578"/>
      <c r="J145" s="566"/>
      <c r="K145" s="566"/>
      <c r="L145" s="566"/>
      <c r="P145" s="632"/>
      <c r="Q145" s="632"/>
      <c r="R145" s="632"/>
      <c r="S145" s="632"/>
    </row>
    <row r="146" spans="1:19" s="629" customFormat="1" x14ac:dyDescent="0.2">
      <c r="E146" s="623"/>
      <c r="F146" s="630"/>
      <c r="G146" s="566"/>
      <c r="H146" s="566"/>
      <c r="I146" s="578"/>
      <c r="J146" s="566"/>
      <c r="K146" s="566"/>
      <c r="L146" s="566"/>
      <c r="P146" s="632"/>
      <c r="Q146" s="632"/>
      <c r="R146" s="632"/>
      <c r="S146" s="632"/>
    </row>
    <row r="147" spans="1:19" x14ac:dyDescent="0.2">
      <c r="A147" s="629"/>
      <c r="B147" s="629"/>
      <c r="C147" s="629"/>
      <c r="D147" s="629"/>
      <c r="E147" s="623"/>
      <c r="F147" s="630"/>
      <c r="G147" s="566"/>
      <c r="H147" s="566"/>
      <c r="I147" s="578"/>
      <c r="J147" s="566"/>
      <c r="K147" s="566"/>
      <c r="L147" s="566"/>
      <c r="M147" s="629"/>
      <c r="N147" s="629"/>
      <c r="O147" s="629"/>
      <c r="P147" s="632"/>
      <c r="Q147" s="632"/>
    </row>
    <row r="148" spans="1:19" x14ac:dyDescent="0.2">
      <c r="A148" s="629"/>
      <c r="B148" s="629"/>
      <c r="C148" s="629"/>
      <c r="D148" s="629"/>
      <c r="E148" s="623"/>
      <c r="F148" s="630"/>
      <c r="G148" s="566"/>
      <c r="H148" s="566"/>
      <c r="I148" s="578"/>
      <c r="J148" s="566"/>
      <c r="K148" s="566"/>
      <c r="L148" s="566"/>
      <c r="M148" s="629"/>
      <c r="N148" s="629"/>
      <c r="O148" s="629"/>
      <c r="P148" s="632"/>
      <c r="Q148" s="632"/>
    </row>
    <row r="149" spans="1:19" x14ac:dyDescent="0.2">
      <c r="A149" s="629"/>
      <c r="B149" s="629"/>
      <c r="C149" s="629"/>
      <c r="D149" s="629"/>
      <c r="E149" s="623"/>
      <c r="F149" s="630"/>
      <c r="G149" s="566"/>
      <c r="H149" s="566"/>
      <c r="I149" s="578"/>
      <c r="J149" s="566"/>
      <c r="K149" s="566"/>
      <c r="L149" s="566"/>
      <c r="M149" s="629"/>
      <c r="N149" s="629"/>
      <c r="O149" s="629"/>
      <c r="P149" s="632"/>
      <c r="Q149" s="632"/>
    </row>
    <row r="150" spans="1:19" x14ac:dyDescent="0.2">
      <c r="A150" s="629"/>
      <c r="B150" s="629"/>
      <c r="C150" s="629"/>
      <c r="D150" s="629"/>
      <c r="E150" s="623"/>
      <c r="F150" s="630"/>
      <c r="G150" s="566"/>
      <c r="H150" s="566"/>
      <c r="I150" s="578"/>
      <c r="J150" s="566"/>
      <c r="K150" s="566"/>
      <c r="L150" s="566"/>
      <c r="M150" s="629"/>
      <c r="N150" s="629"/>
      <c r="O150" s="629"/>
      <c r="P150" s="632"/>
      <c r="Q150" s="632"/>
    </row>
    <row r="151" spans="1:19" x14ac:dyDescent="0.2">
      <c r="A151" s="629"/>
      <c r="B151" s="629"/>
      <c r="C151" s="629"/>
      <c r="D151" s="629"/>
      <c r="E151" s="623"/>
      <c r="F151" s="630"/>
      <c r="G151" s="566"/>
      <c r="H151" s="566"/>
      <c r="I151" s="578"/>
      <c r="J151" s="566"/>
      <c r="K151" s="566"/>
      <c r="L151" s="566"/>
      <c r="M151" s="629"/>
      <c r="N151" s="629"/>
      <c r="O151" s="629"/>
      <c r="P151" s="632"/>
      <c r="Q151" s="632"/>
    </row>
    <row r="152" spans="1:19" x14ac:dyDescent="0.2">
      <c r="A152" s="629"/>
      <c r="B152" s="629"/>
      <c r="C152" s="629"/>
      <c r="D152" s="629"/>
      <c r="E152" s="623"/>
      <c r="F152" s="630"/>
      <c r="G152" s="566"/>
      <c r="H152" s="566"/>
      <c r="I152" s="578"/>
      <c r="J152" s="566"/>
      <c r="K152" s="566"/>
      <c r="L152" s="566"/>
      <c r="M152" s="629"/>
    </row>
    <row r="153" spans="1:19" x14ac:dyDescent="0.2">
      <c r="A153" s="629"/>
      <c r="B153" s="629"/>
      <c r="C153" s="629"/>
      <c r="D153" s="629"/>
      <c r="E153" s="623"/>
      <c r="F153" s="630"/>
      <c r="G153" s="566"/>
      <c r="H153" s="566"/>
      <c r="I153" s="578"/>
      <c r="J153" s="566"/>
      <c r="K153" s="566"/>
      <c r="L153" s="566"/>
      <c r="M153" s="629"/>
    </row>
    <row r="154" spans="1:19" x14ac:dyDescent="0.2">
      <c r="A154" s="629"/>
      <c r="B154" s="629"/>
      <c r="C154" s="629"/>
      <c r="D154" s="629"/>
      <c r="E154" s="623"/>
      <c r="F154" s="630"/>
      <c r="G154" s="566"/>
      <c r="H154" s="566"/>
      <c r="I154" s="578"/>
      <c r="J154" s="566"/>
      <c r="K154" s="566"/>
      <c r="L154" s="566"/>
      <c r="M154" s="629"/>
    </row>
    <row r="155" spans="1:19" x14ac:dyDescent="0.2">
      <c r="A155" s="629"/>
      <c r="B155" s="629"/>
      <c r="C155" s="629"/>
      <c r="D155" s="629"/>
      <c r="E155" s="623"/>
      <c r="F155" s="630"/>
      <c r="G155" s="566"/>
      <c r="H155" s="566"/>
      <c r="I155" s="578"/>
      <c r="J155" s="566"/>
      <c r="K155" s="566"/>
      <c r="L155" s="566"/>
      <c r="M155" s="629"/>
    </row>
    <row r="156" spans="1:19" x14ac:dyDescent="0.2">
      <c r="J156" s="566"/>
      <c r="K156" s="566"/>
      <c r="L156" s="566"/>
      <c r="M156" s="629"/>
    </row>
    <row r="157" spans="1:19" x14ac:dyDescent="0.2">
      <c r="J157" s="566"/>
      <c r="K157" s="566"/>
      <c r="L157" s="566"/>
      <c r="M157" s="629"/>
    </row>
    <row r="158" spans="1:19" x14ac:dyDescent="0.2">
      <c r="J158" s="566"/>
      <c r="K158" s="566"/>
      <c r="L158" s="566"/>
      <c r="M158" s="629"/>
    </row>
    <row r="159" spans="1:19" x14ac:dyDescent="0.2">
      <c r="J159" s="566"/>
      <c r="K159" s="566"/>
      <c r="L159" s="566"/>
      <c r="M159" s="629"/>
    </row>
    <row r="160" spans="1:19" x14ac:dyDescent="0.2">
      <c r="J160" s="566"/>
      <c r="K160" s="566"/>
      <c r="L160" s="566"/>
      <c r="M160" s="629"/>
    </row>
    <row r="161" spans="10:13" x14ac:dyDescent="0.2">
      <c r="J161" s="566"/>
      <c r="K161" s="566"/>
      <c r="L161" s="566"/>
      <c r="M161" s="629"/>
    </row>
    <row r="162" spans="10:13" x14ac:dyDescent="0.2">
      <c r="K162" s="566"/>
      <c r="L162" s="566"/>
      <c r="M162" s="629"/>
    </row>
    <row r="163" spans="10:13" x14ac:dyDescent="0.2">
      <c r="K163" s="566"/>
      <c r="L163" s="566"/>
      <c r="M163" s="629"/>
    </row>
    <row r="164" spans="10:13" x14ac:dyDescent="0.2">
      <c r="K164" s="566"/>
      <c r="L164" s="566"/>
      <c r="M164" s="629"/>
    </row>
    <row r="165" spans="10:13" x14ac:dyDescent="0.2">
      <c r="L165" s="566"/>
      <c r="M165" s="629"/>
    </row>
    <row r="166" spans="10:13" x14ac:dyDescent="0.2">
      <c r="L166" s="566"/>
      <c r="M166" s="629"/>
    </row>
    <row r="167" spans="10:13" x14ac:dyDescent="0.2">
      <c r="L167" s="566"/>
    </row>
    <row r="168" spans="10:13" x14ac:dyDescent="0.2">
      <c r="L168" s="566"/>
    </row>
    <row r="169" spans="10:13" x14ac:dyDescent="0.2">
      <c r="L169" s="566"/>
    </row>
  </sheetData>
  <mergeCells count="5">
    <mergeCell ref="A7:L7"/>
    <mergeCell ref="M7:O7"/>
    <mergeCell ref="U7:V7"/>
    <mergeCell ref="D9:F9"/>
    <mergeCell ref="H9:K9"/>
  </mergeCells>
  <conditionalFormatting sqref="Z9:Z57 P58:P74">
    <cfRule type="aboveAverage" dxfId="1" priority="1" aboveAverage="0" stdDev="1"/>
    <cfRule type="aboveAverage" dxfId="0" priority="2" stdDev="1"/>
  </conditionalFormatting>
  <dataValidations disablePrompts="1" count="1">
    <dataValidation type="list" allowBlank="1" showInputMessage="1" showErrorMessage="1" sqref="B5" xr:uid="{C4FFD9CA-6853-4AAF-8FC6-FEFED490D587}">
      <formula1>$AB$5:$AB$8</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Stake Summary</vt:lpstr>
      <vt:lpstr>AUU</vt:lpstr>
      <vt:lpstr>N</vt:lpstr>
      <vt:lpstr>B</vt:lpstr>
      <vt:lpstr>S</vt:lpstr>
      <vt:lpstr>C</vt:lpstr>
      <vt:lpstr>TU</vt:lpstr>
      <vt:lpstr>Y</vt:lpstr>
      <vt:lpstr>EC</vt:lpstr>
      <vt:lpstr>SiteAUU_Pit_20240427</vt:lpstr>
      <vt:lpstr>SiteB_PitCore_20240424</vt:lpstr>
      <vt:lpstr>SiteTU_PitCore_20240425</vt:lpstr>
      <vt:lpstr>SiteC_PitCore_20240425</vt:lpstr>
      <vt:lpstr>SiteTU_Pit_20240916</vt:lpstr>
      <vt:lpstr>SiteS_Probe_20240917</vt:lpstr>
      <vt:lpstr>SiteC_PitCore_20240916</vt:lpstr>
      <vt:lpstr>SiteEC_FirnCore_20240426</vt:lpstr>
      <vt:lpstr>SiteY_PitCore_20240425</vt:lpstr>
    </vt:vector>
  </TitlesOfParts>
  <Company>Department of Interior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cmcneil</dc:creator>
  <cp:lastModifiedBy>Mcneil, Christopher J</cp:lastModifiedBy>
  <dcterms:created xsi:type="dcterms:W3CDTF">2018-05-02T03:11:21Z</dcterms:created>
  <dcterms:modified xsi:type="dcterms:W3CDTF">2024-11-08T19:42:12Z</dcterms:modified>
</cp:coreProperties>
</file>